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240" windowWidth="14220" windowHeight="11760" activeTab="6"/>
  </bookViews>
  <sheets>
    <sheet name="Bežné príjmy" sheetId="1" r:id="rId1"/>
    <sheet name="bežné výdavky" sheetId="2" r:id="rId2"/>
    <sheet name="Kapitálové príjmy" sheetId="3" r:id="rId3"/>
    <sheet name="Kapitálové výdavky" sheetId="4" r:id="rId4"/>
    <sheet name="Fin operácie - príjmy" sheetId="5" r:id="rId5"/>
    <sheet name="Finančné operácie - výdavky" sheetId="6" r:id="rId6"/>
    <sheet name="HOSP." sheetId="7" r:id="rId7"/>
  </sheets>
  <definedNames/>
  <calcPr fullCalcOnLoad="1"/>
</workbook>
</file>

<file path=xl/sharedStrings.xml><?xml version="1.0" encoding="utf-8"?>
<sst xmlns="http://schemas.openxmlformats.org/spreadsheetml/2006/main" count="719" uniqueCount="451">
  <si>
    <t xml:space="preserve">Vysielacie a vydavateľské služby </t>
  </si>
  <si>
    <t>LIM</t>
  </si>
  <si>
    <t>Náboženské a iné spoločenské služby</t>
  </si>
  <si>
    <t>Transfer pre členské ZMOS a ostatné</t>
  </si>
  <si>
    <t>Technické služby-cint. služby</t>
  </si>
  <si>
    <t>Transfer pre ostat. spol. služby</t>
  </si>
  <si>
    <t>09.</t>
  </si>
  <si>
    <t>Školstvo</t>
  </si>
  <si>
    <t>Rozpočet školstva</t>
  </si>
  <si>
    <t>Náklady na školstvo-prenes. výkon</t>
  </si>
  <si>
    <t>Náklady na školstvo-originál. výkon</t>
  </si>
  <si>
    <t>Neštátne školstvo</t>
  </si>
  <si>
    <t>09.6.0.</t>
  </si>
  <si>
    <t>Náklady na  stredisko služieb škole</t>
  </si>
  <si>
    <t>odchodné, odstupné, nemocenské</t>
  </si>
  <si>
    <t>10.2.0.</t>
  </si>
  <si>
    <t>Zariadenia sociálnych služieb - staroba</t>
  </si>
  <si>
    <t>Náklady na jedáleň</t>
  </si>
  <si>
    <t>Náklady na Klub dôchodcov</t>
  </si>
  <si>
    <t>Ďalšie služby - opatrovateľská služba</t>
  </si>
  <si>
    <t>zariadenie opatrovateľ.služby</t>
  </si>
  <si>
    <t>10.4.0.</t>
  </si>
  <si>
    <t>10.7.0.</t>
  </si>
  <si>
    <t>Prísp. neštát. subjekt.- pomoc občanom v hmotnej a sociálnej núdzi</t>
  </si>
  <si>
    <t>Prídavky na deti</t>
  </si>
  <si>
    <t>Potravinová pomoc</t>
  </si>
  <si>
    <t>Stravovanie HMNU</t>
  </si>
  <si>
    <t>Školské potreby - HMNU</t>
  </si>
  <si>
    <t>Jednorazová dávka primator</t>
  </si>
  <si>
    <t>Rozpočet bež. výdavky celkom</t>
  </si>
  <si>
    <t>Verejná správa</t>
  </si>
  <si>
    <t>kamerový systém</t>
  </si>
  <si>
    <t>Projektová dokumentácia</t>
  </si>
  <si>
    <t>Doprava-výstavba a oprava ciest</t>
  </si>
  <si>
    <t>Nákladanie s odpadmi</t>
  </si>
  <si>
    <t>Príspevok pre TS</t>
  </si>
  <si>
    <t>Kaplnka Levočské Lúky, NN prípojka</t>
  </si>
  <si>
    <t>MPV - ostatné</t>
  </si>
  <si>
    <t>08.2.0.9</t>
  </si>
  <si>
    <t xml:space="preserve">NMP č. 54 - divadlo, výmena okien II. etapa </t>
  </si>
  <si>
    <t>08.4.0.</t>
  </si>
  <si>
    <t>10.7.0</t>
  </si>
  <si>
    <t>Rozpočet kapitál. výdavky celkom</t>
  </si>
  <si>
    <t>Funkčná klasifikácia</t>
  </si>
  <si>
    <t>Ukazovateľ</t>
  </si>
  <si>
    <t>630</t>
  </si>
  <si>
    <t>06.2.0</t>
  </si>
  <si>
    <t>Rozvoj obcí</t>
  </si>
  <si>
    <t>01.1.2</t>
  </si>
  <si>
    <t>Zásobovanie vodou</t>
  </si>
  <si>
    <t>Štátny fond rozvoja bývania</t>
  </si>
  <si>
    <t>Detské jasle</t>
  </si>
  <si>
    <t>Finančné operácie</t>
  </si>
  <si>
    <t>08.2.0.</t>
  </si>
  <si>
    <t>Príjmy z prevodov peňaž. Fondov obcí FRB</t>
  </si>
  <si>
    <t>fond nevyčerpaných dotácií</t>
  </si>
  <si>
    <t xml:space="preserve">predaj akcií </t>
  </si>
  <si>
    <t>Prevod investičný fond</t>
  </si>
  <si>
    <t>06.6.0</t>
  </si>
  <si>
    <t>01.7</t>
  </si>
  <si>
    <t>Transakcie verejného dlhu</t>
  </si>
  <si>
    <t>04.4.3</t>
  </si>
  <si>
    <t>Výstavba</t>
  </si>
  <si>
    <t>08.4.0</t>
  </si>
  <si>
    <t>Stavebný úrad</t>
  </si>
  <si>
    <t>05.4.0</t>
  </si>
  <si>
    <t>03.1.0</t>
  </si>
  <si>
    <t>Policajné služby</t>
  </si>
  <si>
    <t>05.1.0</t>
  </si>
  <si>
    <t>Nakladanie s odpadmi</t>
  </si>
  <si>
    <t>Transfery na  kultúru - FS Levočan</t>
  </si>
  <si>
    <t>04.7.3</t>
  </si>
  <si>
    <t>Cestovný ruch</t>
  </si>
  <si>
    <t>Kultúrne služby</t>
  </si>
  <si>
    <t>Partnerské mestá</t>
  </si>
  <si>
    <t>PD - cesta Mariánska hora</t>
  </si>
  <si>
    <t>MPV  - cesta Mariánska hora</t>
  </si>
  <si>
    <t>Kategória</t>
  </si>
  <si>
    <t>Položka</t>
  </si>
  <si>
    <t>U k a z o v a t e ľ</t>
  </si>
  <si>
    <t>čerpanie k 31.12.2006</t>
  </si>
  <si>
    <t>čerpanie k 31.12.2007</t>
  </si>
  <si>
    <t>čerpanie k 31.12.2008</t>
  </si>
  <si>
    <t>čerpanie k 31.12.2009</t>
  </si>
  <si>
    <t>čerpanie k 31.12.2010</t>
  </si>
  <si>
    <t>Čerpanie rozpočtu 2011</t>
  </si>
  <si>
    <t>Čerpanie rozpočtu 2012</t>
  </si>
  <si>
    <t>Čerpanie rozpočtu 2013</t>
  </si>
  <si>
    <t>Čerpanie rozpočtu 2014</t>
  </si>
  <si>
    <t>Rozpočet 2015</t>
  </si>
  <si>
    <t>b</t>
  </si>
  <si>
    <t>Daňové príjmy</t>
  </si>
  <si>
    <t>dane z príj.,ziskov kapitalového majetku</t>
  </si>
  <si>
    <t>Výnos dane z príjmov poukázaný územnej samospráve</t>
  </si>
  <si>
    <t>Dane z majetku</t>
  </si>
  <si>
    <t>daň z nehnuteľnosti</t>
  </si>
  <si>
    <t xml:space="preserve">    - z pozemkov</t>
  </si>
  <si>
    <t xml:space="preserve">    - zo stavieb</t>
  </si>
  <si>
    <t xml:space="preserve">    - z bytov</t>
  </si>
  <si>
    <t>Domáce dane na tovary a služby</t>
  </si>
  <si>
    <t>dane za špecifické služby</t>
  </si>
  <si>
    <t>Za psa FO a PO</t>
  </si>
  <si>
    <t>Za zábavné hracie prístroje</t>
  </si>
  <si>
    <t>Za predajné automaty</t>
  </si>
  <si>
    <t>Daň za ubytovanie</t>
  </si>
  <si>
    <t xml:space="preserve">Za záber VP </t>
  </si>
  <si>
    <t>Príjem za TKO FO</t>
  </si>
  <si>
    <t>Príjem za TKO PO</t>
  </si>
  <si>
    <t>Nedaňové príjmy</t>
  </si>
  <si>
    <t>príjmy z podnikania a vlastníctva majetku</t>
  </si>
  <si>
    <t xml:space="preserve"> </t>
  </si>
  <si>
    <t>Dividendy</t>
  </si>
  <si>
    <t>Odvod zisku Staveb.prevádzkareň s.r.o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</si>
  <si>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</si>
  <si>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</si>
  <si>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</si>
  <si>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</si>
  <si>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nehnuteľností HPZ</t>
  </si>
  <si>
    <t xml:space="preserve">     z prenájmu soc. bytov</t>
  </si>
  <si>
    <t>administra .a iné popl. a platby z toho:</t>
  </si>
  <si>
    <t>Administratívne poplatky</t>
  </si>
  <si>
    <t xml:space="preserve">     správne poplatky</t>
  </si>
  <si>
    <t xml:space="preserve">     právne zastupovanie</t>
  </si>
  <si>
    <t>Poplatky a platby z nepr. a náh.pr.služ.</t>
  </si>
  <si>
    <t>Príjem za opatrovateľskú službu</t>
  </si>
  <si>
    <t>Obce TKO</t>
  </si>
  <si>
    <t>Za stravné v Jedálni-šek</t>
  </si>
  <si>
    <t>Bytové priestory</t>
  </si>
  <si>
    <t>Nebytové priestory</t>
  </si>
  <si>
    <t>Za predaj tovarov a služieb</t>
  </si>
  <si>
    <t>Školné</t>
  </si>
  <si>
    <t>Ďalšie admin.a iné poplatky a platby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</si>
  <si>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</si>
  <si>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</si>
  <si>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</si>
  <si>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</si>
  <si>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Odvod z výťažku 5%</t>
  </si>
  <si>
    <t>Poistné</t>
  </si>
  <si>
    <t>0,5% - výťažok z lotérie</t>
  </si>
  <si>
    <t>Ostatné  - obce zmluva TKO</t>
  </si>
  <si>
    <t>Granty a transfery</t>
  </si>
  <si>
    <t>Tuzemské bežné granty a transfery</t>
  </si>
  <si>
    <t>Granty</t>
  </si>
  <si>
    <t xml:space="preserve">Dar "Dni Majstra Pavla" </t>
  </si>
  <si>
    <t>Transfery na rovnakej úrovni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</si>
  <si>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</si>
  <si>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</si>
  <si>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</si>
  <si>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</si>
  <si>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</si>
  <si>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</si>
  <si>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dávku v hmotnej núdzi</t>
  </si>
  <si>
    <t>Transfer na aktivačnú činnosť</t>
  </si>
  <si>
    <t>Transfer KÚCD a PK</t>
  </si>
  <si>
    <t>Ochrana životného prostredia</t>
  </si>
  <si>
    <t>Transfer REGOB</t>
  </si>
  <si>
    <t>Vojnové hroby</t>
  </si>
  <si>
    <t>Chránené dielne</t>
  </si>
  <si>
    <t>Kostol sv. Jakuba</t>
  </si>
  <si>
    <t xml:space="preserve">Osobitný príjemca </t>
  </si>
  <si>
    <t>Osobitný príjemca - mesto</t>
  </si>
  <si>
    <t xml:space="preserve">Karpatské klim. mestečká </t>
  </si>
  <si>
    <t>Dotácia ŠR - školstvo</t>
  </si>
  <si>
    <t>MK Radnica a zvonica NMP č.2</t>
  </si>
  <si>
    <t xml:space="preserve">vzdelávanie seniorov </t>
  </si>
  <si>
    <t>ostatné</t>
  </si>
  <si>
    <t>Zahraničné granty</t>
  </si>
  <si>
    <t>Bežné</t>
  </si>
  <si>
    <t>Bežné príjmy celkom</t>
  </si>
  <si>
    <t>Čerpanie rozpočtu 2006</t>
  </si>
  <si>
    <t>Čerpanie rozpočtu 2007</t>
  </si>
  <si>
    <t>Čerpanie rozpočtu 2008</t>
  </si>
  <si>
    <t>Čerpanie rozpočtu 2009</t>
  </si>
  <si>
    <t>Čerpanie rozpočtu 2010</t>
  </si>
  <si>
    <t xml:space="preserve">kapitalové príjmy </t>
  </si>
  <si>
    <t>Príjem z predaja kapitálových aktív</t>
  </si>
  <si>
    <r>
      <t xml:space="preserve">    </t>
    </r>
    <r>
      <rPr>
        <sz val="10"/>
        <rFont val="Arial CE"/>
        <family val="2"/>
      </rPr>
      <t xml:space="preserve"> z predaja budov</t>
    </r>
  </si>
  <si>
    <t xml:space="preserve">     z predaja nehmotného majetku</t>
  </si>
  <si>
    <t xml:space="preserve">     z predaja hnuteľného majetku</t>
  </si>
  <si>
    <t>Príjem z predaja pozemkov</t>
  </si>
  <si>
    <t>z pozemkov</t>
  </si>
  <si>
    <t>Levočská Dolina (Suchý)</t>
  </si>
  <si>
    <t>ul. V. Greschika – garáže</t>
  </si>
  <si>
    <t>Levočské Lúky majetkoprávne vysp.</t>
  </si>
  <si>
    <t>ostatné príjmy</t>
  </si>
  <si>
    <t>komunitné centrum</t>
  </si>
  <si>
    <t>Radnica a Zvonica NMP 2</t>
  </si>
  <si>
    <t>obnova oddychovej zóny Schiessplatz</t>
  </si>
  <si>
    <t>úprava verejných priestranstiev</t>
  </si>
  <si>
    <t>Hradby</t>
  </si>
  <si>
    <t xml:space="preserve">PD Košická ulica č. 26 </t>
  </si>
  <si>
    <t>Príjem za  Detské Jasle</t>
  </si>
  <si>
    <t>Transfer pre MsKS</t>
  </si>
  <si>
    <t>Divadlo - MsKS</t>
  </si>
  <si>
    <t>Knižnica - MsKS</t>
  </si>
  <si>
    <t>Galéria - MsKS</t>
  </si>
  <si>
    <t>Kino - MsKS</t>
  </si>
  <si>
    <t>Dni Majstra Pavla - MsKS</t>
  </si>
  <si>
    <t>auto</t>
  </si>
  <si>
    <t>01.3.3</t>
  </si>
  <si>
    <t>Vysielanie mestskej televízie</t>
  </si>
  <si>
    <t xml:space="preserve">     pokuty, penále, vecné bremená</t>
  </si>
  <si>
    <t xml:space="preserve">     z prenájmu bytov </t>
  </si>
  <si>
    <t xml:space="preserve">     z prenájmu nebyt. priestorov</t>
  </si>
  <si>
    <t>Nakladanie s odpadovými vodami</t>
  </si>
  <si>
    <t>04.5.1</t>
  </si>
  <si>
    <t>Dopravné značenie</t>
  </si>
  <si>
    <t>Doprava</t>
  </si>
  <si>
    <t xml:space="preserve">členské </t>
  </si>
  <si>
    <t>Prebytok/schodok finančného hospodárenia</t>
  </si>
  <si>
    <t>Rekapitulácia</t>
  </si>
  <si>
    <t>Prebytok/schodok  hospodárenia</t>
  </si>
  <si>
    <t xml:space="preserve">Dni Majstra Pavla </t>
  </si>
  <si>
    <t>Školský úrad</t>
  </si>
  <si>
    <t>08.1.0</t>
  </si>
  <si>
    <t>Rekreačné a športové služby</t>
  </si>
  <si>
    <t>06.1.0</t>
  </si>
  <si>
    <t>Rozvoj bývania</t>
  </si>
  <si>
    <t>NMP č.4</t>
  </si>
  <si>
    <t>Kapitálové</t>
  </si>
  <si>
    <t>Kapitalové príjmy celkom</t>
  </si>
  <si>
    <t>d</t>
  </si>
  <si>
    <t>Krátkodobé úvery</t>
  </si>
  <si>
    <t>Finančné operácie celkom</t>
  </si>
  <si>
    <t xml:space="preserve">Časť 2.2. Výdavkové finančné operácie </t>
  </si>
  <si>
    <t>a</t>
  </si>
  <si>
    <t>Splácanie bankových úverov dlhodobých</t>
  </si>
  <si>
    <t>Splácanie bankových úverov krátkodobých</t>
  </si>
  <si>
    <t>Splácanie bankových úverov ŠFRB</t>
  </si>
  <si>
    <t>c</t>
  </si>
  <si>
    <t>01.1.1.</t>
  </si>
  <si>
    <t>Výdavky verejnej správy, finančná a rozp.</t>
  </si>
  <si>
    <t>mzdy</t>
  </si>
  <si>
    <t>poistné</t>
  </si>
  <si>
    <t>tovary a služby</t>
  </si>
  <si>
    <t>bežné transfery</t>
  </si>
  <si>
    <t xml:space="preserve">Finanč.a rozpočt.oblasť </t>
  </si>
  <si>
    <t>Auditorská činnosť</t>
  </si>
  <si>
    <t>Poplatky banke</t>
  </si>
  <si>
    <t>Daň z príjmu</t>
  </si>
  <si>
    <t>Iné všeobecné služby-matrika</t>
  </si>
  <si>
    <t>01.6.0</t>
  </si>
  <si>
    <t>REGOB</t>
  </si>
  <si>
    <t>01.7.0</t>
  </si>
  <si>
    <t>Splátka úrokov bankám</t>
  </si>
  <si>
    <t>02.2.0.</t>
  </si>
  <si>
    <t>Vojenská obrana</t>
  </si>
  <si>
    <t>Civilná ochrana</t>
  </si>
  <si>
    <t>Policajné služby-mestská polícia</t>
  </si>
  <si>
    <t>03.2.0</t>
  </si>
  <si>
    <t>Požiarna ochrana</t>
  </si>
  <si>
    <t>Požiarná ochrana</t>
  </si>
  <si>
    <t>04.1.2.</t>
  </si>
  <si>
    <t>Aktivačná činnosť - koordinátori</t>
  </si>
  <si>
    <t>04.2.1</t>
  </si>
  <si>
    <t>Veterinárna oblasť</t>
  </si>
  <si>
    <t>Veterinár. oblasť /odchyt  psov/</t>
  </si>
  <si>
    <t>Údržba ciest - Technické služby</t>
  </si>
  <si>
    <t>Cestná doprava / transfer SAD /</t>
  </si>
  <si>
    <t xml:space="preserve">Informačná kancelária </t>
  </si>
  <si>
    <t>Propagácia, reklama a inzercia</t>
  </si>
  <si>
    <t>UNESCO</t>
  </si>
  <si>
    <t>Slovenské kráľovské mestá</t>
  </si>
  <si>
    <t>04.9.0</t>
  </si>
  <si>
    <t>Chránená dielňa</t>
  </si>
  <si>
    <t>Tranfer na Technické služby</t>
  </si>
  <si>
    <t>05.2.0</t>
  </si>
  <si>
    <t>ČOV, parkoviská - stočné</t>
  </si>
  <si>
    <t>0</t>
  </si>
  <si>
    <t xml:space="preserve">Životné prostredie </t>
  </si>
  <si>
    <t>Protipovodňové aktivity</t>
  </si>
  <si>
    <t>oddychová zóna</t>
  </si>
  <si>
    <t>modernizácia verejných priestranstiev</t>
  </si>
  <si>
    <t>Hradobný múr</t>
  </si>
  <si>
    <t>Obnova hradobného múru</t>
  </si>
  <si>
    <t xml:space="preserve">Prestavba NMP I. etapa </t>
  </si>
  <si>
    <t xml:space="preserve">Znalecký posudok </t>
  </si>
  <si>
    <t>Oplotenie zimného štadióna</t>
  </si>
  <si>
    <t>Hnedý priemyselný park</t>
  </si>
  <si>
    <t>Verejná zeleň - Technické služby</t>
  </si>
  <si>
    <t>06.3.0</t>
  </si>
  <si>
    <t>Voda - Lev.Lúky</t>
  </si>
  <si>
    <t>Technické služby</t>
  </si>
  <si>
    <t>Bývanie a občianska vybavenosť</t>
  </si>
  <si>
    <t>Transfery pre šport a telovýchovu</t>
  </si>
  <si>
    <t>Ostat.trans.pre šport a telových.</t>
  </si>
  <si>
    <t>Náklady na obradné siene / APO/</t>
  </si>
  <si>
    <t>Ostatné transfery na  kultúru</t>
  </si>
  <si>
    <t>08.3.0.</t>
  </si>
  <si>
    <t xml:space="preserve">REKAPITULÁCIA  PRÍJMOV  A  VÝDAVKOV 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</si>
  <si>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</si>
  <si>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</si>
  <si>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</si>
  <si>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</si>
  <si>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</si>
  <si>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</si>
  <si>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</si>
  <si>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</si>
  <si>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08.2.0</t>
  </si>
  <si>
    <t>Verejné osvetlenie</t>
  </si>
  <si>
    <t>06.4.0</t>
  </si>
  <si>
    <t>Kostol sv. Jakuba - veža</t>
  </si>
  <si>
    <t>Klietka hamby</t>
  </si>
  <si>
    <t>Čerpanie rozpočtu 2015</t>
  </si>
  <si>
    <t>Osobitný príjemca -mesto</t>
  </si>
  <si>
    <t>Ortofomapa</t>
  </si>
  <si>
    <t>kultúrno - spoločenské aktivíty</t>
  </si>
  <si>
    <t>MŠ G. Haina</t>
  </si>
  <si>
    <t>Fasáda NMP 50</t>
  </si>
  <si>
    <t>cesta Mariánska hora</t>
  </si>
  <si>
    <t>Príspevok pre TS nákup profesionálnej kosačky</t>
  </si>
  <si>
    <t>Fontána dobročinnosti</t>
  </si>
  <si>
    <t>Nájom TS</t>
  </si>
  <si>
    <t>územný plán</t>
  </si>
  <si>
    <t>ostatné kultúrne podujatia</t>
  </si>
  <si>
    <t>skládka KO D.Stráže</t>
  </si>
  <si>
    <t>Čerpanie rozpočtu 2016</t>
  </si>
  <si>
    <t>projekty</t>
  </si>
  <si>
    <t>Oprava VO</t>
  </si>
  <si>
    <t>Časť 1.2.2. Výdavky kapitálového rozpočtu</t>
  </si>
  <si>
    <t>Cesta ul. Okružná</t>
  </si>
  <si>
    <t>MPV Plantáže</t>
  </si>
  <si>
    <t>ZŠ G. Haina</t>
  </si>
  <si>
    <t>zábezpeky</t>
  </si>
  <si>
    <t>Strelecká bašta</t>
  </si>
  <si>
    <t>Prístupový chodník/schodisko Pod vinicou</t>
  </si>
  <si>
    <t>opatrovateľska služba</t>
  </si>
  <si>
    <t>Komunitná a terénna sociálna práca</t>
  </si>
  <si>
    <t>Parkovné</t>
  </si>
  <si>
    <t>Terénna soc. Práca, komunitná práca</t>
  </si>
  <si>
    <t>Potraviny - jedáleň</t>
  </si>
  <si>
    <t>Potraviny - školské jedálne</t>
  </si>
  <si>
    <t>Čerpanie rozpočtu 2017</t>
  </si>
  <si>
    <t xml:space="preserve">ZŠ G. Haina - ŠJ </t>
  </si>
  <si>
    <t>07.1.2</t>
  </si>
  <si>
    <t>Ine zdravotnícke služby</t>
  </si>
  <si>
    <t>Centrum integrovanej zdrav. starostlivosti</t>
  </si>
  <si>
    <t>Čerpanie rozpočtu 2018</t>
  </si>
  <si>
    <t xml:space="preserve">Miestna občianska poriadková služba </t>
  </si>
  <si>
    <t>Štúrová ulica</t>
  </si>
  <si>
    <t>Bežecký areál - dotácia</t>
  </si>
  <si>
    <t>MsKS - oprava podlahy(kongres. sála)</t>
  </si>
  <si>
    <t xml:space="preserve">ZUŠ Levoča </t>
  </si>
  <si>
    <t>Rekonštrukcia - spolufinancovanie</t>
  </si>
  <si>
    <t>Meštiansky dom, NMP 51</t>
  </si>
  <si>
    <t>OZ Levočan</t>
  </si>
  <si>
    <t xml:space="preserve">Transfer pre TS </t>
  </si>
  <si>
    <t>Čerpanie rozpočtu 2019</t>
  </si>
  <si>
    <t>Úver ŠFRB</t>
  </si>
  <si>
    <t>žabia cesta</t>
  </si>
  <si>
    <t>MRK Lev. Lúky - komunikácia, osvetlenie</t>
  </si>
  <si>
    <t>Meštiansky dom, NMP 43</t>
  </si>
  <si>
    <t>NMP č.43,51</t>
  </si>
  <si>
    <t>Čerpanie rozpočtu 2020</t>
  </si>
  <si>
    <t>Čerpanie rozpočtu 2021</t>
  </si>
  <si>
    <t>transfery</t>
  </si>
  <si>
    <t>podnikateľská činnosť</t>
  </si>
  <si>
    <t>Ochrana, podpora a rozvoj ver.zdravia</t>
  </si>
  <si>
    <t>Covid - výdavky</t>
  </si>
  <si>
    <t>Prepojovací chodník IBV Krupný jarok</t>
  </si>
  <si>
    <t>Rek. I. etapa Ružová ul.</t>
  </si>
  <si>
    <t>spevnené plochy sídl. Rozvoj</t>
  </si>
  <si>
    <t xml:space="preserve">Radnica NMP 2 </t>
  </si>
  <si>
    <t>Radnica NMP 2 I. etapa</t>
  </si>
  <si>
    <t>Radnica NMP 2 reštaurátorské práce</t>
  </si>
  <si>
    <t>Radnica NMP 2 - autorský dozor</t>
  </si>
  <si>
    <t>Radnica NMP 2 I. etapa - schodolez</t>
  </si>
  <si>
    <t>Rekonštrukcia Špitálska ul.</t>
  </si>
  <si>
    <t>Rekonštrukcia Špitálska ul. - stavebný dozor</t>
  </si>
  <si>
    <t>Regenerácia vnútrobloku sídlisko Západ v Levoči</t>
  </si>
  <si>
    <t>Podnikateľska činnosť</t>
  </si>
  <si>
    <t>NMP 2 Radnica otvorená komunitám</t>
  </si>
  <si>
    <t>Príjem - úemný plán</t>
  </si>
  <si>
    <t>Prevod rezervný fond</t>
  </si>
  <si>
    <t>Prevod - krátkodobé úvery</t>
  </si>
  <si>
    <t xml:space="preserve">Prevod - dlhodobé úvery </t>
  </si>
  <si>
    <t>služobné auto</t>
  </si>
  <si>
    <t>Rek.chodníka Gerlachovská ul.</t>
  </si>
  <si>
    <t>Rek. ul. M.R. Štefánika - chodník</t>
  </si>
  <si>
    <t>Rek. ul. Za sédriou - chodník</t>
  </si>
  <si>
    <t>Dlhodobé úvery rok 2022</t>
  </si>
  <si>
    <t>Revitalizácia amfiteátra v Levoči PD</t>
  </si>
  <si>
    <t>Časť 1.1. Bežný rozpočet</t>
  </si>
  <si>
    <t>Časť 1.1.1. Príjmy bežného rozpočtu</t>
  </si>
  <si>
    <t>Časť 1.2. Výdavky bežného rozpočtu</t>
  </si>
  <si>
    <t>Časť 1.2. Kapitálový rozpočet</t>
  </si>
  <si>
    <t>Časť 1.2.1. Príjmy kapitálového rozpočtu</t>
  </si>
  <si>
    <t>Časť 2. Finančné operácie</t>
  </si>
  <si>
    <t>Časť 2.1. Príjmové finančné operácie</t>
  </si>
  <si>
    <t>el. rozvody ŠJ ZŠ G. Haina</t>
  </si>
  <si>
    <t>Výstavba stojísk zberných nádob</t>
  </si>
  <si>
    <t>Rekonštrukcia Sirotinskej ul.</t>
  </si>
  <si>
    <t>Fotovoltické zariadenie - zimný štadión</t>
  </si>
  <si>
    <t>konvektomat - jedáleň pre dôchodcov</t>
  </si>
  <si>
    <t>Rekonštrukcia cesty - Predmestie</t>
  </si>
  <si>
    <t>úver z Environmentálneho fondu</t>
  </si>
  <si>
    <t>Dotácia - Ukrajina</t>
  </si>
  <si>
    <t>Oprava asfaltového povrchu NMP</t>
  </si>
  <si>
    <t>Terénne úpravy a dopadové plochy sídl. Hrad</t>
  </si>
  <si>
    <t xml:space="preserve">Námestie Štefana Kluberta č.6 </t>
  </si>
  <si>
    <t>Dom meštiansky na NMP č.28 PD</t>
  </si>
  <si>
    <t xml:space="preserve">Reštaurátorské práce radnica v Levoči </t>
  </si>
  <si>
    <t>Dom meštiansky, NMP č.43</t>
  </si>
  <si>
    <t>Príspevok pre TS - futbalový štadión</t>
  </si>
  <si>
    <t>Príspevok pre MsKS</t>
  </si>
  <si>
    <t>NMP 2 Radnica - interaktívna appka</t>
  </si>
  <si>
    <t>NMP 2 Radnica -technické vybavenie</t>
  </si>
  <si>
    <t>Dotácia - cirkev</t>
  </si>
  <si>
    <t>energie ŠR</t>
  </si>
  <si>
    <t>školy - projekty</t>
  </si>
  <si>
    <t>školy - potraviny</t>
  </si>
  <si>
    <t>referendum</t>
  </si>
  <si>
    <t>610</t>
  </si>
  <si>
    <t>620</t>
  </si>
  <si>
    <t>ukrajina - ubytovanie</t>
  </si>
  <si>
    <t>úver - refinancovanie</t>
  </si>
  <si>
    <t>Radnica</t>
  </si>
  <si>
    <t>Zlepšenie kľúčových kompetencií</t>
  </si>
  <si>
    <t>Stojiská</t>
  </si>
  <si>
    <t>MŠ Predmestie - vybavenie ŠJ</t>
  </si>
  <si>
    <t>VO Staničná ulica</t>
  </si>
  <si>
    <t>oporný múr - ul. Za Sedriou</t>
  </si>
  <si>
    <t>voľby</t>
  </si>
  <si>
    <t>Žabia cesta</t>
  </si>
  <si>
    <t xml:space="preserve">Centrum pre podporu reg. </t>
  </si>
  <si>
    <t>Odvodnenie spevnených plôch sídliska Západ</t>
  </si>
  <si>
    <t>Čerpanie rozpočtu 2022</t>
  </si>
  <si>
    <t>Základné školy</t>
  </si>
  <si>
    <t>MŠ G. Haina -  Športuj v záhrade</t>
  </si>
  <si>
    <t>Kapitálové granty a transfery</t>
  </si>
  <si>
    <t>ZŠ G. Haina - kotolňa</t>
  </si>
  <si>
    <t>gospel</t>
  </si>
  <si>
    <t>jasle</t>
  </si>
  <si>
    <t>dotácia plyn</t>
  </si>
  <si>
    <t>inflacia</t>
  </si>
  <si>
    <t>príspevok pri narodní</t>
  </si>
  <si>
    <t>prim</t>
  </si>
  <si>
    <t>efekt. Ver.sprava</t>
  </si>
  <si>
    <t>PVŠS</t>
  </si>
  <si>
    <t>Výstavba detského ihriska</t>
  </si>
  <si>
    <t>Autobusová stanica</t>
  </si>
  <si>
    <t>Manažment údajov verejnej správy</t>
  </si>
  <si>
    <t>Pomôcky</t>
  </si>
  <si>
    <t>školy - projekty mesto</t>
  </si>
  <si>
    <t>Upravený rozpočet 2023</t>
  </si>
  <si>
    <t>čerpanie rozpočtu 2023</t>
  </si>
  <si>
    <t>plnenie %</t>
  </si>
  <si>
    <t>Schválený rozpočet 2023</t>
  </si>
  <si>
    <t>Plnenie %</t>
  </si>
  <si>
    <t>Dobrovoľná požiarna</t>
  </si>
  <si>
    <t>vrátky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</si>
</sst>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"/>
    <numFmt numFmtId="181" formatCode="0.0"/>
    <numFmt numFmtId="182" formatCode="0.000000"/>
    <numFmt numFmtId="183" formatCode="#,##0\ _S_k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#,##0.000"/>
    <numFmt numFmtId="188" formatCode="0.000"/>
    <numFmt numFmtId="189" formatCode="0.0000"/>
    <numFmt numFmtId="190" formatCode="0.00000"/>
    <numFmt numFmtId="191" formatCode="0.0000000"/>
    <numFmt numFmtId="192" formatCode="0.00000000"/>
    <numFmt numFmtId="193" formatCode="0.000000000"/>
    <numFmt numFmtId="194" formatCode="0.0000000000"/>
    <numFmt numFmtId="195" formatCode="#,##0.0000"/>
    <numFmt numFmtId="196" formatCode="\P\r\a\vd\a;&quot;Pravda&quot;;&quot;Nepravda&quot;"/>
    <numFmt numFmtId="197" formatCode="[$€-2]\ #\ ##,000_);[Red]\([$¥€-2]\ #\ ##,000\)"/>
    <numFmt numFmtId="198" formatCode="#,##0.00000"/>
    <numFmt numFmtId="199" formatCode="#,##0.000000"/>
    <numFmt numFmtId="200" formatCode="[$€-2]\ #\ ##,000_);[Red]\([$€-2]\ #\ ##,000\)"/>
    <numFmt numFmtId="201" formatCode="00"/>
  </numFmts>
  <fonts count="6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8.8"/>
      <color indexed="12"/>
      <name val="Arial"/>
      <family val="2"/>
    </font>
    <font>
      <u val="single"/>
      <sz val="8.8"/>
      <color indexed="36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sz val="10"/>
      <color indexed="10"/>
      <name val="Arial"/>
      <family val="2"/>
    </font>
    <font>
      <b/>
      <sz val="9"/>
      <name val="Arial CE"/>
      <family val="2"/>
    </font>
    <font>
      <b/>
      <sz val="11"/>
      <color indexed="8"/>
      <name val="Arial CE"/>
      <family val="2"/>
    </font>
    <font>
      <sz val="10"/>
      <color indexed="8"/>
      <name val="Arial CE"/>
      <family val="2"/>
    </font>
    <font>
      <b/>
      <sz val="11"/>
      <color indexed="8"/>
      <name val="Arial"/>
      <family val="2"/>
    </font>
    <font>
      <b/>
      <sz val="12"/>
      <color indexed="8"/>
      <name val="Arial CE"/>
      <family val="2"/>
    </font>
    <font>
      <sz val="11"/>
      <name val="Arial CE"/>
      <family val="0"/>
    </font>
    <font>
      <sz val="10"/>
      <color indexed="10"/>
      <name val="Arial CE"/>
      <family val="0"/>
    </font>
    <font>
      <b/>
      <sz val="12"/>
      <name val="Arial"/>
      <family val="2"/>
    </font>
    <font>
      <sz val="12"/>
      <name val="Courier"/>
      <family val="1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63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color rgb="FF555555"/>
      <name val="Arial"/>
      <family val="2"/>
    </font>
    <font>
      <sz val="10"/>
      <color rgb="FFFF0000"/>
      <name val="Arial CE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/>
      <bottom style="medium"/>
    </border>
    <border>
      <left style="medium"/>
      <right style="medium"/>
      <top style="double"/>
      <bottom style="medium"/>
    </border>
    <border>
      <left style="double"/>
      <right/>
      <top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hair"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hair"/>
      <bottom/>
    </border>
    <border>
      <left style="double"/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double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/>
    </border>
    <border>
      <left style="medium"/>
      <right/>
      <top style="hair"/>
      <bottom style="medium"/>
    </border>
    <border>
      <left/>
      <right/>
      <top style="medium"/>
      <bottom style="medium"/>
    </border>
    <border>
      <left style="medium"/>
      <right/>
      <top style="medium"/>
      <bottom style="hair"/>
    </border>
    <border>
      <left style="medium"/>
      <right style="double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uble"/>
      <bottom style="double"/>
    </border>
    <border>
      <left style="double"/>
      <right style="thin"/>
      <top/>
      <bottom style="medium"/>
    </border>
    <border>
      <left style="double"/>
      <right style="thin"/>
      <top style="medium"/>
      <bottom style="medium"/>
    </border>
    <border>
      <left style="double"/>
      <right/>
      <top style="medium"/>
      <bottom style="medium"/>
    </border>
    <border>
      <left style="medium"/>
      <right style="double"/>
      <top style="hair"/>
      <bottom style="hair"/>
    </border>
    <border>
      <left style="medium"/>
      <right style="double"/>
      <top/>
      <bottom style="hair"/>
    </border>
    <border>
      <left style="double"/>
      <right style="thin"/>
      <top style="double"/>
      <bottom style="double"/>
    </border>
    <border>
      <left style="medium"/>
      <right/>
      <top style="double"/>
      <bottom style="double"/>
    </border>
    <border>
      <left/>
      <right style="medium"/>
      <top style="hair"/>
      <bottom style="hair"/>
    </border>
    <border>
      <left/>
      <right style="medium"/>
      <top style="medium"/>
      <bottom style="hair"/>
    </border>
    <border>
      <left/>
      <right style="medium"/>
      <top style="hair"/>
      <bottom style="medium"/>
    </border>
    <border>
      <left style="medium"/>
      <right style="medium"/>
      <top style="thin"/>
      <bottom style="thin"/>
    </border>
    <border>
      <left style="double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/>
    </border>
    <border>
      <left/>
      <right/>
      <top style="medium"/>
      <bottom style="hair"/>
    </border>
    <border>
      <left style="medium"/>
      <right style="medium"/>
      <top style="hair"/>
      <bottom style="double"/>
    </border>
    <border>
      <left/>
      <right style="medium"/>
      <top style="hair"/>
      <bottom style="double"/>
    </border>
    <border>
      <left style="medium"/>
      <right/>
      <top style="hair"/>
      <bottom style="double"/>
    </border>
    <border>
      <left style="double"/>
      <right style="medium"/>
      <top style="double"/>
      <bottom style="double"/>
    </border>
    <border>
      <left/>
      <right style="medium"/>
      <top style="double"/>
      <bottom style="double"/>
    </border>
    <border>
      <left style="double"/>
      <right style="medium"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hair"/>
      <bottom/>
    </border>
    <border>
      <left style="double"/>
      <right style="medium"/>
      <top style="double"/>
      <bottom style="hair"/>
    </border>
    <border>
      <left style="medium"/>
      <right style="medium"/>
      <top style="double"/>
      <bottom style="hair"/>
    </border>
    <border>
      <left style="double"/>
      <right style="medium"/>
      <top style="hair"/>
      <bottom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double"/>
      <top style="double"/>
      <bottom style="double"/>
    </border>
    <border>
      <left/>
      <right>
        <color indexed="63"/>
      </right>
      <top style="double"/>
      <bottom style="double"/>
    </border>
    <border>
      <left/>
      <right/>
      <top/>
      <bottom style="double"/>
    </border>
    <border>
      <left style="medium"/>
      <right style="double"/>
      <top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hair"/>
      <bottom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 style="hair"/>
      <bottom style="medium"/>
    </border>
    <border>
      <left style="medium"/>
      <right style="double"/>
      <top style="medium"/>
      <bottom style="hair"/>
    </border>
    <border>
      <left style="medium"/>
      <right style="double"/>
      <top style="double"/>
      <bottom style="hair"/>
    </border>
    <border>
      <left style="medium"/>
      <right style="double"/>
      <top style="medium"/>
      <bottom style="double"/>
    </border>
    <border>
      <left style="medium"/>
      <right style="medium"/>
      <top style="double"/>
      <bottom/>
    </border>
    <border>
      <left style="medium"/>
      <right style="medium"/>
      <top/>
      <bottom style="double"/>
    </border>
    <border>
      <left style="double"/>
      <right/>
      <top style="medium"/>
      <bottom/>
    </border>
    <border>
      <left style="double"/>
      <right style="medium"/>
      <top style="double"/>
      <bottom/>
    </border>
    <border>
      <left style="double"/>
      <right style="medium"/>
      <top/>
      <bottom style="double"/>
    </border>
    <border>
      <left style="medium"/>
      <right>
        <color indexed="63"/>
      </right>
      <top style="double"/>
      <bottom/>
    </border>
    <border>
      <left style="medium"/>
      <right>
        <color indexed="63"/>
      </right>
      <top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/>
      <right style="medium"/>
      <top style="double"/>
      <bottom/>
    </border>
    <border>
      <left>
        <color indexed="63"/>
      </left>
      <right style="medium"/>
      <top>
        <color indexed="63"/>
      </top>
      <bottom style="double"/>
    </border>
    <border>
      <left/>
      <right/>
      <top style="double"/>
      <bottom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/>
      <right style="double"/>
      <top style="double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6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44" fillId="0" borderId="0">
      <alignment/>
      <protection/>
    </xf>
    <xf numFmtId="0" fontId="21" fillId="0" borderId="0">
      <alignment/>
      <protection/>
    </xf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3" borderId="8" applyNumberFormat="0" applyAlignment="0" applyProtection="0"/>
    <xf numFmtId="0" fontId="57" fillId="24" borderId="8" applyNumberFormat="0" applyAlignment="0" applyProtection="0"/>
    <xf numFmtId="0" fontId="58" fillId="24" borderId="9" applyNumberFormat="0" applyAlignment="0" applyProtection="0"/>
    <xf numFmtId="0" fontId="59" fillId="0" borderId="0" applyNumberFormat="0" applyFill="0" applyBorder="0" applyAlignment="0" applyProtection="0"/>
    <xf numFmtId="0" fontId="60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</cellStyleXfs>
  <cellXfs count="861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10" xfId="0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3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10" fillId="0" borderId="2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0" fontId="9" fillId="0" borderId="27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7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/>
    </xf>
    <xf numFmtId="3" fontId="10" fillId="0" borderId="32" xfId="0" applyNumberFormat="1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0" fontId="10" fillId="0" borderId="19" xfId="0" applyFont="1" applyFill="1" applyBorder="1" applyAlignment="1">
      <alignment horizontal="center"/>
    </xf>
    <xf numFmtId="0" fontId="10" fillId="0" borderId="25" xfId="0" applyFont="1" applyFill="1" applyBorder="1" applyAlignment="1">
      <alignment/>
    </xf>
    <xf numFmtId="0" fontId="10" fillId="0" borderId="33" xfId="0" applyFont="1" applyFill="1" applyBorder="1" applyAlignment="1">
      <alignment/>
    </xf>
    <xf numFmtId="3" fontId="10" fillId="0" borderId="34" xfId="0" applyNumberFormat="1" applyFont="1" applyFill="1" applyBorder="1" applyAlignment="1">
      <alignment/>
    </xf>
    <xf numFmtId="0" fontId="8" fillId="0" borderId="27" xfId="0" applyFont="1" applyFill="1" applyBorder="1" applyAlignment="1">
      <alignment horizontal="center"/>
    </xf>
    <xf numFmtId="3" fontId="8" fillId="0" borderId="31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3" fontId="9" fillId="0" borderId="31" xfId="0" applyNumberFormat="1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10" fillId="0" borderId="36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3" fontId="10" fillId="0" borderId="21" xfId="0" applyNumberFormat="1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3" fontId="7" fillId="0" borderId="31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37" xfId="0" applyNumberFormat="1" applyFont="1" applyFill="1" applyBorder="1" applyAlignment="1">
      <alignment/>
    </xf>
    <xf numFmtId="0" fontId="10" fillId="0" borderId="38" xfId="0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10" fillId="0" borderId="21" xfId="0" applyFont="1" applyFill="1" applyBorder="1" applyAlignment="1">
      <alignment/>
    </xf>
    <xf numFmtId="4" fontId="10" fillId="0" borderId="21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3" fontId="10" fillId="0" borderId="39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39" xfId="0" applyNumberFormat="1" applyFont="1" applyFill="1" applyBorder="1" applyAlignment="1">
      <alignment/>
    </xf>
    <xf numFmtId="0" fontId="10" fillId="0" borderId="36" xfId="0" applyFont="1" applyFill="1" applyBorder="1" applyAlignment="1">
      <alignment/>
    </xf>
    <xf numFmtId="3" fontId="10" fillId="0" borderId="32" xfId="0" applyNumberFormat="1" applyFont="1" applyFill="1" applyBorder="1" applyAlignment="1">
      <alignment/>
    </xf>
    <xf numFmtId="0" fontId="10" fillId="0" borderId="22" xfId="0" applyFont="1" applyFill="1" applyBorder="1" applyAlignment="1">
      <alignment/>
    </xf>
    <xf numFmtId="3" fontId="10" fillId="0" borderId="21" xfId="0" applyNumberFormat="1" applyFont="1" applyFill="1" applyBorder="1" applyAlignment="1">
      <alignment/>
    </xf>
    <xf numFmtId="0" fontId="10" fillId="0" borderId="24" xfId="0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10" fillId="0" borderId="36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10" fillId="0" borderId="40" xfId="0" applyFont="1" applyFill="1" applyBorder="1" applyAlignment="1">
      <alignment/>
    </xf>
    <xf numFmtId="3" fontId="10" fillId="0" borderId="31" xfId="0" applyNumberFormat="1" applyFont="1" applyFill="1" applyBorder="1" applyAlignment="1">
      <alignment/>
    </xf>
    <xf numFmtId="3" fontId="8" fillId="0" borderId="41" xfId="0" applyNumberFormat="1" applyFont="1" applyFill="1" applyBorder="1" applyAlignment="1">
      <alignment/>
    </xf>
    <xf numFmtId="0" fontId="8" fillId="0" borderId="42" xfId="0" applyFont="1" applyFill="1" applyBorder="1" applyAlignment="1">
      <alignment/>
    </xf>
    <xf numFmtId="3" fontId="8" fillId="0" borderId="19" xfId="0" applyNumberFormat="1" applyFont="1" applyFill="1" applyBorder="1" applyAlignment="1">
      <alignment horizontal="right"/>
    </xf>
    <xf numFmtId="0" fontId="9" fillId="0" borderId="43" xfId="0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7" fillId="0" borderId="40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4" fontId="10" fillId="0" borderId="23" xfId="0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4" fontId="10" fillId="0" borderId="38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0" fontId="10" fillId="0" borderId="25" xfId="0" applyFont="1" applyFill="1" applyBorder="1" applyAlignment="1">
      <alignment horizontal="left"/>
    </xf>
    <xf numFmtId="0" fontId="8" fillId="0" borderId="44" xfId="0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/>
    </xf>
    <xf numFmtId="3" fontId="9" fillId="0" borderId="40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10" fillId="0" borderId="32" xfId="0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4" fontId="10" fillId="0" borderId="24" xfId="0" applyNumberFormat="1" applyFont="1" applyFill="1" applyBorder="1" applyAlignment="1">
      <alignment/>
    </xf>
    <xf numFmtId="4" fontId="10" fillId="0" borderId="45" xfId="0" applyNumberFormat="1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3" fontId="9" fillId="0" borderId="35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 horizontal="right"/>
    </xf>
    <xf numFmtId="4" fontId="7" fillId="0" borderId="16" xfId="0" applyNumberFormat="1" applyFont="1" applyFill="1" applyBorder="1" applyAlignment="1">
      <alignment/>
    </xf>
    <xf numFmtId="4" fontId="7" fillId="0" borderId="37" xfId="0" applyNumberFormat="1" applyFont="1" applyFill="1" applyBorder="1" applyAlignment="1">
      <alignment/>
    </xf>
    <xf numFmtId="3" fontId="10" fillId="0" borderId="36" xfId="0" applyNumberFormat="1" applyFont="1" applyFill="1" applyBorder="1" applyAlignment="1">
      <alignment/>
    </xf>
    <xf numFmtId="4" fontId="10" fillId="0" borderId="46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8" fillId="0" borderId="47" xfId="0" applyFont="1" applyFill="1" applyBorder="1" applyAlignment="1">
      <alignment/>
    </xf>
    <xf numFmtId="0" fontId="8" fillId="0" borderId="48" xfId="0" applyFont="1" applyFill="1" applyBorder="1" applyAlignment="1">
      <alignment horizontal="center"/>
    </xf>
    <xf numFmtId="0" fontId="8" fillId="0" borderId="41" xfId="0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0" fontId="7" fillId="0" borderId="32" xfId="0" applyFont="1" applyFill="1" applyBorder="1" applyAlignment="1">
      <alignment/>
    </xf>
    <xf numFmtId="4" fontId="10" fillId="0" borderId="32" xfId="0" applyNumberFormat="1" applyFont="1" applyFill="1" applyBorder="1" applyAlignment="1">
      <alignment/>
    </xf>
    <xf numFmtId="0" fontId="7" fillId="0" borderId="25" xfId="0" applyFont="1" applyFill="1" applyBorder="1" applyAlignment="1">
      <alignment/>
    </xf>
    <xf numFmtId="3" fontId="10" fillId="0" borderId="25" xfId="0" applyNumberFormat="1" applyFont="1" applyFill="1" applyBorder="1" applyAlignment="1">
      <alignment horizontal="right"/>
    </xf>
    <xf numFmtId="4" fontId="10" fillId="0" borderId="25" xfId="0" applyNumberFormat="1" applyFont="1" applyFill="1" applyBorder="1" applyAlignment="1">
      <alignment horizontal="right"/>
    </xf>
    <xf numFmtId="4" fontId="7" fillId="0" borderId="15" xfId="0" applyNumberFormat="1" applyFont="1" applyFill="1" applyBorder="1" applyAlignment="1">
      <alignment/>
    </xf>
    <xf numFmtId="0" fontId="10" fillId="0" borderId="36" xfId="0" applyFont="1" applyFill="1" applyBorder="1" applyAlignment="1">
      <alignment/>
    </xf>
    <xf numFmtId="3" fontId="10" fillId="0" borderId="36" xfId="0" applyNumberFormat="1" applyFont="1" applyFill="1" applyBorder="1" applyAlignment="1">
      <alignment/>
    </xf>
    <xf numFmtId="3" fontId="10" fillId="0" borderId="32" xfId="0" applyNumberFormat="1" applyFont="1" applyFill="1" applyBorder="1" applyAlignment="1">
      <alignment horizontal="right"/>
    </xf>
    <xf numFmtId="4" fontId="10" fillId="0" borderId="32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3" fontId="10" fillId="0" borderId="21" xfId="0" applyNumberFormat="1" applyFont="1" applyFill="1" applyBorder="1" applyAlignment="1">
      <alignment horizontal="right"/>
    </xf>
    <xf numFmtId="4" fontId="10" fillId="0" borderId="21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3" fontId="7" fillId="0" borderId="41" xfId="0" applyNumberFormat="1" applyFont="1" applyFill="1" applyBorder="1" applyAlignment="1">
      <alignment/>
    </xf>
    <xf numFmtId="4" fontId="7" fillId="0" borderId="41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16" fontId="7" fillId="0" borderId="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0" fontId="0" fillId="0" borderId="32" xfId="0" applyFill="1" applyBorder="1" applyAlignment="1">
      <alignment/>
    </xf>
    <xf numFmtId="3" fontId="0" fillId="0" borderId="32" xfId="0" applyNumberFormat="1" applyFill="1" applyBorder="1" applyAlignment="1">
      <alignment/>
    </xf>
    <xf numFmtId="3" fontId="0" fillId="0" borderId="32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 horizontal="right"/>
    </xf>
    <xf numFmtId="0" fontId="0" fillId="0" borderId="21" xfId="0" applyFill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0" fontId="0" fillId="0" borderId="23" xfId="0" applyFill="1" applyBorder="1" applyAlignment="1">
      <alignment/>
    </xf>
    <xf numFmtId="0" fontId="12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4" fontId="0" fillId="0" borderId="23" xfId="0" applyNumberFormat="1" applyFill="1" applyBorder="1" applyAlignment="1">
      <alignment/>
    </xf>
    <xf numFmtId="0" fontId="0" fillId="0" borderId="33" xfId="0" applyFill="1" applyBorder="1" applyAlignment="1">
      <alignment/>
    </xf>
    <xf numFmtId="3" fontId="0" fillId="0" borderId="33" xfId="0" applyNumberFormat="1" applyFill="1" applyBorder="1" applyAlignment="1">
      <alignment/>
    </xf>
    <xf numFmtId="4" fontId="0" fillId="0" borderId="33" xfId="0" applyNumberFormat="1" applyFill="1" applyBorder="1" applyAlignment="1">
      <alignment/>
    </xf>
    <xf numFmtId="0" fontId="10" fillId="0" borderId="32" xfId="0" applyFont="1" applyFill="1" applyBorder="1" applyAlignment="1">
      <alignment horizontal="center"/>
    </xf>
    <xf numFmtId="4" fontId="10" fillId="0" borderId="36" xfId="0" applyNumberFormat="1" applyFont="1" applyFill="1" applyBorder="1" applyAlignment="1">
      <alignment/>
    </xf>
    <xf numFmtId="0" fontId="10" fillId="0" borderId="23" xfId="0" applyFont="1" applyFill="1" applyBorder="1" applyAlignment="1">
      <alignment horizontal="center"/>
    </xf>
    <xf numFmtId="4" fontId="10" fillId="0" borderId="24" xfId="0" applyNumberFormat="1" applyFont="1" applyFill="1" applyBorder="1" applyAlignment="1">
      <alignment/>
    </xf>
    <xf numFmtId="3" fontId="10" fillId="0" borderId="49" xfId="0" applyNumberFormat="1" applyFont="1" applyFill="1" applyBorder="1" applyAlignment="1">
      <alignment/>
    </xf>
    <xf numFmtId="4" fontId="10" fillId="0" borderId="49" xfId="0" applyNumberFormat="1" applyFont="1" applyFill="1" applyBorder="1" applyAlignment="1">
      <alignment/>
    </xf>
    <xf numFmtId="0" fontId="10" fillId="0" borderId="29" xfId="0" applyFont="1" applyFill="1" applyBorder="1" applyAlignment="1">
      <alignment/>
    </xf>
    <xf numFmtId="4" fontId="10" fillId="0" borderId="29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49" fontId="9" fillId="0" borderId="27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/>
    </xf>
    <xf numFmtId="0" fontId="10" fillId="0" borderId="50" xfId="0" applyNumberFormat="1" applyFont="1" applyFill="1" applyBorder="1" applyAlignment="1">
      <alignment horizontal="center"/>
    </xf>
    <xf numFmtId="3" fontId="10" fillId="0" borderId="32" xfId="0" applyNumberFormat="1" applyFont="1" applyFill="1" applyBorder="1" applyAlignment="1">
      <alignment horizontal="right"/>
    </xf>
    <xf numFmtId="4" fontId="10" fillId="0" borderId="36" xfId="0" applyNumberFormat="1" applyFont="1" applyFill="1" applyBorder="1" applyAlignment="1">
      <alignment/>
    </xf>
    <xf numFmtId="0" fontId="10" fillId="0" borderId="49" xfId="0" applyNumberFormat="1" applyFont="1" applyFill="1" applyBorder="1" applyAlignment="1">
      <alignment horizontal="center"/>
    </xf>
    <xf numFmtId="3" fontId="10" fillId="0" borderId="23" xfId="0" applyNumberFormat="1" applyFont="1" applyFill="1" applyBorder="1" applyAlignment="1">
      <alignment horizontal="right"/>
    </xf>
    <xf numFmtId="0" fontId="10" fillId="0" borderId="51" xfId="0" applyNumberFormat="1" applyFont="1" applyFill="1" applyBorder="1" applyAlignment="1">
      <alignment horizontal="center"/>
    </xf>
    <xf numFmtId="0" fontId="10" fillId="0" borderId="51" xfId="0" applyFont="1" applyFill="1" applyBorder="1" applyAlignment="1">
      <alignment/>
    </xf>
    <xf numFmtId="3" fontId="10" fillId="0" borderId="51" xfId="0" applyNumberFormat="1" applyFont="1" applyFill="1" applyBorder="1" applyAlignment="1">
      <alignment horizontal="right"/>
    </xf>
    <xf numFmtId="4" fontId="10" fillId="0" borderId="26" xfId="0" applyNumberFormat="1" applyFont="1" applyFill="1" applyBorder="1" applyAlignment="1">
      <alignment/>
    </xf>
    <xf numFmtId="0" fontId="10" fillId="0" borderId="50" xfId="0" applyFont="1" applyFill="1" applyBorder="1" applyAlignment="1">
      <alignment/>
    </xf>
    <xf numFmtId="3" fontId="10" fillId="0" borderId="50" xfId="0" applyNumberFormat="1" applyFont="1" applyFill="1" applyBorder="1" applyAlignment="1">
      <alignment horizontal="right"/>
    </xf>
    <xf numFmtId="0" fontId="10" fillId="0" borderId="49" xfId="0" applyFont="1" applyFill="1" applyBorder="1" applyAlignment="1">
      <alignment/>
    </xf>
    <xf numFmtId="3" fontId="10" fillId="0" borderId="49" xfId="0" applyNumberFormat="1" applyFont="1" applyFill="1" applyBorder="1" applyAlignment="1">
      <alignment horizontal="right"/>
    </xf>
    <xf numFmtId="3" fontId="10" fillId="0" borderId="29" xfId="0" applyNumberFormat="1" applyFont="1" applyFill="1" applyBorder="1" applyAlignment="1">
      <alignment horizontal="right"/>
    </xf>
    <xf numFmtId="0" fontId="10" fillId="0" borderId="50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3" fontId="10" fillId="0" borderId="29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 horizontal="right"/>
    </xf>
    <xf numFmtId="49" fontId="7" fillId="0" borderId="30" xfId="0" applyNumberFormat="1" applyFont="1" applyFill="1" applyBorder="1" applyAlignment="1">
      <alignment/>
    </xf>
    <xf numFmtId="0" fontId="10" fillId="0" borderId="29" xfId="0" applyNumberFormat="1" applyFont="1" applyFill="1" applyBorder="1" applyAlignment="1">
      <alignment horizontal="center"/>
    </xf>
    <xf numFmtId="0" fontId="10" fillId="0" borderId="52" xfId="0" applyFont="1" applyFill="1" applyBorder="1" applyAlignment="1">
      <alignment/>
    </xf>
    <xf numFmtId="3" fontId="10" fillId="0" borderId="14" xfId="0" applyNumberFormat="1" applyFont="1" applyFill="1" applyBorder="1" applyAlignment="1">
      <alignment horizontal="right"/>
    </xf>
    <xf numFmtId="0" fontId="10" fillId="0" borderId="53" xfId="0" applyFont="1" applyFill="1" applyBorder="1" applyAlignment="1">
      <alignment/>
    </xf>
    <xf numFmtId="0" fontId="10" fillId="0" borderId="54" xfId="0" applyFont="1" applyFill="1" applyBorder="1" applyAlignment="1">
      <alignment horizontal="center"/>
    </xf>
    <xf numFmtId="3" fontId="10" fillId="0" borderId="23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/>
    </xf>
    <xf numFmtId="0" fontId="10" fillId="0" borderId="55" xfId="0" applyFont="1" applyFill="1" applyBorder="1" applyAlignment="1">
      <alignment horizontal="center"/>
    </xf>
    <xf numFmtId="0" fontId="10" fillId="0" borderId="56" xfId="0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>
      <alignment/>
    </xf>
    <xf numFmtId="4" fontId="10" fillId="0" borderId="16" xfId="0" applyNumberFormat="1" applyFont="1" applyFill="1" applyBorder="1" applyAlignment="1">
      <alignment/>
    </xf>
    <xf numFmtId="14" fontId="9" fillId="0" borderId="27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10" fillId="0" borderId="30" xfId="0" applyFont="1" applyFill="1" applyBorder="1" applyAlignment="1">
      <alignment/>
    </xf>
    <xf numFmtId="0" fontId="10" fillId="0" borderId="29" xfId="0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/>
    </xf>
    <xf numFmtId="0" fontId="10" fillId="0" borderId="51" xfId="0" applyFont="1" applyFill="1" applyBorder="1" applyAlignment="1">
      <alignment horizontal="center"/>
    </xf>
    <xf numFmtId="4" fontId="10" fillId="0" borderId="33" xfId="0" applyNumberFormat="1" applyFont="1" applyFill="1" applyBorder="1" applyAlignment="1">
      <alignment/>
    </xf>
    <xf numFmtId="4" fontId="10" fillId="0" borderId="34" xfId="0" applyNumberFormat="1" applyFont="1" applyFill="1" applyBorder="1" applyAlignment="1">
      <alignment/>
    </xf>
    <xf numFmtId="0" fontId="10" fillId="0" borderId="50" xfId="0" applyFont="1" applyFill="1" applyBorder="1" applyAlignment="1">
      <alignment horizontal="left"/>
    </xf>
    <xf numFmtId="3" fontId="10" fillId="0" borderId="50" xfId="0" applyNumberFormat="1" applyFont="1" applyFill="1" applyBorder="1" applyAlignment="1">
      <alignment horizontal="right"/>
    </xf>
    <xf numFmtId="0" fontId="10" fillId="0" borderId="50" xfId="0" applyFont="1" applyFill="1" applyBorder="1" applyAlignment="1">
      <alignment horizontal="right"/>
    </xf>
    <xf numFmtId="0" fontId="10" fillId="0" borderId="57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left"/>
    </xf>
    <xf numFmtId="3" fontId="10" fillId="0" borderId="57" xfId="0" applyNumberFormat="1" applyFont="1" applyFill="1" applyBorder="1" applyAlignment="1">
      <alignment horizontal="right"/>
    </xf>
    <xf numFmtId="0" fontId="10" fillId="0" borderId="57" xfId="0" applyFont="1" applyFill="1" applyBorder="1" applyAlignment="1">
      <alignment horizontal="right"/>
    </xf>
    <xf numFmtId="0" fontId="10" fillId="0" borderId="18" xfId="0" applyFont="1" applyFill="1" applyBorder="1" applyAlignment="1">
      <alignment/>
    </xf>
    <xf numFmtId="3" fontId="10" fillId="0" borderId="18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4" fontId="10" fillId="0" borderId="39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58" xfId="0" applyFont="1" applyFill="1" applyBorder="1" applyAlignment="1">
      <alignment horizontal="left"/>
    </xf>
    <xf numFmtId="3" fontId="9" fillId="0" borderId="18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right"/>
    </xf>
    <xf numFmtId="0" fontId="10" fillId="0" borderId="57" xfId="0" applyNumberFormat="1" applyFont="1" applyFill="1" applyBorder="1" applyAlignment="1">
      <alignment horizontal="center"/>
    </xf>
    <xf numFmtId="0" fontId="10" fillId="0" borderId="18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3" fontId="10" fillId="0" borderId="34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right"/>
    </xf>
    <xf numFmtId="49" fontId="10" fillId="0" borderId="50" xfId="0" applyNumberFormat="1" applyFont="1" applyFill="1" applyBorder="1" applyAlignment="1">
      <alignment horizontal="center"/>
    </xf>
    <xf numFmtId="49" fontId="10" fillId="0" borderId="49" xfId="0" applyNumberFormat="1" applyFont="1" applyFill="1" applyBorder="1" applyAlignment="1">
      <alignment horizontal="center"/>
    </xf>
    <xf numFmtId="49" fontId="10" fillId="0" borderId="50" xfId="0" applyNumberFormat="1" applyFont="1" applyFill="1" applyBorder="1" applyAlignment="1">
      <alignment horizontal="left"/>
    </xf>
    <xf numFmtId="3" fontId="10" fillId="0" borderId="50" xfId="0" applyNumberFormat="1" applyFont="1" applyFill="1" applyBorder="1" applyAlignment="1">
      <alignment horizontal="left"/>
    </xf>
    <xf numFmtId="49" fontId="10" fillId="0" borderId="50" xfId="0" applyNumberFormat="1" applyFont="1" applyFill="1" applyBorder="1" applyAlignment="1">
      <alignment horizontal="right"/>
    </xf>
    <xf numFmtId="49" fontId="10" fillId="0" borderId="49" xfId="0" applyNumberFormat="1" applyFont="1" applyFill="1" applyBorder="1" applyAlignment="1">
      <alignment horizontal="left"/>
    </xf>
    <xf numFmtId="3" fontId="10" fillId="0" borderId="49" xfId="0" applyNumberFormat="1" applyFont="1" applyFill="1" applyBorder="1" applyAlignment="1">
      <alignment horizontal="left"/>
    </xf>
    <xf numFmtId="49" fontId="10" fillId="0" borderId="49" xfId="0" applyNumberFormat="1" applyFont="1" applyFill="1" applyBorder="1" applyAlignment="1">
      <alignment horizontal="right"/>
    </xf>
    <xf numFmtId="3" fontId="10" fillId="0" borderId="59" xfId="0" applyNumberFormat="1" applyFont="1" applyFill="1" applyBorder="1" applyAlignment="1">
      <alignment horizontal="right"/>
    </xf>
    <xf numFmtId="49" fontId="10" fillId="0" borderId="25" xfId="0" applyNumberFormat="1" applyFont="1" applyFill="1" applyBorder="1" applyAlignment="1">
      <alignment/>
    </xf>
    <xf numFmtId="49" fontId="10" fillId="0" borderId="25" xfId="0" applyNumberFormat="1" applyFont="1" applyFill="1" applyBorder="1" applyAlignment="1">
      <alignment horizontal="right"/>
    </xf>
    <xf numFmtId="3" fontId="10" fillId="0" borderId="6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left"/>
    </xf>
    <xf numFmtId="0" fontId="7" fillId="0" borderId="18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49" fontId="10" fillId="0" borderId="18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49" fontId="10" fillId="0" borderId="18" xfId="0" applyNumberFormat="1" applyFont="1" applyFill="1" applyBorder="1" applyAlignment="1">
      <alignment horizontal="right"/>
    </xf>
    <xf numFmtId="0" fontId="10" fillId="0" borderId="51" xfId="0" applyFont="1" applyFill="1" applyBorder="1" applyAlignment="1">
      <alignment/>
    </xf>
    <xf numFmtId="3" fontId="10" fillId="0" borderId="51" xfId="0" applyNumberFormat="1" applyFont="1" applyFill="1" applyBorder="1" applyAlignment="1">
      <alignment horizontal="right"/>
    </xf>
    <xf numFmtId="3" fontId="10" fillId="0" borderId="51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49" fontId="9" fillId="0" borderId="15" xfId="0" applyNumberFormat="1" applyFont="1" applyFill="1" applyBorder="1" applyAlignment="1">
      <alignment/>
    </xf>
    <xf numFmtId="3" fontId="9" fillId="0" borderId="50" xfId="0" applyNumberFormat="1" applyFont="1" applyFill="1" applyBorder="1" applyAlignment="1">
      <alignment horizontal="right"/>
    </xf>
    <xf numFmtId="3" fontId="9" fillId="0" borderId="32" xfId="0" applyNumberFormat="1" applyFont="1" applyFill="1" applyBorder="1" applyAlignment="1">
      <alignment/>
    </xf>
    <xf numFmtId="3" fontId="9" fillId="0" borderId="57" xfId="0" applyNumberFormat="1" applyFont="1" applyFill="1" applyBorder="1" applyAlignment="1">
      <alignment horizontal="right"/>
    </xf>
    <xf numFmtId="3" fontId="9" fillId="0" borderId="21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0" fontId="10" fillId="0" borderId="57" xfId="0" applyFont="1" applyFill="1" applyBorder="1" applyAlignment="1">
      <alignment horizontal="center"/>
    </xf>
    <xf numFmtId="0" fontId="10" fillId="0" borderId="61" xfId="0" applyFont="1" applyFill="1" applyBorder="1" applyAlignment="1">
      <alignment horizontal="center"/>
    </xf>
    <xf numFmtId="0" fontId="10" fillId="0" borderId="27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49" fontId="7" fillId="0" borderId="62" xfId="0" applyNumberFormat="1" applyFont="1" applyFill="1" applyBorder="1" applyAlignment="1">
      <alignment horizontal="center"/>
    </xf>
    <xf numFmtId="49" fontId="7" fillId="0" borderId="60" xfId="0" applyNumberFormat="1" applyFont="1" applyFill="1" applyBorder="1" applyAlignment="1">
      <alignment horizontal="center"/>
    </xf>
    <xf numFmtId="49" fontId="7" fillId="0" borderId="50" xfId="0" applyNumberFormat="1" applyFont="1" applyFill="1" applyBorder="1" applyAlignment="1">
      <alignment horizontal="center"/>
    </xf>
    <xf numFmtId="3" fontId="10" fillId="0" borderId="50" xfId="0" applyNumberFormat="1" applyFont="1" applyFill="1" applyBorder="1" applyAlignment="1">
      <alignment/>
    </xf>
    <xf numFmtId="49" fontId="7" fillId="0" borderId="57" xfId="0" applyNumberFormat="1" applyFont="1" applyFill="1" applyBorder="1" applyAlignment="1">
      <alignment horizontal="center"/>
    </xf>
    <xf numFmtId="3" fontId="10" fillId="0" borderId="57" xfId="0" applyNumberFormat="1" applyFont="1" applyFill="1" applyBorder="1" applyAlignment="1">
      <alignment/>
    </xf>
    <xf numFmtId="0" fontId="10" fillId="0" borderId="57" xfId="0" applyFont="1" applyFill="1" applyBorder="1" applyAlignment="1">
      <alignment/>
    </xf>
    <xf numFmtId="49" fontId="7" fillId="0" borderId="49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/>
    </xf>
    <xf numFmtId="16" fontId="9" fillId="0" borderId="27" xfId="0" applyNumberFormat="1" applyFont="1" applyFill="1" applyBorder="1" applyAlignment="1">
      <alignment/>
    </xf>
    <xf numFmtId="0" fontId="10" fillId="0" borderId="21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right"/>
    </xf>
    <xf numFmtId="0" fontId="0" fillId="0" borderId="51" xfId="0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/>
    </xf>
    <xf numFmtId="0" fontId="9" fillId="0" borderId="27" xfId="0" applyFont="1" applyFill="1" applyBorder="1" applyAlignment="1">
      <alignment vertical="center" wrapText="1"/>
    </xf>
    <xf numFmtId="3" fontId="9" fillId="0" borderId="18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vertical="center" wrapText="1"/>
    </xf>
    <xf numFmtId="3" fontId="0" fillId="0" borderId="32" xfId="0" applyNumberFormat="1" applyFont="1" applyFill="1" applyBorder="1" applyAlignment="1">
      <alignment vertical="center" wrapText="1"/>
    </xf>
    <xf numFmtId="4" fontId="0" fillId="0" borderId="32" xfId="0" applyNumberFormat="1" applyFont="1" applyFill="1" applyBorder="1" applyAlignment="1">
      <alignment vertical="center" wrapText="1"/>
    </xf>
    <xf numFmtId="3" fontId="0" fillId="0" borderId="23" xfId="0" applyNumberFormat="1" applyFont="1" applyFill="1" applyBorder="1" applyAlignment="1">
      <alignment vertical="center" wrapText="1"/>
    </xf>
    <xf numFmtId="4" fontId="0" fillId="0" borderId="24" xfId="0" applyNumberFormat="1" applyFont="1" applyFill="1" applyBorder="1" applyAlignment="1">
      <alignment vertical="center" wrapText="1"/>
    </xf>
    <xf numFmtId="3" fontId="0" fillId="0" borderId="24" xfId="0" applyNumberFormat="1" applyFont="1" applyFill="1" applyBorder="1" applyAlignment="1">
      <alignment vertical="center" wrapText="1"/>
    </xf>
    <xf numFmtId="3" fontId="0" fillId="0" borderId="25" xfId="0" applyNumberFormat="1" applyFont="1" applyFill="1" applyBorder="1" applyAlignment="1">
      <alignment vertical="center" wrapText="1"/>
    </xf>
    <xf numFmtId="4" fontId="0" fillId="0" borderId="34" xfId="0" applyNumberFormat="1" applyFont="1" applyFill="1" applyBorder="1" applyAlignment="1">
      <alignment vertical="center" wrapText="1"/>
    </xf>
    <xf numFmtId="3" fontId="0" fillId="0" borderId="34" xfId="0" applyNumberFormat="1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10" fillId="0" borderId="64" xfId="0" applyFont="1" applyFill="1" applyBorder="1" applyAlignment="1">
      <alignment/>
    </xf>
    <xf numFmtId="3" fontId="10" fillId="0" borderId="64" xfId="0" applyNumberFormat="1" applyFont="1" applyFill="1" applyBorder="1" applyAlignment="1">
      <alignment/>
    </xf>
    <xf numFmtId="3" fontId="10" fillId="0" borderId="65" xfId="0" applyNumberFormat="1" applyFont="1" applyFill="1" applyBorder="1" applyAlignment="1">
      <alignment/>
    </xf>
    <xf numFmtId="0" fontId="8" fillId="0" borderId="66" xfId="0" applyFont="1" applyFill="1" applyBorder="1" applyAlignment="1">
      <alignment/>
    </xf>
    <xf numFmtId="0" fontId="8" fillId="0" borderId="67" xfId="0" applyFont="1" applyFill="1" applyBorder="1" applyAlignment="1">
      <alignment horizontal="center"/>
    </xf>
    <xf numFmtId="4" fontId="8" fillId="0" borderId="41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 horizontal="right"/>
    </xf>
    <xf numFmtId="0" fontId="9" fillId="0" borderId="39" xfId="0" applyFont="1" applyFill="1" applyBorder="1" applyAlignment="1">
      <alignment horizontal="right"/>
    </xf>
    <xf numFmtId="49" fontId="7" fillId="0" borderId="30" xfId="0" applyNumberFormat="1" applyFont="1" applyFill="1" applyBorder="1" applyAlignment="1">
      <alignment/>
    </xf>
    <xf numFmtId="49" fontId="9" fillId="0" borderId="27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/>
    </xf>
    <xf numFmtId="0" fontId="10" fillId="0" borderId="24" xfId="0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 horizontal="right"/>
    </xf>
    <xf numFmtId="0" fontId="10" fillId="0" borderId="26" xfId="0" applyFont="1" applyFill="1" applyBorder="1" applyAlignment="1">
      <alignment horizontal="right"/>
    </xf>
    <xf numFmtId="3" fontId="10" fillId="0" borderId="26" xfId="0" applyNumberFormat="1" applyFont="1" applyFill="1" applyBorder="1" applyAlignment="1">
      <alignment horizontal="right"/>
    </xf>
    <xf numFmtId="49" fontId="9" fillId="0" borderId="27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horizontal="right"/>
    </xf>
    <xf numFmtId="49" fontId="7" fillId="0" borderId="68" xfId="0" applyNumberFormat="1" applyFont="1" applyFill="1" applyBorder="1" applyAlignment="1">
      <alignment/>
    </xf>
    <xf numFmtId="49" fontId="7" fillId="0" borderId="31" xfId="0" applyNumberFormat="1" applyFont="1" applyFill="1" applyBorder="1" applyAlignment="1">
      <alignment/>
    </xf>
    <xf numFmtId="0" fontId="10" fillId="0" borderId="36" xfId="0" applyFont="1" applyFill="1" applyBorder="1" applyAlignment="1">
      <alignment horizontal="right"/>
    </xf>
    <xf numFmtId="3" fontId="10" fillId="0" borderId="36" xfId="0" applyNumberFormat="1" applyFont="1" applyFill="1" applyBorder="1" applyAlignment="1">
      <alignment horizontal="right"/>
    </xf>
    <xf numFmtId="0" fontId="10" fillId="0" borderId="22" xfId="0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right"/>
    </xf>
    <xf numFmtId="0" fontId="10" fillId="0" borderId="38" xfId="0" applyFont="1" applyFill="1" applyBorder="1" applyAlignment="1">
      <alignment horizontal="right"/>
    </xf>
    <xf numFmtId="3" fontId="10" fillId="0" borderId="38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/>
    </xf>
    <xf numFmtId="49" fontId="7" fillId="0" borderId="19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 horizontal="left"/>
    </xf>
    <xf numFmtId="0" fontId="9" fillId="0" borderId="16" xfId="0" applyFont="1" applyFill="1" applyBorder="1" applyAlignment="1">
      <alignment horizontal="right"/>
    </xf>
    <xf numFmtId="3" fontId="9" fillId="0" borderId="16" xfId="0" applyNumberFormat="1" applyFont="1" applyFill="1" applyBorder="1" applyAlignment="1">
      <alignment horizontal="right"/>
    </xf>
    <xf numFmtId="0" fontId="10" fillId="0" borderId="32" xfId="0" applyFont="1" applyFill="1" applyBorder="1" applyAlignment="1">
      <alignment horizontal="left"/>
    </xf>
    <xf numFmtId="3" fontId="10" fillId="0" borderId="32" xfId="0" applyNumberFormat="1" applyFont="1" applyFill="1" applyBorder="1" applyAlignment="1">
      <alignment horizontal="left"/>
    </xf>
    <xf numFmtId="0" fontId="9" fillId="0" borderId="32" xfId="0" applyFont="1" applyFill="1" applyBorder="1" applyAlignment="1">
      <alignment horizontal="right"/>
    </xf>
    <xf numFmtId="3" fontId="9" fillId="0" borderId="32" xfId="0" applyNumberFormat="1" applyFont="1" applyFill="1" applyBorder="1" applyAlignment="1">
      <alignment horizontal="right"/>
    </xf>
    <xf numFmtId="4" fontId="10" fillId="0" borderId="32" xfId="0" applyNumberFormat="1" applyFont="1" applyFill="1" applyBorder="1" applyAlignment="1">
      <alignment/>
    </xf>
    <xf numFmtId="0" fontId="10" fillId="0" borderId="21" xfId="0" applyFont="1" applyFill="1" applyBorder="1" applyAlignment="1">
      <alignment horizontal="left"/>
    </xf>
    <xf numFmtId="3" fontId="10" fillId="0" borderId="21" xfId="0" applyNumberFormat="1" applyFont="1" applyFill="1" applyBorder="1" applyAlignment="1">
      <alignment horizontal="left"/>
    </xf>
    <xf numFmtId="0" fontId="9" fillId="0" borderId="21" xfId="0" applyFont="1" applyFill="1" applyBorder="1" applyAlignment="1">
      <alignment horizontal="right"/>
    </xf>
    <xf numFmtId="3" fontId="9" fillId="0" borderId="21" xfId="0" applyNumberFormat="1" applyFont="1" applyFill="1" applyBorder="1" applyAlignment="1">
      <alignment horizontal="right"/>
    </xf>
    <xf numFmtId="3" fontId="19" fillId="0" borderId="21" xfId="0" applyNumberFormat="1" applyFont="1" applyFill="1" applyBorder="1" applyAlignment="1">
      <alignment/>
    </xf>
    <xf numFmtId="0" fontId="10" fillId="0" borderId="23" xfId="0" applyFont="1" applyFill="1" applyBorder="1" applyAlignment="1">
      <alignment horizontal="left"/>
    </xf>
    <xf numFmtId="3" fontId="10" fillId="0" borderId="23" xfId="0" applyNumberFormat="1" applyFont="1" applyFill="1" applyBorder="1" applyAlignment="1">
      <alignment horizontal="left"/>
    </xf>
    <xf numFmtId="0" fontId="9" fillId="0" borderId="23" xfId="0" applyFont="1" applyFill="1" applyBorder="1" applyAlignment="1">
      <alignment horizontal="right"/>
    </xf>
    <xf numFmtId="3" fontId="9" fillId="0" borderId="23" xfId="0" applyNumberFormat="1" applyFont="1" applyFill="1" applyBorder="1" applyAlignment="1">
      <alignment horizontal="right"/>
    </xf>
    <xf numFmtId="3" fontId="9" fillId="0" borderId="23" xfId="0" applyNumberFormat="1" applyFont="1" applyFill="1" applyBorder="1" applyAlignment="1">
      <alignment/>
    </xf>
    <xf numFmtId="0" fontId="10" fillId="0" borderId="34" xfId="0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 horizontal="right"/>
    </xf>
    <xf numFmtId="3" fontId="9" fillId="0" borderId="39" xfId="0" applyNumberFormat="1" applyFont="1" applyFill="1" applyBorder="1" applyAlignment="1">
      <alignment/>
    </xf>
    <xf numFmtId="3" fontId="18" fillId="0" borderId="36" xfId="0" applyNumberFormat="1" applyFont="1" applyFill="1" applyBorder="1" applyAlignment="1">
      <alignment/>
    </xf>
    <xf numFmtId="0" fontId="10" fillId="0" borderId="69" xfId="0" applyFont="1" applyFill="1" applyBorder="1" applyAlignment="1">
      <alignment/>
    </xf>
    <xf numFmtId="3" fontId="10" fillId="0" borderId="70" xfId="0" applyNumberFormat="1" applyFont="1" applyFill="1" applyBorder="1" applyAlignment="1">
      <alignment/>
    </xf>
    <xf numFmtId="0" fontId="10" fillId="0" borderId="70" xfId="0" applyFont="1" applyFill="1" applyBorder="1" applyAlignment="1">
      <alignment/>
    </xf>
    <xf numFmtId="0" fontId="10" fillId="0" borderId="70" xfId="0" applyFont="1" applyFill="1" applyBorder="1" applyAlignment="1">
      <alignment horizontal="right"/>
    </xf>
    <xf numFmtId="3" fontId="10" fillId="0" borderId="70" xfId="0" applyNumberFormat="1" applyFont="1" applyFill="1" applyBorder="1" applyAlignment="1">
      <alignment horizontal="right"/>
    </xf>
    <xf numFmtId="3" fontId="10" fillId="0" borderId="59" xfId="0" applyNumberFormat="1" applyFont="1" applyFill="1" applyBorder="1" applyAlignment="1">
      <alignment/>
    </xf>
    <xf numFmtId="0" fontId="10" fillId="0" borderId="59" xfId="0" applyFont="1" applyFill="1" applyBorder="1" applyAlignment="1">
      <alignment/>
    </xf>
    <xf numFmtId="0" fontId="10" fillId="0" borderId="59" xfId="0" applyFont="1" applyFill="1" applyBorder="1" applyAlignment="1">
      <alignment horizontal="right"/>
    </xf>
    <xf numFmtId="0" fontId="0" fillId="0" borderId="49" xfId="0" applyFont="1" applyFill="1" applyBorder="1" applyAlignment="1">
      <alignment/>
    </xf>
    <xf numFmtId="3" fontId="0" fillId="0" borderId="71" xfId="0" applyNumberFormat="1" applyFont="1" applyFill="1" applyBorder="1" applyAlignment="1">
      <alignment/>
    </xf>
    <xf numFmtId="0" fontId="0" fillId="0" borderId="71" xfId="0" applyFont="1" applyFill="1" applyBorder="1" applyAlignment="1">
      <alignment/>
    </xf>
    <xf numFmtId="0" fontId="0" fillId="0" borderId="71" xfId="0" applyFont="1" applyFill="1" applyBorder="1" applyAlignment="1">
      <alignment horizontal="right"/>
    </xf>
    <xf numFmtId="3" fontId="0" fillId="0" borderId="71" xfId="0" applyNumberFormat="1" applyFont="1" applyFill="1" applyBorder="1" applyAlignment="1">
      <alignment horizontal="right"/>
    </xf>
    <xf numFmtId="0" fontId="10" fillId="0" borderId="61" xfId="0" applyFont="1" applyFill="1" applyBorder="1" applyAlignment="1">
      <alignment/>
    </xf>
    <xf numFmtId="3" fontId="10" fillId="0" borderId="71" xfId="0" applyNumberFormat="1" applyFont="1" applyFill="1" applyBorder="1" applyAlignment="1">
      <alignment/>
    </xf>
    <xf numFmtId="0" fontId="10" fillId="0" borderId="71" xfId="0" applyFont="1" applyFill="1" applyBorder="1" applyAlignment="1">
      <alignment/>
    </xf>
    <xf numFmtId="0" fontId="10" fillId="0" borderId="71" xfId="0" applyFont="1" applyFill="1" applyBorder="1" applyAlignment="1">
      <alignment horizontal="right"/>
    </xf>
    <xf numFmtId="3" fontId="10" fillId="0" borderId="71" xfId="0" applyNumberFormat="1" applyFont="1" applyFill="1" applyBorder="1" applyAlignment="1">
      <alignment horizontal="right"/>
    </xf>
    <xf numFmtId="3" fontId="9" fillId="0" borderId="58" xfId="0" applyNumberFormat="1" applyFont="1" applyFill="1" applyBorder="1" applyAlignment="1">
      <alignment horizontal="left"/>
    </xf>
    <xf numFmtId="0" fontId="9" fillId="0" borderId="58" xfId="0" applyFont="1" applyFill="1" applyBorder="1" applyAlignment="1">
      <alignment horizontal="right"/>
    </xf>
    <xf numFmtId="3" fontId="9" fillId="0" borderId="58" xfId="0" applyNumberFormat="1" applyFont="1" applyFill="1" applyBorder="1" applyAlignment="1">
      <alignment horizontal="right"/>
    </xf>
    <xf numFmtId="3" fontId="10" fillId="0" borderId="36" xfId="0" applyNumberFormat="1" applyFont="1" applyFill="1" applyBorder="1" applyAlignment="1">
      <alignment horizontal="left"/>
    </xf>
    <xf numFmtId="0" fontId="10" fillId="0" borderId="36" xfId="0" applyFont="1" applyFill="1" applyBorder="1" applyAlignment="1">
      <alignment horizontal="left"/>
    </xf>
    <xf numFmtId="0" fontId="10" fillId="0" borderId="36" xfId="0" applyFont="1" applyFill="1" applyBorder="1" applyAlignment="1">
      <alignment horizontal="right"/>
    </xf>
    <xf numFmtId="3" fontId="10" fillId="0" borderId="36" xfId="0" applyNumberFormat="1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left"/>
    </xf>
    <xf numFmtId="0" fontId="10" fillId="0" borderId="22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right"/>
    </xf>
    <xf numFmtId="0" fontId="3" fillId="0" borderId="27" xfId="0" applyFont="1" applyFill="1" applyBorder="1" applyAlignment="1">
      <alignment/>
    </xf>
    <xf numFmtId="49" fontId="9" fillId="0" borderId="15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27" xfId="0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 horizontal="left"/>
    </xf>
    <xf numFmtId="0" fontId="10" fillId="0" borderId="13" xfId="0" applyFont="1" applyFill="1" applyBorder="1" applyAlignment="1">
      <alignment/>
    </xf>
    <xf numFmtId="4" fontId="0" fillId="0" borderId="0" xfId="0" applyNumberFormat="1" applyAlignment="1">
      <alignment/>
    </xf>
    <xf numFmtId="49" fontId="7" fillId="0" borderId="33" xfId="0" applyNumberFormat="1" applyFont="1" applyFill="1" applyBorder="1" applyAlignment="1">
      <alignment horizontal="center"/>
    </xf>
    <xf numFmtId="0" fontId="0" fillId="0" borderId="72" xfId="0" applyFill="1" applyBorder="1" applyAlignment="1">
      <alignment/>
    </xf>
    <xf numFmtId="3" fontId="0" fillId="0" borderId="73" xfId="0" applyNumberFormat="1" applyFill="1" applyBorder="1" applyAlignment="1">
      <alignment/>
    </xf>
    <xf numFmtId="0" fontId="0" fillId="0" borderId="74" xfId="0" applyFill="1" applyBorder="1" applyAlignment="1">
      <alignment/>
    </xf>
    <xf numFmtId="0" fontId="3" fillId="0" borderId="75" xfId="0" applyFont="1" applyFill="1" applyBorder="1" applyAlignment="1">
      <alignment vertical="center"/>
    </xf>
    <xf numFmtId="3" fontId="3" fillId="0" borderId="76" xfId="0" applyNumberFormat="1" applyFont="1" applyFill="1" applyBorder="1" applyAlignment="1">
      <alignment vertical="center"/>
    </xf>
    <xf numFmtId="4" fontId="3" fillId="0" borderId="76" xfId="0" applyNumberFormat="1" applyFont="1" applyFill="1" applyBorder="1" applyAlignment="1">
      <alignment vertical="center"/>
    </xf>
    <xf numFmtId="0" fontId="3" fillId="0" borderId="75" xfId="0" applyFont="1" applyFill="1" applyBorder="1" applyAlignment="1">
      <alignment/>
    </xf>
    <xf numFmtId="3" fontId="3" fillId="0" borderId="76" xfId="0" applyNumberFormat="1" applyFont="1" applyFill="1" applyBorder="1" applyAlignment="1">
      <alignment/>
    </xf>
    <xf numFmtId="4" fontId="3" fillId="0" borderId="76" xfId="0" applyNumberFormat="1" applyFont="1" applyFill="1" applyBorder="1" applyAlignment="1">
      <alignment/>
    </xf>
    <xf numFmtId="0" fontId="20" fillId="0" borderId="66" xfId="0" applyFont="1" applyFill="1" applyBorder="1" applyAlignment="1">
      <alignment/>
    </xf>
    <xf numFmtId="3" fontId="20" fillId="0" borderId="41" xfId="0" applyNumberFormat="1" applyFont="1" applyFill="1" applyBorder="1" applyAlignment="1">
      <alignment/>
    </xf>
    <xf numFmtId="4" fontId="20" fillId="0" borderId="41" xfId="0" applyNumberFormat="1" applyFont="1" applyFill="1" applyBorder="1" applyAlignment="1">
      <alignment/>
    </xf>
    <xf numFmtId="3" fontId="8" fillId="0" borderId="77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8" fillId="0" borderId="40" xfId="0" applyNumberFormat="1" applyFont="1" applyFill="1" applyBorder="1" applyAlignment="1">
      <alignment/>
    </xf>
    <xf numFmtId="3" fontId="9" fillId="0" borderId="40" xfId="0" applyNumberFormat="1" applyFont="1" applyFill="1" applyBorder="1" applyAlignment="1">
      <alignment/>
    </xf>
    <xf numFmtId="3" fontId="7" fillId="0" borderId="39" xfId="0" applyNumberFormat="1" applyFont="1" applyFill="1" applyBorder="1" applyAlignment="1">
      <alignment/>
    </xf>
    <xf numFmtId="3" fontId="8" fillId="0" borderId="48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/>
    </xf>
    <xf numFmtId="3" fontId="15" fillId="0" borderId="16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/>
    </xf>
    <xf numFmtId="3" fontId="14" fillId="0" borderId="39" xfId="0" applyNumberFormat="1" applyFont="1" applyFill="1" applyBorder="1" applyAlignment="1">
      <alignment/>
    </xf>
    <xf numFmtId="3" fontId="15" fillId="0" borderId="34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11" fillId="0" borderId="34" xfId="0" applyNumberFormat="1" applyFont="1" applyFill="1" applyBorder="1" applyAlignment="1">
      <alignment/>
    </xf>
    <xf numFmtId="3" fontId="16" fillId="0" borderId="16" xfId="0" applyNumberFormat="1" applyFont="1" applyFill="1" applyBorder="1" applyAlignment="1">
      <alignment vertical="center" wrapText="1"/>
    </xf>
    <xf numFmtId="3" fontId="17" fillId="0" borderId="48" xfId="0" applyNumberFormat="1" applyFont="1" applyFill="1" applyBorder="1" applyAlignment="1">
      <alignment/>
    </xf>
    <xf numFmtId="3" fontId="15" fillId="0" borderId="36" xfId="0" applyNumberFormat="1" applyFont="1" applyFill="1" applyBorder="1" applyAlignment="1">
      <alignment/>
    </xf>
    <xf numFmtId="3" fontId="15" fillId="0" borderId="24" xfId="0" applyNumberFormat="1" applyFont="1" applyFill="1" applyBorder="1" applyAlignment="1">
      <alignment/>
    </xf>
    <xf numFmtId="3" fontId="15" fillId="0" borderId="22" xfId="0" applyNumberFormat="1" applyFont="1" applyFill="1" applyBorder="1" applyAlignment="1">
      <alignment/>
    </xf>
    <xf numFmtId="3" fontId="15" fillId="0" borderId="2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9" fillId="0" borderId="31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Fill="1" applyBorder="1" applyAlignment="1">
      <alignment/>
    </xf>
    <xf numFmtId="4" fontId="0" fillId="0" borderId="73" xfId="0" applyNumberForma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21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4" fontId="9" fillId="0" borderId="19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/>
    </xf>
    <xf numFmtId="4" fontId="19" fillId="0" borderId="21" xfId="0" applyNumberFormat="1" applyFont="1" applyFill="1" applyBorder="1" applyAlignment="1">
      <alignment/>
    </xf>
    <xf numFmtId="4" fontId="10" fillId="0" borderId="21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20" fillId="0" borderId="78" xfId="0" applyNumberFormat="1" applyFont="1" applyFill="1" applyBorder="1" applyAlignment="1">
      <alignment/>
    </xf>
    <xf numFmtId="3" fontId="20" fillId="0" borderId="79" xfId="0" applyNumberFormat="1" applyFont="1" applyFill="1" applyBorder="1" applyAlignment="1">
      <alignment/>
    </xf>
    <xf numFmtId="3" fontId="7" fillId="0" borderId="39" xfId="0" applyNumberFormat="1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/>
    </xf>
    <xf numFmtId="4" fontId="8" fillId="0" borderId="31" xfId="0" applyNumberFormat="1" applyFont="1" applyFill="1" applyBorder="1" applyAlignment="1">
      <alignment/>
    </xf>
    <xf numFmtId="4" fontId="9" fillId="0" borderId="31" xfId="0" applyNumberFormat="1" applyFont="1" applyFill="1" applyBorder="1" applyAlignment="1">
      <alignment/>
    </xf>
    <xf numFmtId="4" fontId="10" fillId="0" borderId="24" xfId="0" applyNumberFormat="1" applyFont="1" applyFill="1" applyBorder="1" applyAlignment="1">
      <alignment/>
    </xf>
    <xf numFmtId="4" fontId="10" fillId="0" borderId="23" xfId="0" applyNumberFormat="1" applyFont="1" applyFill="1" applyBorder="1" applyAlignment="1">
      <alignment/>
    </xf>
    <xf numFmtId="4" fontId="10" fillId="0" borderId="26" xfId="0" applyNumberFormat="1" applyFont="1" applyFill="1" applyBorder="1" applyAlignment="1">
      <alignment/>
    </xf>
    <xf numFmtId="4" fontId="10" fillId="0" borderId="15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4" fontId="10" fillId="0" borderId="34" xfId="0" applyNumberFormat="1" applyFont="1" applyFill="1" applyBorder="1" applyAlignment="1">
      <alignment/>
    </xf>
    <xf numFmtId="4" fontId="9" fillId="0" borderId="22" xfId="0" applyNumberFormat="1" applyFont="1" applyFill="1" applyBorder="1" applyAlignment="1">
      <alignment/>
    </xf>
    <xf numFmtId="4" fontId="7" fillId="0" borderId="25" xfId="0" applyNumberFormat="1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3" fontId="10" fillId="0" borderId="61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 horizontal="right"/>
    </xf>
    <xf numFmtId="0" fontId="10" fillId="0" borderId="22" xfId="0" applyFont="1" applyBorder="1" applyAlignment="1">
      <alignment/>
    </xf>
    <xf numFmtId="4" fontId="8" fillId="0" borderId="16" xfId="0" applyNumberFormat="1" applyFont="1" applyFill="1" applyBorder="1" applyAlignment="1">
      <alignment/>
    </xf>
    <xf numFmtId="4" fontId="9" fillId="0" borderId="40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3" fontId="18" fillId="0" borderId="38" xfId="0" applyNumberFormat="1" applyFont="1" applyFill="1" applyBorder="1" applyAlignment="1">
      <alignment/>
    </xf>
    <xf numFmtId="4" fontId="18" fillId="0" borderId="36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3" fontId="0" fillId="0" borderId="24" xfId="0" applyNumberFormat="1" applyFont="1" applyFill="1" applyBorder="1" applyAlignment="1">
      <alignment horizontal="right"/>
    </xf>
    <xf numFmtId="3" fontId="0" fillId="0" borderId="24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10" fillId="0" borderId="22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61" fillId="0" borderId="0" xfId="0" applyFont="1" applyAlignment="1">
      <alignment/>
    </xf>
    <xf numFmtId="3" fontId="18" fillId="0" borderId="21" xfId="0" applyNumberFormat="1" applyFont="1" applyFill="1" applyBorder="1" applyAlignment="1">
      <alignment/>
    </xf>
    <xf numFmtId="3" fontId="20" fillId="0" borderId="0" xfId="0" applyNumberFormat="1" applyFont="1" applyAlignment="1">
      <alignment/>
    </xf>
    <xf numFmtId="4" fontId="9" fillId="0" borderId="31" xfId="0" applyNumberFormat="1" applyFont="1" applyFill="1" applyBorder="1" applyAlignment="1">
      <alignment/>
    </xf>
    <xf numFmtId="3" fontId="62" fillId="0" borderId="0" xfId="0" applyNumberFormat="1" applyFont="1" applyAlignment="1">
      <alignment/>
    </xf>
    <xf numFmtId="4" fontId="0" fillId="0" borderId="3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8" fillId="0" borderId="24" xfId="0" applyNumberFormat="1" applyFont="1" applyFill="1" applyBorder="1" applyAlignment="1">
      <alignment/>
    </xf>
    <xf numFmtId="4" fontId="18" fillId="0" borderId="24" xfId="0" applyNumberFormat="1" applyFont="1" applyFill="1" applyBorder="1" applyAlignment="1">
      <alignment/>
    </xf>
    <xf numFmtId="3" fontId="18" fillId="0" borderId="23" xfId="0" applyNumberFormat="1" applyFont="1" applyFill="1" applyBorder="1" applyAlignment="1">
      <alignment/>
    </xf>
    <xf numFmtId="3" fontId="10" fillId="0" borderId="61" xfId="0" applyNumberFormat="1" applyFont="1" applyFill="1" applyBorder="1" applyAlignment="1">
      <alignment horizontal="left"/>
    </xf>
    <xf numFmtId="3" fontId="10" fillId="0" borderId="61" xfId="0" applyNumberFormat="1" applyFont="1" applyFill="1" applyBorder="1" applyAlignment="1">
      <alignment horizontal="right"/>
    </xf>
    <xf numFmtId="49" fontId="10" fillId="0" borderId="61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0" fontId="0" fillId="0" borderId="80" xfId="0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0" fillId="0" borderId="34" xfId="0" applyFont="1" applyFill="1" applyBorder="1" applyAlignment="1">
      <alignment/>
    </xf>
    <xf numFmtId="4" fontId="0" fillId="0" borderId="25" xfId="0" applyNumberFormat="1" applyFont="1" applyBorder="1" applyAlignment="1">
      <alignment/>
    </xf>
    <xf numFmtId="3" fontId="8" fillId="0" borderId="15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9" fillId="0" borderId="36" xfId="0" applyNumberFormat="1" applyFont="1" applyFill="1" applyBorder="1" applyAlignment="1">
      <alignment/>
    </xf>
    <xf numFmtId="0" fontId="10" fillId="0" borderId="39" xfId="0" applyFont="1" applyFill="1" applyBorder="1" applyAlignment="1">
      <alignment horizontal="right"/>
    </xf>
    <xf numFmtId="3" fontId="10" fillId="0" borderId="39" xfId="0" applyNumberFormat="1" applyFont="1" applyFill="1" applyBorder="1" applyAlignment="1">
      <alignment horizontal="right"/>
    </xf>
    <xf numFmtId="0" fontId="10" fillId="0" borderId="32" xfId="0" applyFont="1" applyFill="1" applyBorder="1" applyAlignment="1">
      <alignment horizontal="center"/>
    </xf>
    <xf numFmtId="0" fontId="63" fillId="0" borderId="0" xfId="0" applyFont="1" applyAlignment="1">
      <alignment/>
    </xf>
    <xf numFmtId="4" fontId="7" fillId="0" borderId="39" xfId="0" applyNumberFormat="1" applyFont="1" applyFill="1" applyBorder="1" applyAlignment="1">
      <alignment/>
    </xf>
    <xf numFmtId="4" fontId="14" fillId="0" borderId="16" xfId="0" applyNumberFormat="1" applyFont="1" applyFill="1" applyBorder="1" applyAlignment="1">
      <alignment/>
    </xf>
    <xf numFmtId="4" fontId="14" fillId="0" borderId="16" xfId="0" applyNumberFormat="1" applyFont="1" applyFill="1" applyBorder="1" applyAlignment="1">
      <alignment/>
    </xf>
    <xf numFmtId="4" fontId="14" fillId="0" borderId="39" xfId="0" applyNumberFormat="1" applyFont="1" applyFill="1" applyBorder="1" applyAlignment="1">
      <alignment/>
    </xf>
    <xf numFmtId="4" fontId="15" fillId="0" borderId="16" xfId="0" applyNumberFormat="1" applyFont="1" applyFill="1" applyBorder="1" applyAlignment="1">
      <alignment/>
    </xf>
    <xf numFmtId="4" fontId="15" fillId="0" borderId="22" xfId="0" applyNumberFormat="1" applyFont="1" applyFill="1" applyBorder="1" applyAlignment="1">
      <alignment/>
    </xf>
    <xf numFmtId="4" fontId="15" fillId="0" borderId="24" xfId="0" applyNumberFormat="1" applyFont="1" applyFill="1" applyBorder="1" applyAlignment="1">
      <alignment/>
    </xf>
    <xf numFmtId="4" fontId="15" fillId="0" borderId="36" xfId="0" applyNumberFormat="1" applyFont="1" applyFill="1" applyBorder="1" applyAlignment="1">
      <alignment/>
    </xf>
    <xf numFmtId="4" fontId="11" fillId="0" borderId="16" xfId="0" applyNumberFormat="1" applyFont="1" applyFill="1" applyBorder="1" applyAlignment="1">
      <alignment/>
    </xf>
    <xf numFmtId="4" fontId="0" fillId="0" borderId="38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11" fillId="0" borderId="16" xfId="0" applyNumberFormat="1" applyFont="1" applyFill="1" applyBorder="1" applyAlignment="1">
      <alignment/>
    </xf>
    <xf numFmtId="4" fontId="16" fillId="0" borderId="16" xfId="0" applyNumberFormat="1" applyFont="1" applyFill="1" applyBorder="1" applyAlignment="1">
      <alignment vertical="center" wrapText="1"/>
    </xf>
    <xf numFmtId="4" fontId="0" fillId="0" borderId="36" xfId="0" applyNumberFormat="1" applyFont="1" applyFill="1" applyBorder="1" applyAlignment="1">
      <alignment vertical="center" wrapText="1"/>
    </xf>
    <xf numFmtId="4" fontId="10" fillId="0" borderId="65" xfId="0" applyNumberFormat="1" applyFont="1" applyFill="1" applyBorder="1" applyAlignment="1">
      <alignment/>
    </xf>
    <xf numFmtId="4" fontId="17" fillId="0" borderId="48" xfId="0" applyNumberFormat="1" applyFont="1" applyFill="1" applyBorder="1" applyAlignment="1">
      <alignment/>
    </xf>
    <xf numFmtId="4" fontId="10" fillId="0" borderId="22" xfId="0" applyNumberFormat="1" applyFont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9" fillId="0" borderId="39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4" fontId="0" fillId="0" borderId="24" xfId="0" applyNumberFormat="1" applyFill="1" applyBorder="1" applyAlignment="1">
      <alignment/>
    </xf>
    <xf numFmtId="4" fontId="0" fillId="0" borderId="26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3" fontId="7" fillId="0" borderId="79" xfId="0" applyNumberFormat="1" applyFont="1" applyFill="1" applyBorder="1" applyAlignment="1">
      <alignment/>
    </xf>
    <xf numFmtId="4" fontId="7" fillId="0" borderId="48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6" xfId="0" applyFont="1" applyFill="1" applyBorder="1" applyAlignment="1">
      <alignment horizontal="right"/>
    </xf>
    <xf numFmtId="3" fontId="9" fillId="0" borderId="26" xfId="0" applyNumberFormat="1" applyFont="1" applyFill="1" applyBorder="1" applyAlignment="1">
      <alignment horizontal="right"/>
    </xf>
    <xf numFmtId="4" fontId="9" fillId="0" borderId="26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7" fillId="0" borderId="24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/>
    </xf>
    <xf numFmtId="0" fontId="10" fillId="0" borderId="33" xfId="0" applyFont="1" applyFill="1" applyBorder="1" applyAlignment="1">
      <alignment horizontal="center"/>
    </xf>
    <xf numFmtId="3" fontId="10" fillId="0" borderId="33" xfId="0" applyNumberFormat="1" applyFont="1" applyFill="1" applyBorder="1" applyAlignment="1">
      <alignment horizontal="right"/>
    </xf>
    <xf numFmtId="0" fontId="7" fillId="0" borderId="25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4" fontId="9" fillId="0" borderId="16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180" fontId="10" fillId="0" borderId="26" xfId="0" applyNumberFormat="1" applyFont="1" applyFill="1" applyBorder="1" applyAlignment="1">
      <alignment/>
    </xf>
    <xf numFmtId="4" fontId="7" fillId="0" borderId="39" xfId="0" applyNumberFormat="1" applyFont="1" applyFill="1" applyBorder="1" applyAlignment="1">
      <alignment/>
    </xf>
    <xf numFmtId="4" fontId="9" fillId="0" borderId="23" xfId="0" applyNumberFormat="1" applyFon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3" fontId="64" fillId="0" borderId="26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0" fillId="0" borderId="0" xfId="0" applyNumberFormat="1" applyFont="1" applyAlignment="1">
      <alignment/>
    </xf>
    <xf numFmtId="4" fontId="0" fillId="0" borderId="33" xfId="0" applyNumberFormat="1" applyFont="1" applyBorder="1" applyAlignment="1">
      <alignment/>
    </xf>
    <xf numFmtId="4" fontId="8" fillId="0" borderId="48" xfId="0" applyNumberFormat="1" applyFont="1" applyFill="1" applyBorder="1" applyAlignment="1">
      <alignment/>
    </xf>
    <xf numFmtId="0" fontId="10" fillId="0" borderId="58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53" fillId="0" borderId="0" xfId="0" applyFont="1" applyAlignment="1">
      <alignment/>
    </xf>
    <xf numFmtId="0" fontId="9" fillId="0" borderId="44" xfId="0" applyFont="1" applyFill="1" applyBorder="1" applyAlignment="1">
      <alignment horizontal="center"/>
    </xf>
    <xf numFmtId="0" fontId="10" fillId="0" borderId="58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 horizontal="center"/>
    </xf>
    <xf numFmtId="4" fontId="8" fillId="0" borderId="77" xfId="0" applyNumberFormat="1" applyFont="1" applyFill="1" applyBorder="1" applyAlignment="1">
      <alignment/>
    </xf>
    <xf numFmtId="4" fontId="9" fillId="0" borderId="38" xfId="0" applyNumberFormat="1" applyFont="1" applyFill="1" applyBorder="1" applyAlignment="1">
      <alignment/>
    </xf>
    <xf numFmtId="4" fontId="8" fillId="0" borderId="40" xfId="0" applyNumberFormat="1" applyFont="1" applyFill="1" applyBorder="1" applyAlignment="1">
      <alignment/>
    </xf>
    <xf numFmtId="4" fontId="9" fillId="0" borderId="40" xfId="0" applyNumberFormat="1" applyFont="1" applyFill="1" applyBorder="1" applyAlignment="1">
      <alignment/>
    </xf>
    <xf numFmtId="4" fontId="15" fillId="0" borderId="24" xfId="0" applyNumberFormat="1" applyFont="1" applyFill="1" applyBorder="1" applyAlignment="1">
      <alignment/>
    </xf>
    <xf numFmtId="4" fontId="15" fillId="0" borderId="34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9" fontId="9" fillId="0" borderId="30" xfId="0" applyNumberFormat="1" applyFont="1" applyFill="1" applyBorder="1" applyAlignment="1">
      <alignment vertical="center" wrapText="1"/>
    </xf>
    <xf numFmtId="3" fontId="9" fillId="0" borderId="14" xfId="0" applyNumberFormat="1" applyFont="1" applyFill="1" applyBorder="1" applyAlignment="1">
      <alignment vertical="center" wrapText="1"/>
    </xf>
    <xf numFmtId="4" fontId="9" fillId="0" borderId="14" xfId="0" applyNumberFormat="1" applyFont="1" applyFill="1" applyBorder="1" applyAlignment="1">
      <alignment vertical="center" wrapText="1"/>
    </xf>
    <xf numFmtId="3" fontId="14" fillId="0" borderId="38" xfId="0" applyNumberFormat="1" applyFont="1" applyFill="1" applyBorder="1" applyAlignment="1">
      <alignment vertical="center" wrapText="1"/>
    </xf>
    <xf numFmtId="4" fontId="14" fillId="0" borderId="38" xfId="0" applyNumberFormat="1" applyFont="1" applyFill="1" applyBorder="1" applyAlignment="1">
      <alignment vertical="center" wrapText="1"/>
    </xf>
    <xf numFmtId="4" fontId="9" fillId="0" borderId="81" xfId="0" applyNumberFormat="1" applyFont="1" applyFill="1" applyBorder="1" applyAlignment="1">
      <alignment horizontal="right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/>
    </xf>
    <xf numFmtId="3" fontId="9" fillId="0" borderId="38" xfId="0" applyNumberFormat="1" applyFont="1" applyFill="1" applyBorder="1" applyAlignment="1">
      <alignment vertical="center" wrapText="1"/>
    </xf>
    <xf numFmtId="0" fontId="0" fillId="0" borderId="34" xfId="0" applyFont="1" applyFill="1" applyBorder="1" applyAlignment="1">
      <alignment/>
    </xf>
    <xf numFmtId="4" fontId="7" fillId="0" borderId="34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 vertical="center" wrapText="1"/>
    </xf>
    <xf numFmtId="3" fontId="3" fillId="0" borderId="16" xfId="0" applyNumberFormat="1" applyFont="1" applyFill="1" applyBorder="1" applyAlignment="1">
      <alignment vertical="center" wrapText="1"/>
    </xf>
    <xf numFmtId="4" fontId="20" fillId="0" borderId="79" xfId="0" applyNumberFormat="1" applyFont="1" applyFill="1" applyBorder="1" applyAlignment="1">
      <alignment/>
    </xf>
    <xf numFmtId="4" fontId="8" fillId="0" borderId="82" xfId="0" applyNumberFormat="1" applyFont="1" applyFill="1" applyBorder="1" applyAlignment="1">
      <alignment/>
    </xf>
    <xf numFmtId="4" fontId="3" fillId="0" borderId="37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0" fillId="0" borderId="83" xfId="0" applyNumberFormat="1" applyFont="1" applyBorder="1" applyAlignment="1">
      <alignment/>
    </xf>
    <xf numFmtId="4" fontId="9" fillId="0" borderId="37" xfId="0" applyNumberFormat="1" applyFont="1" applyFill="1" applyBorder="1" applyAlignment="1">
      <alignment/>
    </xf>
    <xf numFmtId="4" fontId="7" fillId="0" borderId="81" xfId="0" applyNumberFormat="1" applyFont="1" applyFill="1" applyBorder="1" applyAlignment="1">
      <alignment/>
    </xf>
    <xf numFmtId="4" fontId="7" fillId="0" borderId="37" xfId="0" applyNumberFormat="1" applyFont="1" applyFill="1" applyBorder="1" applyAlignment="1">
      <alignment/>
    </xf>
    <xf numFmtId="4" fontId="8" fillId="0" borderId="84" xfId="0" applyNumberFormat="1" applyFont="1" applyFill="1" applyBorder="1" applyAlignment="1">
      <alignment/>
    </xf>
    <xf numFmtId="4" fontId="9" fillId="0" borderId="84" xfId="0" applyNumberFormat="1" applyFont="1" applyFill="1" applyBorder="1" applyAlignment="1">
      <alignment/>
    </xf>
    <xf numFmtId="4" fontId="10" fillId="0" borderId="83" xfId="0" applyNumberFormat="1" applyFont="1" applyFill="1" applyBorder="1" applyAlignment="1">
      <alignment/>
    </xf>
    <xf numFmtId="4" fontId="9" fillId="0" borderId="37" xfId="0" applyNumberFormat="1" applyFont="1" applyFill="1" applyBorder="1" applyAlignment="1">
      <alignment/>
    </xf>
    <xf numFmtId="4" fontId="10" fillId="0" borderId="85" xfId="0" applyNumberFormat="1" applyFont="1" applyFill="1" applyBorder="1" applyAlignment="1">
      <alignment/>
    </xf>
    <xf numFmtId="4" fontId="0" fillId="0" borderId="85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4" fontId="10" fillId="0" borderId="45" xfId="0" applyNumberFormat="1" applyFont="1" applyFill="1" applyBorder="1" applyAlignment="1">
      <alignment/>
    </xf>
    <xf numFmtId="4" fontId="0" fillId="0" borderId="86" xfId="0" applyNumberFormat="1" applyFont="1" applyBorder="1" applyAlignment="1">
      <alignment/>
    </xf>
    <xf numFmtId="4" fontId="8" fillId="0" borderId="37" xfId="0" applyNumberFormat="1" applyFont="1" applyFill="1" applyBorder="1" applyAlignment="1">
      <alignment/>
    </xf>
    <xf numFmtId="4" fontId="0" fillId="0" borderId="46" xfId="0" applyNumberFormat="1" applyFont="1" applyBorder="1" applyAlignment="1">
      <alignment/>
    </xf>
    <xf numFmtId="4" fontId="0" fillId="0" borderId="83" xfId="0" applyNumberFormat="1" applyFont="1" applyBorder="1" applyAlignment="1">
      <alignment/>
    </xf>
    <xf numFmtId="4" fontId="0" fillId="0" borderId="84" xfId="0" applyNumberFormat="1" applyFont="1" applyBorder="1" applyAlignment="1">
      <alignment/>
    </xf>
    <xf numFmtId="4" fontId="20" fillId="0" borderId="78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20" fillId="0" borderId="41" xfId="0" applyNumberFormat="1" applyFont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8" fillId="0" borderId="81" xfId="0" applyNumberFormat="1" applyFont="1" applyFill="1" applyBorder="1" applyAlignment="1">
      <alignment horizontal="right"/>
    </xf>
    <xf numFmtId="4" fontId="0" fillId="0" borderId="46" xfId="0" applyNumberFormat="1" applyFont="1" applyFill="1" applyBorder="1" applyAlignment="1">
      <alignment/>
    </xf>
    <xf numFmtId="4" fontId="8" fillId="0" borderId="37" xfId="0" applyNumberFormat="1" applyFont="1" applyFill="1" applyBorder="1" applyAlignment="1">
      <alignment/>
    </xf>
    <xf numFmtId="4" fontId="9" fillId="0" borderId="84" xfId="0" applyNumberFormat="1" applyFont="1" applyFill="1" applyBorder="1" applyAlignment="1">
      <alignment/>
    </xf>
    <xf numFmtId="4" fontId="3" fillId="0" borderId="37" xfId="0" applyNumberFormat="1" applyFont="1" applyFill="1" applyBorder="1" applyAlignment="1">
      <alignment/>
    </xf>
    <xf numFmtId="4" fontId="8" fillId="0" borderId="78" xfId="0" applyNumberFormat="1" applyFont="1" applyFill="1" applyBorder="1" applyAlignment="1">
      <alignment/>
    </xf>
    <xf numFmtId="4" fontId="9" fillId="0" borderId="81" xfId="0" applyNumberFormat="1" applyFont="1" applyFill="1" applyBorder="1" applyAlignment="1">
      <alignment vertical="center"/>
    </xf>
    <xf numFmtId="4" fontId="0" fillId="0" borderId="45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4" fontId="0" fillId="0" borderId="85" xfId="0" applyNumberFormat="1" applyFont="1" applyBorder="1" applyAlignment="1">
      <alignment/>
    </xf>
    <xf numFmtId="4" fontId="0" fillId="0" borderId="87" xfId="0" applyNumberFormat="1" applyFont="1" applyBorder="1" applyAlignment="1">
      <alignment/>
    </xf>
    <xf numFmtId="4" fontId="0" fillId="0" borderId="86" xfId="0" applyNumberFormat="1" applyFont="1" applyBorder="1" applyAlignment="1">
      <alignment/>
    </xf>
    <xf numFmtId="4" fontId="0" fillId="0" borderId="81" xfId="0" applyNumberFormat="1" applyFont="1" applyBorder="1" applyAlignment="1">
      <alignment/>
    </xf>
    <xf numFmtId="4" fontId="0" fillId="0" borderId="87" xfId="0" applyNumberFormat="1" applyFont="1" applyBorder="1" applyAlignment="1">
      <alignment/>
    </xf>
    <xf numFmtId="4" fontId="3" fillId="0" borderId="37" xfId="0" applyNumberFormat="1" applyFont="1" applyBorder="1" applyAlignment="1">
      <alignment vertical="center"/>
    </xf>
    <xf numFmtId="4" fontId="18" fillId="0" borderId="32" xfId="0" applyNumberFormat="1" applyFont="1" applyFill="1" applyBorder="1" applyAlignment="1">
      <alignment/>
    </xf>
    <xf numFmtId="4" fontId="18" fillId="0" borderId="23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4" fontId="10" fillId="0" borderId="87" xfId="0" applyNumberFormat="1" applyFont="1" applyFill="1" applyBorder="1" applyAlignment="1">
      <alignment/>
    </xf>
    <xf numFmtId="4" fontId="18" fillId="0" borderId="87" xfId="0" applyNumberFormat="1" applyFont="1" applyFill="1" applyBorder="1" applyAlignment="1">
      <alignment/>
    </xf>
    <xf numFmtId="4" fontId="18" fillId="0" borderId="46" xfId="0" applyNumberFormat="1" applyFont="1" applyFill="1" applyBorder="1" applyAlignment="1">
      <alignment/>
    </xf>
    <xf numFmtId="4" fontId="19" fillId="0" borderId="46" xfId="0" applyNumberFormat="1" applyFont="1" applyFill="1" applyBorder="1" applyAlignment="1">
      <alignment/>
    </xf>
    <xf numFmtId="4" fontId="9" fillId="0" borderId="45" xfId="0" applyNumberFormat="1" applyFont="1" applyFill="1" applyBorder="1" applyAlignment="1">
      <alignment/>
    </xf>
    <xf numFmtId="4" fontId="10" fillId="0" borderId="81" xfId="0" applyNumberFormat="1" applyFont="1" applyFill="1" applyBorder="1" applyAlignment="1">
      <alignment/>
    </xf>
    <xf numFmtId="4" fontId="18" fillId="0" borderId="87" xfId="0" applyNumberFormat="1" applyFont="1" applyFill="1" applyBorder="1" applyAlignment="1">
      <alignment/>
    </xf>
    <xf numFmtId="4" fontId="18" fillId="0" borderId="45" xfId="0" applyNumberFormat="1" applyFont="1" applyFill="1" applyBorder="1" applyAlignment="1">
      <alignment/>
    </xf>
    <xf numFmtId="4" fontId="10" fillId="0" borderId="87" xfId="0" applyNumberFormat="1" applyFont="1" applyFill="1" applyBorder="1" applyAlignment="1">
      <alignment/>
    </xf>
    <xf numFmtId="4" fontId="10" fillId="0" borderId="46" xfId="0" applyNumberFormat="1" applyFont="1" applyFill="1" applyBorder="1" applyAlignment="1">
      <alignment/>
    </xf>
    <xf numFmtId="4" fontId="10" fillId="0" borderId="37" xfId="0" applyNumberFormat="1" applyFont="1" applyFill="1" applyBorder="1" applyAlignment="1">
      <alignment/>
    </xf>
    <xf numFmtId="4" fontId="10" fillId="0" borderId="86" xfId="0" applyNumberFormat="1" applyFont="1" applyFill="1" applyBorder="1" applyAlignment="1">
      <alignment/>
    </xf>
    <xf numFmtId="4" fontId="9" fillId="0" borderId="81" xfId="0" applyNumberFormat="1" applyFon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4" fontId="0" fillId="0" borderId="85" xfId="0" applyNumberFormat="1" applyFont="1" applyFill="1" applyBorder="1" applyAlignment="1">
      <alignment/>
    </xf>
    <xf numFmtId="4" fontId="10" fillId="0" borderId="86" xfId="0" applyNumberFormat="1" applyFont="1" applyFill="1" applyBorder="1" applyAlignment="1">
      <alignment/>
    </xf>
    <xf numFmtId="4" fontId="7" fillId="0" borderId="78" xfId="0" applyNumberFormat="1" applyFont="1" applyFill="1" applyBorder="1" applyAlignment="1">
      <alignment/>
    </xf>
    <xf numFmtId="4" fontId="0" fillId="0" borderId="81" xfId="0" applyNumberFormat="1" applyFill="1" applyBorder="1" applyAlignment="1">
      <alignment/>
    </xf>
    <xf numFmtId="4" fontId="0" fillId="0" borderId="87" xfId="0" applyNumberFormat="1" applyFont="1" applyFill="1" applyBorder="1" applyAlignment="1">
      <alignment/>
    </xf>
    <xf numFmtId="4" fontId="0" fillId="0" borderId="45" xfId="0" applyNumberFormat="1" applyFont="1" applyFill="1" applyBorder="1" applyAlignment="1">
      <alignment/>
    </xf>
    <xf numFmtId="4" fontId="0" fillId="0" borderId="45" xfId="0" applyNumberFormat="1" applyFont="1" applyFill="1" applyBorder="1" applyAlignment="1">
      <alignment horizontal="right"/>
    </xf>
    <xf numFmtId="4" fontId="0" fillId="0" borderId="45" xfId="0" applyNumberFormat="1" applyFill="1" applyBorder="1" applyAlignment="1">
      <alignment/>
    </xf>
    <xf numFmtId="4" fontId="0" fillId="0" borderId="83" xfId="0" applyNumberFormat="1" applyFill="1" applyBorder="1" applyAlignment="1">
      <alignment/>
    </xf>
    <xf numFmtId="4" fontId="0" fillId="0" borderId="50" xfId="0" applyNumberFormat="1" applyFont="1" applyFill="1" applyBorder="1" applyAlignment="1">
      <alignment/>
    </xf>
    <xf numFmtId="4" fontId="0" fillId="0" borderId="49" xfId="0" applyNumberFormat="1" applyFont="1" applyFill="1" applyBorder="1" applyAlignment="1">
      <alignment/>
    </xf>
    <xf numFmtId="4" fontId="0" fillId="0" borderId="49" xfId="0" applyNumberFormat="1" applyFont="1" applyFill="1" applyBorder="1" applyAlignment="1">
      <alignment horizontal="right"/>
    </xf>
    <xf numFmtId="4" fontId="0" fillId="0" borderId="49" xfId="0" applyNumberFormat="1" applyFill="1" applyBorder="1" applyAlignment="1">
      <alignment/>
    </xf>
    <xf numFmtId="4" fontId="0" fillId="0" borderId="61" xfId="0" applyNumberFormat="1" applyFill="1" applyBorder="1" applyAlignment="1">
      <alignment/>
    </xf>
    <xf numFmtId="4" fontId="0" fillId="0" borderId="88" xfId="0" applyNumberFormat="1" applyFill="1" applyBorder="1" applyAlignment="1">
      <alignment/>
    </xf>
    <xf numFmtId="4" fontId="3" fillId="0" borderId="89" xfId="0" applyNumberFormat="1" applyFont="1" applyFill="1" applyBorder="1" applyAlignment="1">
      <alignment vertical="center"/>
    </xf>
    <xf numFmtId="4" fontId="3" fillId="0" borderId="89" xfId="0" applyNumberFormat="1" applyFont="1" applyFill="1" applyBorder="1" applyAlignment="1">
      <alignment/>
    </xf>
    <xf numFmtId="4" fontId="62" fillId="0" borderId="0" xfId="0" applyNumberFormat="1" applyFont="1" applyAlignment="1">
      <alignment/>
    </xf>
    <xf numFmtId="4" fontId="9" fillId="0" borderId="19" xfId="0" applyNumberFormat="1" applyFont="1" applyFill="1" applyBorder="1" applyAlignment="1">
      <alignment vertical="center"/>
    </xf>
    <xf numFmtId="4" fontId="0" fillId="0" borderId="23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32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32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 vertical="center"/>
    </xf>
    <xf numFmtId="4" fontId="65" fillId="0" borderId="23" xfId="0" applyNumberFormat="1" applyFont="1" applyBorder="1" applyAlignment="1">
      <alignment/>
    </xf>
    <xf numFmtId="0" fontId="7" fillId="0" borderId="6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9" fillId="0" borderId="35" xfId="0" applyFont="1" applyFill="1" applyBorder="1" applyAlignment="1">
      <alignment horizontal="left"/>
    </xf>
    <xf numFmtId="0" fontId="10" fillId="0" borderId="3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7" fillId="0" borderId="90" xfId="0" applyFont="1" applyFill="1" applyBorder="1" applyAlignment="1">
      <alignment horizontal="center" vertical="center" wrapText="1"/>
    </xf>
    <xf numFmtId="0" fontId="7" fillId="0" borderId="91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9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6" fillId="0" borderId="93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 wrapText="1"/>
    </xf>
    <xf numFmtId="0" fontId="11" fillId="0" borderId="95" xfId="0" applyFont="1" applyFill="1" applyBorder="1" applyAlignment="1">
      <alignment horizontal="center" vertical="center" wrapText="1"/>
    </xf>
    <xf numFmtId="0" fontId="11" fillId="0" borderId="96" xfId="0" applyFont="1" applyFill="1" applyBorder="1" applyAlignment="1">
      <alignment horizontal="center" vertical="center" wrapText="1"/>
    </xf>
    <xf numFmtId="0" fontId="7" fillId="0" borderId="97" xfId="0" applyFont="1" applyFill="1" applyBorder="1" applyAlignment="1">
      <alignment horizontal="center" vertical="center" wrapText="1"/>
    </xf>
    <xf numFmtId="0" fontId="7" fillId="0" borderId="9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0" fontId="0" fillId="0" borderId="3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6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6" fillId="0" borderId="90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8" fillId="0" borderId="99" xfId="0" applyFont="1" applyFill="1" applyBorder="1" applyAlignment="1">
      <alignment horizontal="left"/>
    </xf>
    <xf numFmtId="0" fontId="8" fillId="0" borderId="79" xfId="0" applyFont="1" applyFill="1" applyBorder="1" applyAlignment="1">
      <alignment horizontal="left"/>
    </xf>
    <xf numFmtId="0" fontId="8" fillId="0" borderId="67" xfId="0" applyFont="1" applyFill="1" applyBorder="1" applyAlignment="1">
      <alignment horizontal="left"/>
    </xf>
    <xf numFmtId="0" fontId="7" fillId="0" borderId="94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49" fontId="9" fillId="0" borderId="68" xfId="0" applyNumberFormat="1" applyFont="1" applyFill="1" applyBorder="1" applyAlignment="1">
      <alignment horizontal="center"/>
    </xf>
    <xf numFmtId="49" fontId="9" fillId="0" borderId="3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7" fillId="0" borderId="68" xfId="0" applyNumberFormat="1" applyFont="1" applyFill="1" applyBorder="1" applyAlignment="1">
      <alignment horizontal="center"/>
    </xf>
    <xf numFmtId="49" fontId="7" fillId="0" borderId="3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9" fillId="0" borderId="35" xfId="0" applyNumberFormat="1" applyFont="1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left"/>
    </xf>
    <xf numFmtId="0" fontId="7" fillId="0" borderId="35" xfId="0" applyNumberFormat="1" applyFont="1" applyFill="1" applyBorder="1" applyAlignment="1">
      <alignment horizontal="left"/>
    </xf>
    <xf numFmtId="0" fontId="7" fillId="0" borderId="13" xfId="0" applyNumberFormat="1" applyFont="1" applyFill="1" applyBorder="1" applyAlignment="1">
      <alignment horizontal="left"/>
    </xf>
    <xf numFmtId="0" fontId="9" fillId="0" borderId="58" xfId="0" applyFont="1" applyFill="1" applyBorder="1" applyAlignment="1">
      <alignment horizontal="left"/>
    </xf>
    <xf numFmtId="0" fontId="7" fillId="0" borderId="90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0" fillId="0" borderId="68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" fontId="9" fillId="0" borderId="68" xfId="0" applyNumberFormat="1" applyFont="1" applyFill="1" applyBorder="1" applyAlignment="1">
      <alignment horizontal="center"/>
    </xf>
    <xf numFmtId="16" fontId="9" fillId="0" borderId="30" xfId="0" applyNumberFormat="1" applyFont="1" applyFill="1" applyBorder="1" applyAlignment="1">
      <alignment horizontal="center"/>
    </xf>
    <xf numFmtId="16" fontId="9" fillId="0" borderId="10" xfId="0" applyNumberFormat="1" applyFont="1" applyFill="1" applyBorder="1" applyAlignment="1">
      <alignment horizontal="center"/>
    </xf>
    <xf numFmtId="0" fontId="9" fillId="0" borderId="58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3" fillId="0" borderId="68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9" fillId="0" borderId="3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49" fontId="13" fillId="0" borderId="93" xfId="0" applyNumberFormat="1" applyFont="1" applyFill="1" applyBorder="1" applyAlignment="1">
      <alignment horizontal="center" vertical="center" wrapText="1"/>
    </xf>
    <xf numFmtId="49" fontId="13" fillId="0" borderId="94" xfId="0" applyNumberFormat="1" applyFont="1" applyFill="1" applyBorder="1" applyAlignment="1">
      <alignment horizontal="center" vertical="center" wrapText="1"/>
    </xf>
    <xf numFmtId="16" fontId="7" fillId="0" borderId="100" xfId="0" applyNumberFormat="1" applyFont="1" applyFill="1" applyBorder="1" applyAlignment="1">
      <alignment horizontal="center" vertical="center" wrapText="1"/>
    </xf>
    <xf numFmtId="16" fontId="7" fillId="0" borderId="101" xfId="0" applyNumberFormat="1" applyFont="1" applyFill="1" applyBorder="1" applyAlignment="1">
      <alignment horizontal="center" vertical="center" wrapText="1"/>
    </xf>
    <xf numFmtId="49" fontId="9" fillId="0" borderId="58" xfId="0" applyNumberFormat="1" applyFont="1" applyFill="1" applyBorder="1" applyAlignment="1">
      <alignment horizontal="left"/>
    </xf>
    <xf numFmtId="49" fontId="9" fillId="0" borderId="18" xfId="0" applyNumberFormat="1" applyFont="1" applyFill="1" applyBorder="1" applyAlignment="1">
      <alignment horizontal="left"/>
    </xf>
    <xf numFmtId="0" fontId="53" fillId="0" borderId="80" xfId="0" applyFont="1" applyBorder="1" applyAlignment="1">
      <alignment horizontal="left"/>
    </xf>
    <xf numFmtId="0" fontId="7" fillId="0" borderId="38" xfId="0" applyFont="1" applyFill="1" applyBorder="1" applyAlignment="1">
      <alignment horizontal="center"/>
    </xf>
    <xf numFmtId="0" fontId="9" fillId="0" borderId="68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left"/>
    </xf>
    <xf numFmtId="49" fontId="7" fillId="0" borderId="31" xfId="0" applyNumberFormat="1" applyFont="1" applyFill="1" applyBorder="1" applyAlignment="1">
      <alignment horizontal="center"/>
    </xf>
    <xf numFmtId="0" fontId="7" fillId="0" borderId="100" xfId="0" applyFont="1" applyFill="1" applyBorder="1" applyAlignment="1">
      <alignment horizontal="center" vertical="center" wrapText="1"/>
    </xf>
    <xf numFmtId="0" fontId="7" fillId="0" borderId="10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/>
    </xf>
    <xf numFmtId="49" fontId="9" fillId="0" borderId="31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0" fontId="8" fillId="0" borderId="66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9" fontId="9" fillId="0" borderId="15" xfId="0" applyNumberFormat="1" applyFont="1" applyFill="1" applyBorder="1" applyAlignment="1">
      <alignment horizontal="left"/>
    </xf>
    <xf numFmtId="49" fontId="9" fillId="0" borderId="16" xfId="0" applyNumberFormat="1" applyFont="1" applyFill="1" applyBorder="1" applyAlignment="1">
      <alignment horizontal="left"/>
    </xf>
    <xf numFmtId="49" fontId="7" fillId="0" borderId="16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left"/>
    </xf>
    <xf numFmtId="16" fontId="7" fillId="0" borderId="80" xfId="0" applyNumberFormat="1" applyFont="1" applyFill="1" applyBorder="1" applyAlignment="1">
      <alignment horizontal="left"/>
    </xf>
    <xf numFmtId="16" fontId="7" fillId="0" borderId="90" xfId="0" applyNumberFormat="1" applyFont="1" applyFill="1" applyBorder="1" applyAlignment="1">
      <alignment horizontal="center" vertical="center" wrapText="1"/>
    </xf>
    <xf numFmtId="16" fontId="7" fillId="0" borderId="91" xfId="0" applyNumberFormat="1" applyFont="1" applyFill="1" applyBorder="1" applyAlignment="1">
      <alignment horizontal="center" vertical="center" wrapText="1"/>
    </xf>
    <xf numFmtId="183" fontId="7" fillId="0" borderId="14" xfId="0" applyNumberFormat="1" applyFont="1" applyFill="1" applyBorder="1" applyAlignment="1">
      <alignment horizontal="center"/>
    </xf>
    <xf numFmtId="183" fontId="7" fillId="0" borderId="19" xfId="0" applyNumberFormat="1" applyFont="1" applyFill="1" applyBorder="1" applyAlignment="1">
      <alignment horizontal="center"/>
    </xf>
    <xf numFmtId="0" fontId="7" fillId="0" borderId="99" xfId="0" applyFont="1" applyFill="1" applyBorder="1" applyAlignment="1">
      <alignment horizontal="left"/>
    </xf>
    <xf numFmtId="0" fontId="7" fillId="0" borderId="79" xfId="0" applyFont="1" applyFill="1" applyBorder="1" applyAlignment="1">
      <alignment horizontal="left"/>
    </xf>
    <xf numFmtId="0" fontId="7" fillId="0" borderId="67" xfId="0" applyFont="1" applyFill="1" applyBorder="1" applyAlignment="1">
      <alignment horizontal="left"/>
    </xf>
    <xf numFmtId="0" fontId="0" fillId="0" borderId="102" xfId="0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39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0" fillId="0" borderId="68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94" xfId="0" applyFill="1" applyBorder="1" applyAlignment="1">
      <alignment horizontal="center"/>
    </xf>
    <xf numFmtId="49" fontId="6" fillId="0" borderId="93" xfId="0" applyNumberFormat="1" applyFont="1" applyFill="1" applyBorder="1" applyAlignment="1">
      <alignment horizontal="center" vertical="center" wrapText="1"/>
    </xf>
    <xf numFmtId="49" fontId="6" fillId="0" borderId="9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9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20" fillId="0" borderId="103" xfId="0" applyFont="1" applyFill="1" applyBorder="1" applyAlignment="1">
      <alignment horizontal="left" vertical="center"/>
    </xf>
    <xf numFmtId="0" fontId="20" fillId="0" borderId="102" xfId="0" applyFont="1" applyFill="1" applyBorder="1" applyAlignment="1">
      <alignment horizontal="left" vertical="center"/>
    </xf>
    <xf numFmtId="0" fontId="20" fillId="0" borderId="104" xfId="0" applyFont="1" applyFill="1" applyBorder="1" applyAlignment="1">
      <alignment horizontal="left" vertical="center"/>
    </xf>
    <xf numFmtId="0" fontId="20" fillId="0" borderId="105" xfId="0" applyFont="1" applyFill="1" applyBorder="1" applyAlignment="1">
      <alignment horizontal="left" vertical="center"/>
    </xf>
    <xf numFmtId="0" fontId="20" fillId="0" borderId="80" xfId="0" applyFont="1" applyFill="1" applyBorder="1" applyAlignment="1">
      <alignment horizontal="left" vertical="center"/>
    </xf>
    <xf numFmtId="0" fontId="20" fillId="0" borderId="106" xfId="0" applyFont="1" applyFill="1" applyBorder="1" applyAlignment="1">
      <alignment horizontal="left" vertical="center"/>
    </xf>
    <xf numFmtId="0" fontId="0" fillId="0" borderId="99" xfId="0" applyFill="1" applyBorder="1" applyAlignment="1">
      <alignment horizontal="center"/>
    </xf>
    <xf numFmtId="0" fontId="0" fillId="0" borderId="79" xfId="0" applyFill="1" applyBorder="1" applyAlignment="1">
      <alignment horizontal="center"/>
    </xf>
    <xf numFmtId="0" fontId="0" fillId="0" borderId="107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11" fillId="0" borderId="97" xfId="0" applyFont="1" applyFill="1" applyBorder="1" applyAlignment="1">
      <alignment horizontal="center" vertical="center" wrapText="1"/>
    </xf>
    <xf numFmtId="0" fontId="11" fillId="0" borderId="85" xfId="0" applyFont="1" applyFill="1" applyBorder="1" applyAlignment="1">
      <alignment horizontal="center" vertical="center" wrapText="1"/>
    </xf>
    <xf numFmtId="0" fontId="11" fillId="0" borderId="98" xfId="0" applyFont="1" applyFill="1" applyBorder="1" applyAlignment="1">
      <alignment horizontal="center" vertical="center" wrapText="1"/>
    </xf>
    <xf numFmtId="0" fontId="11" fillId="0" borderId="9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91" xfId="0" applyFont="1" applyFill="1" applyBorder="1" applyAlignment="1">
      <alignment horizontal="center" vertical="center" wrapText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í_Učitelia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Y142"/>
  <sheetViews>
    <sheetView workbookViewId="0" topLeftCell="A1">
      <selection activeCell="W7" sqref="W7"/>
    </sheetView>
  </sheetViews>
  <sheetFormatPr defaultColWidth="9.140625" defaultRowHeight="12.75"/>
  <cols>
    <col min="1" max="2" width="9.140625" style="452" customWidth="1"/>
    <col min="3" max="3" width="32.8515625" style="452" customWidth="1"/>
    <col min="4" max="11" width="12.7109375" style="452" hidden="1" customWidth="1"/>
    <col min="12" max="12" width="14.421875" style="452" hidden="1" customWidth="1"/>
    <col min="13" max="13" width="16.00390625" style="452" hidden="1" customWidth="1"/>
    <col min="14" max="14" width="16.140625" style="452" hidden="1" customWidth="1"/>
    <col min="15" max="16" width="17.00390625" style="452" hidden="1" customWidth="1"/>
    <col min="17" max="17" width="15.8515625" style="452" hidden="1" customWidth="1"/>
    <col min="18" max="18" width="16.00390625" style="452" hidden="1" customWidth="1"/>
    <col min="19" max="19" width="16.28125" style="452" hidden="1" customWidth="1"/>
    <col min="20" max="21" width="14.7109375" style="452" customWidth="1"/>
    <col min="22" max="22" width="13.7109375" style="452" customWidth="1"/>
    <col min="23" max="23" width="16.57421875" style="452" customWidth="1"/>
    <col min="24" max="24" width="8.421875" style="452" customWidth="1"/>
    <col min="25" max="16384" width="9.140625" style="452" customWidth="1"/>
  </cols>
  <sheetData>
    <row r="1" spans="1:2" ht="12.75">
      <c r="A1" s="578" t="s">
        <v>382</v>
      </c>
      <c r="B1" s="578"/>
    </row>
    <row r="2" spans="1:2" ht="13.5" thickBot="1">
      <c r="A2" s="578" t="s">
        <v>383</v>
      </c>
      <c r="B2" s="578"/>
    </row>
    <row r="3" spans="1:24" ht="13.5" thickTop="1">
      <c r="A3" s="723" t="s">
        <v>77</v>
      </c>
      <c r="B3" s="739" t="s">
        <v>78</v>
      </c>
      <c r="C3" s="712" t="s">
        <v>79</v>
      </c>
      <c r="D3" s="712" t="s">
        <v>80</v>
      </c>
      <c r="E3" s="712" t="s">
        <v>81</v>
      </c>
      <c r="F3" s="712" t="s">
        <v>82</v>
      </c>
      <c r="G3" s="712" t="s">
        <v>83</v>
      </c>
      <c r="H3" s="712" t="s">
        <v>84</v>
      </c>
      <c r="I3" s="712" t="s">
        <v>85</v>
      </c>
      <c r="J3" s="712" t="s">
        <v>86</v>
      </c>
      <c r="K3" s="712" t="s">
        <v>87</v>
      </c>
      <c r="L3" s="712" t="s">
        <v>88</v>
      </c>
      <c r="M3" s="712" t="s">
        <v>303</v>
      </c>
      <c r="N3" s="712" t="s">
        <v>316</v>
      </c>
      <c r="O3" s="712" t="s">
        <v>332</v>
      </c>
      <c r="P3" s="712" t="s">
        <v>337</v>
      </c>
      <c r="Q3" s="712" t="s">
        <v>347</v>
      </c>
      <c r="R3" s="712" t="s">
        <v>353</v>
      </c>
      <c r="S3" s="712" t="s">
        <v>354</v>
      </c>
      <c r="T3" s="712" t="s">
        <v>426</v>
      </c>
      <c r="U3" s="712" t="s">
        <v>447</v>
      </c>
      <c r="V3" s="725" t="s">
        <v>444</v>
      </c>
      <c r="W3" s="725" t="s">
        <v>445</v>
      </c>
      <c r="X3" s="727" t="s">
        <v>446</v>
      </c>
    </row>
    <row r="4" spans="1:24" ht="19.5" customHeight="1" thickBot="1">
      <c r="A4" s="724"/>
      <c r="B4" s="740"/>
      <c r="C4" s="713"/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  <c r="O4" s="713"/>
      <c r="P4" s="713"/>
      <c r="Q4" s="713"/>
      <c r="R4" s="713"/>
      <c r="S4" s="713"/>
      <c r="T4" s="713"/>
      <c r="U4" s="713"/>
      <c r="V4" s="726"/>
      <c r="W4" s="726"/>
      <c r="X4" s="728"/>
    </row>
    <row r="5" spans="1:24" ht="17.25" thickBot="1" thickTop="1">
      <c r="A5" s="3">
        <v>100</v>
      </c>
      <c r="B5" s="741" t="s">
        <v>91</v>
      </c>
      <c r="C5" s="742"/>
      <c r="D5" s="4">
        <f aca="true" t="shared" si="0" ref="D5:M5">D6+D12+D17</f>
        <v>4005975</v>
      </c>
      <c r="E5" s="4">
        <f t="shared" si="0"/>
        <v>4409049</v>
      </c>
      <c r="F5" s="4">
        <f t="shared" si="0"/>
        <v>5183529</v>
      </c>
      <c r="G5" s="4">
        <f t="shared" si="0"/>
        <v>5169506</v>
      </c>
      <c r="H5" s="4">
        <f t="shared" si="0"/>
        <v>4342169</v>
      </c>
      <c r="I5" s="4">
        <f t="shared" si="0"/>
        <v>4854565</v>
      </c>
      <c r="J5" s="4">
        <f t="shared" si="0"/>
        <v>5209041</v>
      </c>
      <c r="K5" s="4">
        <f t="shared" si="0"/>
        <v>4997011</v>
      </c>
      <c r="L5" s="4">
        <f t="shared" si="0"/>
        <v>5140983.68</v>
      </c>
      <c r="M5" s="469">
        <f t="shared" si="0"/>
        <v>5807550.21</v>
      </c>
      <c r="N5" s="4">
        <f>N6+N12+N17</f>
        <v>6453363.550000001</v>
      </c>
      <c r="O5" s="469">
        <f>O6+O12+O17</f>
        <v>6809462.010000001</v>
      </c>
      <c r="P5" s="469">
        <f>P6+P12+P17</f>
        <v>7281076.170000001</v>
      </c>
      <c r="Q5" s="469">
        <f>Q6+Q12+Q17</f>
        <v>7988329.25</v>
      </c>
      <c r="R5" s="469">
        <f>R6+R12+R17</f>
        <v>8043385.96</v>
      </c>
      <c r="S5" s="424">
        <v>8366279.7</v>
      </c>
      <c r="T5" s="586">
        <v>9161330.97</v>
      </c>
      <c r="U5" s="424">
        <f>U6+U12+U17</f>
        <v>9353269</v>
      </c>
      <c r="V5" s="424">
        <f>V6+V12+V17</f>
        <v>9621866</v>
      </c>
      <c r="W5" s="586">
        <f>W6+W12+W17</f>
        <v>9519656.5</v>
      </c>
      <c r="X5" s="610">
        <f>IF(V5=0,0,W5/V5)*100</f>
        <v>98.93773723308972</v>
      </c>
    </row>
    <row r="6" spans="1:24" ht="15.75" thickBot="1">
      <c r="A6" s="5">
        <v>110</v>
      </c>
      <c r="B6" s="707" t="s">
        <v>92</v>
      </c>
      <c r="C6" s="743"/>
      <c r="D6" s="7">
        <f>D7</f>
        <v>3340935</v>
      </c>
      <c r="E6" s="7">
        <f>E7</f>
        <v>3718815</v>
      </c>
      <c r="F6" s="7">
        <f>F7</f>
        <v>4552845</v>
      </c>
      <c r="G6" s="7">
        <f>G7</f>
        <v>4537123</v>
      </c>
      <c r="H6" s="7">
        <f>H7</f>
        <v>3726916</v>
      </c>
      <c r="I6" s="7">
        <f aca="true" t="shared" si="1" ref="I6:R6">I7</f>
        <v>4195159</v>
      </c>
      <c r="J6" s="7">
        <f t="shared" si="1"/>
        <v>4432132</v>
      </c>
      <c r="K6" s="7">
        <f t="shared" si="1"/>
        <v>4175784</v>
      </c>
      <c r="L6" s="7">
        <f t="shared" si="1"/>
        <v>4401458.42</v>
      </c>
      <c r="M6" s="470">
        <f t="shared" si="1"/>
        <v>5016805.1</v>
      </c>
      <c r="N6" s="7">
        <f t="shared" si="1"/>
        <v>5542925.66</v>
      </c>
      <c r="O6" s="470">
        <f t="shared" si="1"/>
        <v>5877883.03</v>
      </c>
      <c r="P6" s="470">
        <f t="shared" si="1"/>
        <v>6368965.23</v>
      </c>
      <c r="Q6" s="470">
        <f t="shared" si="1"/>
        <v>7093467.67</v>
      </c>
      <c r="R6" s="470">
        <f t="shared" si="1"/>
        <v>7044253.25</v>
      </c>
      <c r="S6" s="425">
        <v>7229624.83</v>
      </c>
      <c r="T6" s="587">
        <v>7838338.2</v>
      </c>
      <c r="U6" s="425">
        <f>U7</f>
        <v>8052669</v>
      </c>
      <c r="V6" s="425">
        <f>V7</f>
        <v>8251804</v>
      </c>
      <c r="W6" s="587">
        <f>W7</f>
        <v>8115095.23</v>
      </c>
      <c r="X6" s="611">
        <f>IF(V6=0,0,W6/V6)*100</f>
        <v>98.34328626806939</v>
      </c>
    </row>
    <row r="7" spans="1:24" ht="13.5" thickBot="1">
      <c r="A7" s="714"/>
      <c r="B7" s="717"/>
      <c r="C7" s="409" t="s">
        <v>93</v>
      </c>
      <c r="D7" s="9">
        <v>3340935</v>
      </c>
      <c r="E7" s="9">
        <v>3718815</v>
      </c>
      <c r="F7" s="9">
        <v>4552845</v>
      </c>
      <c r="G7" s="9">
        <v>4537123</v>
      </c>
      <c r="H7" s="9">
        <v>3726916</v>
      </c>
      <c r="I7" s="10">
        <v>4195159</v>
      </c>
      <c r="J7" s="10">
        <v>4432132</v>
      </c>
      <c r="K7" s="11">
        <v>4175784</v>
      </c>
      <c r="L7" s="11">
        <v>4401458.42</v>
      </c>
      <c r="M7" s="222">
        <v>5016805.1</v>
      </c>
      <c r="N7" s="12">
        <v>5542925.66</v>
      </c>
      <c r="O7" s="222">
        <v>5877883.03</v>
      </c>
      <c r="P7" s="222">
        <v>6368965.23</v>
      </c>
      <c r="Q7" s="222">
        <v>7093467.67</v>
      </c>
      <c r="R7" s="222">
        <v>7044253.25</v>
      </c>
      <c r="S7" s="12">
        <v>7229624.83</v>
      </c>
      <c r="T7" s="222">
        <v>7838338.2</v>
      </c>
      <c r="U7" s="12">
        <v>8052669</v>
      </c>
      <c r="V7" s="12">
        <v>8251804</v>
      </c>
      <c r="W7" s="456">
        <v>8115095.23</v>
      </c>
      <c r="X7" s="612">
        <f>IF(V7=0,0,W7/V7)*100</f>
        <v>98.34328626806939</v>
      </c>
    </row>
    <row r="8" spans="1:24" ht="13.5" hidden="1" thickBot="1">
      <c r="A8" s="715"/>
      <c r="B8" s="718"/>
      <c r="C8" s="114" t="s">
        <v>225</v>
      </c>
      <c r="D8" s="114"/>
      <c r="E8" s="114"/>
      <c r="F8" s="114"/>
      <c r="G8" s="114"/>
      <c r="H8" s="114"/>
      <c r="I8" s="77"/>
      <c r="J8" s="77"/>
      <c r="K8" s="126"/>
      <c r="L8" s="126"/>
      <c r="M8" s="178"/>
      <c r="N8" s="84"/>
      <c r="O8" s="84"/>
      <c r="P8" s="84"/>
      <c r="Q8" s="178"/>
      <c r="R8" s="178"/>
      <c r="S8" s="84"/>
      <c r="T8" s="178"/>
      <c r="U8" s="84"/>
      <c r="V8" s="84"/>
      <c r="W8" s="454"/>
      <c r="X8" s="613">
        <f>IF(V8=0,0,W8/V8)</f>
        <v>0</v>
      </c>
    </row>
    <row r="9" spans="1:25" ht="13.5" hidden="1" thickBot="1">
      <c r="A9" s="715"/>
      <c r="B9" s="718"/>
      <c r="C9" s="22" t="s">
        <v>90</v>
      </c>
      <c r="D9" s="22"/>
      <c r="E9" s="22"/>
      <c r="F9" s="22"/>
      <c r="G9" s="22"/>
      <c r="H9" s="22"/>
      <c r="I9" s="81"/>
      <c r="J9" s="81"/>
      <c r="K9" s="23"/>
      <c r="L9" s="23"/>
      <c r="M9" s="180"/>
      <c r="N9" s="24"/>
      <c r="O9" s="24"/>
      <c r="P9" s="24"/>
      <c r="Q9" s="180"/>
      <c r="R9" s="180"/>
      <c r="S9" s="24"/>
      <c r="T9" s="180"/>
      <c r="U9" s="24"/>
      <c r="V9" s="24"/>
      <c r="W9" s="455"/>
      <c r="X9" s="614">
        <f>IF(V9=0,0,W9/V9)</f>
        <v>0</v>
      </c>
      <c r="Y9" s="453"/>
    </row>
    <row r="10" spans="1:24" ht="13.5" hidden="1" thickBot="1">
      <c r="A10" s="715"/>
      <c r="B10" s="718"/>
      <c r="C10" s="22" t="s">
        <v>229</v>
      </c>
      <c r="D10" s="22"/>
      <c r="E10" s="22"/>
      <c r="F10" s="22"/>
      <c r="G10" s="22"/>
      <c r="H10" s="22"/>
      <c r="I10" s="81"/>
      <c r="J10" s="81"/>
      <c r="K10" s="23"/>
      <c r="L10" s="23"/>
      <c r="M10" s="180"/>
      <c r="N10" s="24"/>
      <c r="O10" s="24"/>
      <c r="P10" s="24"/>
      <c r="Q10" s="180"/>
      <c r="R10" s="180"/>
      <c r="S10" s="24"/>
      <c r="T10" s="180"/>
      <c r="U10" s="24"/>
      <c r="V10" s="24"/>
      <c r="W10" s="455"/>
      <c r="X10" s="614">
        <f>IF(V10=0,0,W10/V10)</f>
        <v>0</v>
      </c>
    </row>
    <row r="11" spans="1:24" ht="13.5" hidden="1" thickBot="1">
      <c r="A11" s="716"/>
      <c r="B11" s="719"/>
      <c r="C11" s="25" t="s">
        <v>221</v>
      </c>
      <c r="D11" s="25"/>
      <c r="E11" s="25"/>
      <c r="F11" s="25"/>
      <c r="G11" s="25"/>
      <c r="H11" s="25"/>
      <c r="I11" s="251"/>
      <c r="J11" s="251"/>
      <c r="K11" s="252"/>
      <c r="L11" s="252"/>
      <c r="M11" s="230"/>
      <c r="N11" s="43"/>
      <c r="O11" s="43"/>
      <c r="P11" s="43"/>
      <c r="Q11" s="230"/>
      <c r="R11" s="230"/>
      <c r="S11" s="43"/>
      <c r="T11" s="230"/>
      <c r="U11" s="43"/>
      <c r="V11" s="43"/>
      <c r="W11" s="633"/>
      <c r="X11" s="615">
        <f>IF(V11=0,0,W11/V11)</f>
        <v>0</v>
      </c>
    </row>
    <row r="12" spans="1:24" ht="15.75" thickBot="1">
      <c r="A12" s="28">
        <v>120</v>
      </c>
      <c r="B12" s="731" t="s">
        <v>94</v>
      </c>
      <c r="C12" s="732"/>
      <c r="D12" s="14">
        <f>D13</f>
        <v>295824</v>
      </c>
      <c r="E12" s="14">
        <f>E13</f>
        <v>311093</v>
      </c>
      <c r="F12" s="14">
        <f>F13</f>
        <v>361216</v>
      </c>
      <c r="G12" s="14">
        <f>G13</f>
        <v>341843</v>
      </c>
      <c r="H12" s="14">
        <v>316587</v>
      </c>
      <c r="I12" s="14">
        <f aca="true" t="shared" si="2" ref="I12:R12">I13</f>
        <v>360438</v>
      </c>
      <c r="J12" s="14">
        <f t="shared" si="2"/>
        <v>460690</v>
      </c>
      <c r="K12" s="14">
        <f t="shared" si="2"/>
        <v>388905</v>
      </c>
      <c r="L12" s="14">
        <f t="shared" si="2"/>
        <v>335641.24</v>
      </c>
      <c r="M12" s="224">
        <f t="shared" si="2"/>
        <v>396789.44</v>
      </c>
      <c r="N12" s="14">
        <f t="shared" si="2"/>
        <v>470206.4</v>
      </c>
      <c r="O12" s="224">
        <f t="shared" si="2"/>
        <v>490398.24</v>
      </c>
      <c r="P12" s="224">
        <f t="shared" si="2"/>
        <v>477910.94</v>
      </c>
      <c r="Q12" s="566">
        <f t="shared" si="2"/>
        <v>461578.98</v>
      </c>
      <c r="R12" s="566">
        <f t="shared" si="2"/>
        <v>534837.91</v>
      </c>
      <c r="S12" s="426">
        <v>579640.49</v>
      </c>
      <c r="T12" s="566">
        <v>721952.46</v>
      </c>
      <c r="U12" s="426">
        <f>U13</f>
        <v>660000</v>
      </c>
      <c r="V12" s="426">
        <f>V13</f>
        <v>708452</v>
      </c>
      <c r="W12" s="566">
        <f>W13</f>
        <v>772070.66</v>
      </c>
      <c r="X12" s="616">
        <f aca="true" t="shared" si="3" ref="X12:X75">IF(V12=0,0,W12/V12)*100</f>
        <v>108.97995347602942</v>
      </c>
    </row>
    <row r="13" spans="1:24" ht="13.5" thickBot="1">
      <c r="A13" s="720"/>
      <c r="B13" s="8">
        <v>121</v>
      </c>
      <c r="C13" s="15" t="s">
        <v>95</v>
      </c>
      <c r="D13" s="15">
        <v>295824</v>
      </c>
      <c r="E13" s="15">
        <v>311093</v>
      </c>
      <c r="F13" s="15">
        <v>361216</v>
      </c>
      <c r="G13" s="15">
        <v>341843</v>
      </c>
      <c r="H13" s="15">
        <v>316587</v>
      </c>
      <c r="I13" s="16">
        <f aca="true" t="shared" si="4" ref="I13:R13">SUM(I14:I16)</f>
        <v>360438</v>
      </c>
      <c r="J13" s="16">
        <f t="shared" si="4"/>
        <v>460690</v>
      </c>
      <c r="K13" s="16">
        <f t="shared" si="4"/>
        <v>388905</v>
      </c>
      <c r="L13" s="16">
        <f t="shared" si="4"/>
        <v>335641.24</v>
      </c>
      <c r="M13" s="132">
        <f t="shared" si="4"/>
        <v>396789.44</v>
      </c>
      <c r="N13" s="16">
        <f t="shared" si="4"/>
        <v>470206.4</v>
      </c>
      <c r="O13" s="132">
        <f t="shared" si="4"/>
        <v>490398.24</v>
      </c>
      <c r="P13" s="132">
        <f t="shared" si="4"/>
        <v>477910.94</v>
      </c>
      <c r="Q13" s="526">
        <f t="shared" si="4"/>
        <v>461578.98</v>
      </c>
      <c r="R13" s="526">
        <f t="shared" si="4"/>
        <v>534837.91</v>
      </c>
      <c r="S13" s="429">
        <v>579640.49</v>
      </c>
      <c r="T13" s="526">
        <v>721952.46</v>
      </c>
      <c r="U13" s="429">
        <f>SUM(U14:U16)</f>
        <v>660000</v>
      </c>
      <c r="V13" s="429">
        <f>SUM(V14:V16)</f>
        <v>708452</v>
      </c>
      <c r="W13" s="526">
        <f>SUM(W14:W16)</f>
        <v>772070.66</v>
      </c>
      <c r="X13" s="617">
        <f t="shared" si="3"/>
        <v>108.97995347602942</v>
      </c>
    </row>
    <row r="14" spans="1:24" ht="12.75">
      <c r="A14" s="721"/>
      <c r="B14" s="704"/>
      <c r="C14" s="18" t="s">
        <v>96</v>
      </c>
      <c r="D14" s="19"/>
      <c r="E14" s="19"/>
      <c r="F14" s="19"/>
      <c r="G14" s="19"/>
      <c r="H14" s="19">
        <v>51780</v>
      </c>
      <c r="I14" s="19">
        <v>67186</v>
      </c>
      <c r="J14" s="20">
        <v>71840</v>
      </c>
      <c r="K14" s="20">
        <v>90890</v>
      </c>
      <c r="L14" s="20">
        <v>64647.11</v>
      </c>
      <c r="M14" s="105">
        <v>92446.08</v>
      </c>
      <c r="N14" s="21">
        <v>110741.25</v>
      </c>
      <c r="O14" s="105">
        <v>490398.24</v>
      </c>
      <c r="P14" s="105">
        <v>113964.55</v>
      </c>
      <c r="Q14" s="105">
        <v>461578.98</v>
      </c>
      <c r="R14" s="105">
        <v>130151.65</v>
      </c>
      <c r="S14" s="21">
        <v>155493.95</v>
      </c>
      <c r="T14" s="105">
        <v>221848.05</v>
      </c>
      <c r="U14" s="21">
        <v>183352</v>
      </c>
      <c r="V14" s="21">
        <v>195112</v>
      </c>
      <c r="W14" s="454">
        <v>195669.33</v>
      </c>
      <c r="X14" s="613">
        <f t="shared" si="3"/>
        <v>100.28564619295584</v>
      </c>
    </row>
    <row r="15" spans="1:24" ht="12.75">
      <c r="A15" s="721"/>
      <c r="B15" s="705"/>
      <c r="C15" s="22" t="s">
        <v>97</v>
      </c>
      <c r="D15" s="22"/>
      <c r="E15" s="22"/>
      <c r="F15" s="22"/>
      <c r="G15" s="22"/>
      <c r="H15" s="22">
        <v>234536</v>
      </c>
      <c r="I15" s="22">
        <v>264067</v>
      </c>
      <c r="J15" s="23">
        <v>359760</v>
      </c>
      <c r="K15" s="23">
        <v>267120</v>
      </c>
      <c r="L15" s="23">
        <v>239509.09</v>
      </c>
      <c r="M15" s="180">
        <v>271513.31</v>
      </c>
      <c r="N15" s="24">
        <v>321276.38</v>
      </c>
      <c r="O15" s="24"/>
      <c r="P15" s="24">
        <v>324799.75</v>
      </c>
      <c r="Q15" s="180"/>
      <c r="R15" s="180">
        <v>360134.97</v>
      </c>
      <c r="S15" s="24">
        <v>378358.31</v>
      </c>
      <c r="T15" s="180">
        <v>453759.85</v>
      </c>
      <c r="U15" s="24">
        <v>426997</v>
      </c>
      <c r="V15" s="24">
        <v>454384</v>
      </c>
      <c r="W15" s="455">
        <v>509205.28</v>
      </c>
      <c r="X15" s="614">
        <f t="shared" si="3"/>
        <v>112.0649670763055</v>
      </c>
    </row>
    <row r="16" spans="1:24" ht="14.25" customHeight="1" thickBot="1">
      <c r="A16" s="722"/>
      <c r="B16" s="706"/>
      <c r="C16" s="25" t="s">
        <v>98</v>
      </c>
      <c r="D16" s="25"/>
      <c r="E16" s="25"/>
      <c r="F16" s="25"/>
      <c r="G16" s="25"/>
      <c r="H16" s="25">
        <v>30271</v>
      </c>
      <c r="I16" s="25">
        <v>29185</v>
      </c>
      <c r="J16" s="26">
        <v>29090</v>
      </c>
      <c r="K16" s="26">
        <v>30895</v>
      </c>
      <c r="L16" s="26">
        <v>31485.04</v>
      </c>
      <c r="M16" s="198">
        <v>32830.05</v>
      </c>
      <c r="N16" s="27">
        <v>38188.77</v>
      </c>
      <c r="O16" s="27"/>
      <c r="P16" s="27">
        <v>39146.64</v>
      </c>
      <c r="Q16" s="198"/>
      <c r="R16" s="198">
        <v>44551.29</v>
      </c>
      <c r="S16" s="27">
        <v>45788.23</v>
      </c>
      <c r="T16" s="198">
        <v>46344.56</v>
      </c>
      <c r="U16" s="27">
        <v>49651</v>
      </c>
      <c r="V16" s="27">
        <v>58956</v>
      </c>
      <c r="W16" s="633">
        <v>67196.05</v>
      </c>
      <c r="X16" s="615">
        <f t="shared" si="3"/>
        <v>113.97660967501189</v>
      </c>
    </row>
    <row r="17" spans="1:24" ht="15.75" thickBot="1">
      <c r="A17" s="28">
        <v>130</v>
      </c>
      <c r="B17" s="731" t="s">
        <v>99</v>
      </c>
      <c r="C17" s="732"/>
      <c r="D17" s="14">
        <f>D18</f>
        <v>369216</v>
      </c>
      <c r="E17" s="14">
        <f>E18</f>
        <v>379141</v>
      </c>
      <c r="F17" s="14">
        <f>F18</f>
        <v>269468</v>
      </c>
      <c r="G17" s="14">
        <f>G18</f>
        <v>290540</v>
      </c>
      <c r="H17" s="14">
        <f>H18</f>
        <v>298666</v>
      </c>
      <c r="I17" s="14">
        <f aca="true" t="shared" si="5" ref="I17:W17">I18</f>
        <v>298968</v>
      </c>
      <c r="J17" s="14">
        <f t="shared" si="5"/>
        <v>316219</v>
      </c>
      <c r="K17" s="14">
        <f t="shared" si="5"/>
        <v>432322</v>
      </c>
      <c r="L17" s="14">
        <f t="shared" si="5"/>
        <v>403884.02</v>
      </c>
      <c r="M17" s="224">
        <f t="shared" si="5"/>
        <v>393955.67</v>
      </c>
      <c r="N17" s="14">
        <f t="shared" si="5"/>
        <v>440231.49</v>
      </c>
      <c r="O17" s="224">
        <f t="shared" si="5"/>
        <v>441180.74</v>
      </c>
      <c r="P17" s="426">
        <f t="shared" si="5"/>
        <v>434200</v>
      </c>
      <c r="Q17" s="566">
        <f t="shared" si="5"/>
        <v>433282.6</v>
      </c>
      <c r="R17" s="566">
        <f t="shared" si="5"/>
        <v>464294.8</v>
      </c>
      <c r="S17" s="426">
        <v>557014.38</v>
      </c>
      <c r="T17" s="566">
        <v>601040.31</v>
      </c>
      <c r="U17" s="426">
        <f t="shared" si="5"/>
        <v>640600</v>
      </c>
      <c r="V17" s="426">
        <f t="shared" si="5"/>
        <v>661610</v>
      </c>
      <c r="W17" s="566">
        <f t="shared" si="5"/>
        <v>632490.6100000001</v>
      </c>
      <c r="X17" s="616">
        <f t="shared" si="3"/>
        <v>95.5987076978885</v>
      </c>
    </row>
    <row r="18" spans="1:24" ht="14.25" customHeight="1" thickBot="1">
      <c r="A18" s="701"/>
      <c r="B18" s="29">
        <v>133</v>
      </c>
      <c r="C18" s="30" t="s">
        <v>100</v>
      </c>
      <c r="D18" s="31">
        <v>369216</v>
      </c>
      <c r="E18" s="31">
        <v>379141</v>
      </c>
      <c r="F18" s="31">
        <v>269468</v>
      </c>
      <c r="G18" s="31">
        <v>290540</v>
      </c>
      <c r="H18" s="32">
        <f aca="true" t="shared" si="6" ref="H18:M18">SUM(H19:H25)</f>
        <v>298666</v>
      </c>
      <c r="I18" s="32">
        <f t="shared" si="6"/>
        <v>298968</v>
      </c>
      <c r="J18" s="33">
        <f t="shared" si="6"/>
        <v>316219</v>
      </c>
      <c r="K18" s="33">
        <f t="shared" si="6"/>
        <v>432322</v>
      </c>
      <c r="L18" s="33">
        <f>SUM(L19:L25)</f>
        <v>403884.02</v>
      </c>
      <c r="M18" s="298">
        <f t="shared" si="6"/>
        <v>393955.67</v>
      </c>
      <c r="N18" s="33">
        <f aca="true" t="shared" si="7" ref="N18:V18">SUM(N19:N25)</f>
        <v>440231.49</v>
      </c>
      <c r="O18" s="298">
        <f t="shared" si="7"/>
        <v>441180.74</v>
      </c>
      <c r="P18" s="113">
        <f t="shared" si="7"/>
        <v>434200</v>
      </c>
      <c r="Q18" s="487">
        <f t="shared" si="7"/>
        <v>433282.6</v>
      </c>
      <c r="R18" s="487">
        <f t="shared" si="7"/>
        <v>464294.8</v>
      </c>
      <c r="S18" s="113">
        <v>557014.38</v>
      </c>
      <c r="T18" s="487">
        <v>601040.31</v>
      </c>
      <c r="U18" s="113">
        <f>SUM(U19:U25)</f>
        <v>640600</v>
      </c>
      <c r="V18" s="113">
        <f t="shared" si="7"/>
        <v>661610</v>
      </c>
      <c r="W18" s="487">
        <f>SUM(W19:W25)</f>
        <v>632490.6100000001</v>
      </c>
      <c r="X18" s="618">
        <f t="shared" si="3"/>
        <v>95.5987076978885</v>
      </c>
    </row>
    <row r="19" spans="1:25" ht="14.25" customHeight="1">
      <c r="A19" s="702"/>
      <c r="B19" s="709"/>
      <c r="C19" s="36" t="s">
        <v>101</v>
      </c>
      <c r="D19" s="36"/>
      <c r="E19" s="36"/>
      <c r="F19" s="36"/>
      <c r="G19" s="36"/>
      <c r="H19" s="36">
        <v>7752</v>
      </c>
      <c r="I19" s="37">
        <v>7713</v>
      </c>
      <c r="J19" s="21">
        <v>7990</v>
      </c>
      <c r="K19" s="21">
        <v>9276</v>
      </c>
      <c r="L19" s="21">
        <v>9178.11</v>
      </c>
      <c r="M19" s="105">
        <v>9228.06</v>
      </c>
      <c r="N19" s="21">
        <v>12166.42</v>
      </c>
      <c r="O19" s="105">
        <v>11448.4</v>
      </c>
      <c r="P19" s="105">
        <v>11685.91</v>
      </c>
      <c r="Q19" s="105">
        <v>11344.54</v>
      </c>
      <c r="R19" s="105">
        <v>11359.16</v>
      </c>
      <c r="S19" s="21">
        <v>13048.94</v>
      </c>
      <c r="T19" s="105">
        <v>12229.68</v>
      </c>
      <c r="U19" s="21">
        <v>11300</v>
      </c>
      <c r="V19" s="21">
        <v>12100</v>
      </c>
      <c r="W19" s="454">
        <v>12613.25</v>
      </c>
      <c r="X19" s="613">
        <f t="shared" si="3"/>
        <v>104.24173553719007</v>
      </c>
      <c r="Y19" s="453"/>
    </row>
    <row r="20" spans="1:24" ht="14.25" customHeight="1">
      <c r="A20" s="702"/>
      <c r="B20" s="710"/>
      <c r="C20" s="38" t="s">
        <v>102</v>
      </c>
      <c r="D20" s="38"/>
      <c r="E20" s="38"/>
      <c r="F20" s="38"/>
      <c r="G20" s="38"/>
      <c r="H20" s="38">
        <v>532</v>
      </c>
      <c r="I20" s="39">
        <v>732</v>
      </c>
      <c r="J20" s="24">
        <v>732</v>
      </c>
      <c r="K20" s="24">
        <v>749</v>
      </c>
      <c r="L20" s="24">
        <v>300</v>
      </c>
      <c r="M20" s="180">
        <v>300</v>
      </c>
      <c r="N20" s="24">
        <v>632</v>
      </c>
      <c r="O20" s="180">
        <v>398.66</v>
      </c>
      <c r="P20" s="180">
        <v>332</v>
      </c>
      <c r="Q20" s="180">
        <v>332</v>
      </c>
      <c r="R20" s="180">
        <v>332</v>
      </c>
      <c r="S20" s="24">
        <v>332</v>
      </c>
      <c r="T20" s="180">
        <v>332</v>
      </c>
      <c r="U20" s="24">
        <v>300</v>
      </c>
      <c r="V20" s="24">
        <v>400</v>
      </c>
      <c r="W20" s="455">
        <v>400</v>
      </c>
      <c r="X20" s="614">
        <f t="shared" si="3"/>
        <v>100</v>
      </c>
    </row>
    <row r="21" spans="1:24" ht="14.25" customHeight="1">
      <c r="A21" s="702"/>
      <c r="B21" s="710"/>
      <c r="C21" s="38" t="s">
        <v>103</v>
      </c>
      <c r="D21" s="38"/>
      <c r="E21" s="38"/>
      <c r="F21" s="38"/>
      <c r="G21" s="38"/>
      <c r="H21" s="38">
        <v>700</v>
      </c>
      <c r="I21" s="39">
        <v>750</v>
      </c>
      <c r="J21" s="24">
        <v>750</v>
      </c>
      <c r="K21" s="24">
        <v>725</v>
      </c>
      <c r="L21" s="24">
        <v>650</v>
      </c>
      <c r="M21" s="180">
        <v>679.15</v>
      </c>
      <c r="N21" s="24">
        <v>691.66</v>
      </c>
      <c r="O21" s="180">
        <v>875</v>
      </c>
      <c r="P21" s="180">
        <v>1190</v>
      </c>
      <c r="Q21" s="180">
        <v>1148.33</v>
      </c>
      <c r="R21" s="180">
        <v>1090</v>
      </c>
      <c r="S21" s="24">
        <v>1094.16</v>
      </c>
      <c r="T21" s="180">
        <v>1155.81</v>
      </c>
      <c r="U21" s="24">
        <v>1000</v>
      </c>
      <c r="V21" s="24">
        <v>1000</v>
      </c>
      <c r="W21" s="455">
        <v>1126.66</v>
      </c>
      <c r="X21" s="614">
        <f t="shared" si="3"/>
        <v>112.666</v>
      </c>
    </row>
    <row r="22" spans="1:24" ht="14.25" customHeight="1">
      <c r="A22" s="702"/>
      <c r="B22" s="710"/>
      <c r="C22" s="38" t="s">
        <v>104</v>
      </c>
      <c r="D22" s="38"/>
      <c r="E22" s="38"/>
      <c r="F22" s="38"/>
      <c r="G22" s="38"/>
      <c r="H22" s="38">
        <v>12441</v>
      </c>
      <c r="I22" s="39">
        <v>12101</v>
      </c>
      <c r="J22" s="24">
        <v>14430</v>
      </c>
      <c r="K22" s="24">
        <v>12793</v>
      </c>
      <c r="L22" s="24">
        <v>13503.5</v>
      </c>
      <c r="M22" s="180">
        <v>13052</v>
      </c>
      <c r="N22" s="24">
        <v>12555.5</v>
      </c>
      <c r="O22" s="180">
        <v>12857.5</v>
      </c>
      <c r="P22" s="180">
        <v>13737</v>
      </c>
      <c r="Q22" s="180">
        <v>16975</v>
      </c>
      <c r="R22" s="180">
        <v>9612</v>
      </c>
      <c r="S22" s="24">
        <v>6977.5</v>
      </c>
      <c r="T22" s="180">
        <v>10097</v>
      </c>
      <c r="U22" s="24">
        <v>7500</v>
      </c>
      <c r="V22" s="24">
        <v>16400</v>
      </c>
      <c r="W22" s="455">
        <v>18565</v>
      </c>
      <c r="X22" s="614">
        <f t="shared" si="3"/>
        <v>113.20121951219512</v>
      </c>
    </row>
    <row r="23" spans="1:24" ht="14.25" customHeight="1">
      <c r="A23" s="702"/>
      <c r="B23" s="710"/>
      <c r="C23" s="38" t="s">
        <v>105</v>
      </c>
      <c r="D23" s="38"/>
      <c r="E23" s="38"/>
      <c r="F23" s="38"/>
      <c r="G23" s="38"/>
      <c r="H23" s="38">
        <v>28263</v>
      </c>
      <c r="I23" s="39">
        <v>29878</v>
      </c>
      <c r="J23" s="24">
        <v>31474</v>
      </c>
      <c r="K23" s="24">
        <v>37978</v>
      </c>
      <c r="L23" s="24">
        <v>32751.27</v>
      </c>
      <c r="M23" s="180">
        <v>29179.68</v>
      </c>
      <c r="N23" s="24">
        <v>32177.92</v>
      </c>
      <c r="O23" s="180">
        <v>25859.559999999998</v>
      </c>
      <c r="P23" s="180">
        <v>30880.28</v>
      </c>
      <c r="Q23" s="180">
        <v>32198.11</v>
      </c>
      <c r="R23" s="180">
        <v>7144.4</v>
      </c>
      <c r="S23" s="24">
        <v>11213.12</v>
      </c>
      <c r="T23" s="180">
        <v>6262.94</v>
      </c>
      <c r="U23" s="24">
        <v>5500</v>
      </c>
      <c r="V23" s="24">
        <v>16710</v>
      </c>
      <c r="W23" s="455">
        <v>17745.66</v>
      </c>
      <c r="X23" s="614">
        <f t="shared" si="3"/>
        <v>106.19784560143626</v>
      </c>
    </row>
    <row r="24" spans="1:24" ht="14.25" customHeight="1">
      <c r="A24" s="702"/>
      <c r="B24" s="710"/>
      <c r="C24" s="38" t="s">
        <v>106</v>
      </c>
      <c r="D24" s="38"/>
      <c r="E24" s="38"/>
      <c r="F24" s="38"/>
      <c r="G24" s="38"/>
      <c r="H24" s="38">
        <v>162034</v>
      </c>
      <c r="I24" s="39">
        <f>159378+2395</f>
        <v>161773</v>
      </c>
      <c r="J24" s="24">
        <v>174176</v>
      </c>
      <c r="K24" s="24">
        <f>265321+3376</f>
        <v>268697</v>
      </c>
      <c r="L24" s="24">
        <v>243006.26</v>
      </c>
      <c r="M24" s="180">
        <v>240323.78</v>
      </c>
      <c r="N24" s="24">
        <v>255051.03999999998</v>
      </c>
      <c r="O24" s="180">
        <v>252038.01</v>
      </c>
      <c r="P24" s="180">
        <v>235688.58</v>
      </c>
      <c r="Q24" s="180">
        <v>223667.02000000002</v>
      </c>
      <c r="R24" s="180">
        <v>261473.29</v>
      </c>
      <c r="S24" s="24">
        <v>302847.66</v>
      </c>
      <c r="T24" s="180">
        <v>358669.78</v>
      </c>
      <c r="U24" s="24">
        <v>405000</v>
      </c>
      <c r="V24" s="24">
        <v>405000</v>
      </c>
      <c r="W24" s="455">
        <f>12032.94+360307.65</f>
        <v>372340.59</v>
      </c>
      <c r="X24" s="614">
        <f t="shared" si="3"/>
        <v>91.93594814814816</v>
      </c>
    </row>
    <row r="25" spans="1:24" ht="14.25" customHeight="1" thickBot="1">
      <c r="A25" s="703"/>
      <c r="B25" s="711"/>
      <c r="C25" s="41" t="s">
        <v>107</v>
      </c>
      <c r="D25" s="42"/>
      <c r="E25" s="42"/>
      <c r="F25" s="42"/>
      <c r="G25" s="42"/>
      <c r="H25" s="42">
        <v>86944</v>
      </c>
      <c r="I25" s="39">
        <v>86021</v>
      </c>
      <c r="J25" s="43">
        <v>86667</v>
      </c>
      <c r="K25" s="43">
        <v>102104</v>
      </c>
      <c r="L25" s="43">
        <v>104494.88</v>
      </c>
      <c r="M25" s="230">
        <v>101193</v>
      </c>
      <c r="N25" s="43">
        <v>126956.95</v>
      </c>
      <c r="O25" s="230">
        <v>137703.61</v>
      </c>
      <c r="P25" s="230">
        <v>140686.23</v>
      </c>
      <c r="Q25" s="230">
        <v>147617.6</v>
      </c>
      <c r="R25" s="230">
        <v>173283.95</v>
      </c>
      <c r="S25" s="43">
        <v>221501</v>
      </c>
      <c r="T25" s="230">
        <v>212293.1</v>
      </c>
      <c r="U25" s="43">
        <v>210000</v>
      </c>
      <c r="V25" s="43">
        <v>210000</v>
      </c>
      <c r="W25" s="633">
        <v>209699.45</v>
      </c>
      <c r="X25" s="615">
        <f t="shared" si="3"/>
        <v>99.85688095238096</v>
      </c>
    </row>
    <row r="26" spans="1:24" ht="16.5" customHeight="1" thickBot="1">
      <c r="A26" s="44">
        <v>200</v>
      </c>
      <c r="B26" s="733" t="s">
        <v>108</v>
      </c>
      <c r="C26" s="734"/>
      <c r="D26" s="45">
        <f>D27+D40+D60+D62</f>
        <v>1277767</v>
      </c>
      <c r="E26" s="45">
        <f>E27+E40+E60+E62</f>
        <v>1153090</v>
      </c>
      <c r="F26" s="45">
        <f>F27+F40+F60+F62</f>
        <v>1821583</v>
      </c>
      <c r="G26" s="45">
        <f>G27+G40+G60+G62</f>
        <v>1266222</v>
      </c>
      <c r="H26" s="45">
        <v>1215651</v>
      </c>
      <c r="I26" s="45">
        <f aca="true" t="shared" si="8" ref="I26:V26">I27+I40+I60+I62</f>
        <v>1492638</v>
      </c>
      <c r="J26" s="45">
        <f t="shared" si="8"/>
        <v>1090799</v>
      </c>
      <c r="K26" s="45">
        <f t="shared" si="8"/>
        <v>1258962</v>
      </c>
      <c r="L26" s="45">
        <f t="shared" si="8"/>
        <v>1049268.01</v>
      </c>
      <c r="M26" s="471">
        <f t="shared" si="8"/>
        <v>1119583.28</v>
      </c>
      <c r="N26" s="45">
        <f t="shared" si="8"/>
        <v>1113252.36</v>
      </c>
      <c r="O26" s="45">
        <f t="shared" si="8"/>
        <v>1054445.69</v>
      </c>
      <c r="P26" s="45">
        <f>P27+P40+P60+P62</f>
        <v>1433521.3099999998</v>
      </c>
      <c r="Q26" s="471">
        <f>Q27+Q40+Q60+Q62</f>
        <v>1469960.26</v>
      </c>
      <c r="R26" s="471">
        <f>R27+R40+R60+R62</f>
        <v>1173149.8099999998</v>
      </c>
      <c r="S26" s="427">
        <v>1313525.2</v>
      </c>
      <c r="T26" s="588">
        <v>1559614.43</v>
      </c>
      <c r="U26" s="427">
        <f>U27+U40+U60+U62</f>
        <v>1627310</v>
      </c>
      <c r="V26" s="427">
        <f t="shared" si="8"/>
        <v>1786216</v>
      </c>
      <c r="W26" s="588">
        <f>W27+W40+W60+W62</f>
        <v>1857685.7899999998</v>
      </c>
      <c r="X26" s="619">
        <f t="shared" si="3"/>
        <v>104.00118406732443</v>
      </c>
    </row>
    <row r="27" spans="1:24" ht="15.75" thickBot="1">
      <c r="A27" s="46">
        <v>210</v>
      </c>
      <c r="B27" s="707" t="s">
        <v>109</v>
      </c>
      <c r="C27" s="708"/>
      <c r="D27" s="47">
        <f>D28+D32</f>
        <v>873233</v>
      </c>
      <c r="E27" s="47">
        <f>E28+E32</f>
        <v>794430</v>
      </c>
      <c r="F27" s="47">
        <f>F28+F32</f>
        <v>1059517</v>
      </c>
      <c r="G27" s="47">
        <f>G28+G32</f>
        <v>810580</v>
      </c>
      <c r="H27" s="47">
        <v>598394</v>
      </c>
      <c r="I27" s="47">
        <f aca="true" t="shared" si="9" ref="I27:R27">I28+I32</f>
        <v>741364</v>
      </c>
      <c r="J27" s="47">
        <f t="shared" si="9"/>
        <v>560834</v>
      </c>
      <c r="K27" s="47">
        <f t="shared" si="9"/>
        <v>650004</v>
      </c>
      <c r="L27" s="47">
        <f t="shared" si="9"/>
        <v>379467.55</v>
      </c>
      <c r="M27" s="472">
        <f t="shared" si="9"/>
        <v>418308.61</v>
      </c>
      <c r="N27" s="47">
        <f t="shared" si="9"/>
        <v>461210.13</v>
      </c>
      <c r="O27" s="472">
        <f t="shared" si="9"/>
        <v>442510.63</v>
      </c>
      <c r="P27" s="47">
        <f t="shared" si="9"/>
        <v>507429.88</v>
      </c>
      <c r="Q27" s="472">
        <f t="shared" si="9"/>
        <v>529407.6</v>
      </c>
      <c r="R27" s="472">
        <f t="shared" si="9"/>
        <v>467813.66</v>
      </c>
      <c r="S27" s="428">
        <v>532496.97</v>
      </c>
      <c r="T27" s="589">
        <v>560824.78</v>
      </c>
      <c r="U27" s="428">
        <f>U28+U32</f>
        <v>581910</v>
      </c>
      <c r="V27" s="428">
        <f>V28+V32</f>
        <v>573035</v>
      </c>
      <c r="W27" s="589">
        <f>W28+W32</f>
        <v>564331.74</v>
      </c>
      <c r="X27" s="620">
        <f t="shared" si="3"/>
        <v>98.4811992286684</v>
      </c>
    </row>
    <row r="28" spans="1:24" ht="13.5" customHeight="1" thickBot="1">
      <c r="A28" s="701" t="s">
        <v>110</v>
      </c>
      <c r="B28" s="8">
        <v>211</v>
      </c>
      <c r="C28" s="48" t="s">
        <v>109</v>
      </c>
      <c r="D28" s="8">
        <v>93242</v>
      </c>
      <c r="E28" s="8">
        <v>23701</v>
      </c>
      <c r="F28" s="8">
        <v>51351</v>
      </c>
      <c r="G28" s="8">
        <v>38822</v>
      </c>
      <c r="H28" s="8">
        <v>66052</v>
      </c>
      <c r="I28" s="33">
        <f aca="true" t="shared" si="10" ref="I28:W28">SUM(I29:I31)</f>
        <v>29084</v>
      </c>
      <c r="J28" s="33">
        <f t="shared" si="10"/>
        <v>47000</v>
      </c>
      <c r="K28" s="33">
        <f t="shared" si="10"/>
        <v>58181</v>
      </c>
      <c r="L28" s="33">
        <f>SUM(L29:L31)</f>
        <v>20000</v>
      </c>
      <c r="M28" s="33">
        <f t="shared" si="10"/>
        <v>15000</v>
      </c>
      <c r="N28" s="33">
        <f t="shared" si="10"/>
        <v>24000</v>
      </c>
      <c r="O28" s="298">
        <f>SUM(O29:O31)</f>
        <v>11000</v>
      </c>
      <c r="P28" s="33">
        <f>SUM(P29:P31)</f>
        <v>12500</v>
      </c>
      <c r="Q28" s="298">
        <f>SUM(Q29:Q31)</f>
        <v>14371.43</v>
      </c>
      <c r="R28" s="298">
        <f>SUM(R29:R31)</f>
        <v>13122.45</v>
      </c>
      <c r="S28" s="113">
        <v>11873.47</v>
      </c>
      <c r="T28" s="487">
        <v>16244.9</v>
      </c>
      <c r="U28" s="113">
        <f>SUM(U29:U31)</f>
        <v>20000</v>
      </c>
      <c r="V28" s="113">
        <f t="shared" si="10"/>
        <v>10000</v>
      </c>
      <c r="W28" s="487">
        <f t="shared" si="10"/>
        <v>10000</v>
      </c>
      <c r="X28" s="618">
        <f t="shared" si="3"/>
        <v>100</v>
      </c>
    </row>
    <row r="29" spans="1:24" ht="12.75" customHeight="1" hidden="1">
      <c r="A29" s="702"/>
      <c r="B29" s="704"/>
      <c r="C29" s="49" t="s">
        <v>111</v>
      </c>
      <c r="D29" s="50"/>
      <c r="E29" s="50"/>
      <c r="F29" s="50"/>
      <c r="G29" s="50"/>
      <c r="H29" s="50"/>
      <c r="I29" s="50"/>
      <c r="J29" s="50"/>
      <c r="K29" s="51"/>
      <c r="L29" s="21"/>
      <c r="M29" s="21"/>
      <c r="N29" s="21"/>
      <c r="O29" s="105"/>
      <c r="P29" s="21"/>
      <c r="Q29" s="105"/>
      <c r="R29" s="105"/>
      <c r="S29" s="21"/>
      <c r="T29" s="105">
        <v>6244.9</v>
      </c>
      <c r="U29" s="21"/>
      <c r="V29" s="21"/>
      <c r="W29" s="454"/>
      <c r="X29" s="613">
        <f t="shared" si="3"/>
        <v>0</v>
      </c>
    </row>
    <row r="30" spans="1:24" ht="12.75" customHeight="1" hidden="1">
      <c r="A30" s="702"/>
      <c r="B30" s="705"/>
      <c r="C30" s="52" t="s">
        <v>112</v>
      </c>
      <c r="D30" s="52"/>
      <c r="E30" s="52"/>
      <c r="F30" s="52"/>
      <c r="G30" s="52"/>
      <c r="H30" s="52"/>
      <c r="I30" s="52"/>
      <c r="J30" s="52"/>
      <c r="K30" s="39"/>
      <c r="L30" s="24"/>
      <c r="M30" s="24"/>
      <c r="N30" s="24"/>
      <c r="O30" s="180"/>
      <c r="P30" s="24"/>
      <c r="Q30" s="180"/>
      <c r="R30" s="180"/>
      <c r="S30" s="24"/>
      <c r="T30" s="180"/>
      <c r="U30" s="24"/>
      <c r="V30" s="24"/>
      <c r="W30" s="455"/>
      <c r="X30" s="614">
        <f t="shared" si="3"/>
        <v>0</v>
      </c>
    </row>
    <row r="31" spans="1:24" ht="13.5" thickBot="1">
      <c r="A31" s="702"/>
      <c r="B31" s="706"/>
      <c r="C31" s="53" t="s">
        <v>113</v>
      </c>
      <c r="D31" s="53"/>
      <c r="E31" s="53"/>
      <c r="F31" s="53"/>
      <c r="G31" s="53"/>
      <c r="H31" s="53"/>
      <c r="I31" s="53">
        <v>29084</v>
      </c>
      <c r="J31" s="53">
        <v>47000</v>
      </c>
      <c r="K31" s="54">
        <v>58181</v>
      </c>
      <c r="L31" s="27">
        <v>20000</v>
      </c>
      <c r="M31" s="27">
        <v>15000</v>
      </c>
      <c r="N31" s="27">
        <v>24000</v>
      </c>
      <c r="O31" s="198">
        <v>11000</v>
      </c>
      <c r="P31" s="27">
        <v>12500</v>
      </c>
      <c r="Q31" s="198">
        <v>14371.43</v>
      </c>
      <c r="R31" s="575">
        <v>13122.45</v>
      </c>
      <c r="S31" s="27">
        <v>11873.47</v>
      </c>
      <c r="T31" s="198">
        <v>10000</v>
      </c>
      <c r="U31" s="27">
        <v>20000</v>
      </c>
      <c r="V31" s="27">
        <v>10000</v>
      </c>
      <c r="W31" s="633">
        <v>10000</v>
      </c>
      <c r="X31" s="615">
        <f t="shared" si="3"/>
        <v>100</v>
      </c>
    </row>
    <row r="32" spans="1:24" ht="13.5" thickBot="1">
      <c r="A32" s="702"/>
      <c r="B32" s="55">
        <v>212</v>
      </c>
      <c r="C32" s="56" t="s">
        <v>114</v>
      </c>
      <c r="D32" s="57">
        <f>SUM(D33:D39)</f>
        <v>779991</v>
      </c>
      <c r="E32" s="57">
        <f>SUM(E33:E39)</f>
        <v>770729</v>
      </c>
      <c r="F32" s="57">
        <f>SUM(F33:F39)</f>
        <v>1008166</v>
      </c>
      <c r="G32" s="57">
        <f>SUM(G33:G39)</f>
        <v>771758</v>
      </c>
      <c r="H32" s="57">
        <v>532342</v>
      </c>
      <c r="I32" s="57">
        <f aca="true" t="shared" si="11" ref="I32:W32">SUM(I33:I39)</f>
        <v>712280</v>
      </c>
      <c r="J32" s="57">
        <f t="shared" si="11"/>
        <v>513834</v>
      </c>
      <c r="K32" s="58">
        <f t="shared" si="11"/>
        <v>591823</v>
      </c>
      <c r="L32" s="58">
        <f t="shared" si="11"/>
        <v>359467.55</v>
      </c>
      <c r="M32" s="138">
        <f t="shared" si="11"/>
        <v>403308.61</v>
      </c>
      <c r="N32" s="58">
        <f t="shared" si="11"/>
        <v>437210.13</v>
      </c>
      <c r="O32" s="138">
        <f t="shared" si="11"/>
        <v>431510.63</v>
      </c>
      <c r="P32" s="58">
        <f>SUM(P33:P39)</f>
        <v>494929.88</v>
      </c>
      <c r="Q32" s="138">
        <f t="shared" si="11"/>
        <v>515036.17</v>
      </c>
      <c r="R32" s="138">
        <f t="shared" si="11"/>
        <v>454691.20999999996</v>
      </c>
      <c r="S32" s="87">
        <v>520623.49999999994</v>
      </c>
      <c r="T32" s="124">
        <v>544579.88</v>
      </c>
      <c r="U32" s="87">
        <f t="shared" si="11"/>
        <v>561910</v>
      </c>
      <c r="V32" s="87">
        <f t="shared" si="11"/>
        <v>563035</v>
      </c>
      <c r="W32" s="124">
        <f t="shared" si="11"/>
        <v>554331.74</v>
      </c>
      <c r="X32" s="125">
        <f t="shared" si="3"/>
        <v>98.45422398252329</v>
      </c>
    </row>
    <row r="33" spans="1:24" ht="12.75">
      <c r="A33" s="702"/>
      <c r="B33" s="709"/>
      <c r="C33" s="49" t="s">
        <v>115</v>
      </c>
      <c r="D33" s="49">
        <v>751610</v>
      </c>
      <c r="E33" s="49">
        <v>750249</v>
      </c>
      <c r="F33" s="49">
        <v>649539</v>
      </c>
      <c r="G33" s="49">
        <v>427233</v>
      </c>
      <c r="H33" s="49">
        <v>348791</v>
      </c>
      <c r="I33" s="49">
        <v>510884</v>
      </c>
      <c r="J33" s="49">
        <v>324320</v>
      </c>
      <c r="K33" s="21">
        <v>401050</v>
      </c>
      <c r="L33" s="21">
        <v>135673.06</v>
      </c>
      <c r="M33" s="105">
        <v>134183.87</v>
      </c>
      <c r="N33" s="21">
        <v>87968.33</v>
      </c>
      <c r="O33" s="105">
        <v>71077.13</v>
      </c>
      <c r="P33" s="105">
        <v>118150.37</v>
      </c>
      <c r="Q33" s="105">
        <v>136782.65000000002</v>
      </c>
      <c r="R33" s="105">
        <f>76522.04+638.85+18322.63+1974</f>
        <v>97457.52</v>
      </c>
      <c r="S33" s="21">
        <v>176432.81</v>
      </c>
      <c r="T33" s="105">
        <v>83167.5</v>
      </c>
      <c r="U33" s="21">
        <v>113000</v>
      </c>
      <c r="V33" s="21">
        <v>112182</v>
      </c>
      <c r="W33" s="105">
        <f>96320.06+1429.47+2310+1819+6244.9</f>
        <v>108123.43</v>
      </c>
      <c r="X33" s="127">
        <f t="shared" si="3"/>
        <v>96.38215578256761</v>
      </c>
    </row>
    <row r="34" spans="1:24" ht="12.75">
      <c r="A34" s="702"/>
      <c r="B34" s="710"/>
      <c r="C34" s="52" t="s">
        <v>116</v>
      </c>
      <c r="D34" s="52">
        <v>6108</v>
      </c>
      <c r="E34" s="52">
        <v>5709</v>
      </c>
      <c r="F34" s="52">
        <v>5809</v>
      </c>
      <c r="G34" s="52">
        <v>7235</v>
      </c>
      <c r="H34" s="52">
        <v>7034</v>
      </c>
      <c r="I34" s="52">
        <v>6012</v>
      </c>
      <c r="J34" s="52">
        <v>5150</v>
      </c>
      <c r="K34" s="24">
        <v>5043</v>
      </c>
      <c r="L34" s="24">
        <v>6242.35</v>
      </c>
      <c r="M34" s="180">
        <v>8075.84</v>
      </c>
      <c r="N34" s="24">
        <v>8856.86</v>
      </c>
      <c r="O34" s="180">
        <v>10889.6</v>
      </c>
      <c r="P34" s="180">
        <v>15581.52</v>
      </c>
      <c r="Q34" s="180">
        <v>12642.68</v>
      </c>
      <c r="R34" s="180">
        <v>14524.55</v>
      </c>
      <c r="S34" s="24">
        <v>21756.42</v>
      </c>
      <c r="T34" s="180">
        <v>14328.14</v>
      </c>
      <c r="U34" s="24">
        <v>18000</v>
      </c>
      <c r="V34" s="24">
        <v>18000</v>
      </c>
      <c r="W34" s="180">
        <v>22684.25</v>
      </c>
      <c r="X34" s="119">
        <f t="shared" si="3"/>
        <v>126.02361111111111</v>
      </c>
    </row>
    <row r="35" spans="1:24" ht="12.75">
      <c r="A35" s="702"/>
      <c r="B35" s="710"/>
      <c r="C35" s="59" t="s">
        <v>117</v>
      </c>
      <c r="D35" s="59"/>
      <c r="E35" s="59"/>
      <c r="F35" s="59"/>
      <c r="G35" s="59"/>
      <c r="H35" s="59"/>
      <c r="I35" s="59"/>
      <c r="J35" s="59"/>
      <c r="K35" s="27">
        <v>0</v>
      </c>
      <c r="L35" s="27">
        <v>41494.18</v>
      </c>
      <c r="M35" s="198">
        <v>46671.58</v>
      </c>
      <c r="N35" s="27">
        <v>82406.4</v>
      </c>
      <c r="O35" s="198">
        <v>98976.09</v>
      </c>
      <c r="P35" s="198">
        <v>127041.24</v>
      </c>
      <c r="Q35" s="198">
        <v>128092.23</v>
      </c>
      <c r="R35" s="198">
        <v>119686.05</v>
      </c>
      <c r="S35" s="572">
        <v>95546.52</v>
      </c>
      <c r="T35" s="198">
        <v>156307.41</v>
      </c>
      <c r="U35" s="27">
        <v>103834</v>
      </c>
      <c r="V35" s="27">
        <v>103834</v>
      </c>
      <c r="W35" s="198">
        <v>97969.26</v>
      </c>
      <c r="X35" s="621">
        <f t="shared" si="3"/>
        <v>94.35181154535123</v>
      </c>
    </row>
    <row r="36" spans="1:24" ht="12.75">
      <c r="A36" s="702"/>
      <c r="B36" s="710"/>
      <c r="C36" s="59" t="s">
        <v>202</v>
      </c>
      <c r="D36" s="59"/>
      <c r="E36" s="59"/>
      <c r="F36" s="59"/>
      <c r="G36" s="59"/>
      <c r="H36" s="59"/>
      <c r="I36" s="59"/>
      <c r="J36" s="59"/>
      <c r="K36" s="27"/>
      <c r="L36" s="27"/>
      <c r="M36" s="198"/>
      <c r="N36" s="27">
        <v>19383.83</v>
      </c>
      <c r="O36" s="198">
        <v>32459.84</v>
      </c>
      <c r="P36" s="198">
        <v>37761.7</v>
      </c>
      <c r="Q36" s="198">
        <v>19905.54</v>
      </c>
      <c r="R36" s="198">
        <v>32052.66</v>
      </c>
      <c r="S36" s="27">
        <v>41775.34</v>
      </c>
      <c r="T36" s="198">
        <v>36674.35</v>
      </c>
      <c r="U36" s="27">
        <v>15458</v>
      </c>
      <c r="V36" s="27">
        <v>40727</v>
      </c>
      <c r="W36" s="198">
        <f>81679.07+41.2+25.65</f>
        <v>81745.92</v>
      </c>
      <c r="X36" s="621">
        <f t="shared" si="3"/>
        <v>200.71677265695976</v>
      </c>
    </row>
    <row r="37" spans="1:24" ht="12.75" hidden="1">
      <c r="A37" s="702"/>
      <c r="B37" s="710"/>
      <c r="C37" s="59"/>
      <c r="D37" s="59"/>
      <c r="E37" s="59"/>
      <c r="F37" s="59"/>
      <c r="G37" s="59"/>
      <c r="H37" s="59"/>
      <c r="I37" s="59"/>
      <c r="J37" s="59"/>
      <c r="K37" s="27"/>
      <c r="L37" s="27"/>
      <c r="M37" s="198"/>
      <c r="N37" s="27">
        <v>10094.75</v>
      </c>
      <c r="O37" s="198">
        <v>3927.1</v>
      </c>
      <c r="P37" s="198"/>
      <c r="Q37" s="198">
        <v>1302</v>
      </c>
      <c r="R37" s="198"/>
      <c r="S37" s="27"/>
      <c r="T37" s="198"/>
      <c r="U37" s="27">
        <v>0</v>
      </c>
      <c r="V37" s="27">
        <v>0</v>
      </c>
      <c r="W37" s="198"/>
      <c r="X37" s="621">
        <f t="shared" si="3"/>
        <v>0</v>
      </c>
    </row>
    <row r="38" spans="1:24" ht="12.75">
      <c r="A38" s="702"/>
      <c r="B38" s="710"/>
      <c r="C38" s="59" t="s">
        <v>203</v>
      </c>
      <c r="D38" s="59"/>
      <c r="E38" s="59">
        <v>0</v>
      </c>
      <c r="F38" s="59">
        <v>339806</v>
      </c>
      <c r="G38" s="59">
        <v>322656</v>
      </c>
      <c r="H38" s="59">
        <v>92953</v>
      </c>
      <c r="I38" s="59">
        <v>100909</v>
      </c>
      <c r="J38" s="59">
        <v>83511</v>
      </c>
      <c r="K38" s="27">
        <f>77287+178+128</f>
        <v>77593</v>
      </c>
      <c r="L38" s="27">
        <v>80654.7</v>
      </c>
      <c r="M38" s="198">
        <v>77194.39</v>
      </c>
      <c r="N38" s="27">
        <v>75486.59</v>
      </c>
      <c r="O38" s="198">
        <v>75089.34</v>
      </c>
      <c r="P38" s="198">
        <v>58412.39</v>
      </c>
      <c r="Q38" s="198">
        <v>63233.32</v>
      </c>
      <c r="R38" s="198">
        <f>51267.54+14.35+20.65</f>
        <v>51302.54</v>
      </c>
      <c r="S38" s="27">
        <v>45884.3</v>
      </c>
      <c r="T38" s="198">
        <v>44307.25</v>
      </c>
      <c r="U38" s="27">
        <v>43033</v>
      </c>
      <c r="V38" s="27">
        <v>43033</v>
      </c>
      <c r="W38" s="198">
        <v>43040.8</v>
      </c>
      <c r="X38" s="621">
        <f t="shared" si="3"/>
        <v>100.01812562452072</v>
      </c>
    </row>
    <row r="39" spans="1:24" ht="13.5" thickBot="1">
      <c r="A39" s="703"/>
      <c r="B39" s="711"/>
      <c r="C39" s="53" t="s">
        <v>118</v>
      </c>
      <c r="D39" s="53">
        <v>22273</v>
      </c>
      <c r="E39" s="53">
        <v>14771</v>
      </c>
      <c r="F39" s="53">
        <v>13012</v>
      </c>
      <c r="G39" s="53">
        <v>14634</v>
      </c>
      <c r="H39" s="53">
        <v>83564</v>
      </c>
      <c r="I39" s="53">
        <v>94475</v>
      </c>
      <c r="J39" s="53">
        <v>100853</v>
      </c>
      <c r="K39" s="27">
        <v>108137</v>
      </c>
      <c r="L39" s="27">
        <v>95403.26</v>
      </c>
      <c r="M39" s="198">
        <v>137182.93</v>
      </c>
      <c r="N39" s="27">
        <v>153013.37000000002</v>
      </c>
      <c r="O39" s="198">
        <v>139091.53</v>
      </c>
      <c r="P39" s="198">
        <v>137982.66</v>
      </c>
      <c r="Q39" s="198">
        <v>153077.75</v>
      </c>
      <c r="R39" s="198">
        <v>139667.89</v>
      </c>
      <c r="S39" s="27">
        <v>139228.11</v>
      </c>
      <c r="T39" s="198">
        <v>209795.23</v>
      </c>
      <c r="U39" s="27">
        <v>268585</v>
      </c>
      <c r="V39" s="27">
        <v>245259</v>
      </c>
      <c r="W39" s="198">
        <f>200768.08</f>
        <v>200768.08</v>
      </c>
      <c r="X39" s="621">
        <f t="shared" si="3"/>
        <v>81.85961779180376</v>
      </c>
    </row>
    <row r="40" spans="1:24" ht="15.75" thickBot="1">
      <c r="A40" s="28">
        <v>220</v>
      </c>
      <c r="B40" s="707" t="s">
        <v>119</v>
      </c>
      <c r="C40" s="708"/>
      <c r="D40" s="60">
        <f aca="true" t="shared" si="12" ref="D40:V40">D41+D45+D58</f>
        <v>320786</v>
      </c>
      <c r="E40" s="60">
        <f t="shared" si="12"/>
        <v>327192</v>
      </c>
      <c r="F40" s="60">
        <f t="shared" si="12"/>
        <v>429297</v>
      </c>
      <c r="G40" s="60">
        <f t="shared" si="12"/>
        <v>326610</v>
      </c>
      <c r="H40" s="60">
        <f t="shared" si="12"/>
        <v>550895</v>
      </c>
      <c r="I40" s="60">
        <f t="shared" si="12"/>
        <v>581281</v>
      </c>
      <c r="J40" s="60">
        <f t="shared" si="12"/>
        <v>471458</v>
      </c>
      <c r="K40" s="60">
        <f t="shared" si="12"/>
        <v>514547</v>
      </c>
      <c r="L40" s="60">
        <f t="shared" si="12"/>
        <v>595361.4199999999</v>
      </c>
      <c r="M40" s="189">
        <f t="shared" si="12"/>
        <v>603358.3099999999</v>
      </c>
      <c r="N40" s="94">
        <f t="shared" si="12"/>
        <v>575655.29</v>
      </c>
      <c r="O40" s="94">
        <f t="shared" si="12"/>
        <v>565224.0499999999</v>
      </c>
      <c r="P40" s="94">
        <f>P41+P45+P58</f>
        <v>868065.2699999999</v>
      </c>
      <c r="Q40" s="477">
        <f>Q41+Q45+Q58</f>
        <v>885296.9500000001</v>
      </c>
      <c r="R40" s="477">
        <f>R41+R45+R58</f>
        <v>680941.51</v>
      </c>
      <c r="S40" s="94">
        <v>755581.21</v>
      </c>
      <c r="T40" s="477">
        <v>979625.87</v>
      </c>
      <c r="U40" s="94">
        <f>U41+U45+U58</f>
        <v>1045400</v>
      </c>
      <c r="V40" s="94">
        <f t="shared" si="12"/>
        <v>1171921</v>
      </c>
      <c r="W40" s="477">
        <f>W41+W45+W58</f>
        <v>1169437.9</v>
      </c>
      <c r="X40" s="622">
        <f t="shared" si="3"/>
        <v>99.78811711710942</v>
      </c>
    </row>
    <row r="41" spans="1:24" ht="13.5" thickBot="1">
      <c r="A41" s="701"/>
      <c r="B41" s="55">
        <v>221</v>
      </c>
      <c r="C41" s="56" t="s">
        <v>120</v>
      </c>
      <c r="D41" s="58">
        <f aca="true" t="shared" si="13" ref="D41:V41">SUM(D42:D44)</f>
        <v>108312</v>
      </c>
      <c r="E41" s="58">
        <f t="shared" si="13"/>
        <v>99747</v>
      </c>
      <c r="F41" s="58">
        <f t="shared" si="13"/>
        <v>156211</v>
      </c>
      <c r="G41" s="58">
        <f t="shared" si="13"/>
        <v>110441</v>
      </c>
      <c r="H41" s="58">
        <f t="shared" si="13"/>
        <v>116883</v>
      </c>
      <c r="I41" s="58">
        <f t="shared" si="13"/>
        <v>93914</v>
      </c>
      <c r="J41" s="58">
        <f t="shared" si="13"/>
        <v>69092</v>
      </c>
      <c r="K41" s="58">
        <f t="shared" si="13"/>
        <v>77127</v>
      </c>
      <c r="L41" s="58">
        <f>SUM(L42:L44)</f>
        <v>85540.68</v>
      </c>
      <c r="M41" s="138">
        <f t="shared" si="13"/>
        <v>81456.3</v>
      </c>
      <c r="N41" s="87">
        <f>SUM(N42:N44)</f>
        <v>65885.95</v>
      </c>
      <c r="O41" s="124">
        <f>SUM(O42:O44)</f>
        <v>60850.59</v>
      </c>
      <c r="P41" s="87">
        <f>SUM(P42:P44)</f>
        <v>136156.94</v>
      </c>
      <c r="Q41" s="124">
        <f>SUM(Q42:Q44)</f>
        <v>137781.35</v>
      </c>
      <c r="R41" s="124">
        <f>SUM(R42:R44)</f>
        <v>109704.02</v>
      </c>
      <c r="S41" s="87">
        <v>92738.48000000001</v>
      </c>
      <c r="T41" s="124">
        <v>108400.26</v>
      </c>
      <c r="U41" s="87">
        <f>SUM(U42:U44)</f>
        <v>103000</v>
      </c>
      <c r="V41" s="87">
        <f t="shared" si="13"/>
        <v>103000</v>
      </c>
      <c r="W41" s="124">
        <f>SUM(W42:W44)</f>
        <v>136619.42</v>
      </c>
      <c r="X41" s="125">
        <f t="shared" si="3"/>
        <v>132.640213592233</v>
      </c>
    </row>
    <row r="42" spans="1:24" ht="12.75">
      <c r="A42" s="735"/>
      <c r="B42" s="709"/>
      <c r="C42" s="36" t="s">
        <v>121</v>
      </c>
      <c r="D42" s="49">
        <v>103532</v>
      </c>
      <c r="E42" s="49">
        <v>91482</v>
      </c>
      <c r="F42" s="49">
        <v>143896</v>
      </c>
      <c r="G42" s="49">
        <v>103964</v>
      </c>
      <c r="H42" s="49">
        <v>97289</v>
      </c>
      <c r="I42" s="49">
        <v>69567</v>
      </c>
      <c r="J42" s="49">
        <v>48641</v>
      </c>
      <c r="K42" s="24">
        <v>58713</v>
      </c>
      <c r="L42" s="24">
        <v>65956.11</v>
      </c>
      <c r="M42" s="105">
        <v>53025.13</v>
      </c>
      <c r="N42" s="21">
        <v>35320.42</v>
      </c>
      <c r="O42" s="105">
        <v>33711.95</v>
      </c>
      <c r="P42" s="105">
        <v>102428.79</v>
      </c>
      <c r="Q42" s="105">
        <v>113739.53</v>
      </c>
      <c r="R42" s="105">
        <f>84588.08-728.49</f>
        <v>83859.59</v>
      </c>
      <c r="S42" s="21">
        <v>74189.63</v>
      </c>
      <c r="T42" s="105">
        <v>83579.39</v>
      </c>
      <c r="U42" s="21">
        <v>83000</v>
      </c>
      <c r="V42" s="21">
        <v>83000</v>
      </c>
      <c r="W42" s="105">
        <v>85453.44</v>
      </c>
      <c r="X42" s="127">
        <f t="shared" si="3"/>
        <v>102.95595180722891</v>
      </c>
    </row>
    <row r="43" spans="1:24" ht="12.75">
      <c r="A43" s="735"/>
      <c r="B43" s="710"/>
      <c r="C43" s="50" t="s">
        <v>122</v>
      </c>
      <c r="D43" s="62"/>
      <c r="E43" s="62"/>
      <c r="F43" s="62"/>
      <c r="G43" s="62"/>
      <c r="H43" s="62"/>
      <c r="I43" s="62"/>
      <c r="J43" s="62"/>
      <c r="K43" s="24"/>
      <c r="L43" s="24">
        <v>768.56</v>
      </c>
      <c r="M43" s="103">
        <v>1339.48</v>
      </c>
      <c r="N43" s="63">
        <v>1870.76</v>
      </c>
      <c r="O43" s="103"/>
      <c r="P43" s="103">
        <v>1404.5</v>
      </c>
      <c r="Q43" s="103"/>
      <c r="R43" s="180">
        <v>728.49</v>
      </c>
      <c r="S43" s="63"/>
      <c r="T43" s="103"/>
      <c r="U43" s="63">
        <v>0</v>
      </c>
      <c r="V43" s="63">
        <v>0</v>
      </c>
      <c r="W43" s="103"/>
      <c r="X43" s="623">
        <f t="shared" si="3"/>
        <v>0</v>
      </c>
    </row>
    <row r="44" spans="1:24" ht="13.5" thickBot="1">
      <c r="A44" s="735"/>
      <c r="B44" s="711"/>
      <c r="C44" s="53" t="s">
        <v>201</v>
      </c>
      <c r="D44" s="53">
        <v>4780</v>
      </c>
      <c r="E44" s="53">
        <v>8265</v>
      </c>
      <c r="F44" s="53">
        <v>12315</v>
      </c>
      <c r="G44" s="53">
        <v>6477</v>
      </c>
      <c r="H44" s="53">
        <v>19594</v>
      </c>
      <c r="I44" s="53">
        <v>24347</v>
      </c>
      <c r="J44" s="53">
        <v>20451</v>
      </c>
      <c r="K44" s="24">
        <v>18414</v>
      </c>
      <c r="L44" s="24">
        <v>18816.01</v>
      </c>
      <c r="M44" s="198">
        <v>27091.69</v>
      </c>
      <c r="N44" s="27">
        <v>28694.77</v>
      </c>
      <c r="O44" s="198">
        <v>27138.64</v>
      </c>
      <c r="P44" s="198">
        <v>32323.65</v>
      </c>
      <c r="Q44" s="198">
        <v>24041.82</v>
      </c>
      <c r="R44" s="103">
        <v>25115.94</v>
      </c>
      <c r="S44" s="27">
        <v>18548.85</v>
      </c>
      <c r="T44" s="198">
        <v>24820.87</v>
      </c>
      <c r="U44" s="27">
        <v>20000</v>
      </c>
      <c r="V44" s="27">
        <v>20000</v>
      </c>
      <c r="W44" s="198">
        <v>51165.98</v>
      </c>
      <c r="X44" s="621">
        <f t="shared" si="3"/>
        <v>255.82990000000004</v>
      </c>
    </row>
    <row r="45" spans="1:24" ht="13.5" thickBot="1">
      <c r="A45" s="735"/>
      <c r="B45" s="55">
        <v>223</v>
      </c>
      <c r="C45" s="55" t="s">
        <v>123</v>
      </c>
      <c r="D45" s="55">
        <v>209420</v>
      </c>
      <c r="E45" s="55">
        <v>224723</v>
      </c>
      <c r="F45" s="55">
        <v>270165</v>
      </c>
      <c r="G45" s="55">
        <v>213694</v>
      </c>
      <c r="H45" s="55">
        <v>431444</v>
      </c>
      <c r="I45" s="58">
        <f aca="true" t="shared" si="14" ref="I45:R45">SUM(I46:I57)</f>
        <v>484992</v>
      </c>
      <c r="J45" s="58">
        <f t="shared" si="14"/>
        <v>400298</v>
      </c>
      <c r="K45" s="58">
        <f t="shared" si="14"/>
        <v>434944</v>
      </c>
      <c r="L45" s="58">
        <f t="shared" si="14"/>
        <v>507780.69999999995</v>
      </c>
      <c r="M45" s="138">
        <f t="shared" si="14"/>
        <v>519757.4199999999</v>
      </c>
      <c r="N45" s="87">
        <f t="shared" si="14"/>
        <v>507767.17</v>
      </c>
      <c r="O45" s="124">
        <f t="shared" si="14"/>
        <v>502305.62</v>
      </c>
      <c r="P45" s="87">
        <f t="shared" si="14"/>
        <v>730285.49</v>
      </c>
      <c r="Q45" s="124">
        <f t="shared" si="14"/>
        <v>745927.6000000001</v>
      </c>
      <c r="R45" s="124">
        <f t="shared" si="14"/>
        <v>569937.49</v>
      </c>
      <c r="S45" s="87">
        <v>661509.73</v>
      </c>
      <c r="T45" s="124">
        <v>869835.61</v>
      </c>
      <c r="U45" s="87">
        <f>SUM(U46:U57)</f>
        <v>922400</v>
      </c>
      <c r="V45" s="87">
        <f>SUM(V46:V57)</f>
        <v>1068921</v>
      </c>
      <c r="W45" s="124">
        <f>SUM(W46:W57)</f>
        <v>1031371.48</v>
      </c>
      <c r="X45" s="125">
        <f t="shared" si="3"/>
        <v>96.48715667481507</v>
      </c>
    </row>
    <row r="46" spans="1:24" ht="12.75">
      <c r="A46" s="735"/>
      <c r="B46" s="709"/>
      <c r="C46" s="49" t="s">
        <v>124</v>
      </c>
      <c r="D46" s="49"/>
      <c r="E46" s="49"/>
      <c r="F46" s="49"/>
      <c r="G46" s="49"/>
      <c r="H46" s="49"/>
      <c r="I46" s="49">
        <v>19602</v>
      </c>
      <c r="J46" s="49">
        <v>19573</v>
      </c>
      <c r="K46" s="24">
        <v>20641</v>
      </c>
      <c r="L46" s="24">
        <v>20552.5</v>
      </c>
      <c r="M46" s="105">
        <v>20532.33</v>
      </c>
      <c r="N46" s="21">
        <v>37975.43</v>
      </c>
      <c r="O46" s="105">
        <v>42651.54</v>
      </c>
      <c r="P46" s="105">
        <v>57271.2</v>
      </c>
      <c r="Q46" s="105">
        <v>57023.05</v>
      </c>
      <c r="R46" s="105">
        <v>60354.27</v>
      </c>
      <c r="S46" s="21">
        <v>50032.78</v>
      </c>
      <c r="T46" s="105">
        <v>48356.9</v>
      </c>
      <c r="U46" s="21">
        <v>55000</v>
      </c>
      <c r="V46" s="21">
        <v>48000</v>
      </c>
      <c r="W46" s="105">
        <v>52711.65</v>
      </c>
      <c r="X46" s="127">
        <f t="shared" si="3"/>
        <v>109.8159375</v>
      </c>
    </row>
    <row r="47" spans="1:24" ht="12.75">
      <c r="A47" s="735"/>
      <c r="B47" s="710"/>
      <c r="C47" s="50" t="s">
        <v>372</v>
      </c>
      <c r="D47" s="50"/>
      <c r="E47" s="50"/>
      <c r="F47" s="50"/>
      <c r="G47" s="50"/>
      <c r="H47" s="50"/>
      <c r="I47" s="50">
        <v>20170</v>
      </c>
      <c r="J47" s="50">
        <v>3900</v>
      </c>
      <c r="K47" s="24">
        <v>8400</v>
      </c>
      <c r="L47" s="24">
        <v>4100</v>
      </c>
      <c r="M47" s="105">
        <v>15650</v>
      </c>
      <c r="N47" s="21">
        <v>19753</v>
      </c>
      <c r="O47" s="105">
        <v>8510</v>
      </c>
      <c r="P47" s="105">
        <v>8950</v>
      </c>
      <c r="Q47" s="105">
        <v>8118.5</v>
      </c>
      <c r="R47" s="105"/>
      <c r="S47" s="21">
        <v>39962.45</v>
      </c>
      <c r="T47" s="105">
        <v>32106.35</v>
      </c>
      <c r="U47" s="21">
        <v>30000</v>
      </c>
      <c r="V47" s="21">
        <v>30000</v>
      </c>
      <c r="W47" s="105"/>
      <c r="X47" s="127">
        <f t="shared" si="3"/>
        <v>0</v>
      </c>
    </row>
    <row r="48" spans="1:24" ht="12.75" hidden="1">
      <c r="A48" s="735"/>
      <c r="B48" s="710"/>
      <c r="C48" s="50" t="s">
        <v>125</v>
      </c>
      <c r="D48" s="50"/>
      <c r="E48" s="50"/>
      <c r="F48" s="50"/>
      <c r="G48" s="50"/>
      <c r="H48" s="50"/>
      <c r="I48" s="64">
        <v>1309</v>
      </c>
      <c r="J48" s="65"/>
      <c r="K48" s="24"/>
      <c r="L48" s="24"/>
      <c r="M48" s="105"/>
      <c r="N48" s="21"/>
      <c r="O48" s="105"/>
      <c r="P48" s="105"/>
      <c r="Q48" s="105"/>
      <c r="R48" s="105"/>
      <c r="S48" s="21"/>
      <c r="T48" s="105"/>
      <c r="U48" s="21">
        <v>0</v>
      </c>
      <c r="V48" s="21">
        <v>0</v>
      </c>
      <c r="W48" s="105"/>
      <c r="X48" s="127">
        <f t="shared" si="3"/>
        <v>0</v>
      </c>
    </row>
    <row r="49" spans="1:24" ht="12.75">
      <c r="A49" s="735"/>
      <c r="B49" s="710"/>
      <c r="C49" s="52" t="s">
        <v>126</v>
      </c>
      <c r="D49" s="52"/>
      <c r="E49" s="52"/>
      <c r="F49" s="52"/>
      <c r="G49" s="52"/>
      <c r="H49" s="52"/>
      <c r="I49" s="39">
        <v>23291</v>
      </c>
      <c r="J49" s="39">
        <v>27058</v>
      </c>
      <c r="K49" s="24">
        <f>18432+1749</f>
        <v>20181</v>
      </c>
      <c r="L49" s="24">
        <v>31759</v>
      </c>
      <c r="M49" s="180">
        <v>31403.35</v>
      </c>
      <c r="N49" s="24">
        <v>35343</v>
      </c>
      <c r="O49" s="180">
        <v>34322.05</v>
      </c>
      <c r="P49" s="180">
        <v>45533.12</v>
      </c>
      <c r="Q49" s="180">
        <v>43614.7</v>
      </c>
      <c r="R49" s="180">
        <v>44982.3</v>
      </c>
      <c r="S49" s="24">
        <v>48179</v>
      </c>
      <c r="T49" s="180">
        <v>44026.75</v>
      </c>
      <c r="U49" s="24">
        <v>45000</v>
      </c>
      <c r="V49" s="24">
        <v>45000</v>
      </c>
      <c r="W49" s="180">
        <f>46483.3</f>
        <v>46483.3</v>
      </c>
      <c r="X49" s="119">
        <f t="shared" si="3"/>
        <v>103.29622222222224</v>
      </c>
    </row>
    <row r="50" spans="1:24" ht="12.75">
      <c r="A50" s="735"/>
      <c r="B50" s="710"/>
      <c r="C50" s="52" t="s">
        <v>330</v>
      </c>
      <c r="D50" s="52"/>
      <c r="E50" s="52"/>
      <c r="F50" s="52"/>
      <c r="G50" s="52"/>
      <c r="H50" s="52"/>
      <c r="I50" s="39"/>
      <c r="J50" s="39"/>
      <c r="K50" s="24"/>
      <c r="L50" s="24"/>
      <c r="M50" s="180"/>
      <c r="N50" s="24"/>
      <c r="O50" s="180"/>
      <c r="P50" s="180">
        <v>34986.25</v>
      </c>
      <c r="Q50" s="180">
        <v>40439.35</v>
      </c>
      <c r="R50" s="180">
        <v>44734.7</v>
      </c>
      <c r="S50" s="24">
        <v>44248.25</v>
      </c>
      <c r="T50" s="180">
        <v>69815</v>
      </c>
      <c r="U50" s="24">
        <v>44000</v>
      </c>
      <c r="V50" s="24">
        <v>66000</v>
      </c>
      <c r="W50" s="180">
        <f>63098.5+10+10823</f>
        <v>73931.5</v>
      </c>
      <c r="X50" s="119">
        <f t="shared" si="3"/>
        <v>112.01742424242424</v>
      </c>
    </row>
    <row r="51" spans="1:24" ht="12.75">
      <c r="A51" s="735"/>
      <c r="B51" s="710"/>
      <c r="C51" s="52" t="s">
        <v>331</v>
      </c>
      <c r="D51" s="52"/>
      <c r="E51" s="52"/>
      <c r="F51" s="52"/>
      <c r="G51" s="52"/>
      <c r="H51" s="52"/>
      <c r="I51" s="39"/>
      <c r="J51" s="39"/>
      <c r="K51" s="24"/>
      <c r="L51" s="24"/>
      <c r="M51" s="180"/>
      <c r="N51" s="24"/>
      <c r="O51" s="180">
        <v>2410.4</v>
      </c>
      <c r="P51" s="180">
        <v>202930</v>
      </c>
      <c r="Q51" s="180"/>
      <c r="R51" s="180">
        <v>72958.35</v>
      </c>
      <c r="S51" s="24">
        <v>155816.63</v>
      </c>
      <c r="T51" s="180">
        <v>253900.71999999997</v>
      </c>
      <c r="U51" s="24">
        <v>253900</v>
      </c>
      <c r="V51" s="24">
        <v>253315</v>
      </c>
      <c r="W51" s="180">
        <v>253315</v>
      </c>
      <c r="X51" s="119">
        <f t="shared" si="3"/>
        <v>100</v>
      </c>
    </row>
    <row r="52" spans="1:24" ht="12.75">
      <c r="A52" s="735"/>
      <c r="B52" s="710"/>
      <c r="C52" s="52" t="s">
        <v>370</v>
      </c>
      <c r="D52" s="52"/>
      <c r="E52" s="52"/>
      <c r="F52" s="52"/>
      <c r="G52" s="52"/>
      <c r="H52" s="52"/>
      <c r="I52" s="39">
        <f>25266+1975-2735</f>
        <v>24506</v>
      </c>
      <c r="J52" s="39">
        <v>29035</v>
      </c>
      <c r="K52" s="24">
        <v>28418</v>
      </c>
      <c r="L52" s="24">
        <v>20267.02</v>
      </c>
      <c r="M52" s="180">
        <v>19677.18</v>
      </c>
      <c r="N52" s="24">
        <v>14953.06</v>
      </c>
      <c r="O52" s="180">
        <v>28154.6</v>
      </c>
      <c r="P52" s="180"/>
      <c r="Q52" s="180"/>
      <c r="R52" s="180"/>
      <c r="S52" s="24"/>
      <c r="T52" s="180"/>
      <c r="U52" s="24">
        <v>34000</v>
      </c>
      <c r="V52" s="24">
        <v>34000</v>
      </c>
      <c r="W52" s="180">
        <f>28808.65+367.5+5</f>
        <v>29181.15</v>
      </c>
      <c r="X52" s="119">
        <f t="shared" si="3"/>
        <v>85.82691176470588</v>
      </c>
    </row>
    <row r="53" spans="1:24" ht="12.75">
      <c r="A53" s="735"/>
      <c r="B53" s="710"/>
      <c r="C53" s="52" t="s">
        <v>191</v>
      </c>
      <c r="D53" s="52"/>
      <c r="E53" s="52"/>
      <c r="F53" s="52"/>
      <c r="G53" s="52"/>
      <c r="H53" s="52"/>
      <c r="I53" s="39">
        <f>19469+134+18</f>
        <v>19621</v>
      </c>
      <c r="J53" s="39">
        <v>15462</v>
      </c>
      <c r="K53" s="24">
        <v>15205</v>
      </c>
      <c r="L53" s="24">
        <v>17827.7</v>
      </c>
      <c r="M53" s="180">
        <v>16873.9</v>
      </c>
      <c r="N53" s="24">
        <v>18524.4</v>
      </c>
      <c r="O53" s="180">
        <v>107327.38</v>
      </c>
      <c r="P53" s="180">
        <v>20421</v>
      </c>
      <c r="Q53" s="180">
        <v>18800</v>
      </c>
      <c r="R53" s="180">
        <v>8510</v>
      </c>
      <c r="S53" s="24">
        <v>9530</v>
      </c>
      <c r="T53" s="180">
        <v>26030</v>
      </c>
      <c r="U53" s="24">
        <v>8500</v>
      </c>
      <c r="V53" s="24">
        <v>17410</v>
      </c>
      <c r="W53" s="180">
        <v>27040</v>
      </c>
      <c r="X53" s="119">
        <f t="shared" si="3"/>
        <v>155.3130384836301</v>
      </c>
    </row>
    <row r="54" spans="1:24" ht="12.75">
      <c r="A54" s="735"/>
      <c r="B54" s="710"/>
      <c r="C54" s="59" t="s">
        <v>127</v>
      </c>
      <c r="D54" s="59"/>
      <c r="E54" s="59"/>
      <c r="F54" s="59"/>
      <c r="G54" s="59"/>
      <c r="H54" s="59"/>
      <c r="I54" s="66">
        <v>136368</v>
      </c>
      <c r="J54" s="39">
        <v>127040</v>
      </c>
      <c r="K54" s="24">
        <f>149434+40</f>
        <v>149474</v>
      </c>
      <c r="L54" s="24">
        <v>154903.56</v>
      </c>
      <c r="M54" s="198">
        <v>163189.57</v>
      </c>
      <c r="N54" s="27">
        <v>121087.25</v>
      </c>
      <c r="O54" s="198">
        <v>49349.66</v>
      </c>
      <c r="P54" s="198">
        <v>100448.22</v>
      </c>
      <c r="Q54" s="198">
        <v>102354.74</v>
      </c>
      <c r="R54" s="198">
        <v>106757.63</v>
      </c>
      <c r="S54" s="27">
        <v>101964.37</v>
      </c>
      <c r="T54" s="198">
        <v>156939.26</v>
      </c>
      <c r="U54" s="27">
        <v>182000</v>
      </c>
      <c r="V54" s="27">
        <v>182000</v>
      </c>
      <c r="W54" s="198">
        <v>181647.41</v>
      </c>
      <c r="X54" s="621">
        <f t="shared" si="3"/>
        <v>99.80626923076923</v>
      </c>
    </row>
    <row r="55" spans="1:24" ht="12.75">
      <c r="A55" s="735"/>
      <c r="B55" s="710"/>
      <c r="C55" s="59" t="s">
        <v>128</v>
      </c>
      <c r="D55" s="59"/>
      <c r="E55" s="59"/>
      <c r="F55" s="59"/>
      <c r="G55" s="59"/>
      <c r="H55" s="59"/>
      <c r="I55" s="66">
        <v>60412</v>
      </c>
      <c r="J55" s="39">
        <v>44729</v>
      </c>
      <c r="K55" s="24">
        <v>51770</v>
      </c>
      <c r="L55" s="24">
        <v>49600.39</v>
      </c>
      <c r="M55" s="198">
        <v>49002.82</v>
      </c>
      <c r="N55" s="27">
        <v>48758.66</v>
      </c>
      <c r="O55" s="198">
        <v>11897.8</v>
      </c>
      <c r="P55" s="198">
        <v>48198.72</v>
      </c>
      <c r="Q55" s="198">
        <v>41209.34</v>
      </c>
      <c r="R55" s="198">
        <v>46014.91</v>
      </c>
      <c r="S55" s="27">
        <v>31969.12</v>
      </c>
      <c r="T55" s="198">
        <v>41710.4</v>
      </c>
      <c r="U55" s="27">
        <v>72600</v>
      </c>
      <c r="V55" s="27">
        <v>72600</v>
      </c>
      <c r="W55" s="198">
        <f>41750.41</f>
        <v>41750.41</v>
      </c>
      <c r="X55" s="621">
        <f t="shared" si="3"/>
        <v>57.50745179063361</v>
      </c>
    </row>
    <row r="56" spans="1:24" ht="12.75">
      <c r="A56" s="735"/>
      <c r="B56" s="710"/>
      <c r="C56" s="59" t="s">
        <v>129</v>
      </c>
      <c r="D56" s="59"/>
      <c r="E56" s="59"/>
      <c r="F56" s="59"/>
      <c r="G56" s="59"/>
      <c r="H56" s="59"/>
      <c r="I56" s="66"/>
      <c r="J56" s="39"/>
      <c r="K56" s="24"/>
      <c r="L56" s="24">
        <v>760.76</v>
      </c>
      <c r="M56" s="198"/>
      <c r="N56" s="27">
        <v>3813</v>
      </c>
      <c r="O56" s="198">
        <v>6856.9</v>
      </c>
      <c r="P56" s="198">
        <v>669.9000000000001</v>
      </c>
      <c r="Q56" s="198">
        <v>38311.520000000004</v>
      </c>
      <c r="R56" s="198">
        <v>29991.24</v>
      </c>
      <c r="S56" s="27">
        <v>9841.25</v>
      </c>
      <c r="T56" s="198"/>
      <c r="U56" s="27">
        <v>15000</v>
      </c>
      <c r="V56" s="27">
        <v>15000</v>
      </c>
      <c r="W56" s="198">
        <f>5651.32+8301.25+11.75</f>
        <v>13964.32</v>
      </c>
      <c r="X56" s="621">
        <f t="shared" si="3"/>
        <v>93.09546666666665</v>
      </c>
    </row>
    <row r="57" spans="1:24" ht="13.5" thickBot="1">
      <c r="A57" s="735"/>
      <c r="B57" s="710"/>
      <c r="C57" s="59" t="s">
        <v>130</v>
      </c>
      <c r="D57" s="59"/>
      <c r="E57" s="59"/>
      <c r="F57" s="59"/>
      <c r="G57" s="59"/>
      <c r="H57" s="59"/>
      <c r="I57" s="66">
        <f>111+179602</f>
        <v>179713</v>
      </c>
      <c r="J57" s="39">
        <f>91+133410</f>
        <v>133501</v>
      </c>
      <c r="K57" s="24">
        <f>60+137299+3496</f>
        <v>140855</v>
      </c>
      <c r="L57" s="24">
        <v>208009.77</v>
      </c>
      <c r="M57" s="198">
        <v>203428.27</v>
      </c>
      <c r="N57" s="27">
        <v>207559.37</v>
      </c>
      <c r="O57" s="198">
        <v>210825.28999999998</v>
      </c>
      <c r="P57" s="198">
        <f>413807.08-202930</f>
        <v>210877.08000000002</v>
      </c>
      <c r="Q57" s="198">
        <v>396056.39999999997</v>
      </c>
      <c r="R57" s="198">
        <v>155634.09</v>
      </c>
      <c r="S57" s="27">
        <v>169965.88</v>
      </c>
      <c r="T57" s="198">
        <v>196950.23</v>
      </c>
      <c r="U57" s="27">
        <v>182400</v>
      </c>
      <c r="V57" s="27">
        <v>305596</v>
      </c>
      <c r="W57" s="198">
        <v>311346.74</v>
      </c>
      <c r="X57" s="621">
        <f t="shared" si="3"/>
        <v>101.88181128025235</v>
      </c>
    </row>
    <row r="58" spans="1:24" ht="13.5" thickBot="1">
      <c r="A58" s="735"/>
      <c r="B58" s="55">
        <v>229</v>
      </c>
      <c r="C58" s="55" t="s">
        <v>131</v>
      </c>
      <c r="D58" s="57">
        <f>D59</f>
        <v>3054</v>
      </c>
      <c r="E58" s="57">
        <f>E59</f>
        <v>2722</v>
      </c>
      <c r="F58" s="57">
        <f>F59</f>
        <v>2921</v>
      </c>
      <c r="G58" s="57">
        <f>G59</f>
        <v>2475</v>
      </c>
      <c r="H58" s="57">
        <f>H59</f>
        <v>2568</v>
      </c>
      <c r="I58" s="57">
        <f aca="true" t="shared" si="15" ref="I58:W58">I59</f>
        <v>2375</v>
      </c>
      <c r="J58" s="57">
        <f t="shared" si="15"/>
        <v>2068</v>
      </c>
      <c r="K58" s="58">
        <f t="shared" si="15"/>
        <v>2476</v>
      </c>
      <c r="L58" s="58">
        <f t="shared" si="15"/>
        <v>2040.04</v>
      </c>
      <c r="M58" s="58">
        <f t="shared" si="15"/>
        <v>2144.59</v>
      </c>
      <c r="N58" s="87">
        <f t="shared" si="15"/>
        <v>2002.17</v>
      </c>
      <c r="O58" s="87">
        <f t="shared" si="15"/>
        <v>2067.84</v>
      </c>
      <c r="P58" s="87">
        <f t="shared" si="15"/>
        <v>1622.84</v>
      </c>
      <c r="Q58" s="124">
        <f t="shared" si="15"/>
        <v>1588</v>
      </c>
      <c r="R58" s="124">
        <f t="shared" si="15"/>
        <v>1300</v>
      </c>
      <c r="S58" s="87">
        <v>1333</v>
      </c>
      <c r="T58" s="124">
        <v>1390</v>
      </c>
      <c r="U58" s="87">
        <f t="shared" si="15"/>
        <v>20000</v>
      </c>
      <c r="V58" s="87">
        <f t="shared" si="15"/>
        <v>0</v>
      </c>
      <c r="W58" s="124">
        <f t="shared" si="15"/>
        <v>1447</v>
      </c>
      <c r="X58" s="125">
        <f t="shared" si="3"/>
        <v>0</v>
      </c>
    </row>
    <row r="59" spans="1:24" ht="13.5" thickBot="1">
      <c r="A59" s="736"/>
      <c r="B59" s="67"/>
      <c r="C59" s="67" t="s">
        <v>132</v>
      </c>
      <c r="D59" s="67">
        <v>3054</v>
      </c>
      <c r="E59" s="67">
        <v>2722</v>
      </c>
      <c r="F59" s="67">
        <v>2921</v>
      </c>
      <c r="G59" s="67">
        <v>2475</v>
      </c>
      <c r="H59" s="67">
        <v>2568</v>
      </c>
      <c r="I59" s="67">
        <v>2375</v>
      </c>
      <c r="J59" s="67">
        <v>2068</v>
      </c>
      <c r="K59" s="68">
        <v>2476</v>
      </c>
      <c r="L59" s="68">
        <v>2040.04</v>
      </c>
      <c r="M59" s="186">
        <v>2144.59</v>
      </c>
      <c r="N59" s="69">
        <v>2002.17</v>
      </c>
      <c r="O59" s="186">
        <v>2067.84</v>
      </c>
      <c r="P59" s="69">
        <v>1622.84</v>
      </c>
      <c r="Q59" s="186">
        <v>1588</v>
      </c>
      <c r="R59" s="186">
        <v>1300</v>
      </c>
      <c r="S59" s="69">
        <v>1333</v>
      </c>
      <c r="T59" s="186">
        <v>1390</v>
      </c>
      <c r="U59" s="69">
        <v>20000</v>
      </c>
      <c r="V59" s="69"/>
      <c r="W59" s="186">
        <v>1447</v>
      </c>
      <c r="X59" s="624">
        <f t="shared" si="3"/>
        <v>0</v>
      </c>
    </row>
    <row r="60" spans="1:24" ht="15.75" thickBot="1">
      <c r="A60" s="13">
        <v>240</v>
      </c>
      <c r="B60" s="729" t="s">
        <v>133</v>
      </c>
      <c r="C60" s="730"/>
      <c r="D60" s="70">
        <f aca="true" t="shared" si="16" ref="D60:W60">SUM(D61:D61)</f>
        <v>27352</v>
      </c>
      <c r="E60" s="70">
        <f t="shared" si="16"/>
        <v>10390</v>
      </c>
      <c r="F60" s="70">
        <f t="shared" si="16"/>
        <v>16730</v>
      </c>
      <c r="G60" s="70">
        <f t="shared" si="16"/>
        <v>5867</v>
      </c>
      <c r="H60" s="70">
        <f t="shared" si="16"/>
        <v>6403</v>
      </c>
      <c r="I60" s="70">
        <f t="shared" si="16"/>
        <v>3943</v>
      </c>
      <c r="J60" s="70">
        <f t="shared" si="16"/>
        <v>3352</v>
      </c>
      <c r="K60" s="70">
        <f t="shared" si="16"/>
        <v>1988</v>
      </c>
      <c r="L60" s="71">
        <f t="shared" si="16"/>
        <v>1226.92</v>
      </c>
      <c r="M60" s="70">
        <f t="shared" si="16"/>
        <v>445.87</v>
      </c>
      <c r="N60" s="372">
        <f t="shared" si="16"/>
        <v>2584.38</v>
      </c>
      <c r="O60" s="372">
        <f t="shared" si="16"/>
        <v>1160.94</v>
      </c>
      <c r="P60" s="372">
        <f t="shared" si="16"/>
        <v>1818.95</v>
      </c>
      <c r="Q60" s="544">
        <f t="shared" si="16"/>
        <v>1244.15</v>
      </c>
      <c r="R60" s="544">
        <f t="shared" si="16"/>
        <v>0</v>
      </c>
      <c r="S60" s="372">
        <v>0</v>
      </c>
      <c r="T60" s="544">
        <v>580</v>
      </c>
      <c r="U60" s="372">
        <f t="shared" si="16"/>
        <v>0</v>
      </c>
      <c r="V60" s="372">
        <f t="shared" si="16"/>
        <v>0</v>
      </c>
      <c r="W60" s="544">
        <f t="shared" si="16"/>
        <v>3650.13</v>
      </c>
      <c r="X60" s="625">
        <f t="shared" si="3"/>
        <v>0</v>
      </c>
    </row>
    <row r="61" spans="1:24" ht="15.75" thickBot="1">
      <c r="A61" s="46"/>
      <c r="B61" s="72"/>
      <c r="C61" s="73" t="s">
        <v>134</v>
      </c>
      <c r="D61" s="73">
        <v>27352</v>
      </c>
      <c r="E61" s="73">
        <v>10390</v>
      </c>
      <c r="F61" s="73">
        <v>16730</v>
      </c>
      <c r="G61" s="73">
        <v>5867</v>
      </c>
      <c r="H61" s="73">
        <v>6403</v>
      </c>
      <c r="I61" s="73">
        <v>3943</v>
      </c>
      <c r="J61" s="73">
        <v>3352</v>
      </c>
      <c r="K61" s="74">
        <v>1988</v>
      </c>
      <c r="L61" s="74">
        <v>1226.92</v>
      </c>
      <c r="M61" s="241">
        <v>445.87</v>
      </c>
      <c r="N61" s="75">
        <v>2584.38</v>
      </c>
      <c r="O61" s="241">
        <v>1160.94</v>
      </c>
      <c r="P61" s="75">
        <v>1818.95</v>
      </c>
      <c r="Q61" s="241">
        <v>1244.15</v>
      </c>
      <c r="R61" s="241"/>
      <c r="S61" s="75"/>
      <c r="T61" s="241">
        <v>580</v>
      </c>
      <c r="U61" s="75"/>
      <c r="V61" s="75"/>
      <c r="W61" s="456">
        <v>3650.13</v>
      </c>
      <c r="X61" s="625">
        <f t="shared" si="3"/>
        <v>0</v>
      </c>
    </row>
    <row r="62" spans="1:24" ht="15.75" thickBot="1">
      <c r="A62" s="580">
        <v>290</v>
      </c>
      <c r="B62" s="731" t="s">
        <v>135</v>
      </c>
      <c r="C62" s="732"/>
      <c r="D62" s="14">
        <f>D63</f>
        <v>56396</v>
      </c>
      <c r="E62" s="14">
        <f>E63</f>
        <v>21078</v>
      </c>
      <c r="F62" s="14">
        <f>F63</f>
        <v>316039</v>
      </c>
      <c r="G62" s="14">
        <f>G63</f>
        <v>123165</v>
      </c>
      <c r="H62" s="14">
        <v>59959</v>
      </c>
      <c r="I62" s="14">
        <f aca="true" t="shared" si="17" ref="I62:V62">I63</f>
        <v>166050</v>
      </c>
      <c r="J62" s="14">
        <f t="shared" si="17"/>
        <v>55155</v>
      </c>
      <c r="K62" s="14">
        <f t="shared" si="17"/>
        <v>92423</v>
      </c>
      <c r="L62" s="14">
        <f t="shared" si="17"/>
        <v>73212.12000000001</v>
      </c>
      <c r="M62" s="224">
        <f t="shared" si="17"/>
        <v>97470.49</v>
      </c>
      <c r="N62" s="426">
        <f t="shared" si="17"/>
        <v>73802.55999999998</v>
      </c>
      <c r="O62" s="566">
        <f t="shared" si="17"/>
        <v>45550.07000000001</v>
      </c>
      <c r="P62" s="426">
        <f t="shared" si="17"/>
        <v>56207.21</v>
      </c>
      <c r="Q62" s="566">
        <f t="shared" si="17"/>
        <v>54011.56</v>
      </c>
      <c r="R62" s="566">
        <f t="shared" si="17"/>
        <v>24394.64</v>
      </c>
      <c r="S62" s="426">
        <v>25447.02</v>
      </c>
      <c r="T62" s="566">
        <v>18583.78</v>
      </c>
      <c r="U62" s="426">
        <f t="shared" si="17"/>
        <v>0</v>
      </c>
      <c r="V62" s="426">
        <f t="shared" si="17"/>
        <v>41260</v>
      </c>
      <c r="W62" s="566">
        <f>W63</f>
        <v>120266.02</v>
      </c>
      <c r="X62" s="616">
        <f t="shared" si="3"/>
        <v>291.48332525448376</v>
      </c>
    </row>
    <row r="63" spans="1:24" ht="13.5" thickBot="1">
      <c r="A63" s="701"/>
      <c r="B63" s="56">
        <v>292</v>
      </c>
      <c r="C63" s="56" t="s">
        <v>135</v>
      </c>
      <c r="D63" s="56">
        <v>56396</v>
      </c>
      <c r="E63" s="56">
        <v>21078</v>
      </c>
      <c r="F63" s="56">
        <v>316039</v>
      </c>
      <c r="G63" s="56">
        <v>123165</v>
      </c>
      <c r="H63" s="56">
        <v>59959</v>
      </c>
      <c r="I63" s="58">
        <f aca="true" t="shared" si="18" ref="I63:V63">SUM(I64:I68)</f>
        <v>166050</v>
      </c>
      <c r="J63" s="58">
        <f t="shared" si="18"/>
        <v>55155</v>
      </c>
      <c r="K63" s="58">
        <f t="shared" si="18"/>
        <v>92423</v>
      </c>
      <c r="L63" s="58">
        <f t="shared" si="18"/>
        <v>73212.12000000001</v>
      </c>
      <c r="M63" s="138">
        <f t="shared" si="18"/>
        <v>97470.49</v>
      </c>
      <c r="N63" s="87">
        <f t="shared" si="18"/>
        <v>73802.55999999998</v>
      </c>
      <c r="O63" s="124">
        <f t="shared" si="18"/>
        <v>45550.07000000001</v>
      </c>
      <c r="P63" s="124">
        <f t="shared" si="18"/>
        <v>56207.21</v>
      </c>
      <c r="Q63" s="124">
        <f t="shared" si="18"/>
        <v>54011.56</v>
      </c>
      <c r="R63" s="124">
        <f t="shared" si="18"/>
        <v>24394.64</v>
      </c>
      <c r="S63" s="87">
        <v>25447.02</v>
      </c>
      <c r="T63" s="124">
        <v>18583.78</v>
      </c>
      <c r="U63" s="87">
        <f>SUM(U64:U68)</f>
        <v>0</v>
      </c>
      <c r="V63" s="87">
        <f t="shared" si="18"/>
        <v>41260</v>
      </c>
      <c r="W63" s="124">
        <f>SUM(W64:W68)</f>
        <v>120266.02</v>
      </c>
      <c r="X63" s="125">
        <f t="shared" si="3"/>
        <v>291.48332525448376</v>
      </c>
    </row>
    <row r="64" spans="1:24" ht="12.75">
      <c r="A64" s="702"/>
      <c r="B64" s="704"/>
      <c r="C64" s="76" t="s">
        <v>136</v>
      </c>
      <c r="D64" s="76"/>
      <c r="E64" s="76"/>
      <c r="F64" s="76"/>
      <c r="G64" s="76"/>
      <c r="H64" s="76"/>
      <c r="I64" s="77">
        <v>19700</v>
      </c>
      <c r="J64" s="77">
        <v>19300</v>
      </c>
      <c r="K64" s="24">
        <v>29700</v>
      </c>
      <c r="L64" s="24">
        <v>27700</v>
      </c>
      <c r="M64" s="105">
        <v>46500</v>
      </c>
      <c r="N64" s="21">
        <v>35700</v>
      </c>
      <c r="O64" s="105">
        <v>7205</v>
      </c>
      <c r="P64" s="105"/>
      <c r="Q64" s="105"/>
      <c r="R64" s="105"/>
      <c r="S64" s="21"/>
      <c r="T64" s="105">
        <v>0</v>
      </c>
      <c r="U64" s="21"/>
      <c r="V64" s="21">
        <v>0</v>
      </c>
      <c r="W64" s="105"/>
      <c r="X64" s="127">
        <f t="shared" si="3"/>
        <v>0</v>
      </c>
    </row>
    <row r="65" spans="1:24" ht="12.75">
      <c r="A65" s="702"/>
      <c r="B65" s="705"/>
      <c r="C65" s="78" t="s">
        <v>137</v>
      </c>
      <c r="D65" s="78"/>
      <c r="E65" s="78"/>
      <c r="F65" s="78"/>
      <c r="G65" s="78"/>
      <c r="H65" s="78"/>
      <c r="I65" s="79">
        <v>37534</v>
      </c>
      <c r="J65" s="79">
        <v>14000</v>
      </c>
      <c r="K65" s="24">
        <v>2888</v>
      </c>
      <c r="L65" s="24">
        <v>313.32</v>
      </c>
      <c r="M65" s="105">
        <v>6641.91</v>
      </c>
      <c r="N65" s="21">
        <v>434.45</v>
      </c>
      <c r="O65" s="105">
        <v>5635.97</v>
      </c>
      <c r="P65" s="105"/>
      <c r="Q65" s="105">
        <v>3297.08</v>
      </c>
      <c r="R65" s="105"/>
      <c r="S65" s="21"/>
      <c r="T65" s="105">
        <v>0</v>
      </c>
      <c r="U65" s="21"/>
      <c r="V65" s="21">
        <v>0</v>
      </c>
      <c r="W65" s="105"/>
      <c r="X65" s="127">
        <f t="shared" si="3"/>
        <v>0</v>
      </c>
    </row>
    <row r="66" spans="1:24" ht="12.75">
      <c r="A66" s="702"/>
      <c r="B66" s="705"/>
      <c r="C66" s="78" t="s">
        <v>135</v>
      </c>
      <c r="D66" s="78"/>
      <c r="E66" s="78"/>
      <c r="F66" s="78"/>
      <c r="G66" s="78"/>
      <c r="H66" s="78"/>
      <c r="I66" s="79">
        <v>106407</v>
      </c>
      <c r="J66" s="79">
        <v>19147</v>
      </c>
      <c r="K66" s="24">
        <f>16091+34106+2444+185+641+2733+114-32+43+286+668</f>
        <v>57279</v>
      </c>
      <c r="L66" s="24">
        <v>42730.56</v>
      </c>
      <c r="M66" s="105">
        <v>42300.64</v>
      </c>
      <c r="N66" s="21">
        <v>35668.57</v>
      </c>
      <c r="O66" s="105">
        <v>30698.190000000002</v>
      </c>
      <c r="P66" s="105">
        <v>54103.22</v>
      </c>
      <c r="Q66" s="105">
        <v>47647.969999999994</v>
      </c>
      <c r="R66" s="105">
        <v>22776.37</v>
      </c>
      <c r="S66" s="21">
        <v>25273.420000000002</v>
      </c>
      <c r="T66" s="105">
        <v>18551.71</v>
      </c>
      <c r="U66" s="21"/>
      <c r="V66" s="21">
        <v>41260</v>
      </c>
      <c r="W66" s="105">
        <v>120266.02</v>
      </c>
      <c r="X66" s="127">
        <f t="shared" si="3"/>
        <v>291.48332525448376</v>
      </c>
    </row>
    <row r="67" spans="1:24" ht="13.5" thickBot="1">
      <c r="A67" s="702"/>
      <c r="B67" s="705"/>
      <c r="C67" s="80" t="s">
        <v>138</v>
      </c>
      <c r="D67" s="80"/>
      <c r="E67" s="80"/>
      <c r="F67" s="80"/>
      <c r="G67" s="80"/>
      <c r="H67" s="80"/>
      <c r="I67" s="81">
        <v>2409</v>
      </c>
      <c r="J67" s="81">
        <v>2708</v>
      </c>
      <c r="K67" s="24">
        <v>2556</v>
      </c>
      <c r="L67" s="24">
        <v>2468.24</v>
      </c>
      <c r="M67" s="118">
        <v>2027.94</v>
      </c>
      <c r="N67" s="23">
        <v>1999.54</v>
      </c>
      <c r="O67" s="118">
        <v>2010.91</v>
      </c>
      <c r="P67" s="118">
        <v>2103.99</v>
      </c>
      <c r="Q67" s="118">
        <v>3066.51</v>
      </c>
      <c r="R67" s="118">
        <v>1618.27</v>
      </c>
      <c r="S67" s="23">
        <v>173.6</v>
      </c>
      <c r="T67" s="118">
        <v>32.07</v>
      </c>
      <c r="U67" s="23"/>
      <c r="V67" s="23"/>
      <c r="W67" s="118"/>
      <c r="X67" s="626">
        <f t="shared" si="3"/>
        <v>0</v>
      </c>
    </row>
    <row r="68" spans="1:24" ht="13.5" hidden="1" thickBot="1">
      <c r="A68" s="703"/>
      <c r="B68" s="706"/>
      <c r="C68" s="516" t="s">
        <v>139</v>
      </c>
      <c r="D68" s="516"/>
      <c r="E68" s="516"/>
      <c r="F68" s="516"/>
      <c r="G68" s="516"/>
      <c r="H68" s="516"/>
      <c r="I68" s="516"/>
      <c r="J68" s="516"/>
      <c r="K68" s="251"/>
      <c r="L68" s="252"/>
      <c r="M68" s="252"/>
      <c r="N68" s="252"/>
      <c r="O68" s="252"/>
      <c r="P68" s="252"/>
      <c r="Q68" s="478"/>
      <c r="R68" s="478"/>
      <c r="S68" s="252"/>
      <c r="T68" s="252"/>
      <c r="U68" s="252"/>
      <c r="V68" s="252"/>
      <c r="W68" s="517"/>
      <c r="X68" s="627">
        <f t="shared" si="3"/>
        <v>0</v>
      </c>
    </row>
    <row r="69" spans="1:24" ht="16.5" thickBot="1">
      <c r="A69" s="44">
        <v>300</v>
      </c>
      <c r="B69" s="737" t="s">
        <v>140</v>
      </c>
      <c r="C69" s="738"/>
      <c r="D69" s="518">
        <f aca="true" t="shared" si="19" ref="D69:W69">D70+D120</f>
        <v>1842129</v>
      </c>
      <c r="E69" s="518">
        <f t="shared" si="19"/>
        <v>1999701</v>
      </c>
      <c r="F69" s="518">
        <f t="shared" si="19"/>
        <v>2077242</v>
      </c>
      <c r="G69" s="518">
        <f t="shared" si="19"/>
        <v>2645110</v>
      </c>
      <c r="H69" s="518">
        <f t="shared" si="19"/>
        <v>2979865</v>
      </c>
      <c r="I69" s="518">
        <f t="shared" si="19"/>
        <v>2749519</v>
      </c>
      <c r="J69" s="518">
        <f t="shared" si="19"/>
        <v>2801991</v>
      </c>
      <c r="K69" s="518">
        <f t="shared" si="19"/>
        <v>3455588</v>
      </c>
      <c r="L69" s="518">
        <f t="shared" si="19"/>
        <v>3450076.55</v>
      </c>
      <c r="M69" s="519">
        <f t="shared" si="19"/>
        <v>3086303.93</v>
      </c>
      <c r="N69" s="520">
        <f t="shared" si="19"/>
        <v>3180090.650000001</v>
      </c>
      <c r="O69" s="520">
        <f t="shared" si="19"/>
        <v>3083446.5600000005</v>
      </c>
      <c r="P69" s="561">
        <f t="shared" si="19"/>
        <v>3121193.3499999996</v>
      </c>
      <c r="Q69" s="561">
        <f t="shared" si="19"/>
        <v>3412076.46</v>
      </c>
      <c r="R69" s="561">
        <f t="shared" si="19"/>
        <v>4385392.74</v>
      </c>
      <c r="S69" s="520">
        <f t="shared" si="19"/>
        <v>4535455.64</v>
      </c>
      <c r="T69" s="520">
        <f t="shared" si="19"/>
        <v>4377798.93</v>
      </c>
      <c r="U69" s="520">
        <f>U70+U120</f>
        <v>3801598</v>
      </c>
      <c r="V69" s="520">
        <f t="shared" si="19"/>
        <v>6148569</v>
      </c>
      <c r="W69" s="561">
        <f t="shared" si="19"/>
        <v>6157648.429999999</v>
      </c>
      <c r="X69" s="628">
        <f t="shared" si="3"/>
        <v>100.14766736780541</v>
      </c>
    </row>
    <row r="70" spans="1:24" ht="15.75" thickBot="1">
      <c r="A70" s="28">
        <v>310</v>
      </c>
      <c r="B70" s="707" t="s">
        <v>141</v>
      </c>
      <c r="C70" s="743"/>
      <c r="D70" s="60">
        <f aca="true" t="shared" si="20" ref="D70:V70">D71+D73</f>
        <v>1842129</v>
      </c>
      <c r="E70" s="60">
        <f t="shared" si="20"/>
        <v>1999701</v>
      </c>
      <c r="F70" s="60">
        <f t="shared" si="20"/>
        <v>2077242</v>
      </c>
      <c r="G70" s="60">
        <f t="shared" si="20"/>
        <v>2645110</v>
      </c>
      <c r="H70" s="60">
        <f t="shared" si="20"/>
        <v>2958818</v>
      </c>
      <c r="I70" s="60">
        <f t="shared" si="20"/>
        <v>2721164</v>
      </c>
      <c r="J70" s="60">
        <f t="shared" si="20"/>
        <v>2762933</v>
      </c>
      <c r="K70" s="60">
        <f t="shared" si="20"/>
        <v>3446072</v>
      </c>
      <c r="L70" s="60">
        <f>L71+L73</f>
        <v>3450076.55</v>
      </c>
      <c r="M70" s="189">
        <f t="shared" si="20"/>
        <v>3086303.93</v>
      </c>
      <c r="N70" s="94">
        <f aca="true" t="shared" si="21" ref="N70:S70">N71+N73</f>
        <v>3180090.650000001</v>
      </c>
      <c r="O70" s="94">
        <f t="shared" si="21"/>
        <v>3083446.5600000005</v>
      </c>
      <c r="P70" s="477">
        <f t="shared" si="21"/>
        <v>3121193.3499999996</v>
      </c>
      <c r="Q70" s="477">
        <f t="shared" si="21"/>
        <v>3412076.46</v>
      </c>
      <c r="R70" s="477">
        <f t="shared" si="21"/>
        <v>4385392.74</v>
      </c>
      <c r="S70" s="94">
        <f t="shared" si="21"/>
        <v>4535455.64</v>
      </c>
      <c r="T70" s="94">
        <f>T71+T73</f>
        <v>4377798.93</v>
      </c>
      <c r="U70" s="94">
        <f>U71+U73</f>
        <v>3801598</v>
      </c>
      <c r="V70" s="94">
        <f t="shared" si="20"/>
        <v>6148569</v>
      </c>
      <c r="W70" s="477">
        <f>W71+W73</f>
        <v>6157648.429999999</v>
      </c>
      <c r="X70" s="622">
        <f t="shared" si="3"/>
        <v>100.14766736780541</v>
      </c>
    </row>
    <row r="71" spans="1:24" ht="13.5" thickBot="1">
      <c r="A71" s="701"/>
      <c r="B71" s="82">
        <v>311</v>
      </c>
      <c r="C71" s="55" t="s">
        <v>142</v>
      </c>
      <c r="D71" s="83">
        <f aca="true" t="shared" si="22" ref="D71:M71">SUM(D72:D72)</f>
        <v>0</v>
      </c>
      <c r="E71" s="83">
        <f t="shared" si="22"/>
        <v>23003</v>
      </c>
      <c r="F71" s="83">
        <f t="shared" si="22"/>
        <v>14107</v>
      </c>
      <c r="G71" s="83">
        <f t="shared" si="22"/>
        <v>9307</v>
      </c>
      <c r="H71" s="83">
        <f t="shared" si="22"/>
        <v>19495</v>
      </c>
      <c r="I71" s="83">
        <f t="shared" si="22"/>
        <v>11396</v>
      </c>
      <c r="J71" s="83">
        <f t="shared" si="22"/>
        <v>19287</v>
      </c>
      <c r="K71" s="58">
        <f t="shared" si="22"/>
        <v>18260</v>
      </c>
      <c r="L71" s="58">
        <f t="shared" si="22"/>
        <v>700</v>
      </c>
      <c r="M71" s="138">
        <f t="shared" si="22"/>
        <v>4100</v>
      </c>
      <c r="N71" s="429">
        <f aca="true" t="shared" si="23" ref="N71:V71">N72</f>
        <v>4000</v>
      </c>
      <c r="O71" s="526">
        <f t="shared" si="23"/>
        <v>3010</v>
      </c>
      <c r="P71" s="526">
        <f t="shared" si="23"/>
        <v>5900</v>
      </c>
      <c r="Q71" s="526">
        <f t="shared" si="23"/>
        <v>1900</v>
      </c>
      <c r="R71" s="526">
        <f t="shared" si="23"/>
        <v>0</v>
      </c>
      <c r="S71" s="526">
        <f t="shared" si="23"/>
        <v>0</v>
      </c>
      <c r="T71" s="526">
        <f t="shared" si="23"/>
        <v>0</v>
      </c>
      <c r="U71" s="526">
        <f t="shared" si="23"/>
        <v>0</v>
      </c>
      <c r="V71" s="526">
        <f t="shared" si="23"/>
        <v>0</v>
      </c>
      <c r="W71" s="526">
        <f>W72</f>
        <v>0</v>
      </c>
      <c r="X71" s="617">
        <f t="shared" si="3"/>
        <v>0</v>
      </c>
    </row>
    <row r="72" spans="1:24" ht="13.5" thickBot="1">
      <c r="A72" s="702"/>
      <c r="B72" s="35"/>
      <c r="C72" s="36" t="s">
        <v>143</v>
      </c>
      <c r="D72" s="36">
        <v>0</v>
      </c>
      <c r="E72" s="36">
        <v>23003</v>
      </c>
      <c r="F72" s="36">
        <v>14107</v>
      </c>
      <c r="G72" s="36">
        <v>9307</v>
      </c>
      <c r="H72" s="36">
        <v>19495</v>
      </c>
      <c r="I72" s="36">
        <v>11396</v>
      </c>
      <c r="J72" s="36">
        <v>19287</v>
      </c>
      <c r="K72" s="50">
        <v>18260</v>
      </c>
      <c r="L72" s="62">
        <v>700</v>
      </c>
      <c r="M72" s="105">
        <v>4100</v>
      </c>
      <c r="N72" s="21">
        <v>4000</v>
      </c>
      <c r="O72" s="105">
        <v>3010</v>
      </c>
      <c r="P72" s="105">
        <v>5900</v>
      </c>
      <c r="Q72" s="105">
        <v>1900</v>
      </c>
      <c r="R72" s="105"/>
      <c r="S72" s="21"/>
      <c r="T72" s="21"/>
      <c r="U72" s="21"/>
      <c r="V72" s="21"/>
      <c r="W72" s="105"/>
      <c r="X72" s="127">
        <f t="shared" si="3"/>
        <v>0</v>
      </c>
    </row>
    <row r="73" spans="1:24" ht="13.5" thickBot="1">
      <c r="A73" s="702"/>
      <c r="B73" s="8">
        <v>312</v>
      </c>
      <c r="C73" s="8" t="s">
        <v>144</v>
      </c>
      <c r="D73" s="8">
        <v>1842129</v>
      </c>
      <c r="E73" s="8">
        <v>1976698</v>
      </c>
      <c r="F73" s="8">
        <v>2063135</v>
      </c>
      <c r="G73" s="8">
        <v>2635803</v>
      </c>
      <c r="H73" s="8">
        <v>2939323</v>
      </c>
      <c r="I73" s="33">
        <f>SUM(I74:I119)</f>
        <v>2709768</v>
      </c>
      <c r="J73" s="33">
        <f>SUM(J74:J119)</f>
        <v>2743646</v>
      </c>
      <c r="K73" s="33">
        <f>SUM(K74:K119)</f>
        <v>3427812</v>
      </c>
      <c r="L73" s="33">
        <v>3449376.55</v>
      </c>
      <c r="M73" s="298">
        <f aca="true" t="shared" si="24" ref="M73:W73">SUM(M74:M119)</f>
        <v>3082203.93</v>
      </c>
      <c r="N73" s="113">
        <f t="shared" si="24"/>
        <v>3176090.650000001</v>
      </c>
      <c r="O73" s="487">
        <f t="shared" si="24"/>
        <v>3080436.5600000005</v>
      </c>
      <c r="P73" s="487">
        <f t="shared" si="24"/>
        <v>3115293.3499999996</v>
      </c>
      <c r="Q73" s="487">
        <f t="shared" si="24"/>
        <v>3410176.46</v>
      </c>
      <c r="R73" s="487">
        <f t="shared" si="24"/>
        <v>4385392.74</v>
      </c>
      <c r="S73" s="113">
        <f t="shared" si="24"/>
        <v>4535455.64</v>
      </c>
      <c r="T73" s="113">
        <f t="shared" si="24"/>
        <v>4377798.93</v>
      </c>
      <c r="U73" s="113">
        <f t="shared" si="24"/>
        <v>3801598</v>
      </c>
      <c r="V73" s="113">
        <f t="shared" si="24"/>
        <v>6148569</v>
      </c>
      <c r="W73" s="487">
        <f t="shared" si="24"/>
        <v>6157648.429999999</v>
      </c>
      <c r="X73" s="618">
        <f t="shared" si="3"/>
        <v>100.14766736780541</v>
      </c>
    </row>
    <row r="74" spans="1:24" ht="12.75">
      <c r="A74" s="702"/>
      <c r="B74" s="748"/>
      <c r="C74" s="36" t="s">
        <v>145</v>
      </c>
      <c r="D74" s="36"/>
      <c r="E74" s="36"/>
      <c r="F74" s="36"/>
      <c r="G74" s="36"/>
      <c r="H74" s="36"/>
      <c r="I74" s="36">
        <v>23695</v>
      </c>
      <c r="J74" s="36">
        <v>17245</v>
      </c>
      <c r="K74" s="24">
        <v>10901</v>
      </c>
      <c r="L74" s="21">
        <v>11158.85</v>
      </c>
      <c r="M74" s="134">
        <v>11477.1</v>
      </c>
      <c r="N74" s="84">
        <v>11818.38</v>
      </c>
      <c r="O74" s="178">
        <v>12154.95</v>
      </c>
      <c r="P74" s="178">
        <v>13029.32</v>
      </c>
      <c r="Q74" s="178">
        <v>15209.34</v>
      </c>
      <c r="R74" s="178">
        <v>16905.95</v>
      </c>
      <c r="S74" s="84">
        <v>17572.16</v>
      </c>
      <c r="T74" s="84">
        <v>17305.09</v>
      </c>
      <c r="U74" s="84">
        <v>16630</v>
      </c>
      <c r="V74" s="84">
        <v>18417</v>
      </c>
      <c r="W74" s="634">
        <v>18417.25</v>
      </c>
      <c r="X74" s="629">
        <f t="shared" si="3"/>
        <v>100.00135744149428</v>
      </c>
    </row>
    <row r="75" spans="1:24" ht="12.75">
      <c r="A75" s="702"/>
      <c r="B75" s="749"/>
      <c r="C75" s="38" t="s">
        <v>146</v>
      </c>
      <c r="D75" s="38"/>
      <c r="E75" s="38"/>
      <c r="F75" s="38"/>
      <c r="G75" s="38"/>
      <c r="H75" s="38"/>
      <c r="I75" s="38">
        <v>2039732</v>
      </c>
      <c r="J75" s="38">
        <v>2219230</v>
      </c>
      <c r="K75" s="24">
        <v>2305975</v>
      </c>
      <c r="L75" s="24">
        <v>2374727</v>
      </c>
      <c r="M75" s="101">
        <v>2385302.7</v>
      </c>
      <c r="N75" s="24">
        <v>2378880.87</v>
      </c>
      <c r="O75" s="180">
        <v>2380478.2</v>
      </c>
      <c r="P75" s="180">
        <v>2366109.5</v>
      </c>
      <c r="Q75" s="180">
        <v>2545153.69</v>
      </c>
      <c r="R75" s="180">
        <v>2781805.12</v>
      </c>
      <c r="S75" s="24">
        <v>2869915</v>
      </c>
      <c r="T75" s="24">
        <v>3118128.2</v>
      </c>
      <c r="U75" s="24">
        <v>2859269</v>
      </c>
      <c r="V75" s="24">
        <v>3663655</v>
      </c>
      <c r="W75" s="634">
        <f>3604099+59556</f>
        <v>3663655</v>
      </c>
      <c r="X75" s="629">
        <f t="shared" si="3"/>
        <v>100</v>
      </c>
    </row>
    <row r="76" spans="1:24" ht="12.75">
      <c r="A76" s="702"/>
      <c r="B76" s="749"/>
      <c r="C76" s="38" t="s">
        <v>147</v>
      </c>
      <c r="D76" s="38"/>
      <c r="E76" s="38"/>
      <c r="F76" s="38"/>
      <c r="G76" s="38"/>
      <c r="H76" s="38"/>
      <c r="I76" s="38">
        <v>18027</v>
      </c>
      <c r="J76" s="38">
        <v>18084</v>
      </c>
      <c r="K76" s="24">
        <v>17994</v>
      </c>
      <c r="L76" s="24">
        <v>18008.52</v>
      </c>
      <c r="M76" s="101">
        <v>18041.07</v>
      </c>
      <c r="N76" s="24">
        <v>17962.95</v>
      </c>
      <c r="O76" s="180">
        <v>17965.74</v>
      </c>
      <c r="P76" s="180">
        <v>21444.09</v>
      </c>
      <c r="Q76" s="180">
        <v>25241.06</v>
      </c>
      <c r="R76" s="180">
        <v>28158.54</v>
      </c>
      <c r="S76" s="24">
        <v>24931.2</v>
      </c>
      <c r="T76" s="24">
        <v>24830.29</v>
      </c>
      <c r="U76" s="24">
        <v>28159</v>
      </c>
      <c r="V76" s="24">
        <v>28431</v>
      </c>
      <c r="W76" s="634">
        <v>28430.54</v>
      </c>
      <c r="X76" s="629">
        <f aca="true" t="shared" si="25" ref="X76:X123">IF(V76=0,0,W76/V76)*100</f>
        <v>99.99838204776476</v>
      </c>
    </row>
    <row r="77" spans="1:24" ht="12.75">
      <c r="A77" s="702"/>
      <c r="B77" s="749"/>
      <c r="C77" s="38" t="s">
        <v>148</v>
      </c>
      <c r="D77" s="38"/>
      <c r="E77" s="38"/>
      <c r="F77" s="38"/>
      <c r="G77" s="38"/>
      <c r="H77" s="38"/>
      <c r="I77" s="38">
        <v>24577</v>
      </c>
      <c r="J77" s="38">
        <v>25124</v>
      </c>
      <c r="K77" s="24">
        <v>25564</v>
      </c>
      <c r="L77" s="24">
        <v>26022</v>
      </c>
      <c r="M77" s="101">
        <v>26310</v>
      </c>
      <c r="N77" s="24">
        <v>27303</v>
      </c>
      <c r="O77" s="180">
        <v>28388</v>
      </c>
      <c r="P77" s="180">
        <v>29368</v>
      </c>
      <c r="Q77" s="180">
        <v>32106</v>
      </c>
      <c r="R77" s="180">
        <v>35166</v>
      </c>
      <c r="S77" s="24">
        <v>36089</v>
      </c>
      <c r="T77" s="24">
        <v>18535</v>
      </c>
      <c r="U77" s="24">
        <v>32000</v>
      </c>
      <c r="V77" s="24">
        <v>19934</v>
      </c>
      <c r="W77" s="634">
        <v>19934</v>
      </c>
      <c r="X77" s="629">
        <f t="shared" si="25"/>
        <v>100</v>
      </c>
    </row>
    <row r="78" spans="1:24" ht="12.75">
      <c r="A78" s="702"/>
      <c r="B78" s="749"/>
      <c r="C78" s="38" t="s">
        <v>149</v>
      </c>
      <c r="D78" s="38"/>
      <c r="E78" s="38"/>
      <c r="F78" s="38"/>
      <c r="G78" s="38"/>
      <c r="H78" s="38"/>
      <c r="I78" s="38">
        <v>7039</v>
      </c>
      <c r="J78" s="38">
        <v>7075</v>
      </c>
      <c r="K78" s="24">
        <v>7128</v>
      </c>
      <c r="L78" s="24">
        <v>7141.61</v>
      </c>
      <c r="M78" s="101">
        <v>7157.02</v>
      </c>
      <c r="N78" s="24">
        <v>7145.67</v>
      </c>
      <c r="O78" s="180">
        <v>7146.74</v>
      </c>
      <c r="P78" s="180">
        <v>7180.34</v>
      </c>
      <c r="Q78" s="180">
        <v>7204.95</v>
      </c>
      <c r="R78" s="180">
        <v>7210.94</v>
      </c>
      <c r="S78" s="24">
        <v>7213.51</v>
      </c>
      <c r="T78" s="24">
        <v>7218.22</v>
      </c>
      <c r="U78" s="24">
        <v>7218</v>
      </c>
      <c r="V78" s="24">
        <v>7089</v>
      </c>
      <c r="W78" s="634">
        <v>7089.18</v>
      </c>
      <c r="X78" s="629">
        <f t="shared" si="25"/>
        <v>100.00253914515447</v>
      </c>
    </row>
    <row r="79" spans="1:24" ht="12.75">
      <c r="A79" s="702"/>
      <c r="B79" s="749"/>
      <c r="C79" s="38" t="s">
        <v>150</v>
      </c>
      <c r="D79" s="38"/>
      <c r="E79" s="38"/>
      <c r="F79" s="38"/>
      <c r="G79" s="38"/>
      <c r="H79" s="38"/>
      <c r="I79" s="38">
        <v>10058</v>
      </c>
      <c r="J79" s="38">
        <v>10551</v>
      </c>
      <c r="K79" s="24">
        <v>6336</v>
      </c>
      <c r="L79" s="24">
        <v>5427.66</v>
      </c>
      <c r="M79" s="101">
        <v>4327.68</v>
      </c>
      <c r="N79" s="24">
        <v>3104.64</v>
      </c>
      <c r="O79" s="180">
        <v>3575.04</v>
      </c>
      <c r="P79" s="180">
        <v>3928.96</v>
      </c>
      <c r="Q79" s="180">
        <v>5163.84</v>
      </c>
      <c r="R79" s="180">
        <v>4480.02</v>
      </c>
      <c r="S79" s="24">
        <v>2417</v>
      </c>
      <c r="T79" s="24">
        <v>3205.42</v>
      </c>
      <c r="U79" s="24">
        <v>4480</v>
      </c>
      <c r="V79" s="24">
        <v>4980</v>
      </c>
      <c r="W79" s="634">
        <v>4980</v>
      </c>
      <c r="X79" s="629">
        <f t="shared" si="25"/>
        <v>100</v>
      </c>
    </row>
    <row r="80" spans="1:24" ht="12.75">
      <c r="A80" s="702"/>
      <c r="B80" s="749"/>
      <c r="C80" s="38" t="s">
        <v>438</v>
      </c>
      <c r="D80" s="38"/>
      <c r="E80" s="38"/>
      <c r="F80" s="38"/>
      <c r="G80" s="38"/>
      <c r="H80" s="38"/>
      <c r="I80" s="38"/>
      <c r="J80" s="38"/>
      <c r="K80" s="24"/>
      <c r="L80" s="24"/>
      <c r="M80" s="101"/>
      <c r="N80" s="24"/>
      <c r="O80" s="180"/>
      <c r="P80" s="180"/>
      <c r="Q80" s="180"/>
      <c r="R80" s="180"/>
      <c r="S80" s="24"/>
      <c r="T80" s="24"/>
      <c r="U80" s="24"/>
      <c r="V80" s="24">
        <v>675</v>
      </c>
      <c r="W80" s="634">
        <v>674.75</v>
      </c>
      <c r="X80" s="629">
        <f t="shared" si="25"/>
        <v>99.96296296296296</v>
      </c>
    </row>
    <row r="81" spans="1:24" ht="12.75">
      <c r="A81" s="702"/>
      <c r="B81" s="749"/>
      <c r="C81" s="38" t="s">
        <v>151</v>
      </c>
      <c r="D81" s="38"/>
      <c r="E81" s="38"/>
      <c r="F81" s="38"/>
      <c r="G81" s="38"/>
      <c r="H81" s="38"/>
      <c r="I81" s="38">
        <v>83191</v>
      </c>
      <c r="J81" s="38">
        <v>97555</v>
      </c>
      <c r="K81" s="24">
        <v>85709</v>
      </c>
      <c r="L81" s="24">
        <v>73418.71</v>
      </c>
      <c r="M81" s="101">
        <v>58497.09</v>
      </c>
      <c r="N81" s="24">
        <v>43283.74</v>
      </c>
      <c r="O81" s="180">
        <v>37015.03</v>
      </c>
      <c r="P81" s="180">
        <v>30847.5</v>
      </c>
      <c r="Q81" s="180">
        <v>180888.6</v>
      </c>
      <c r="R81" s="180">
        <v>3685.2</v>
      </c>
      <c r="S81" s="24">
        <v>3353.2</v>
      </c>
      <c r="T81" s="24">
        <v>3270.2</v>
      </c>
      <c r="U81" s="24">
        <v>3500</v>
      </c>
      <c r="V81" s="24">
        <v>3204</v>
      </c>
      <c r="W81" s="634">
        <v>3203.8</v>
      </c>
      <c r="X81" s="629">
        <f t="shared" si="25"/>
        <v>99.99375780274657</v>
      </c>
    </row>
    <row r="82" spans="1:24" s="600" customFormat="1" ht="12.75">
      <c r="A82" s="702"/>
      <c r="B82" s="749"/>
      <c r="C82" s="38" t="s">
        <v>152</v>
      </c>
      <c r="D82" s="38"/>
      <c r="E82" s="38"/>
      <c r="F82" s="38"/>
      <c r="G82" s="38"/>
      <c r="H82" s="38"/>
      <c r="I82" s="38">
        <v>25474</v>
      </c>
      <c r="J82" s="38">
        <v>22043</v>
      </c>
      <c r="K82" s="24">
        <f>1699+18018</f>
        <v>19717</v>
      </c>
      <c r="L82" s="24">
        <v>29033.54</v>
      </c>
      <c r="M82" s="101">
        <v>25989.77</v>
      </c>
      <c r="N82" s="24">
        <v>45874.89000000001</v>
      </c>
      <c r="O82" s="180">
        <v>32060.63</v>
      </c>
      <c r="P82" s="180">
        <v>23435.9</v>
      </c>
      <c r="Q82" s="180">
        <v>11750.66</v>
      </c>
      <c r="R82" s="180">
        <v>13997.92</v>
      </c>
      <c r="S82" s="24">
        <v>25352.86</v>
      </c>
      <c r="T82" s="24">
        <v>29583.760000000002</v>
      </c>
      <c r="U82" s="24">
        <v>23000</v>
      </c>
      <c r="V82" s="24">
        <v>48044</v>
      </c>
      <c r="W82" s="634">
        <f>894.5+2562.2+2704.4+2706.06+33702.41+5474.84</f>
        <v>48044.41</v>
      </c>
      <c r="X82" s="629">
        <f t="shared" si="25"/>
        <v>100.00085338439763</v>
      </c>
    </row>
    <row r="83" spans="1:24" ht="12.75">
      <c r="A83" s="702"/>
      <c r="B83" s="749"/>
      <c r="C83" s="38" t="s">
        <v>153</v>
      </c>
      <c r="D83" s="38"/>
      <c r="E83" s="38"/>
      <c r="F83" s="38"/>
      <c r="G83" s="38"/>
      <c r="H83" s="38"/>
      <c r="I83" s="38">
        <v>1008</v>
      </c>
      <c r="J83" s="38">
        <v>1008</v>
      </c>
      <c r="K83" s="24">
        <v>995</v>
      </c>
      <c r="L83" s="24">
        <v>836.54</v>
      </c>
      <c r="M83" s="101">
        <v>838.04</v>
      </c>
      <c r="N83" s="24">
        <v>834.41</v>
      </c>
      <c r="O83" s="180">
        <v>834.53</v>
      </c>
      <c r="P83" s="180">
        <v>834.58</v>
      </c>
      <c r="Q83" s="180">
        <v>834.92</v>
      </c>
      <c r="R83" s="180">
        <v>833.25</v>
      </c>
      <c r="S83" s="24">
        <v>831.16</v>
      </c>
      <c r="T83" s="24">
        <v>828.18</v>
      </c>
      <c r="U83" s="24">
        <v>1474</v>
      </c>
      <c r="V83" s="24">
        <v>810</v>
      </c>
      <c r="W83" s="634">
        <v>809.79</v>
      </c>
      <c r="X83" s="629">
        <f t="shared" si="25"/>
        <v>99.97407407407407</v>
      </c>
    </row>
    <row r="84" spans="1:24" ht="12.75">
      <c r="A84" s="702"/>
      <c r="B84" s="749"/>
      <c r="C84" s="38" t="s">
        <v>154</v>
      </c>
      <c r="D84" s="38"/>
      <c r="E84" s="38"/>
      <c r="F84" s="38"/>
      <c r="G84" s="38"/>
      <c r="H84" s="38"/>
      <c r="I84" s="38">
        <v>1487</v>
      </c>
      <c r="J84" s="38">
        <v>1415</v>
      </c>
      <c r="K84" s="24">
        <v>1362</v>
      </c>
      <c r="L84" s="24">
        <v>1386.9</v>
      </c>
      <c r="M84" s="101">
        <v>1388.19</v>
      </c>
      <c r="N84" s="24">
        <v>1382.72</v>
      </c>
      <c r="O84" s="180">
        <v>1384.09</v>
      </c>
      <c r="P84" s="180">
        <v>1383.83</v>
      </c>
      <c r="Q84" s="180">
        <v>1383.78</v>
      </c>
      <c r="R84" s="180">
        <v>1401.91</v>
      </c>
      <c r="S84" s="24">
        <v>1442.76</v>
      </c>
      <c r="T84" s="24">
        <v>2139.51</v>
      </c>
      <c r="U84" s="24">
        <v>1443</v>
      </c>
      <c r="V84" s="24">
        <v>1566</v>
      </c>
      <c r="W84" s="634">
        <v>1565.91</v>
      </c>
      <c r="X84" s="629">
        <f t="shared" si="25"/>
        <v>99.99425287356323</v>
      </c>
    </row>
    <row r="85" spans="1:24" s="601" customFormat="1" ht="12.75">
      <c r="A85" s="702"/>
      <c r="B85" s="749"/>
      <c r="C85" s="38" t="s">
        <v>327</v>
      </c>
      <c r="D85" s="38"/>
      <c r="E85" s="38"/>
      <c r="F85" s="38"/>
      <c r="G85" s="38"/>
      <c r="H85" s="38"/>
      <c r="I85" s="38">
        <v>46640</v>
      </c>
      <c r="J85" s="38">
        <v>26998</v>
      </c>
      <c r="K85" s="24">
        <v>72974</v>
      </c>
      <c r="L85" s="24">
        <v>59711.85</v>
      </c>
      <c r="M85" s="101">
        <v>88644.08</v>
      </c>
      <c r="N85" s="24"/>
      <c r="O85" s="180">
        <v>5319.72</v>
      </c>
      <c r="P85" s="180">
        <v>79960.38</v>
      </c>
      <c r="Q85" s="180">
        <v>117516.28</v>
      </c>
      <c r="R85" s="180">
        <v>102665.44</v>
      </c>
      <c r="S85" s="24">
        <v>168200.86</v>
      </c>
      <c r="T85" s="24">
        <v>148333.02</v>
      </c>
      <c r="U85" s="24">
        <v>158000</v>
      </c>
      <c r="V85" s="24">
        <v>196196</v>
      </c>
      <c r="W85" s="634">
        <f>48668.49+35293+17003.28+95230.38</f>
        <v>196195.15</v>
      </c>
      <c r="X85" s="629">
        <f t="shared" si="25"/>
        <v>99.99956675977084</v>
      </c>
    </row>
    <row r="86" spans="1:24" ht="12.75">
      <c r="A86" s="702"/>
      <c r="B86" s="749"/>
      <c r="C86" s="38" t="s">
        <v>155</v>
      </c>
      <c r="D86" s="38"/>
      <c r="E86" s="38"/>
      <c r="F86" s="38"/>
      <c r="G86" s="38"/>
      <c r="H86" s="38"/>
      <c r="I86" s="38">
        <v>4903</v>
      </c>
      <c r="J86" s="38">
        <v>4921</v>
      </c>
      <c r="K86" s="24">
        <v>4883</v>
      </c>
      <c r="L86" s="24">
        <v>4883.67</v>
      </c>
      <c r="M86" s="101">
        <v>4892.91</v>
      </c>
      <c r="N86" s="24">
        <v>4949.79</v>
      </c>
      <c r="O86" s="180">
        <v>5150.43</v>
      </c>
      <c r="P86" s="180">
        <v>5039.6</v>
      </c>
      <c r="Q86" s="180">
        <v>4957.389999999999</v>
      </c>
      <c r="R86" s="180">
        <v>5060.610000000001</v>
      </c>
      <c r="S86" s="24">
        <v>5039.46</v>
      </c>
      <c r="T86" s="24">
        <v>5586.53</v>
      </c>
      <c r="U86" s="24">
        <v>5039</v>
      </c>
      <c r="V86" s="24">
        <v>4893</v>
      </c>
      <c r="W86" s="634">
        <v>4892.63</v>
      </c>
      <c r="X86" s="629">
        <f t="shared" si="25"/>
        <v>99.99243817698753</v>
      </c>
    </row>
    <row r="87" spans="1:24" ht="12.75">
      <c r="A87" s="702"/>
      <c r="B87" s="749"/>
      <c r="C87" s="38" t="s">
        <v>156</v>
      </c>
      <c r="D87" s="38"/>
      <c r="E87" s="38"/>
      <c r="F87" s="38"/>
      <c r="G87" s="38"/>
      <c r="H87" s="38"/>
      <c r="I87" s="38"/>
      <c r="J87" s="38"/>
      <c r="K87" s="24"/>
      <c r="L87" s="24"/>
      <c r="M87" s="101"/>
      <c r="N87" s="24">
        <v>5331.12</v>
      </c>
      <c r="O87" s="180">
        <v>5725</v>
      </c>
      <c r="P87" s="180">
        <v>6318.110000000001</v>
      </c>
      <c r="Q87" s="180">
        <v>15040</v>
      </c>
      <c r="R87" s="180">
        <v>11724.32</v>
      </c>
      <c r="S87" s="24">
        <v>8198.2</v>
      </c>
      <c r="T87" s="24">
        <v>8502.77</v>
      </c>
      <c r="U87" s="24"/>
      <c r="V87" s="24">
        <v>9213</v>
      </c>
      <c r="W87" s="634">
        <v>9212.67</v>
      </c>
      <c r="X87" s="629">
        <f t="shared" si="25"/>
        <v>99.99641810485184</v>
      </c>
    </row>
    <row r="88" spans="1:24" ht="12.75">
      <c r="A88" s="702"/>
      <c r="B88" s="749"/>
      <c r="C88" s="38" t="s">
        <v>156</v>
      </c>
      <c r="D88" s="38"/>
      <c r="E88" s="38"/>
      <c r="F88" s="38"/>
      <c r="G88" s="38"/>
      <c r="H88" s="38"/>
      <c r="I88" s="38">
        <v>4172</v>
      </c>
      <c r="J88" s="38">
        <v>4305</v>
      </c>
      <c r="K88" s="24">
        <v>4445</v>
      </c>
      <c r="L88" s="24">
        <v>4634.95</v>
      </c>
      <c r="M88" s="101">
        <v>5001.36</v>
      </c>
      <c r="N88" s="24">
        <v>4700</v>
      </c>
      <c r="O88" s="180">
        <v>4000</v>
      </c>
      <c r="P88" s="180">
        <v>6500</v>
      </c>
      <c r="Q88" s="180">
        <v>6844.81</v>
      </c>
      <c r="R88" s="180"/>
      <c r="S88" s="24">
        <v>13200</v>
      </c>
      <c r="T88" s="24">
        <v>11300</v>
      </c>
      <c r="U88" s="24"/>
      <c r="V88" s="24">
        <v>0</v>
      </c>
      <c r="W88" s="634"/>
      <c r="X88" s="629">
        <f t="shared" si="25"/>
        <v>0</v>
      </c>
    </row>
    <row r="89" spans="1:24" s="601" customFormat="1" ht="12.75">
      <c r="A89" s="702"/>
      <c r="B89" s="749"/>
      <c r="C89" s="38" t="s">
        <v>157</v>
      </c>
      <c r="D89" s="38"/>
      <c r="E89" s="38"/>
      <c r="F89" s="38"/>
      <c r="G89" s="38"/>
      <c r="H89" s="38"/>
      <c r="I89" s="38">
        <v>13965</v>
      </c>
      <c r="J89" s="38">
        <v>20215</v>
      </c>
      <c r="K89" s="24">
        <f>2614+9370+2952+12392</f>
        <v>27328</v>
      </c>
      <c r="L89" s="24">
        <v>18845.33</v>
      </c>
      <c r="M89" s="101">
        <v>25120.019999999997</v>
      </c>
      <c r="N89" s="24">
        <v>34933.57</v>
      </c>
      <c r="O89" s="180">
        <v>37751.54</v>
      </c>
      <c r="P89" s="180">
        <v>40983.99</v>
      </c>
      <c r="Q89" s="180">
        <v>46526.26</v>
      </c>
      <c r="R89" s="180">
        <v>47924.12</v>
      </c>
      <c r="S89" s="24">
        <v>47729.81</v>
      </c>
      <c r="T89" s="24">
        <v>49298.94</v>
      </c>
      <c r="U89" s="24">
        <v>47000</v>
      </c>
      <c r="V89" s="24">
        <v>50411</v>
      </c>
      <c r="W89" s="634">
        <f>3848.58+7447.74+39113.78</f>
        <v>50410.1</v>
      </c>
      <c r="X89" s="629">
        <f t="shared" si="25"/>
        <v>99.99821467536847</v>
      </c>
    </row>
    <row r="90" spans="1:24" ht="12.75">
      <c r="A90" s="702"/>
      <c r="B90" s="749"/>
      <c r="C90" s="38" t="s">
        <v>338</v>
      </c>
      <c r="D90" s="38"/>
      <c r="E90" s="38"/>
      <c r="F90" s="38"/>
      <c r="G90" s="38"/>
      <c r="H90" s="38"/>
      <c r="I90" s="38"/>
      <c r="J90" s="38"/>
      <c r="K90" s="24"/>
      <c r="L90" s="24"/>
      <c r="M90" s="180"/>
      <c r="N90" s="24">
        <v>37805</v>
      </c>
      <c r="O90" s="24"/>
      <c r="P90" s="180"/>
      <c r="Q90" s="180"/>
      <c r="R90" s="180">
        <v>80695.71</v>
      </c>
      <c r="S90" s="24">
        <v>99939.32</v>
      </c>
      <c r="T90" s="24">
        <v>57013.03</v>
      </c>
      <c r="U90" s="24">
        <v>81000</v>
      </c>
      <c r="V90" s="24">
        <v>64702</v>
      </c>
      <c r="W90" s="634">
        <v>64702.31</v>
      </c>
      <c r="X90" s="629">
        <f t="shared" si="25"/>
        <v>100.00047911965626</v>
      </c>
    </row>
    <row r="91" spans="1:24" ht="12.75">
      <c r="A91" s="702"/>
      <c r="B91" s="749"/>
      <c r="C91" s="38" t="s">
        <v>401</v>
      </c>
      <c r="D91" s="52"/>
      <c r="E91" s="52"/>
      <c r="F91" s="52"/>
      <c r="G91" s="52"/>
      <c r="H91" s="52"/>
      <c r="I91" s="52"/>
      <c r="J91" s="52"/>
      <c r="K91" s="24"/>
      <c r="L91" s="24">
        <v>35000</v>
      </c>
      <c r="M91" s="180"/>
      <c r="N91" s="24"/>
      <c r="O91" s="24"/>
      <c r="P91" s="180"/>
      <c r="Q91" s="180"/>
      <c r="R91" s="180"/>
      <c r="S91" s="24"/>
      <c r="T91" s="24"/>
      <c r="U91" s="24"/>
      <c r="V91" s="24">
        <v>37000</v>
      </c>
      <c r="W91" s="634">
        <v>37000</v>
      </c>
      <c r="X91" s="629">
        <f t="shared" si="25"/>
        <v>100</v>
      </c>
    </row>
    <row r="92" spans="1:24" ht="12.75">
      <c r="A92" s="702"/>
      <c r="B92" s="749"/>
      <c r="C92" s="52" t="s">
        <v>402</v>
      </c>
      <c r="D92" s="52"/>
      <c r="E92" s="52"/>
      <c r="F92" s="52"/>
      <c r="G92" s="52"/>
      <c r="H92" s="52"/>
      <c r="I92" s="52"/>
      <c r="J92" s="52"/>
      <c r="K92" s="24"/>
      <c r="L92" s="24"/>
      <c r="M92" s="180"/>
      <c r="N92" s="24"/>
      <c r="O92" s="24"/>
      <c r="P92" s="180"/>
      <c r="Q92" s="180"/>
      <c r="R92" s="180"/>
      <c r="S92" s="24"/>
      <c r="T92" s="24"/>
      <c r="U92" s="24"/>
      <c r="V92" s="24">
        <v>12000</v>
      </c>
      <c r="W92" s="634">
        <v>12000</v>
      </c>
      <c r="X92" s="629">
        <f t="shared" si="25"/>
        <v>100</v>
      </c>
    </row>
    <row r="93" spans="1:24" ht="12.75">
      <c r="A93" s="702"/>
      <c r="B93" s="749"/>
      <c r="C93" s="52" t="s">
        <v>352</v>
      </c>
      <c r="D93" s="52"/>
      <c r="E93" s="52"/>
      <c r="F93" s="52"/>
      <c r="G93" s="52"/>
      <c r="H93" s="52"/>
      <c r="I93" s="52"/>
      <c r="J93" s="52"/>
      <c r="K93" s="24"/>
      <c r="L93" s="24">
        <v>149100</v>
      </c>
      <c r="M93" s="180"/>
      <c r="N93" s="24"/>
      <c r="O93" s="24">
        <v>15864.95</v>
      </c>
      <c r="P93" s="180"/>
      <c r="Q93" s="180"/>
      <c r="R93" s="180"/>
      <c r="S93" s="24"/>
      <c r="T93" s="24"/>
      <c r="U93" s="24">
        <v>11000</v>
      </c>
      <c r="V93" s="24">
        <v>0</v>
      </c>
      <c r="W93" s="634"/>
      <c r="X93" s="629">
        <f t="shared" si="25"/>
        <v>0</v>
      </c>
    </row>
    <row r="94" spans="1:24" ht="12.75">
      <c r="A94" s="702"/>
      <c r="B94" s="749"/>
      <c r="C94" s="38" t="s">
        <v>437</v>
      </c>
      <c r="D94" s="38"/>
      <c r="E94" s="38"/>
      <c r="F94" s="38"/>
      <c r="G94" s="38"/>
      <c r="H94" s="38"/>
      <c r="I94" s="38">
        <v>119232</v>
      </c>
      <c r="J94" s="38">
        <f>30008+30023</f>
        <v>60031</v>
      </c>
      <c r="K94" s="24"/>
      <c r="L94" s="24"/>
      <c r="M94" s="180">
        <v>108000</v>
      </c>
      <c r="N94" s="24"/>
      <c r="O94" s="24">
        <v>66101.8</v>
      </c>
      <c r="P94" s="180"/>
      <c r="Q94" s="180"/>
      <c r="R94" s="180"/>
      <c r="S94" s="24"/>
      <c r="T94" s="24"/>
      <c r="U94" s="24">
        <v>35000</v>
      </c>
      <c r="V94" s="24">
        <v>28092</v>
      </c>
      <c r="W94" s="634">
        <v>28091.75</v>
      </c>
      <c r="X94" s="629">
        <f t="shared" si="25"/>
        <v>99.99911006692297</v>
      </c>
    </row>
    <row r="95" spans="1:24" ht="12.75">
      <c r="A95" s="702"/>
      <c r="B95" s="749"/>
      <c r="C95" s="38" t="s">
        <v>424</v>
      </c>
      <c r="D95" s="38"/>
      <c r="E95" s="38"/>
      <c r="F95" s="38"/>
      <c r="G95" s="38"/>
      <c r="H95" s="38"/>
      <c r="I95" s="38"/>
      <c r="J95" s="38"/>
      <c r="K95" s="24"/>
      <c r="L95" s="24"/>
      <c r="M95" s="180"/>
      <c r="N95" s="24"/>
      <c r="O95" s="24"/>
      <c r="P95" s="180"/>
      <c r="Q95" s="180"/>
      <c r="R95" s="180"/>
      <c r="S95" s="24"/>
      <c r="T95" s="24"/>
      <c r="U95" s="24">
        <v>36000</v>
      </c>
      <c r="V95" s="24">
        <v>29539</v>
      </c>
      <c r="W95" s="634">
        <v>29539.47</v>
      </c>
      <c r="X95" s="629">
        <f t="shared" si="25"/>
        <v>100.0015911168286</v>
      </c>
    </row>
    <row r="96" spans="1:24" ht="12.75">
      <c r="A96" s="702"/>
      <c r="B96" s="749"/>
      <c r="C96" s="38" t="s">
        <v>396</v>
      </c>
      <c r="D96" s="38"/>
      <c r="E96" s="38"/>
      <c r="F96" s="38"/>
      <c r="G96" s="38"/>
      <c r="H96" s="38"/>
      <c r="I96" s="38"/>
      <c r="J96" s="38">
        <v>40000</v>
      </c>
      <c r="K96" s="24"/>
      <c r="L96" s="24"/>
      <c r="M96" s="24">
        <v>298131.35</v>
      </c>
      <c r="N96" s="24"/>
      <c r="O96" s="24"/>
      <c r="P96" s="180"/>
      <c r="Q96" s="180"/>
      <c r="R96" s="180"/>
      <c r="S96" s="24"/>
      <c r="T96" s="24"/>
      <c r="U96" s="24"/>
      <c r="V96" s="24">
        <v>403000</v>
      </c>
      <c r="W96" s="634">
        <v>403000</v>
      </c>
      <c r="X96" s="629">
        <f t="shared" si="25"/>
        <v>100</v>
      </c>
    </row>
    <row r="97" spans="1:25" ht="12.75">
      <c r="A97" s="702"/>
      <c r="B97" s="749"/>
      <c r="C97" s="38" t="s">
        <v>159</v>
      </c>
      <c r="D97" s="38"/>
      <c r="E97" s="38"/>
      <c r="F97" s="38"/>
      <c r="G97" s="38"/>
      <c r="H97" s="38"/>
      <c r="I97" s="38"/>
      <c r="J97" s="38">
        <v>85385</v>
      </c>
      <c r="K97" s="24">
        <v>389162</v>
      </c>
      <c r="L97" s="24"/>
      <c r="M97" s="39"/>
      <c r="N97" s="24">
        <v>274838.9</v>
      </c>
      <c r="O97" s="180">
        <v>190966.83</v>
      </c>
      <c r="P97" s="180">
        <v>164272.02000000002</v>
      </c>
      <c r="Q97" s="180">
        <v>126275.40000000001</v>
      </c>
      <c r="R97" s="180">
        <v>113934.41</v>
      </c>
      <c r="S97" s="24">
        <v>126365.63</v>
      </c>
      <c r="T97" s="24"/>
      <c r="U97" s="24">
        <v>58230</v>
      </c>
      <c r="V97" s="24">
        <v>44629</v>
      </c>
      <c r="W97" s="634">
        <f>40560+4068.8</f>
        <v>44628.8</v>
      </c>
      <c r="X97" s="629">
        <f t="shared" si="25"/>
        <v>99.99955186089763</v>
      </c>
      <c r="Y97" s="453"/>
    </row>
    <row r="98" spans="1:24" ht="12.75">
      <c r="A98" s="702"/>
      <c r="B98" s="749"/>
      <c r="C98" s="38" t="s">
        <v>160</v>
      </c>
      <c r="D98" s="38"/>
      <c r="E98" s="38"/>
      <c r="F98" s="38"/>
      <c r="G98" s="38"/>
      <c r="H98" s="38"/>
      <c r="I98" s="38"/>
      <c r="J98" s="38"/>
      <c r="K98" s="24">
        <v>6226</v>
      </c>
      <c r="L98" s="24"/>
      <c r="M98" s="24"/>
      <c r="N98" s="24"/>
      <c r="O98" s="24"/>
      <c r="P98" s="180">
        <v>2738.17</v>
      </c>
      <c r="Q98" s="180"/>
      <c r="R98" s="180"/>
      <c r="S98" s="24"/>
      <c r="T98" s="24"/>
      <c r="U98" s="24">
        <v>115000</v>
      </c>
      <c r="V98" s="24">
        <v>99059</v>
      </c>
      <c r="W98" s="634">
        <v>99058.88</v>
      </c>
      <c r="X98" s="629">
        <f t="shared" si="25"/>
        <v>99.9998788600733</v>
      </c>
    </row>
    <row r="99" spans="1:24" ht="12.75">
      <c r="A99" s="702"/>
      <c r="B99" s="749"/>
      <c r="C99" s="38" t="s">
        <v>160</v>
      </c>
      <c r="D99" s="38"/>
      <c r="E99" s="38"/>
      <c r="F99" s="38"/>
      <c r="G99" s="38"/>
      <c r="H99" s="38"/>
      <c r="I99" s="38"/>
      <c r="J99" s="38"/>
      <c r="K99" s="24"/>
      <c r="L99" s="24"/>
      <c r="M99" s="24"/>
      <c r="N99" s="24"/>
      <c r="O99" s="24"/>
      <c r="P99" s="180"/>
      <c r="Q99" s="180"/>
      <c r="R99" s="180"/>
      <c r="S99" s="24"/>
      <c r="T99" s="24"/>
      <c r="U99" s="24"/>
      <c r="V99" s="24">
        <v>1776</v>
      </c>
      <c r="W99" s="634">
        <v>1776.35</v>
      </c>
      <c r="X99" s="629">
        <f t="shared" si="25"/>
        <v>100.0197072072072</v>
      </c>
    </row>
    <row r="100" spans="1:24" ht="12.75">
      <c r="A100" s="702"/>
      <c r="B100" s="749"/>
      <c r="C100" s="38" t="s">
        <v>423</v>
      </c>
      <c r="D100" s="38"/>
      <c r="E100" s="38"/>
      <c r="F100" s="38"/>
      <c r="G100" s="38"/>
      <c r="H100" s="38"/>
      <c r="I100" s="38">
        <v>3534</v>
      </c>
      <c r="J100" s="38">
        <v>4595</v>
      </c>
      <c r="K100" s="24">
        <v>1120</v>
      </c>
      <c r="L100" s="24"/>
      <c r="M100" s="24"/>
      <c r="N100" s="24"/>
      <c r="O100" s="24"/>
      <c r="P100" s="180"/>
      <c r="Q100" s="180"/>
      <c r="R100" s="180"/>
      <c r="S100" s="24"/>
      <c r="T100" s="24"/>
      <c r="U100" s="24"/>
      <c r="V100" s="24">
        <v>729</v>
      </c>
      <c r="W100" s="634">
        <v>728.67</v>
      </c>
      <c r="X100" s="629">
        <f t="shared" si="25"/>
        <v>99.95473251028805</v>
      </c>
    </row>
    <row r="101" spans="1:24" ht="12.75">
      <c r="A101" s="702"/>
      <c r="B101" s="749"/>
      <c r="C101" s="38" t="s">
        <v>449</v>
      </c>
      <c r="D101" s="38"/>
      <c r="E101" s="38"/>
      <c r="F101" s="38"/>
      <c r="G101" s="38"/>
      <c r="H101" s="38"/>
      <c r="I101" s="38"/>
      <c r="J101" s="38"/>
      <c r="K101" s="24"/>
      <c r="L101" s="24"/>
      <c r="M101" s="24"/>
      <c r="N101" s="24"/>
      <c r="O101" s="24"/>
      <c r="P101" s="180"/>
      <c r="Q101" s="180"/>
      <c r="R101" s="180"/>
      <c r="S101" s="24"/>
      <c r="T101" s="24"/>
      <c r="U101" s="24"/>
      <c r="V101" s="24">
        <v>0</v>
      </c>
      <c r="W101" s="634">
        <v>1400</v>
      </c>
      <c r="X101" s="629">
        <f t="shared" si="25"/>
        <v>0</v>
      </c>
    </row>
    <row r="102" spans="1:24" ht="12.75">
      <c r="A102" s="702"/>
      <c r="B102" s="749"/>
      <c r="C102" s="38" t="s">
        <v>418</v>
      </c>
      <c r="D102" s="38"/>
      <c r="E102" s="38"/>
      <c r="F102" s="38"/>
      <c r="G102" s="38"/>
      <c r="H102" s="38"/>
      <c r="I102" s="38"/>
      <c r="J102" s="38"/>
      <c r="K102" s="24"/>
      <c r="L102" s="24"/>
      <c r="M102" s="24"/>
      <c r="N102" s="24"/>
      <c r="O102" s="24"/>
      <c r="P102" s="180"/>
      <c r="Q102" s="180"/>
      <c r="R102" s="180"/>
      <c r="S102" s="24"/>
      <c r="T102" s="24"/>
      <c r="U102" s="24"/>
      <c r="V102" s="24">
        <v>0</v>
      </c>
      <c r="W102" s="634"/>
      <c r="X102" s="629">
        <f t="shared" si="25"/>
        <v>0</v>
      </c>
    </row>
    <row r="103" spans="1:24" ht="12.75">
      <c r="A103" s="702"/>
      <c r="B103" s="749"/>
      <c r="C103" s="38" t="s">
        <v>162</v>
      </c>
      <c r="D103" s="38"/>
      <c r="E103" s="38"/>
      <c r="F103" s="38"/>
      <c r="G103" s="38"/>
      <c r="H103" s="38"/>
      <c r="I103" s="38"/>
      <c r="J103" s="38"/>
      <c r="K103" s="24">
        <v>73802</v>
      </c>
      <c r="L103" s="24"/>
      <c r="M103" s="24"/>
      <c r="N103" s="24"/>
      <c r="O103" s="24"/>
      <c r="P103" s="180"/>
      <c r="Q103" s="180"/>
      <c r="R103" s="180"/>
      <c r="S103" s="24"/>
      <c r="T103" s="24"/>
      <c r="U103" s="24"/>
      <c r="V103" s="24">
        <v>0</v>
      </c>
      <c r="W103" s="634"/>
      <c r="X103" s="629">
        <f t="shared" si="25"/>
        <v>0</v>
      </c>
    </row>
    <row r="104" spans="1:24" ht="12.75">
      <c r="A104" s="702"/>
      <c r="B104" s="749"/>
      <c r="C104" s="38" t="s">
        <v>163</v>
      </c>
      <c r="D104" s="38"/>
      <c r="E104" s="38"/>
      <c r="F104" s="38"/>
      <c r="G104" s="38"/>
      <c r="H104" s="38"/>
      <c r="I104" s="38"/>
      <c r="J104" s="38">
        <v>18000</v>
      </c>
      <c r="K104" s="24"/>
      <c r="L104" s="24"/>
      <c r="M104" s="24"/>
      <c r="N104" s="24"/>
      <c r="O104" s="24"/>
      <c r="P104" s="180"/>
      <c r="Q104" s="180"/>
      <c r="R104" s="180"/>
      <c r="S104" s="24"/>
      <c r="T104" s="24"/>
      <c r="U104" s="24">
        <v>46000</v>
      </c>
      <c r="V104" s="24">
        <v>172737</v>
      </c>
      <c r="W104" s="634">
        <v>172737.12</v>
      </c>
      <c r="X104" s="629">
        <f t="shared" si="25"/>
        <v>100.00006946977196</v>
      </c>
    </row>
    <row r="105" spans="1:24" ht="12.75">
      <c r="A105" s="702"/>
      <c r="B105" s="749"/>
      <c r="C105" s="38" t="s">
        <v>414</v>
      </c>
      <c r="D105" s="38"/>
      <c r="E105" s="38"/>
      <c r="F105" s="38"/>
      <c r="G105" s="38"/>
      <c r="H105" s="38"/>
      <c r="I105" s="38"/>
      <c r="J105" s="38"/>
      <c r="K105" s="24"/>
      <c r="L105" s="24"/>
      <c r="M105" s="24"/>
      <c r="N105" s="24"/>
      <c r="O105" s="24"/>
      <c r="P105" s="180"/>
      <c r="Q105" s="180"/>
      <c r="R105" s="180"/>
      <c r="S105" s="24"/>
      <c r="T105" s="24"/>
      <c r="U105" s="24"/>
      <c r="V105" s="24">
        <v>238098</v>
      </c>
      <c r="W105" s="634">
        <v>238098</v>
      </c>
      <c r="X105" s="629">
        <f t="shared" si="25"/>
        <v>100</v>
      </c>
    </row>
    <row r="106" spans="1:24" ht="12.75">
      <c r="A106" s="702"/>
      <c r="B106" s="749"/>
      <c r="C106" s="38" t="s">
        <v>409</v>
      </c>
      <c r="D106" s="38"/>
      <c r="E106" s="38"/>
      <c r="F106" s="38"/>
      <c r="G106" s="38"/>
      <c r="H106" s="38"/>
      <c r="I106" s="38"/>
      <c r="J106" s="38"/>
      <c r="K106" s="24"/>
      <c r="L106" s="24"/>
      <c r="M106" s="85"/>
      <c r="N106" s="86"/>
      <c r="O106" s="86"/>
      <c r="P106" s="536"/>
      <c r="Q106" s="536"/>
      <c r="R106" s="536"/>
      <c r="S106" s="86"/>
      <c r="T106" s="86"/>
      <c r="U106" s="86"/>
      <c r="V106" s="86">
        <v>210385</v>
      </c>
      <c r="W106" s="634">
        <v>210386.88</v>
      </c>
      <c r="X106" s="629">
        <f t="shared" si="25"/>
        <v>100.00089359982888</v>
      </c>
    </row>
    <row r="107" spans="1:24" ht="12.75">
      <c r="A107" s="702"/>
      <c r="B107" s="749"/>
      <c r="C107" s="38" t="s">
        <v>443</v>
      </c>
      <c r="D107" s="38"/>
      <c r="E107" s="38"/>
      <c r="F107" s="38"/>
      <c r="G107" s="38"/>
      <c r="H107" s="38"/>
      <c r="I107" s="38"/>
      <c r="J107" s="38"/>
      <c r="K107" s="24"/>
      <c r="L107" s="24"/>
      <c r="M107" s="86"/>
      <c r="N107" s="86"/>
      <c r="O107" s="86"/>
      <c r="P107" s="536"/>
      <c r="Q107" s="536"/>
      <c r="R107" s="536"/>
      <c r="S107" s="86"/>
      <c r="T107" s="86"/>
      <c r="U107" s="86"/>
      <c r="V107" s="86">
        <v>35768</v>
      </c>
      <c r="W107" s="634">
        <v>43448.07</v>
      </c>
      <c r="X107" s="629">
        <f t="shared" si="25"/>
        <v>121.47190225900246</v>
      </c>
    </row>
    <row r="108" spans="1:24" ht="12.75">
      <c r="A108" s="702"/>
      <c r="B108" s="749"/>
      <c r="C108" s="38" t="s">
        <v>410</v>
      </c>
      <c r="D108" s="38"/>
      <c r="E108" s="38"/>
      <c r="F108" s="38"/>
      <c r="G108" s="38"/>
      <c r="H108" s="38"/>
      <c r="I108" s="38"/>
      <c r="J108" s="38"/>
      <c r="K108" s="24"/>
      <c r="L108" s="24"/>
      <c r="M108" s="86"/>
      <c r="N108" s="86"/>
      <c r="O108" s="86"/>
      <c r="P108" s="536"/>
      <c r="Q108" s="536"/>
      <c r="R108" s="536"/>
      <c r="S108" s="86"/>
      <c r="T108" s="86"/>
      <c r="U108" s="86"/>
      <c r="V108" s="86">
        <v>213133</v>
      </c>
      <c r="W108" s="634">
        <v>213133</v>
      </c>
      <c r="X108" s="629">
        <f t="shared" si="25"/>
        <v>100</v>
      </c>
    </row>
    <row r="109" spans="1:24" ht="12.75">
      <c r="A109" s="702"/>
      <c r="B109" s="749"/>
      <c r="C109" s="38" t="s">
        <v>436</v>
      </c>
      <c r="D109" s="38"/>
      <c r="E109" s="38"/>
      <c r="F109" s="38"/>
      <c r="G109" s="38"/>
      <c r="H109" s="38"/>
      <c r="I109" s="38"/>
      <c r="J109" s="38"/>
      <c r="K109" s="24"/>
      <c r="L109" s="24"/>
      <c r="M109" s="86"/>
      <c r="N109" s="86"/>
      <c r="O109" s="86"/>
      <c r="P109" s="536"/>
      <c r="Q109" s="536"/>
      <c r="R109" s="536"/>
      <c r="S109" s="86"/>
      <c r="T109" s="86"/>
      <c r="U109" s="86"/>
      <c r="V109" s="86">
        <v>65239</v>
      </c>
      <c r="W109" s="634">
        <f>64174.97+1063.38</f>
        <v>65238.35</v>
      </c>
      <c r="X109" s="629">
        <f t="shared" si="25"/>
        <v>99.99900366345284</v>
      </c>
    </row>
    <row r="110" spans="1:24" ht="12.75">
      <c r="A110" s="702"/>
      <c r="B110" s="749"/>
      <c r="C110" s="38" t="s">
        <v>411</v>
      </c>
      <c r="D110" s="38"/>
      <c r="E110" s="38"/>
      <c r="F110" s="38"/>
      <c r="G110" s="38"/>
      <c r="H110" s="38"/>
      <c r="I110" s="38"/>
      <c r="J110" s="38"/>
      <c r="K110" s="24"/>
      <c r="L110" s="24"/>
      <c r="M110" s="24"/>
      <c r="N110" s="24"/>
      <c r="O110" s="24"/>
      <c r="P110" s="180"/>
      <c r="Q110" s="180"/>
      <c r="R110" s="180"/>
      <c r="S110" s="24"/>
      <c r="T110" s="24"/>
      <c r="U110" s="24"/>
      <c r="V110" s="24">
        <v>6080</v>
      </c>
      <c r="W110" s="634">
        <f>2340+3740</f>
        <v>6080</v>
      </c>
      <c r="X110" s="629">
        <f t="shared" si="25"/>
        <v>100</v>
      </c>
    </row>
    <row r="111" spans="1:24" ht="12.75">
      <c r="A111" s="702"/>
      <c r="B111" s="749"/>
      <c r="C111" s="38" t="s">
        <v>408</v>
      </c>
      <c r="D111" s="38"/>
      <c r="E111" s="38"/>
      <c r="F111" s="38"/>
      <c r="G111" s="38"/>
      <c r="H111" s="38"/>
      <c r="I111" s="38">
        <v>165906</v>
      </c>
      <c r="J111" s="38"/>
      <c r="K111" s="24">
        <v>0</v>
      </c>
      <c r="L111" s="24"/>
      <c r="M111" s="24"/>
      <c r="N111" s="24"/>
      <c r="O111" s="24"/>
      <c r="P111" s="180">
        <v>238911.06000000006</v>
      </c>
      <c r="Q111" s="180"/>
      <c r="R111" s="180"/>
      <c r="S111" s="24"/>
      <c r="T111" s="24"/>
      <c r="U111" s="24"/>
      <c r="V111" s="24">
        <v>86105</v>
      </c>
      <c r="W111" s="634">
        <v>86105.23</v>
      </c>
      <c r="X111" s="629">
        <f t="shared" si="25"/>
        <v>100.00026711573078</v>
      </c>
    </row>
    <row r="112" spans="1:24" ht="12.75">
      <c r="A112" s="702"/>
      <c r="B112" s="749"/>
      <c r="C112" s="64" t="s">
        <v>422</v>
      </c>
      <c r="D112" s="42"/>
      <c r="E112" s="42"/>
      <c r="F112" s="42"/>
      <c r="G112" s="42"/>
      <c r="H112" s="42"/>
      <c r="I112" s="42"/>
      <c r="J112" s="42"/>
      <c r="K112" s="24"/>
      <c r="L112" s="24"/>
      <c r="M112" s="24"/>
      <c r="N112" s="24"/>
      <c r="O112" s="24"/>
      <c r="P112" s="180"/>
      <c r="Q112" s="180"/>
      <c r="R112" s="180"/>
      <c r="S112" s="24"/>
      <c r="T112" s="24"/>
      <c r="U112" s="24"/>
      <c r="V112" s="24">
        <v>14364</v>
      </c>
      <c r="W112" s="634">
        <v>14363.81</v>
      </c>
      <c r="X112" s="629">
        <f t="shared" si="25"/>
        <v>99.99867724867725</v>
      </c>
    </row>
    <row r="113" spans="1:24" ht="12.75">
      <c r="A113" s="702"/>
      <c r="B113" s="749"/>
      <c r="C113" s="64" t="s">
        <v>434</v>
      </c>
      <c r="D113" s="42"/>
      <c r="E113" s="42"/>
      <c r="F113" s="42"/>
      <c r="G113" s="42"/>
      <c r="H113" s="42"/>
      <c r="I113" s="42"/>
      <c r="J113" s="42"/>
      <c r="K113" s="24"/>
      <c r="L113" s="24"/>
      <c r="M113" s="24"/>
      <c r="N113" s="24"/>
      <c r="O113" s="24"/>
      <c r="P113" s="180"/>
      <c r="Q113" s="180"/>
      <c r="R113" s="180"/>
      <c r="S113" s="24"/>
      <c r="T113" s="24"/>
      <c r="U113" s="24"/>
      <c r="V113" s="24">
        <v>95672</v>
      </c>
      <c r="W113" s="634">
        <v>95672.47</v>
      </c>
      <c r="X113" s="629">
        <f t="shared" si="25"/>
        <v>100.00049126181119</v>
      </c>
    </row>
    <row r="114" spans="1:24" ht="12.75">
      <c r="A114" s="702"/>
      <c r="B114" s="749"/>
      <c r="C114" s="64" t="s">
        <v>433</v>
      </c>
      <c r="D114" s="42"/>
      <c r="E114" s="42"/>
      <c r="F114" s="42"/>
      <c r="G114" s="42"/>
      <c r="H114" s="42"/>
      <c r="I114" s="42"/>
      <c r="J114" s="42"/>
      <c r="K114" s="24"/>
      <c r="L114" s="24"/>
      <c r="M114" s="24"/>
      <c r="N114" s="24"/>
      <c r="O114" s="24"/>
      <c r="P114" s="180"/>
      <c r="Q114" s="180"/>
      <c r="R114" s="180"/>
      <c r="S114" s="24"/>
      <c r="T114" s="24"/>
      <c r="U114" s="24"/>
      <c r="V114" s="24">
        <v>46134</v>
      </c>
      <c r="W114" s="634">
        <v>46134.37</v>
      </c>
      <c r="X114" s="629">
        <f t="shared" si="25"/>
        <v>100.00080201153163</v>
      </c>
    </row>
    <row r="115" spans="1:24" ht="12.75">
      <c r="A115" s="702"/>
      <c r="B115" s="749"/>
      <c r="C115" s="64" t="s">
        <v>432</v>
      </c>
      <c r="D115" s="42"/>
      <c r="E115" s="42"/>
      <c r="F115" s="42"/>
      <c r="G115" s="42"/>
      <c r="H115" s="42"/>
      <c r="I115" s="42"/>
      <c r="J115" s="42"/>
      <c r="K115" s="24"/>
      <c r="L115" s="24"/>
      <c r="M115" s="24"/>
      <c r="N115" s="24"/>
      <c r="O115" s="24"/>
      <c r="P115" s="180"/>
      <c r="Q115" s="180"/>
      <c r="R115" s="180"/>
      <c r="S115" s="24"/>
      <c r="T115" s="24"/>
      <c r="U115" s="24"/>
      <c r="V115" s="24">
        <v>5000</v>
      </c>
      <c r="W115" s="634">
        <v>5000</v>
      </c>
      <c r="X115" s="629">
        <f t="shared" si="25"/>
        <v>100</v>
      </c>
    </row>
    <row r="116" spans="1:24" ht="12.75">
      <c r="A116" s="702"/>
      <c r="B116" s="749"/>
      <c r="C116" s="64" t="s">
        <v>435</v>
      </c>
      <c r="D116" s="42"/>
      <c r="E116" s="42"/>
      <c r="F116" s="42"/>
      <c r="G116" s="42"/>
      <c r="H116" s="42"/>
      <c r="I116" s="42"/>
      <c r="J116" s="42"/>
      <c r="K116" s="24"/>
      <c r="L116" s="24"/>
      <c r="M116" s="24"/>
      <c r="N116" s="24"/>
      <c r="O116" s="24"/>
      <c r="P116" s="180"/>
      <c r="Q116" s="180"/>
      <c r="R116" s="180"/>
      <c r="S116" s="24"/>
      <c r="T116" s="24"/>
      <c r="U116" s="24"/>
      <c r="V116" s="24">
        <v>1660</v>
      </c>
      <c r="W116" s="634">
        <v>1659.72</v>
      </c>
      <c r="X116" s="629">
        <f t="shared" si="25"/>
        <v>99.98313253012049</v>
      </c>
    </row>
    <row r="117" spans="1:24" ht="12.75">
      <c r="A117" s="702"/>
      <c r="B117" s="749"/>
      <c r="C117" s="64" t="s">
        <v>431</v>
      </c>
      <c r="D117" s="42"/>
      <c r="E117" s="42"/>
      <c r="F117" s="42"/>
      <c r="G117" s="42"/>
      <c r="H117" s="42"/>
      <c r="I117" s="42"/>
      <c r="J117" s="42"/>
      <c r="K117" s="24"/>
      <c r="L117" s="24"/>
      <c r="M117" s="24"/>
      <c r="N117" s="24"/>
      <c r="O117" s="24"/>
      <c r="P117" s="180"/>
      <c r="Q117" s="180"/>
      <c r="R117" s="180"/>
      <c r="S117" s="24"/>
      <c r="T117" s="24"/>
      <c r="U117" s="24"/>
      <c r="V117" s="24">
        <v>2400</v>
      </c>
      <c r="W117" s="634">
        <v>2400</v>
      </c>
      <c r="X117" s="629">
        <f t="shared" si="25"/>
        <v>100</v>
      </c>
    </row>
    <row r="118" spans="1:24" ht="12.75">
      <c r="A118" s="702"/>
      <c r="B118" s="749"/>
      <c r="C118" s="19" t="s">
        <v>326</v>
      </c>
      <c r="D118" s="42"/>
      <c r="E118" s="42"/>
      <c r="F118" s="42"/>
      <c r="G118" s="42"/>
      <c r="H118" s="42"/>
      <c r="I118" s="42"/>
      <c r="J118" s="42"/>
      <c r="K118" s="24"/>
      <c r="L118" s="24"/>
      <c r="M118" s="24"/>
      <c r="N118" s="24"/>
      <c r="O118" s="24">
        <v>146016</v>
      </c>
      <c r="P118" s="180">
        <v>73008</v>
      </c>
      <c r="Q118" s="180">
        <v>41077.41</v>
      </c>
      <c r="R118" s="180">
        <v>292748.58</v>
      </c>
      <c r="S118" s="24">
        <v>202615.28</v>
      </c>
      <c r="T118" s="24"/>
      <c r="U118" s="24">
        <v>150000</v>
      </c>
      <c r="V118" s="24">
        <v>177750</v>
      </c>
      <c r="W118" s="690">
        <f>44000+115000+18750</f>
        <v>177750</v>
      </c>
      <c r="X118" s="629">
        <f t="shared" si="25"/>
        <v>100</v>
      </c>
    </row>
    <row r="119" spans="1:24" ht="13.5" thickBot="1">
      <c r="A119" s="702"/>
      <c r="B119" s="749"/>
      <c r="C119" s="41" t="s">
        <v>165</v>
      </c>
      <c r="D119" s="42"/>
      <c r="E119" s="42"/>
      <c r="F119" s="42"/>
      <c r="G119" s="42"/>
      <c r="H119" s="42"/>
      <c r="I119" s="42">
        <v>117128</v>
      </c>
      <c r="J119" s="42">
        <v>59866</v>
      </c>
      <c r="K119" s="24">
        <v>366191</v>
      </c>
      <c r="L119" s="24"/>
      <c r="M119" s="473">
        <v>13085.550000000001</v>
      </c>
      <c r="N119" s="24">
        <f>206825+69116</f>
        <v>275941</v>
      </c>
      <c r="O119" s="180">
        <f>82173.59+363.75</f>
        <v>82537.34</v>
      </c>
      <c r="P119" s="180"/>
      <c r="Q119" s="180">
        <v>227002.0700000003</v>
      </c>
      <c r="R119" s="180">
        <v>836994.6999999997</v>
      </c>
      <c r="S119" s="24">
        <v>875049.23</v>
      </c>
      <c r="T119" s="24">
        <v>872720.77</v>
      </c>
      <c r="U119" s="24">
        <f>232156-150000</f>
        <v>82156</v>
      </c>
      <c r="V119" s="24"/>
      <c r="W119" s="504"/>
      <c r="X119" s="630">
        <f t="shared" si="25"/>
        <v>0</v>
      </c>
    </row>
    <row r="120" spans="1:24" ht="15.75" customHeight="1" thickBot="1">
      <c r="A120" s="28">
        <v>330</v>
      </c>
      <c r="B120" s="707" t="s">
        <v>166</v>
      </c>
      <c r="C120" s="743"/>
      <c r="D120" s="60">
        <f aca="true" t="shared" si="26" ref="D120:L120">D121</f>
        <v>0</v>
      </c>
      <c r="E120" s="60">
        <f t="shared" si="26"/>
        <v>0</v>
      </c>
      <c r="F120" s="60">
        <f t="shared" si="26"/>
        <v>0</v>
      </c>
      <c r="G120" s="60">
        <f t="shared" si="26"/>
        <v>0</v>
      </c>
      <c r="H120" s="60">
        <f t="shared" si="26"/>
        <v>21047</v>
      </c>
      <c r="I120" s="60">
        <f t="shared" si="26"/>
        <v>28355</v>
      </c>
      <c r="J120" s="60">
        <f t="shared" si="26"/>
        <v>39058</v>
      </c>
      <c r="K120" s="60">
        <f t="shared" si="26"/>
        <v>9516</v>
      </c>
      <c r="L120" s="60">
        <f t="shared" si="26"/>
        <v>0</v>
      </c>
      <c r="M120" s="60"/>
      <c r="N120" s="94"/>
      <c r="O120" s="94"/>
      <c r="P120" s="477"/>
      <c r="Q120" s="477"/>
      <c r="R120" s="477"/>
      <c r="S120" s="94">
        <f>S121</f>
        <v>0</v>
      </c>
      <c r="T120" s="94">
        <f>T121</f>
        <v>0</v>
      </c>
      <c r="U120" s="94"/>
      <c r="V120" s="94">
        <f>V121</f>
        <v>0</v>
      </c>
      <c r="W120" s="456"/>
      <c r="X120" s="625">
        <f t="shared" si="25"/>
        <v>0</v>
      </c>
    </row>
    <row r="121" spans="1:24" ht="13.5" customHeight="1" thickBot="1">
      <c r="A121" s="701"/>
      <c r="B121" s="55">
        <v>331</v>
      </c>
      <c r="C121" s="56" t="s">
        <v>167</v>
      </c>
      <c r="D121" s="56"/>
      <c r="E121" s="56">
        <v>0</v>
      </c>
      <c r="F121" s="56">
        <v>0</v>
      </c>
      <c r="G121" s="56">
        <v>0</v>
      </c>
      <c r="H121" s="56">
        <v>21047</v>
      </c>
      <c r="I121" s="58">
        <f>I122</f>
        <v>28355</v>
      </c>
      <c r="J121" s="58">
        <f>J122</f>
        <v>39058</v>
      </c>
      <c r="K121" s="58">
        <f>K122</f>
        <v>9516</v>
      </c>
      <c r="L121" s="87"/>
      <c r="M121" s="87"/>
      <c r="N121" s="87"/>
      <c r="O121" s="87"/>
      <c r="P121" s="124"/>
      <c r="Q121" s="124"/>
      <c r="R121" s="124"/>
      <c r="S121" s="87"/>
      <c r="T121" s="87"/>
      <c r="U121" s="87"/>
      <c r="V121" s="87"/>
      <c r="W121" s="456"/>
      <c r="X121" s="625">
        <f t="shared" si="25"/>
        <v>0</v>
      </c>
    </row>
    <row r="122" spans="1:24" ht="13.5" customHeight="1" thickBot="1">
      <c r="A122" s="747"/>
      <c r="B122" s="35"/>
      <c r="C122" s="88" t="s">
        <v>161</v>
      </c>
      <c r="D122" s="88"/>
      <c r="E122" s="88"/>
      <c r="F122" s="88"/>
      <c r="G122" s="88"/>
      <c r="H122" s="88">
        <v>21047</v>
      </c>
      <c r="I122" s="88">
        <v>28355</v>
      </c>
      <c r="J122" s="88">
        <v>39058</v>
      </c>
      <c r="K122" s="89">
        <v>9516</v>
      </c>
      <c r="L122" s="63"/>
      <c r="M122" s="63"/>
      <c r="N122" s="63"/>
      <c r="O122" s="63"/>
      <c r="P122" s="103"/>
      <c r="Q122" s="103"/>
      <c r="R122" s="103"/>
      <c r="S122" s="63"/>
      <c r="T122" s="63"/>
      <c r="U122" s="63"/>
      <c r="V122" s="63"/>
      <c r="W122" s="457"/>
      <c r="X122" s="631">
        <f t="shared" si="25"/>
        <v>0</v>
      </c>
    </row>
    <row r="123" spans="1:24" ht="17.25" thickBot="1" thickTop="1">
      <c r="A123" s="744" t="s">
        <v>168</v>
      </c>
      <c r="B123" s="745"/>
      <c r="C123" s="746"/>
      <c r="D123" s="90">
        <f aca="true" t="shared" si="27" ref="D123:V123">D5+D26+D69</f>
        <v>7125871</v>
      </c>
      <c r="E123" s="90">
        <f t="shared" si="27"/>
        <v>7561840</v>
      </c>
      <c r="F123" s="90">
        <f t="shared" si="27"/>
        <v>9082354</v>
      </c>
      <c r="G123" s="90">
        <f t="shared" si="27"/>
        <v>9080838</v>
      </c>
      <c r="H123" s="90">
        <f t="shared" si="27"/>
        <v>8537685</v>
      </c>
      <c r="I123" s="90">
        <f t="shared" si="27"/>
        <v>9096722</v>
      </c>
      <c r="J123" s="90">
        <f t="shared" si="27"/>
        <v>9101831</v>
      </c>
      <c r="K123" s="90">
        <f t="shared" si="27"/>
        <v>9711561</v>
      </c>
      <c r="L123" s="90">
        <f t="shared" si="27"/>
        <v>9640328.239999998</v>
      </c>
      <c r="M123" s="329">
        <f t="shared" si="27"/>
        <v>10013437.42</v>
      </c>
      <c r="N123" s="90">
        <f t="shared" si="27"/>
        <v>10746706.560000002</v>
      </c>
      <c r="O123" s="329">
        <f t="shared" si="27"/>
        <v>10947354.260000002</v>
      </c>
      <c r="P123" s="329">
        <f t="shared" si="27"/>
        <v>11835790.83</v>
      </c>
      <c r="Q123" s="329">
        <f t="shared" si="27"/>
        <v>12870365.969999999</v>
      </c>
      <c r="R123" s="329">
        <f t="shared" si="27"/>
        <v>13601928.51</v>
      </c>
      <c r="S123" s="576">
        <f>S5+S26+S69</f>
        <v>14215260.54</v>
      </c>
      <c r="T123" s="430">
        <f>T5+T26+T69</f>
        <v>15098744.33</v>
      </c>
      <c r="U123" s="430">
        <f t="shared" si="27"/>
        <v>14782177</v>
      </c>
      <c r="V123" s="430">
        <f t="shared" si="27"/>
        <v>17556651</v>
      </c>
      <c r="W123" s="635">
        <f>W5+W26+W69</f>
        <v>17534990.72</v>
      </c>
      <c r="X123" s="632">
        <f t="shared" si="25"/>
        <v>99.87662635658701</v>
      </c>
    </row>
    <row r="124" ht="13.5" thickTop="1"/>
    <row r="125" spans="17:24" ht="12.75">
      <c r="Q125" s="567"/>
      <c r="V125" s="453"/>
      <c r="W125" s="567"/>
      <c r="X125" s="453"/>
    </row>
    <row r="126" spans="15:24" ht="12.75">
      <c r="O126" s="453"/>
      <c r="P126" s="453"/>
      <c r="Q126" s="453"/>
      <c r="R126" s="453"/>
      <c r="S126" s="453"/>
      <c r="T126" s="453"/>
      <c r="U126" s="453"/>
      <c r="V126" s="453"/>
      <c r="W126" s="453"/>
      <c r="X126" s="453"/>
    </row>
    <row r="127" spans="22:24" ht="12.75">
      <c r="V127" s="453"/>
      <c r="W127" s="505"/>
      <c r="X127" s="453"/>
    </row>
    <row r="128" spans="14:22" ht="12.75">
      <c r="N128" s="453"/>
      <c r="O128" s="453"/>
      <c r="P128" s="453"/>
      <c r="Q128" s="453"/>
      <c r="R128" s="453"/>
      <c r="S128" s="453"/>
      <c r="T128" s="453"/>
      <c r="U128" s="453"/>
      <c r="V128" s="453"/>
    </row>
    <row r="129" spans="14:24" ht="12.75">
      <c r="N129" s="453"/>
      <c r="O129" s="453"/>
      <c r="P129" s="453"/>
      <c r="Q129" s="453"/>
      <c r="R129" s="453"/>
      <c r="S129" s="453"/>
      <c r="T129" s="453"/>
      <c r="U129" s="453"/>
      <c r="V129" s="453"/>
      <c r="W129" s="453"/>
      <c r="X129" s="453"/>
    </row>
    <row r="130" spans="14:24" ht="12.75">
      <c r="N130" s="567"/>
      <c r="O130" s="567"/>
      <c r="P130" s="567"/>
      <c r="Q130" s="567"/>
      <c r="R130" s="567"/>
      <c r="S130" s="567"/>
      <c r="T130" s="567"/>
      <c r="U130" s="567"/>
      <c r="V130" s="567"/>
      <c r="W130" s="567"/>
      <c r="X130" s="567"/>
    </row>
    <row r="131" ht="12.75">
      <c r="X131" s="567"/>
    </row>
    <row r="134" spans="22:24" ht="12.75">
      <c r="V134" s="453"/>
      <c r="W134" s="453"/>
      <c r="X134" s="453"/>
    </row>
    <row r="137" spans="22:24" ht="12.75">
      <c r="V137" s="453"/>
      <c r="X137" s="453"/>
    </row>
    <row r="140" spans="22:24" ht="12.75">
      <c r="V140" s="453"/>
      <c r="W140" s="453"/>
      <c r="X140" s="453"/>
    </row>
    <row r="142" spans="3:24" ht="12.75">
      <c r="C142" s="453"/>
      <c r="V142" s="453"/>
      <c r="W142" s="453"/>
      <c r="X142" s="453"/>
    </row>
  </sheetData>
  <sheetProtection/>
  <mergeCells count="54">
    <mergeCell ref="W3:W4"/>
    <mergeCell ref="U3:U4"/>
    <mergeCell ref="T3:T4"/>
    <mergeCell ref="A123:C123"/>
    <mergeCell ref="A121:A122"/>
    <mergeCell ref="B120:C120"/>
    <mergeCell ref="S3:S4"/>
    <mergeCell ref="B70:C70"/>
    <mergeCell ref="A71:A119"/>
    <mergeCell ref="B74:B119"/>
    <mergeCell ref="B69:C69"/>
    <mergeCell ref="B3:B4"/>
    <mergeCell ref="C3:C4"/>
    <mergeCell ref="F3:F4"/>
    <mergeCell ref="B5:C5"/>
    <mergeCell ref="B6:C6"/>
    <mergeCell ref="E3:E4"/>
    <mergeCell ref="D3:D4"/>
    <mergeCell ref="L3:L4"/>
    <mergeCell ref="H3:H4"/>
    <mergeCell ref="M3:M4"/>
    <mergeCell ref="Q3:Q4"/>
    <mergeCell ref="P3:P4"/>
    <mergeCell ref="O3:O4"/>
    <mergeCell ref="N3:N4"/>
    <mergeCell ref="I3:I4"/>
    <mergeCell ref="J3:J4"/>
    <mergeCell ref="K3:K4"/>
    <mergeCell ref="A41:A59"/>
    <mergeCell ref="B42:B44"/>
    <mergeCell ref="B17:C17"/>
    <mergeCell ref="B12:C12"/>
    <mergeCell ref="A28:A39"/>
    <mergeCell ref="B29:B31"/>
    <mergeCell ref="A3:A4"/>
    <mergeCell ref="G3:G4"/>
    <mergeCell ref="V3:V4"/>
    <mergeCell ref="X3:X4"/>
    <mergeCell ref="B60:C60"/>
    <mergeCell ref="B62:C62"/>
    <mergeCell ref="B40:C40"/>
    <mergeCell ref="A18:A25"/>
    <mergeCell ref="B26:C26"/>
    <mergeCell ref="B14:B16"/>
    <mergeCell ref="A63:A68"/>
    <mergeCell ref="B64:B68"/>
    <mergeCell ref="B27:C27"/>
    <mergeCell ref="B19:B25"/>
    <mergeCell ref="B46:B57"/>
    <mergeCell ref="R3:R4"/>
    <mergeCell ref="A7:A11"/>
    <mergeCell ref="B7:B11"/>
    <mergeCell ref="A13:A16"/>
    <mergeCell ref="B33:B39"/>
  </mergeCells>
  <printOptions/>
  <pageMargins left="0" right="0" top="0.3937007874015748" bottom="0.984251968503937" header="0.5118110236220472" footer="0.5118110236220472"/>
  <pageSetup orientation="landscape" paperSize="9" scale="93" r:id="rId1"/>
  <rowBreaks count="1" manualBreakCount="1">
    <brk id="68" max="255" man="1"/>
  </rowBreaks>
  <colBreaks count="1" manualBreakCount="1">
    <brk id="24" max="65535" man="1"/>
  </colBreaks>
  <ignoredErrors>
    <ignoredError sqref="V120:V121 V61 V40:V41 V58 V27:V30 V68:V71 V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Y223"/>
  <sheetViews>
    <sheetView zoomScale="85" zoomScaleNormal="85" zoomScalePageLayoutView="0" workbookViewId="0" topLeftCell="A1">
      <pane xSplit="11" ySplit="3" topLeftCell="T139" activePane="bottomRight" state="frozen"/>
      <selection pane="topLeft" activeCell="A1" sqref="A1"/>
      <selection pane="topRight" activeCell="L1" sqref="L1"/>
      <selection pane="bottomLeft" activeCell="A4" sqref="A4"/>
      <selection pane="bottomRight" activeCell="Z145" sqref="Z145"/>
    </sheetView>
  </sheetViews>
  <sheetFormatPr defaultColWidth="9.140625" defaultRowHeight="12.75"/>
  <cols>
    <col min="1" max="1" width="11.57421875" style="0" customWidth="1"/>
    <col min="3" max="3" width="30.140625" style="0" customWidth="1"/>
    <col min="4" max="12" width="14.28125" style="0" hidden="1" customWidth="1"/>
    <col min="13" max="13" width="16.421875" style="0" hidden="1" customWidth="1"/>
    <col min="14" max="14" width="15.140625" style="0" hidden="1" customWidth="1"/>
    <col min="15" max="15" width="17.28125" style="0" hidden="1" customWidth="1"/>
    <col min="16" max="16" width="15.28125" style="0" hidden="1" customWidth="1"/>
    <col min="17" max="17" width="17.7109375" style="0" hidden="1" customWidth="1"/>
    <col min="18" max="19" width="14.8515625" style="0" hidden="1" customWidth="1"/>
    <col min="20" max="21" width="17.00390625" style="1" customWidth="1"/>
    <col min="22" max="22" width="13.421875" style="1" customWidth="1"/>
    <col min="23" max="23" width="17.7109375" style="1" customWidth="1"/>
    <col min="24" max="24" width="9.00390625" style="1" customWidth="1"/>
  </cols>
  <sheetData>
    <row r="1" spans="1:3" ht="15.75" thickBot="1">
      <c r="A1" s="797" t="s">
        <v>384</v>
      </c>
      <c r="B1" s="797"/>
      <c r="C1" s="797"/>
    </row>
    <row r="2" spans="1:24" ht="14.25" customHeight="1" thickTop="1">
      <c r="A2" s="791" t="s">
        <v>43</v>
      </c>
      <c r="B2" s="793" t="s">
        <v>78</v>
      </c>
      <c r="C2" s="763" t="s">
        <v>44</v>
      </c>
      <c r="D2" s="712" t="s">
        <v>169</v>
      </c>
      <c r="E2" s="712" t="s">
        <v>170</v>
      </c>
      <c r="F2" s="712" t="s">
        <v>171</v>
      </c>
      <c r="G2" s="712" t="s">
        <v>172</v>
      </c>
      <c r="H2" s="712" t="s">
        <v>173</v>
      </c>
      <c r="I2" s="712" t="s">
        <v>85</v>
      </c>
      <c r="J2" s="712" t="s">
        <v>86</v>
      </c>
      <c r="K2" s="712" t="s">
        <v>87</v>
      </c>
      <c r="L2" s="712" t="s">
        <v>88</v>
      </c>
      <c r="M2" s="712" t="s">
        <v>303</v>
      </c>
      <c r="N2" s="712" t="s">
        <v>316</v>
      </c>
      <c r="O2" s="712" t="s">
        <v>332</v>
      </c>
      <c r="P2" s="712" t="s">
        <v>337</v>
      </c>
      <c r="Q2" s="712" t="s">
        <v>347</v>
      </c>
      <c r="R2" s="712" t="s">
        <v>353</v>
      </c>
      <c r="S2" s="712" t="s">
        <v>354</v>
      </c>
      <c r="T2" s="712" t="s">
        <v>426</v>
      </c>
      <c r="U2" s="712" t="s">
        <v>447</v>
      </c>
      <c r="V2" s="725" t="s">
        <v>444</v>
      </c>
      <c r="W2" s="725" t="s">
        <v>445</v>
      </c>
      <c r="X2" s="727" t="s">
        <v>446</v>
      </c>
    </row>
    <row r="3" spans="1:24" ht="33.75" customHeight="1" thickBot="1">
      <c r="A3" s="792"/>
      <c r="B3" s="794"/>
      <c r="C3" s="764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  <c r="R3" s="713"/>
      <c r="S3" s="713"/>
      <c r="T3" s="713"/>
      <c r="U3" s="713"/>
      <c r="V3" s="726"/>
      <c r="W3" s="726"/>
      <c r="X3" s="728"/>
    </row>
    <row r="4" spans="1:24" ht="33" customHeight="1" thickBot="1" thickTop="1">
      <c r="A4" s="594" t="s">
        <v>230</v>
      </c>
      <c r="B4" s="773" t="s">
        <v>231</v>
      </c>
      <c r="C4" s="774"/>
      <c r="D4" s="595">
        <f>SUM(D5:D8)</f>
        <v>778928</v>
      </c>
      <c r="E4" s="595">
        <f>SUM(E5:E9)</f>
        <v>871108</v>
      </c>
      <c r="F4" s="595">
        <f>SUM(F5:F9)</f>
        <v>1155712</v>
      </c>
      <c r="G4" s="595">
        <f>SUM(G5:G9)</f>
        <v>1166481</v>
      </c>
      <c r="H4" s="595">
        <f aca="true" t="shared" si="0" ref="H4:O4">SUM(H5:H8)</f>
        <v>1147628</v>
      </c>
      <c r="I4" s="595">
        <f t="shared" si="0"/>
        <v>985015</v>
      </c>
      <c r="J4" s="595">
        <f t="shared" si="0"/>
        <v>971730</v>
      </c>
      <c r="K4" s="595">
        <f t="shared" si="0"/>
        <v>883614</v>
      </c>
      <c r="L4" s="596">
        <f t="shared" si="0"/>
        <v>976223.29</v>
      </c>
      <c r="M4" s="596">
        <f t="shared" si="0"/>
        <v>957107.49</v>
      </c>
      <c r="N4" s="597">
        <f t="shared" si="0"/>
        <v>918554.6199999999</v>
      </c>
      <c r="O4" s="598">
        <f t="shared" si="0"/>
        <v>1019134.8</v>
      </c>
      <c r="P4" s="598">
        <f aca="true" t="shared" si="1" ref="P4:V4">SUM(P5:P8)</f>
        <v>1045488.5499999999</v>
      </c>
      <c r="Q4" s="598">
        <f t="shared" si="1"/>
        <v>1307060.76</v>
      </c>
      <c r="R4" s="597">
        <f t="shared" si="1"/>
        <v>1404109</v>
      </c>
      <c r="S4" s="597">
        <f t="shared" si="1"/>
        <v>1452935.59</v>
      </c>
      <c r="T4" s="604">
        <f t="shared" si="1"/>
        <v>1584166.7</v>
      </c>
      <c r="U4" s="604">
        <f t="shared" si="1"/>
        <v>1945458</v>
      </c>
      <c r="V4" s="604">
        <f t="shared" si="1"/>
        <v>1934958</v>
      </c>
      <c r="W4" s="689">
        <f>SUM(W5:W8)</f>
        <v>1904608.0999999999</v>
      </c>
      <c r="X4" s="645">
        <f aca="true" t="shared" si="2" ref="X4:X67">IF(V4=0,0,W4/V4)*100</f>
        <v>98.43149567070706</v>
      </c>
    </row>
    <row r="5" spans="1:24" ht="12.75">
      <c r="A5" s="714"/>
      <c r="B5" s="177">
        <v>610</v>
      </c>
      <c r="C5" s="36" t="s">
        <v>232</v>
      </c>
      <c r="D5" s="37">
        <v>363938</v>
      </c>
      <c r="E5" s="37">
        <v>383290</v>
      </c>
      <c r="F5" s="37">
        <v>452765</v>
      </c>
      <c r="G5" s="37">
        <v>532728</v>
      </c>
      <c r="H5" s="37">
        <v>538578</v>
      </c>
      <c r="I5" s="36">
        <v>504967</v>
      </c>
      <c r="J5" s="37">
        <v>465252</v>
      </c>
      <c r="K5" s="37">
        <v>431649</v>
      </c>
      <c r="L5" s="134">
        <v>437364.06</v>
      </c>
      <c r="M5" s="134">
        <v>454979.56</v>
      </c>
      <c r="N5" s="84">
        <v>470394.73</v>
      </c>
      <c r="O5" s="178">
        <v>508902.26</v>
      </c>
      <c r="P5" s="178">
        <v>540360.73</v>
      </c>
      <c r="Q5" s="178">
        <v>702314.57</v>
      </c>
      <c r="R5" s="84">
        <v>737427</v>
      </c>
      <c r="S5" s="84">
        <v>812528.57</v>
      </c>
      <c r="T5" s="178">
        <v>862285.5</v>
      </c>
      <c r="U5" s="84">
        <v>1031366</v>
      </c>
      <c r="V5" s="84">
        <v>1014366</v>
      </c>
      <c r="W5" s="634">
        <v>998488.39</v>
      </c>
      <c r="X5" s="629">
        <f t="shared" si="2"/>
        <v>98.43472573016051</v>
      </c>
    </row>
    <row r="6" spans="1:24" ht="12.75">
      <c r="A6" s="715"/>
      <c r="B6" s="179">
        <v>620</v>
      </c>
      <c r="C6" s="38" t="s">
        <v>233</v>
      </c>
      <c r="D6" s="39">
        <v>111465</v>
      </c>
      <c r="E6" s="39">
        <v>132411</v>
      </c>
      <c r="F6" s="39">
        <v>158202</v>
      </c>
      <c r="G6" s="39">
        <v>187864</v>
      </c>
      <c r="H6" s="39">
        <v>188430</v>
      </c>
      <c r="I6" s="38">
        <v>189093</v>
      </c>
      <c r="J6" s="39">
        <v>179953</v>
      </c>
      <c r="K6" s="39">
        <v>175243</v>
      </c>
      <c r="L6" s="101">
        <v>178000.1</v>
      </c>
      <c r="M6" s="101">
        <v>174131.76</v>
      </c>
      <c r="N6" s="24">
        <v>179809.87</v>
      </c>
      <c r="O6" s="180">
        <v>197673.12</v>
      </c>
      <c r="P6" s="180">
        <v>207010.55</v>
      </c>
      <c r="Q6" s="180">
        <v>266731.95</v>
      </c>
      <c r="R6" s="24">
        <v>273617</v>
      </c>
      <c r="S6" s="24">
        <v>300798.6</v>
      </c>
      <c r="T6" s="180">
        <v>320080.63</v>
      </c>
      <c r="U6" s="24">
        <v>376762</v>
      </c>
      <c r="V6" s="24">
        <v>396762</v>
      </c>
      <c r="W6" s="690">
        <v>395954.32</v>
      </c>
      <c r="X6" s="646">
        <f t="shared" si="2"/>
        <v>99.79643211799517</v>
      </c>
    </row>
    <row r="7" spans="1:24" ht="12.75">
      <c r="A7" s="715"/>
      <c r="B7" s="179">
        <v>630</v>
      </c>
      <c r="C7" s="38" t="s">
        <v>234</v>
      </c>
      <c r="D7" s="39">
        <v>303525</v>
      </c>
      <c r="E7" s="39">
        <v>353781</v>
      </c>
      <c r="F7" s="39">
        <v>543916</v>
      </c>
      <c r="G7" s="39">
        <v>395781</v>
      </c>
      <c r="H7" s="39">
        <v>413206</v>
      </c>
      <c r="I7" s="38">
        <v>272860</v>
      </c>
      <c r="J7" s="39">
        <v>302729</v>
      </c>
      <c r="K7" s="39">
        <v>273797</v>
      </c>
      <c r="L7" s="101">
        <v>356359.19</v>
      </c>
      <c r="M7" s="101">
        <v>297179.95</v>
      </c>
      <c r="N7" s="24">
        <v>260734.03999999998</v>
      </c>
      <c r="O7" s="180">
        <v>294411.15</v>
      </c>
      <c r="P7" s="180">
        <v>296326.19</v>
      </c>
      <c r="Q7" s="180">
        <v>334787.77</v>
      </c>
      <c r="R7" s="24">
        <v>393065</v>
      </c>
      <c r="S7" s="24">
        <v>334108.08</v>
      </c>
      <c r="T7" s="180">
        <v>391516.3</v>
      </c>
      <c r="U7" s="24">
        <v>537330</v>
      </c>
      <c r="V7" s="24">
        <v>481830</v>
      </c>
      <c r="W7" s="690">
        <f>474468.69+37.42</f>
        <v>474506.11</v>
      </c>
      <c r="X7" s="646">
        <f t="shared" si="2"/>
        <v>98.47998464188615</v>
      </c>
    </row>
    <row r="8" spans="1:24" ht="13.5" thickBot="1">
      <c r="A8" s="715"/>
      <c r="B8" s="179">
        <v>640</v>
      </c>
      <c r="C8" s="38" t="s">
        <v>235</v>
      </c>
      <c r="D8" s="39"/>
      <c r="E8" s="39">
        <v>564</v>
      </c>
      <c r="F8" s="39">
        <v>232</v>
      </c>
      <c r="G8" s="39">
        <v>49367</v>
      </c>
      <c r="H8" s="39">
        <v>7414</v>
      </c>
      <c r="I8" s="38">
        <v>18095</v>
      </c>
      <c r="J8" s="181">
        <v>23796</v>
      </c>
      <c r="K8" s="181">
        <v>2925</v>
      </c>
      <c r="L8" s="182">
        <v>4499.94</v>
      </c>
      <c r="M8" s="101">
        <v>30816.22</v>
      </c>
      <c r="N8" s="24">
        <v>7615.98</v>
      </c>
      <c r="O8" s="180">
        <v>18148.27</v>
      </c>
      <c r="P8" s="180">
        <v>1791.08</v>
      </c>
      <c r="Q8" s="180">
        <v>3226.47</v>
      </c>
      <c r="R8" s="24"/>
      <c r="S8" s="24">
        <v>5500.34</v>
      </c>
      <c r="T8" s="180">
        <v>10284.27</v>
      </c>
      <c r="U8" s="24"/>
      <c r="V8" s="24">
        <v>42000</v>
      </c>
      <c r="W8" s="690">
        <v>35659.28</v>
      </c>
      <c r="X8" s="646">
        <f t="shared" si="2"/>
        <v>84.90304761904761</v>
      </c>
    </row>
    <row r="9" spans="1:24" ht="13.5" hidden="1" thickBot="1">
      <c r="A9" s="716"/>
      <c r="B9" s="179">
        <v>650</v>
      </c>
      <c r="C9" s="38"/>
      <c r="D9" s="39"/>
      <c r="E9" s="39">
        <v>1062</v>
      </c>
      <c r="F9" s="39">
        <v>597</v>
      </c>
      <c r="G9" s="39">
        <v>741</v>
      </c>
      <c r="H9" s="39"/>
      <c r="I9" s="183"/>
      <c r="J9" s="183"/>
      <c r="K9" s="183"/>
      <c r="L9" s="184"/>
      <c r="M9" s="185"/>
      <c r="N9" s="69"/>
      <c r="O9" s="69"/>
      <c r="P9" s="69"/>
      <c r="Q9" s="186"/>
      <c r="R9" s="69"/>
      <c r="S9" s="69"/>
      <c r="T9" s="69"/>
      <c r="U9" s="69"/>
      <c r="V9" s="69"/>
      <c r="W9" s="504"/>
      <c r="X9" s="630">
        <f t="shared" si="2"/>
        <v>0</v>
      </c>
    </row>
    <row r="10" spans="1:24" ht="15.75" thickBot="1">
      <c r="A10" s="187" t="s">
        <v>48</v>
      </c>
      <c r="B10" s="708" t="s">
        <v>236</v>
      </c>
      <c r="C10" s="743"/>
      <c r="D10" s="188">
        <v>7269</v>
      </c>
      <c r="E10" s="188">
        <v>6772</v>
      </c>
      <c r="F10" s="188">
        <v>8265</v>
      </c>
      <c r="G10" s="188">
        <v>13828</v>
      </c>
      <c r="H10" s="60">
        <f aca="true" t="shared" si="3" ref="H10:M10">SUM(H11:H13)</f>
        <v>14882</v>
      </c>
      <c r="I10" s="60">
        <f t="shared" si="3"/>
        <v>14051</v>
      </c>
      <c r="J10" s="60">
        <f t="shared" si="3"/>
        <v>82274</v>
      </c>
      <c r="K10" s="60">
        <f t="shared" si="3"/>
        <v>22548</v>
      </c>
      <c r="L10" s="189">
        <f t="shared" si="3"/>
        <v>18623.79</v>
      </c>
      <c r="M10" s="189">
        <f t="shared" si="3"/>
        <v>22356.78</v>
      </c>
      <c r="N10" s="431">
        <f aca="true" t="shared" si="4" ref="N10:V10">SUM(N11:N13)</f>
        <v>18604.68</v>
      </c>
      <c r="O10" s="527">
        <f t="shared" si="4"/>
        <v>11492.61</v>
      </c>
      <c r="P10" s="527">
        <f t="shared" si="4"/>
        <v>22020.72</v>
      </c>
      <c r="Q10" s="527">
        <f t="shared" si="4"/>
        <v>14191.44</v>
      </c>
      <c r="R10" s="431">
        <f t="shared" si="4"/>
        <v>16500</v>
      </c>
      <c r="S10" s="431">
        <f t="shared" si="4"/>
        <v>34327.99</v>
      </c>
      <c r="T10" s="477">
        <v>44373.73</v>
      </c>
      <c r="U10" s="94">
        <f t="shared" si="4"/>
        <v>41000</v>
      </c>
      <c r="V10" s="94">
        <f t="shared" si="4"/>
        <v>23600</v>
      </c>
      <c r="W10" s="477">
        <f>SUM(W11:W13)</f>
        <v>15238.679999999998</v>
      </c>
      <c r="X10" s="647">
        <f t="shared" si="2"/>
        <v>64.57067796610168</v>
      </c>
    </row>
    <row r="11" spans="1:24" ht="12.75">
      <c r="A11" s="755"/>
      <c r="B11" s="190">
        <v>630</v>
      </c>
      <c r="C11" s="114" t="s">
        <v>237</v>
      </c>
      <c r="D11" s="191"/>
      <c r="E11" s="191"/>
      <c r="F11" s="191"/>
      <c r="G11" s="191"/>
      <c r="H11" s="191">
        <v>2345</v>
      </c>
      <c r="I11" s="114">
        <v>2324</v>
      </c>
      <c r="J11" s="37">
        <v>1162</v>
      </c>
      <c r="K11" s="37">
        <v>2324</v>
      </c>
      <c r="L11" s="134">
        <v>3486</v>
      </c>
      <c r="M11" s="359">
        <v>2324</v>
      </c>
      <c r="N11" s="126">
        <v>2324</v>
      </c>
      <c r="O11" s="192">
        <v>1162</v>
      </c>
      <c r="P11" s="192">
        <v>2324</v>
      </c>
      <c r="Q11" s="192">
        <v>3486</v>
      </c>
      <c r="R11" s="126">
        <v>3500</v>
      </c>
      <c r="S11" s="126">
        <v>3486</v>
      </c>
      <c r="T11" s="192">
        <v>2324</v>
      </c>
      <c r="U11" s="126">
        <v>6000</v>
      </c>
      <c r="V11" s="126">
        <v>6000</v>
      </c>
      <c r="W11" s="192">
        <v>2000</v>
      </c>
      <c r="X11" s="629">
        <f t="shared" si="2"/>
        <v>33.33333333333333</v>
      </c>
    </row>
    <row r="12" spans="1:24" ht="12.75">
      <c r="A12" s="756"/>
      <c r="B12" s="193">
        <v>630</v>
      </c>
      <c r="C12" s="22" t="s">
        <v>238</v>
      </c>
      <c r="D12" s="194"/>
      <c r="E12" s="194"/>
      <c r="F12" s="194"/>
      <c r="G12" s="194"/>
      <c r="H12" s="194">
        <v>12537</v>
      </c>
      <c r="I12" s="22">
        <v>11727</v>
      </c>
      <c r="J12" s="39">
        <v>13096</v>
      </c>
      <c r="K12" s="39">
        <v>9612</v>
      </c>
      <c r="L12" s="101">
        <v>14911.65</v>
      </c>
      <c r="M12" s="474">
        <v>19064.19</v>
      </c>
      <c r="N12" s="23">
        <v>8451.55</v>
      </c>
      <c r="O12" s="118">
        <v>6786.26</v>
      </c>
      <c r="P12" s="118">
        <v>16482.33</v>
      </c>
      <c r="Q12" s="118">
        <v>9813.93</v>
      </c>
      <c r="R12" s="23">
        <v>13000</v>
      </c>
      <c r="S12" s="23">
        <v>30841.989999999998</v>
      </c>
      <c r="T12" s="118">
        <v>41939.55</v>
      </c>
      <c r="U12" s="23">
        <v>35000</v>
      </c>
      <c r="V12" s="23">
        <v>17000</v>
      </c>
      <c r="W12" s="118">
        <v>12545.21</v>
      </c>
      <c r="X12" s="646">
        <f t="shared" si="2"/>
        <v>73.79535294117646</v>
      </c>
    </row>
    <row r="13" spans="1:24" ht="13.5" thickBot="1">
      <c r="A13" s="757"/>
      <c r="B13" s="195">
        <v>630</v>
      </c>
      <c r="C13" s="196" t="s">
        <v>239</v>
      </c>
      <c r="D13" s="197"/>
      <c r="E13" s="197"/>
      <c r="F13" s="197"/>
      <c r="G13" s="197"/>
      <c r="H13" s="197"/>
      <c r="I13" s="196"/>
      <c r="J13" s="39">
        <v>68016</v>
      </c>
      <c r="K13" s="39">
        <v>10612</v>
      </c>
      <c r="L13" s="198">
        <v>226.14</v>
      </c>
      <c r="M13" s="475">
        <v>968.59</v>
      </c>
      <c r="N13" s="26">
        <v>7829.13</v>
      </c>
      <c r="O13" s="475">
        <v>3544.35</v>
      </c>
      <c r="P13" s="475">
        <v>3214.39</v>
      </c>
      <c r="Q13" s="475">
        <v>891.51</v>
      </c>
      <c r="R13" s="568"/>
      <c r="S13" s="568"/>
      <c r="T13" s="475">
        <v>110.18</v>
      </c>
      <c r="U13" s="26"/>
      <c r="V13" s="26">
        <v>600</v>
      </c>
      <c r="W13" s="504">
        <v>693.47</v>
      </c>
      <c r="X13" s="630">
        <f t="shared" si="2"/>
        <v>115.57833333333333</v>
      </c>
    </row>
    <row r="14" spans="1:24" ht="15.75" thickBot="1">
      <c r="A14" s="187" t="s">
        <v>199</v>
      </c>
      <c r="B14" s="708" t="s">
        <v>240</v>
      </c>
      <c r="C14" s="743"/>
      <c r="D14" s="188">
        <v>20846</v>
      </c>
      <c r="E14" s="188">
        <v>22240</v>
      </c>
      <c r="F14" s="188">
        <v>25427</v>
      </c>
      <c r="G14" s="188">
        <v>26903</v>
      </c>
      <c r="H14" s="60">
        <f>SUM(H15:H17)</f>
        <v>29798</v>
      </c>
      <c r="I14" s="60">
        <f>SUM(I15:I17)</f>
        <v>28936</v>
      </c>
      <c r="J14" s="60">
        <f>SUM(J15:J17)</f>
        <v>27963</v>
      </c>
      <c r="K14" s="60">
        <f aca="true" t="shared" si="5" ref="K14:V14">SUM(K15:K18)</f>
        <v>24050</v>
      </c>
      <c r="L14" s="189">
        <f t="shared" si="5"/>
        <v>25050.219999999998</v>
      </c>
      <c r="M14" s="189">
        <f t="shared" si="5"/>
        <v>28488.050000000003</v>
      </c>
      <c r="N14" s="431">
        <f t="shared" si="5"/>
        <v>30083.289999999997</v>
      </c>
      <c r="O14" s="527">
        <f t="shared" si="5"/>
        <v>33186.08</v>
      </c>
      <c r="P14" s="527">
        <f t="shared" si="5"/>
        <v>29084.07</v>
      </c>
      <c r="Q14" s="527">
        <f t="shared" si="5"/>
        <v>51253.97</v>
      </c>
      <c r="R14" s="431">
        <f t="shared" si="5"/>
        <v>41744</v>
      </c>
      <c r="S14" s="431">
        <f t="shared" si="5"/>
        <v>45925.28</v>
      </c>
      <c r="T14" s="477">
        <v>40921.87</v>
      </c>
      <c r="U14" s="94">
        <f t="shared" si="5"/>
        <v>52389</v>
      </c>
      <c r="V14" s="94">
        <f t="shared" si="5"/>
        <v>49709</v>
      </c>
      <c r="W14" s="477">
        <f>SUM(W15:W18)</f>
        <v>44876.520000000004</v>
      </c>
      <c r="X14" s="647">
        <f t="shared" si="2"/>
        <v>90.27846064093022</v>
      </c>
    </row>
    <row r="15" spans="1:24" ht="12.75">
      <c r="A15" s="755"/>
      <c r="B15" s="177">
        <v>610</v>
      </c>
      <c r="C15" s="199" t="s">
        <v>232</v>
      </c>
      <c r="D15" s="200"/>
      <c r="E15" s="200">
        <v>13875</v>
      </c>
      <c r="F15" s="200">
        <v>15734</v>
      </c>
      <c r="G15" s="200">
        <v>16231</v>
      </c>
      <c r="H15" s="200">
        <v>16787</v>
      </c>
      <c r="I15" s="36">
        <v>17943</v>
      </c>
      <c r="J15" s="37">
        <v>18167</v>
      </c>
      <c r="K15" s="37">
        <v>15592</v>
      </c>
      <c r="L15" s="178">
        <v>15883.66</v>
      </c>
      <c r="M15" s="178">
        <v>19536.88</v>
      </c>
      <c r="N15" s="84">
        <v>20405.94</v>
      </c>
      <c r="O15" s="178">
        <v>22741.57</v>
      </c>
      <c r="P15" s="178">
        <v>20172.56</v>
      </c>
      <c r="Q15" s="178">
        <v>32391.98</v>
      </c>
      <c r="R15" s="84">
        <v>28346</v>
      </c>
      <c r="S15" s="84">
        <v>29579.17</v>
      </c>
      <c r="T15" s="178">
        <v>28778.42</v>
      </c>
      <c r="U15" s="84">
        <v>35768</v>
      </c>
      <c r="V15" s="84">
        <v>33768</v>
      </c>
      <c r="W15" s="634">
        <v>31301.95</v>
      </c>
      <c r="X15" s="629">
        <f t="shared" si="2"/>
        <v>92.69708007581143</v>
      </c>
    </row>
    <row r="16" spans="1:24" ht="12.75">
      <c r="A16" s="756"/>
      <c r="B16" s="179">
        <v>620</v>
      </c>
      <c r="C16" s="201" t="s">
        <v>233</v>
      </c>
      <c r="D16" s="202"/>
      <c r="E16" s="202">
        <v>4647</v>
      </c>
      <c r="F16" s="202">
        <v>5411</v>
      </c>
      <c r="G16" s="202">
        <v>5677</v>
      </c>
      <c r="H16" s="202">
        <v>6011</v>
      </c>
      <c r="I16" s="38">
        <v>6464</v>
      </c>
      <c r="J16" s="39">
        <v>6580</v>
      </c>
      <c r="K16" s="39">
        <v>5691</v>
      </c>
      <c r="L16" s="180">
        <v>6220</v>
      </c>
      <c r="M16" s="180">
        <v>6654.3</v>
      </c>
      <c r="N16" s="24">
        <v>7320.69</v>
      </c>
      <c r="O16" s="180">
        <v>8093.18</v>
      </c>
      <c r="P16" s="180">
        <v>6866.62</v>
      </c>
      <c r="Q16" s="180">
        <v>12511.41</v>
      </c>
      <c r="R16" s="24">
        <v>10698</v>
      </c>
      <c r="S16" s="24">
        <v>10565.18</v>
      </c>
      <c r="T16" s="180">
        <v>9873.52</v>
      </c>
      <c r="U16" s="24">
        <v>13121</v>
      </c>
      <c r="V16" s="24">
        <v>12421</v>
      </c>
      <c r="W16" s="690">
        <v>10830.46</v>
      </c>
      <c r="X16" s="646">
        <f t="shared" si="2"/>
        <v>87.19475082521535</v>
      </c>
    </row>
    <row r="17" spans="1:24" ht="12.75">
      <c r="A17" s="756"/>
      <c r="B17" s="179">
        <v>630</v>
      </c>
      <c r="C17" s="201" t="s">
        <v>234</v>
      </c>
      <c r="D17" s="202"/>
      <c r="E17" s="202">
        <v>3718</v>
      </c>
      <c r="F17" s="202">
        <v>4282</v>
      </c>
      <c r="G17" s="202">
        <v>4995</v>
      </c>
      <c r="H17" s="202">
        <v>7000</v>
      </c>
      <c r="I17" s="38">
        <v>4529</v>
      </c>
      <c r="J17" s="39">
        <v>3216</v>
      </c>
      <c r="K17" s="39">
        <v>2533</v>
      </c>
      <c r="L17" s="180">
        <v>2610.08</v>
      </c>
      <c r="M17" s="180">
        <v>2181.04</v>
      </c>
      <c r="N17" s="24">
        <v>2356.66</v>
      </c>
      <c r="O17" s="180">
        <v>2351.33</v>
      </c>
      <c r="P17" s="180">
        <v>1891.13</v>
      </c>
      <c r="Q17" s="180">
        <v>3021.6</v>
      </c>
      <c r="R17" s="24">
        <v>2700</v>
      </c>
      <c r="S17" s="24">
        <v>2297.94</v>
      </c>
      <c r="T17" s="180">
        <v>2135.53</v>
      </c>
      <c r="U17" s="24">
        <v>3500</v>
      </c>
      <c r="V17" s="24">
        <v>1900</v>
      </c>
      <c r="W17" s="690">
        <v>1422.51</v>
      </c>
      <c r="X17" s="646">
        <f t="shared" si="2"/>
        <v>74.86894736842106</v>
      </c>
    </row>
    <row r="18" spans="1:24" ht="13.5" thickBot="1">
      <c r="A18" s="757"/>
      <c r="B18" s="40">
        <v>640</v>
      </c>
      <c r="C18" s="183" t="s">
        <v>355</v>
      </c>
      <c r="D18" s="203"/>
      <c r="E18" s="203"/>
      <c r="F18" s="203"/>
      <c r="G18" s="203"/>
      <c r="H18" s="203"/>
      <c r="I18" s="128"/>
      <c r="J18" s="39"/>
      <c r="K18" s="39">
        <v>234</v>
      </c>
      <c r="L18" s="103">
        <v>336.48</v>
      </c>
      <c r="M18" s="103">
        <v>115.83</v>
      </c>
      <c r="N18" s="63"/>
      <c r="O18" s="63"/>
      <c r="P18" s="63">
        <v>153.76</v>
      </c>
      <c r="Q18" s="103">
        <v>3328.98</v>
      </c>
      <c r="R18" s="63"/>
      <c r="S18" s="63">
        <v>3482.99</v>
      </c>
      <c r="T18" s="103">
        <v>134.4</v>
      </c>
      <c r="U18" s="63"/>
      <c r="V18" s="63">
        <v>1620</v>
      </c>
      <c r="W18" s="504">
        <v>1321.6</v>
      </c>
      <c r="X18" s="630">
        <f t="shared" si="2"/>
        <v>81.58024691358024</v>
      </c>
    </row>
    <row r="19" spans="1:24" ht="15.75" thickBot="1">
      <c r="A19" s="187" t="s">
        <v>241</v>
      </c>
      <c r="B19" s="708" t="s">
        <v>242</v>
      </c>
      <c r="C19" s="743"/>
      <c r="D19" s="188">
        <v>13145</v>
      </c>
      <c r="E19" s="188">
        <v>10057</v>
      </c>
      <c r="F19" s="188">
        <v>8498</v>
      </c>
      <c r="G19" s="188">
        <v>54518</v>
      </c>
      <c r="H19" s="60">
        <f aca="true" t="shared" si="6" ref="H19:Q19">H22+H20+H21+H23+H25</f>
        <v>31457</v>
      </c>
      <c r="I19" s="60">
        <f t="shared" si="6"/>
        <v>31963</v>
      </c>
      <c r="J19" s="60">
        <f t="shared" si="6"/>
        <v>33449</v>
      </c>
      <c r="K19" s="60">
        <f t="shared" si="6"/>
        <v>18092</v>
      </c>
      <c r="L19" s="189">
        <f t="shared" si="6"/>
        <v>54586.799999999996</v>
      </c>
      <c r="M19" s="189">
        <f t="shared" si="6"/>
        <v>16584.94</v>
      </c>
      <c r="N19" s="60">
        <f t="shared" si="6"/>
        <v>25483.510000000002</v>
      </c>
      <c r="O19" s="189">
        <f t="shared" si="6"/>
        <v>21980.289999999997</v>
      </c>
      <c r="P19" s="189">
        <f>P22+P20+P21+P23+P25</f>
        <v>22643.670000000002</v>
      </c>
      <c r="Q19" s="189">
        <f t="shared" si="6"/>
        <v>47845.259999999995</v>
      </c>
      <c r="R19" s="431">
        <f>R22+R20+R21+R23+R25</f>
        <v>18726</v>
      </c>
      <c r="S19" s="431">
        <f>S22+S20+S21+S23+S25</f>
        <v>38082.83</v>
      </c>
      <c r="T19" s="477">
        <v>42784.5</v>
      </c>
      <c r="U19" s="94">
        <f>SUM(U20:U25)</f>
        <v>21381</v>
      </c>
      <c r="V19" s="94">
        <f>SUM(V20:V25)</f>
        <v>52790</v>
      </c>
      <c r="W19" s="691">
        <f>W22+W20+W21+W23+W25+W24</f>
        <v>50441.53</v>
      </c>
      <c r="X19" s="611">
        <f t="shared" si="2"/>
        <v>95.55129759424133</v>
      </c>
    </row>
    <row r="20" spans="1:24" ht="12.75">
      <c r="A20" s="752"/>
      <c r="B20" s="204">
        <v>610</v>
      </c>
      <c r="C20" s="199" t="s">
        <v>232</v>
      </c>
      <c r="D20" s="200"/>
      <c r="E20" s="200">
        <v>0</v>
      </c>
      <c r="F20" s="200">
        <v>4482</v>
      </c>
      <c r="G20" s="200">
        <v>7787</v>
      </c>
      <c r="H20" s="200">
        <v>7509</v>
      </c>
      <c r="I20" s="199">
        <v>7692</v>
      </c>
      <c r="J20" s="37">
        <v>7969</v>
      </c>
      <c r="K20" s="37">
        <v>7777</v>
      </c>
      <c r="L20" s="178">
        <v>7662.08</v>
      </c>
      <c r="M20" s="178">
        <v>8679.95</v>
      </c>
      <c r="N20" s="84">
        <v>9877.67</v>
      </c>
      <c r="O20" s="178">
        <v>9786.53</v>
      </c>
      <c r="P20" s="178">
        <v>11379.37</v>
      </c>
      <c r="Q20" s="178">
        <v>12850.13</v>
      </c>
      <c r="R20" s="84">
        <v>13282</v>
      </c>
      <c r="S20" s="84">
        <v>15383.93</v>
      </c>
      <c r="T20" s="178">
        <v>13583.52</v>
      </c>
      <c r="U20" s="84">
        <v>14546</v>
      </c>
      <c r="V20" s="84">
        <v>16546</v>
      </c>
      <c r="W20" s="634">
        <v>15562.2</v>
      </c>
      <c r="X20" s="629">
        <f t="shared" si="2"/>
        <v>94.05415206092107</v>
      </c>
    </row>
    <row r="21" spans="1:24" ht="12.75">
      <c r="A21" s="753"/>
      <c r="B21" s="205">
        <v>620</v>
      </c>
      <c r="C21" s="201" t="s">
        <v>233</v>
      </c>
      <c r="D21" s="181"/>
      <c r="E21" s="181">
        <v>0</v>
      </c>
      <c r="F21" s="181">
        <v>2058</v>
      </c>
      <c r="G21" s="181">
        <v>3864</v>
      </c>
      <c r="H21" s="181">
        <v>2426</v>
      </c>
      <c r="I21" s="201">
        <v>2683</v>
      </c>
      <c r="J21" s="39">
        <v>3469</v>
      </c>
      <c r="K21" s="39">
        <v>3267</v>
      </c>
      <c r="L21" s="180">
        <v>3320.66</v>
      </c>
      <c r="M21" s="180">
        <v>3113.97</v>
      </c>
      <c r="N21" s="24">
        <v>3720.13</v>
      </c>
      <c r="O21" s="180">
        <v>3643.9399999999996</v>
      </c>
      <c r="P21" s="180">
        <v>4236.46</v>
      </c>
      <c r="Q21" s="180">
        <v>4685.31</v>
      </c>
      <c r="R21" s="24">
        <v>4894</v>
      </c>
      <c r="S21" s="24">
        <v>5689.59</v>
      </c>
      <c r="T21" s="180">
        <v>5007.76</v>
      </c>
      <c r="U21" s="24">
        <v>5335</v>
      </c>
      <c r="V21" s="24">
        <v>6035</v>
      </c>
      <c r="W21" s="690">
        <v>5758.47</v>
      </c>
      <c r="X21" s="646">
        <f t="shared" si="2"/>
        <v>95.41789560894782</v>
      </c>
    </row>
    <row r="22" spans="1:24" ht="12.75">
      <c r="A22" s="753"/>
      <c r="B22" s="205">
        <v>630</v>
      </c>
      <c r="C22" s="201" t="s">
        <v>234</v>
      </c>
      <c r="D22" s="181"/>
      <c r="E22" s="181">
        <v>0</v>
      </c>
      <c r="F22" s="181">
        <v>1958</v>
      </c>
      <c r="G22" s="181">
        <v>42867</v>
      </c>
      <c r="H22" s="181">
        <v>1012</v>
      </c>
      <c r="I22" s="201">
        <v>989</v>
      </c>
      <c r="J22" s="39">
        <v>1227</v>
      </c>
      <c r="K22" s="39">
        <v>947</v>
      </c>
      <c r="L22" s="180">
        <v>588.04</v>
      </c>
      <c r="M22" s="180">
        <v>634.68</v>
      </c>
      <c r="N22" s="24">
        <v>827.63</v>
      </c>
      <c r="O22" s="180">
        <v>828.4000000000005</v>
      </c>
      <c r="P22" s="180">
        <v>675.3199999999997</v>
      </c>
      <c r="Q22" s="180">
        <v>1203.7900000000004</v>
      </c>
      <c r="R22" s="24">
        <v>550</v>
      </c>
      <c r="S22" s="24">
        <v>1075.21</v>
      </c>
      <c r="T22" s="180">
        <v>1074.47</v>
      </c>
      <c r="U22" s="24">
        <v>1500</v>
      </c>
      <c r="V22" s="24">
        <v>1500</v>
      </c>
      <c r="W22" s="690">
        <v>482.69</v>
      </c>
      <c r="X22" s="646">
        <f t="shared" si="2"/>
        <v>32.17933333333333</v>
      </c>
    </row>
    <row r="23" spans="1:24" ht="12.75">
      <c r="A23" s="753"/>
      <c r="B23" s="205">
        <v>640</v>
      </c>
      <c r="C23" s="38" t="s">
        <v>235</v>
      </c>
      <c r="D23" s="39"/>
      <c r="E23" s="39"/>
      <c r="F23" s="39"/>
      <c r="G23" s="39"/>
      <c r="H23" s="39"/>
      <c r="I23" s="38"/>
      <c r="J23" s="39">
        <v>3100</v>
      </c>
      <c r="K23" s="39"/>
      <c r="L23" s="24"/>
      <c r="M23" s="180">
        <v>113.93</v>
      </c>
      <c r="N23" s="24"/>
      <c r="O23" s="180">
        <v>124.72</v>
      </c>
      <c r="P23" s="180"/>
      <c r="Q23" s="180"/>
      <c r="R23" s="24"/>
      <c r="S23" s="24"/>
      <c r="T23" s="180">
        <v>88.2</v>
      </c>
      <c r="U23" s="24"/>
      <c r="V23" s="24">
        <v>810</v>
      </c>
      <c r="W23" s="690">
        <v>678.4</v>
      </c>
      <c r="X23" s="646">
        <f t="shared" si="2"/>
        <v>83.75308641975309</v>
      </c>
    </row>
    <row r="24" spans="1:24" ht="12.75">
      <c r="A24" s="753"/>
      <c r="B24" s="179">
        <v>600</v>
      </c>
      <c r="C24" s="201" t="s">
        <v>422</v>
      </c>
      <c r="D24" s="181"/>
      <c r="E24" s="181"/>
      <c r="F24" s="181"/>
      <c r="G24" s="181"/>
      <c r="H24" s="39"/>
      <c r="I24" s="201"/>
      <c r="J24" s="39"/>
      <c r="K24" s="39"/>
      <c r="L24" s="24"/>
      <c r="M24" s="180"/>
      <c r="N24" s="24"/>
      <c r="O24" s="180"/>
      <c r="P24" s="180"/>
      <c r="Q24" s="180"/>
      <c r="R24" s="24"/>
      <c r="S24" s="24"/>
      <c r="T24" s="180"/>
      <c r="U24" s="24"/>
      <c r="V24" s="24">
        <v>13679</v>
      </c>
      <c r="W24" s="700">
        <v>27959.77</v>
      </c>
      <c r="X24" s="646">
        <f t="shared" si="2"/>
        <v>204.39922508955334</v>
      </c>
    </row>
    <row r="25" spans="1:24" ht="13.5" thickBot="1">
      <c r="A25" s="754"/>
      <c r="B25" s="207">
        <v>600</v>
      </c>
      <c r="C25" s="183" t="s">
        <v>411</v>
      </c>
      <c r="D25" s="208"/>
      <c r="E25" s="208"/>
      <c r="F25" s="208"/>
      <c r="G25" s="208"/>
      <c r="H25" s="51">
        <v>20510</v>
      </c>
      <c r="I25" s="183">
        <v>20599</v>
      </c>
      <c r="J25" s="51">
        <v>17684</v>
      </c>
      <c r="K25" s="51">
        <v>6101</v>
      </c>
      <c r="L25" s="103">
        <v>43016.02</v>
      </c>
      <c r="M25" s="103">
        <v>4042.409999999998</v>
      </c>
      <c r="N25" s="63">
        <v>11058.08</v>
      </c>
      <c r="O25" s="103">
        <v>7596.7</v>
      </c>
      <c r="P25" s="103">
        <v>6352.52</v>
      </c>
      <c r="Q25" s="103">
        <v>29106.03</v>
      </c>
      <c r="R25" s="63"/>
      <c r="S25" s="63">
        <v>15934.1</v>
      </c>
      <c r="T25" s="103">
        <v>23030.55</v>
      </c>
      <c r="U25" s="63"/>
      <c r="V25" s="63">
        <v>14220</v>
      </c>
      <c r="W25" s="692"/>
      <c r="X25" s="648">
        <f t="shared" si="2"/>
        <v>0</v>
      </c>
    </row>
    <row r="26" spans="1:24" ht="15.75" thickBot="1">
      <c r="A26" s="187" t="s">
        <v>243</v>
      </c>
      <c r="B26" s="708" t="s">
        <v>60</v>
      </c>
      <c r="C26" s="743"/>
      <c r="D26" s="209">
        <f>D27</f>
        <v>86802</v>
      </c>
      <c r="E26" s="209">
        <f>E27</f>
        <v>77342</v>
      </c>
      <c r="F26" s="209">
        <f>F27</f>
        <v>79566</v>
      </c>
      <c r="G26" s="209">
        <f>G27</f>
        <v>75201</v>
      </c>
      <c r="H26" s="209">
        <f>H27</f>
        <v>66074</v>
      </c>
      <c r="I26" s="60">
        <f aca="true" t="shared" si="7" ref="I26:V26">I27</f>
        <v>84841</v>
      </c>
      <c r="J26" s="60">
        <f t="shared" si="7"/>
        <v>92558</v>
      </c>
      <c r="K26" s="60">
        <f t="shared" si="7"/>
        <v>89614</v>
      </c>
      <c r="L26" s="189">
        <f>L27</f>
        <v>87966.26</v>
      </c>
      <c r="M26" s="189">
        <f t="shared" si="7"/>
        <v>89070.75</v>
      </c>
      <c r="N26" s="431">
        <f t="shared" si="7"/>
        <v>84152.6</v>
      </c>
      <c r="O26" s="527">
        <f t="shared" si="7"/>
        <v>63074.71</v>
      </c>
      <c r="P26" s="527">
        <f t="shared" si="7"/>
        <v>62531</v>
      </c>
      <c r="Q26" s="527">
        <f t="shared" si="7"/>
        <v>57263.12</v>
      </c>
      <c r="R26" s="431">
        <f t="shared" si="7"/>
        <v>65000</v>
      </c>
      <c r="S26" s="431">
        <f t="shared" si="7"/>
        <v>55265.72</v>
      </c>
      <c r="T26" s="477">
        <v>55710.71</v>
      </c>
      <c r="U26" s="94">
        <f t="shared" si="7"/>
        <v>65000</v>
      </c>
      <c r="V26" s="94">
        <f t="shared" si="7"/>
        <v>159000</v>
      </c>
      <c r="W26" s="691">
        <f>W27</f>
        <v>177510.04</v>
      </c>
      <c r="X26" s="611">
        <f t="shared" si="2"/>
        <v>111.64153459119497</v>
      </c>
    </row>
    <row r="27" spans="1:24" ht="13.5" thickBot="1">
      <c r="A27" s="210"/>
      <c r="B27" s="211">
        <v>630</v>
      </c>
      <c r="C27" s="212" t="s">
        <v>244</v>
      </c>
      <c r="D27" s="213">
        <v>86802</v>
      </c>
      <c r="E27" s="213">
        <v>77342</v>
      </c>
      <c r="F27" s="213">
        <v>79566</v>
      </c>
      <c r="G27" s="213">
        <v>75201</v>
      </c>
      <c r="H27" s="213">
        <v>66074</v>
      </c>
      <c r="I27" s="128">
        <v>84841</v>
      </c>
      <c r="J27" s="128">
        <v>92558</v>
      </c>
      <c r="K27" s="74">
        <v>89614</v>
      </c>
      <c r="L27" s="103">
        <v>87966.26</v>
      </c>
      <c r="M27" s="103">
        <v>89070.75</v>
      </c>
      <c r="N27" s="63">
        <v>84152.6</v>
      </c>
      <c r="O27" s="103">
        <v>63074.71</v>
      </c>
      <c r="P27" s="103">
        <v>62531</v>
      </c>
      <c r="Q27" s="103">
        <v>57263.12</v>
      </c>
      <c r="R27" s="63">
        <v>65000</v>
      </c>
      <c r="S27" s="63">
        <v>55265.72</v>
      </c>
      <c r="T27" s="103">
        <v>55710.71</v>
      </c>
      <c r="U27" s="63">
        <v>65000</v>
      </c>
      <c r="V27" s="63">
        <v>159000</v>
      </c>
      <c r="W27" s="692">
        <v>177510.04</v>
      </c>
      <c r="X27" s="648">
        <f t="shared" si="2"/>
        <v>111.64153459119497</v>
      </c>
    </row>
    <row r="28" spans="1:24" ht="15.75" thickBot="1">
      <c r="A28" s="187" t="s">
        <v>245</v>
      </c>
      <c r="B28" s="708" t="s">
        <v>246</v>
      </c>
      <c r="C28" s="743"/>
      <c r="D28" s="209">
        <f>D29</f>
        <v>0</v>
      </c>
      <c r="E28" s="209">
        <f>E29</f>
        <v>1826</v>
      </c>
      <c r="F28" s="209">
        <f>F29</f>
        <v>66</v>
      </c>
      <c r="G28" s="209">
        <f>G29</f>
        <v>770</v>
      </c>
      <c r="H28" s="209">
        <f>H29</f>
        <v>2589</v>
      </c>
      <c r="I28" s="60">
        <f aca="true" t="shared" si="8" ref="I28:W28">I29</f>
        <v>366</v>
      </c>
      <c r="J28" s="60">
        <f t="shared" si="8"/>
        <v>274</v>
      </c>
      <c r="K28" s="60">
        <f t="shared" si="8"/>
        <v>464</v>
      </c>
      <c r="L28" s="60">
        <f t="shared" si="8"/>
        <v>276.29</v>
      </c>
      <c r="M28" s="189">
        <f t="shared" si="8"/>
        <v>34.4</v>
      </c>
      <c r="N28" s="431">
        <f t="shared" si="8"/>
        <v>81.5</v>
      </c>
      <c r="O28" s="527">
        <f t="shared" si="8"/>
        <v>1.5</v>
      </c>
      <c r="P28" s="527">
        <f t="shared" si="8"/>
        <v>1.5</v>
      </c>
      <c r="Q28" s="527">
        <f t="shared" si="8"/>
        <v>18.02</v>
      </c>
      <c r="R28" s="431">
        <f t="shared" si="8"/>
        <v>500</v>
      </c>
      <c r="S28" s="431">
        <f t="shared" si="8"/>
        <v>4</v>
      </c>
      <c r="T28" s="477">
        <v>1947.39</v>
      </c>
      <c r="U28" s="94">
        <f t="shared" si="8"/>
        <v>1000</v>
      </c>
      <c r="V28" s="94">
        <f t="shared" si="8"/>
        <v>1000</v>
      </c>
      <c r="W28" s="691">
        <f t="shared" si="8"/>
        <v>20.4</v>
      </c>
      <c r="X28" s="611">
        <f t="shared" si="2"/>
        <v>2.0399999999999996</v>
      </c>
    </row>
    <row r="29" spans="1:24" ht="13.5" thickBot="1">
      <c r="A29" s="214"/>
      <c r="B29" s="215"/>
      <c r="C29" s="212" t="s">
        <v>247</v>
      </c>
      <c r="D29" s="213">
        <v>0</v>
      </c>
      <c r="E29" s="213">
        <v>1826</v>
      </c>
      <c r="F29" s="213">
        <v>66</v>
      </c>
      <c r="G29" s="213">
        <v>770</v>
      </c>
      <c r="H29" s="213">
        <v>2589</v>
      </c>
      <c r="I29" s="128">
        <v>366</v>
      </c>
      <c r="J29" s="128">
        <v>274</v>
      </c>
      <c r="K29" s="74">
        <v>464</v>
      </c>
      <c r="L29" s="103">
        <v>276.29</v>
      </c>
      <c r="M29" s="103">
        <v>34.4</v>
      </c>
      <c r="N29" s="63">
        <v>81.5</v>
      </c>
      <c r="O29" s="103">
        <v>1.5</v>
      </c>
      <c r="P29" s="103">
        <v>1.5</v>
      </c>
      <c r="Q29" s="103">
        <v>18.02</v>
      </c>
      <c r="R29" s="63">
        <v>500</v>
      </c>
      <c r="S29" s="63">
        <v>4</v>
      </c>
      <c r="T29" s="103">
        <v>1947.39</v>
      </c>
      <c r="U29" s="63">
        <v>1000</v>
      </c>
      <c r="V29" s="63">
        <v>1000</v>
      </c>
      <c r="W29" s="693">
        <v>20.4</v>
      </c>
      <c r="X29" s="612">
        <f t="shared" si="2"/>
        <v>2.0399999999999996</v>
      </c>
    </row>
    <row r="30" spans="1:24" ht="15.75" thickBot="1">
      <c r="A30" s="187" t="s">
        <v>66</v>
      </c>
      <c r="B30" s="708" t="s">
        <v>248</v>
      </c>
      <c r="C30" s="743"/>
      <c r="D30" s="188">
        <v>80362</v>
      </c>
      <c r="E30" s="188">
        <v>93674</v>
      </c>
      <c r="F30" s="188">
        <v>104461</v>
      </c>
      <c r="G30" s="188">
        <v>126342</v>
      </c>
      <c r="H30" s="60">
        <f>SUM(H31:H33)</f>
        <v>137485</v>
      </c>
      <c r="I30" s="60">
        <f>SUM(I31:I33)</f>
        <v>141454</v>
      </c>
      <c r="J30" s="60">
        <f>SUM(J31:J33)</f>
        <v>150296</v>
      </c>
      <c r="K30" s="60">
        <f>SUM(K31:K33)</f>
        <v>153336</v>
      </c>
      <c r="L30" s="189">
        <f aca="true" t="shared" si="9" ref="L30:Q30">SUM(L31:L35)</f>
        <v>153063.15</v>
      </c>
      <c r="M30" s="189">
        <f t="shared" si="9"/>
        <v>160199.88999999998</v>
      </c>
      <c r="N30" s="431">
        <f t="shared" si="9"/>
        <v>160815.16</v>
      </c>
      <c r="O30" s="527">
        <f t="shared" si="9"/>
        <v>182466.47</v>
      </c>
      <c r="P30" s="527">
        <f t="shared" si="9"/>
        <v>205874.57</v>
      </c>
      <c r="Q30" s="527">
        <f t="shared" si="9"/>
        <v>228019.05</v>
      </c>
      <c r="R30" s="431">
        <f aca="true" t="shared" si="10" ref="R30:W30">SUM(R31:R35)</f>
        <v>267388</v>
      </c>
      <c r="S30" s="431">
        <f t="shared" si="10"/>
        <v>284752.95999999996</v>
      </c>
      <c r="T30" s="477">
        <v>279881.9</v>
      </c>
      <c r="U30" s="94">
        <f t="shared" si="10"/>
        <v>352062</v>
      </c>
      <c r="V30" s="94">
        <f t="shared" si="10"/>
        <v>347077</v>
      </c>
      <c r="W30" s="691">
        <f t="shared" si="10"/>
        <v>334920.56999999995</v>
      </c>
      <c r="X30" s="611">
        <f t="shared" si="2"/>
        <v>96.49748326740173</v>
      </c>
    </row>
    <row r="31" spans="1:24" ht="12.75">
      <c r="A31" s="714"/>
      <c r="B31" s="204">
        <v>610</v>
      </c>
      <c r="C31" s="36" t="s">
        <v>232</v>
      </c>
      <c r="D31" s="141"/>
      <c r="E31" s="141">
        <v>56762</v>
      </c>
      <c r="F31" s="141">
        <v>60944</v>
      </c>
      <c r="G31" s="141">
        <v>75340</v>
      </c>
      <c r="H31" s="141">
        <v>84414</v>
      </c>
      <c r="I31" s="36">
        <v>89012</v>
      </c>
      <c r="J31" s="37">
        <v>92984</v>
      </c>
      <c r="K31" s="37">
        <v>93001</v>
      </c>
      <c r="L31" s="134">
        <v>93672.78</v>
      </c>
      <c r="M31" s="134">
        <v>102320.64</v>
      </c>
      <c r="N31" s="84">
        <v>102319.48</v>
      </c>
      <c r="O31" s="178">
        <v>109786.57</v>
      </c>
      <c r="P31" s="178">
        <v>123486.16</v>
      </c>
      <c r="Q31" s="178">
        <v>129732.70999999999</v>
      </c>
      <c r="R31" s="84">
        <v>126938</v>
      </c>
      <c r="S31" s="84">
        <v>141300.33</v>
      </c>
      <c r="T31" s="178">
        <v>133585.88</v>
      </c>
      <c r="U31" s="84">
        <v>177256</v>
      </c>
      <c r="V31" s="84">
        <v>174256</v>
      </c>
      <c r="W31" s="634">
        <v>166993.87</v>
      </c>
      <c r="X31" s="629">
        <f t="shared" si="2"/>
        <v>95.83249357267468</v>
      </c>
    </row>
    <row r="32" spans="1:24" ht="12.75">
      <c r="A32" s="715"/>
      <c r="B32" s="205">
        <v>620</v>
      </c>
      <c r="C32" s="38" t="s">
        <v>233</v>
      </c>
      <c r="D32" s="216"/>
      <c r="E32" s="216">
        <v>20315</v>
      </c>
      <c r="F32" s="216">
        <v>21709</v>
      </c>
      <c r="G32" s="216">
        <v>27650</v>
      </c>
      <c r="H32" s="216">
        <v>30919</v>
      </c>
      <c r="I32" s="38">
        <v>32877</v>
      </c>
      <c r="J32" s="39">
        <v>34488</v>
      </c>
      <c r="K32" s="39">
        <v>34548</v>
      </c>
      <c r="L32" s="101">
        <v>37213.83</v>
      </c>
      <c r="M32" s="101">
        <v>35543.37</v>
      </c>
      <c r="N32" s="24">
        <v>37856.52</v>
      </c>
      <c r="O32" s="180">
        <v>40417.53</v>
      </c>
      <c r="P32" s="180">
        <v>45335.28</v>
      </c>
      <c r="Q32" s="180">
        <v>47330.69</v>
      </c>
      <c r="R32" s="24">
        <v>46411</v>
      </c>
      <c r="S32" s="24">
        <v>51299.29000000001</v>
      </c>
      <c r="T32" s="180">
        <v>48440</v>
      </c>
      <c r="U32" s="24">
        <v>63933</v>
      </c>
      <c r="V32" s="24">
        <v>62885</v>
      </c>
      <c r="W32" s="690">
        <v>60251.14</v>
      </c>
      <c r="X32" s="646">
        <f t="shared" si="2"/>
        <v>95.81162439373459</v>
      </c>
    </row>
    <row r="33" spans="1:24" ht="12.75">
      <c r="A33" s="715"/>
      <c r="B33" s="205">
        <v>630</v>
      </c>
      <c r="C33" s="38" t="s">
        <v>234</v>
      </c>
      <c r="D33" s="216"/>
      <c r="E33" s="216">
        <v>16597</v>
      </c>
      <c r="F33" s="216">
        <v>21078</v>
      </c>
      <c r="G33" s="216">
        <v>23021</v>
      </c>
      <c r="H33" s="216">
        <f>22134+18</f>
        <v>22152</v>
      </c>
      <c r="I33" s="38">
        <v>19565</v>
      </c>
      <c r="J33" s="39">
        <v>22824</v>
      </c>
      <c r="K33" s="39">
        <v>25787</v>
      </c>
      <c r="L33" s="101">
        <v>22014.74</v>
      </c>
      <c r="M33" s="101">
        <v>22171.17</v>
      </c>
      <c r="N33" s="24">
        <v>20256.81</v>
      </c>
      <c r="O33" s="180">
        <v>29552.34</v>
      </c>
      <c r="P33" s="180">
        <v>36953.13</v>
      </c>
      <c r="Q33" s="180">
        <v>23590.739999999998</v>
      </c>
      <c r="R33" s="24">
        <v>19000</v>
      </c>
      <c r="S33" s="24">
        <v>25182.800000000003</v>
      </c>
      <c r="T33" s="180">
        <v>25717.76</v>
      </c>
      <c r="U33" s="24">
        <v>25500</v>
      </c>
      <c r="V33" s="24">
        <v>44181</v>
      </c>
      <c r="W33" s="690">
        <f>26642.35+16680.88</f>
        <v>43323.229999999996</v>
      </c>
      <c r="X33" s="646">
        <f t="shared" si="2"/>
        <v>98.05850931395848</v>
      </c>
    </row>
    <row r="34" spans="1:24" ht="12.75">
      <c r="A34" s="715"/>
      <c r="B34" s="205">
        <v>640</v>
      </c>
      <c r="C34" s="38" t="s">
        <v>235</v>
      </c>
      <c r="D34" s="213"/>
      <c r="E34" s="213"/>
      <c r="F34" s="213"/>
      <c r="G34" s="213"/>
      <c r="H34" s="213"/>
      <c r="I34" s="128"/>
      <c r="J34" s="217"/>
      <c r="K34" s="217"/>
      <c r="L34" s="103"/>
      <c r="M34" s="103"/>
      <c r="N34" s="63"/>
      <c r="O34" s="103"/>
      <c r="P34" s="103"/>
      <c r="Q34" s="103"/>
      <c r="R34" s="63"/>
      <c r="S34" s="63"/>
      <c r="T34" s="103">
        <v>637.6</v>
      </c>
      <c r="U34" s="63">
        <v>85373</v>
      </c>
      <c r="V34" s="63">
        <v>7000</v>
      </c>
      <c r="W34" s="504">
        <v>6125.6</v>
      </c>
      <c r="X34" s="646">
        <f t="shared" si="2"/>
        <v>87.50857142857143</v>
      </c>
    </row>
    <row r="35" spans="1:24" ht="13.5" thickBot="1">
      <c r="A35" s="716"/>
      <c r="B35" s="205">
        <v>650</v>
      </c>
      <c r="C35" s="38" t="s">
        <v>338</v>
      </c>
      <c r="D35" s="213"/>
      <c r="E35" s="213"/>
      <c r="F35" s="213"/>
      <c r="G35" s="213"/>
      <c r="H35" s="213"/>
      <c r="I35" s="128"/>
      <c r="J35" s="128"/>
      <c r="K35" s="217"/>
      <c r="L35" s="103">
        <v>161.8</v>
      </c>
      <c r="M35" s="103">
        <v>164.71</v>
      </c>
      <c r="N35" s="63">
        <v>382.35</v>
      </c>
      <c r="O35" s="103">
        <v>2710.03</v>
      </c>
      <c r="P35" s="103">
        <v>100</v>
      </c>
      <c r="Q35" s="103">
        <v>27364.91</v>
      </c>
      <c r="R35" s="63">
        <v>75039</v>
      </c>
      <c r="S35" s="63">
        <v>66970.54</v>
      </c>
      <c r="T35" s="103">
        <v>71500.66</v>
      </c>
      <c r="U35" s="63"/>
      <c r="V35" s="63">
        <v>58755</v>
      </c>
      <c r="W35" s="504">
        <v>58226.73</v>
      </c>
      <c r="X35" s="630">
        <f t="shared" si="2"/>
        <v>99.10089354097525</v>
      </c>
    </row>
    <row r="36" spans="1:24" ht="15.75" thickBot="1">
      <c r="A36" s="187" t="s">
        <v>249</v>
      </c>
      <c r="B36" s="708" t="s">
        <v>250</v>
      </c>
      <c r="C36" s="743"/>
      <c r="D36" s="209">
        <f>D37</f>
        <v>1328</v>
      </c>
      <c r="E36" s="209">
        <f>E37</f>
        <v>332</v>
      </c>
      <c r="F36" s="209">
        <f>F37</f>
        <v>797</v>
      </c>
      <c r="G36" s="209">
        <f>G37</f>
        <v>3524</v>
      </c>
      <c r="H36" s="209">
        <f>H37</f>
        <v>112</v>
      </c>
      <c r="I36" s="60">
        <f aca="true" t="shared" si="11" ref="I36:V36">I37</f>
        <v>600</v>
      </c>
      <c r="J36" s="60">
        <f t="shared" si="11"/>
        <v>1028</v>
      </c>
      <c r="K36" s="60">
        <f t="shared" si="11"/>
        <v>1230</v>
      </c>
      <c r="L36" s="189">
        <f t="shared" si="11"/>
        <v>600</v>
      </c>
      <c r="M36" s="189">
        <f t="shared" si="11"/>
        <v>1048.67</v>
      </c>
      <c r="N36" s="431">
        <f t="shared" si="11"/>
        <v>1510.99</v>
      </c>
      <c r="O36" s="527">
        <f t="shared" si="11"/>
        <v>1870</v>
      </c>
      <c r="P36" s="527">
        <f t="shared" si="11"/>
        <v>2000</v>
      </c>
      <c r="Q36" s="527">
        <f t="shared" si="11"/>
        <v>2240.37</v>
      </c>
      <c r="R36" s="431">
        <f t="shared" si="11"/>
        <v>1000</v>
      </c>
      <c r="S36" s="431">
        <f t="shared" si="11"/>
        <v>2459.98</v>
      </c>
      <c r="T36" s="477">
        <v>2000</v>
      </c>
      <c r="U36" s="94">
        <f t="shared" si="11"/>
        <v>2000</v>
      </c>
      <c r="V36" s="94">
        <f t="shared" si="11"/>
        <v>3075</v>
      </c>
      <c r="W36" s="691">
        <f>W37</f>
        <v>2749.47</v>
      </c>
      <c r="X36" s="611">
        <f t="shared" si="2"/>
        <v>89.41365853658536</v>
      </c>
    </row>
    <row r="37" spans="1:24" ht="13.5" thickBot="1">
      <c r="A37" s="214"/>
      <c r="B37" s="218"/>
      <c r="C37" s="219" t="s">
        <v>251</v>
      </c>
      <c r="D37" s="220">
        <v>1328</v>
      </c>
      <c r="E37" s="220">
        <v>332</v>
      </c>
      <c r="F37" s="220">
        <v>797</v>
      </c>
      <c r="G37" s="220">
        <v>3524</v>
      </c>
      <c r="H37" s="220">
        <v>112</v>
      </c>
      <c r="I37" s="102">
        <v>600</v>
      </c>
      <c r="J37" s="102">
        <v>1028</v>
      </c>
      <c r="K37" s="74">
        <v>1230</v>
      </c>
      <c r="L37" s="221">
        <v>600</v>
      </c>
      <c r="M37" s="221">
        <v>1048.67</v>
      </c>
      <c r="N37" s="12">
        <v>1510.99</v>
      </c>
      <c r="O37" s="222">
        <v>1870</v>
      </c>
      <c r="P37" s="222">
        <v>2000</v>
      </c>
      <c r="Q37" s="222">
        <v>2240.37</v>
      </c>
      <c r="R37" s="12">
        <v>1000</v>
      </c>
      <c r="S37" s="12">
        <v>2459.98</v>
      </c>
      <c r="T37" s="222">
        <v>2000</v>
      </c>
      <c r="U37" s="12">
        <v>2000</v>
      </c>
      <c r="V37" s="12">
        <v>3075</v>
      </c>
      <c r="W37" s="693">
        <v>2749.47</v>
      </c>
      <c r="X37" s="612">
        <f t="shared" si="2"/>
        <v>89.41365853658536</v>
      </c>
    </row>
    <row r="38" spans="1:24" ht="15.75" thickBot="1">
      <c r="A38" s="223" t="s">
        <v>252</v>
      </c>
      <c r="B38" s="708" t="s">
        <v>253</v>
      </c>
      <c r="C38" s="743"/>
      <c r="D38" s="188">
        <v>64894</v>
      </c>
      <c r="E38" s="188">
        <v>59384</v>
      </c>
      <c r="F38" s="188">
        <v>62471</v>
      </c>
      <c r="G38" s="188">
        <v>47851</v>
      </c>
      <c r="H38" s="14">
        <f>SUM(H39:H41)</f>
        <v>43042</v>
      </c>
      <c r="I38" s="14">
        <f>SUM(I39:I41)</f>
        <v>42993</v>
      </c>
      <c r="J38" s="14">
        <f>SUM(J39:J41)</f>
        <v>45897</v>
      </c>
      <c r="K38" s="14">
        <f aca="true" t="shared" si="12" ref="K38:Q38">SUM(K39:K42)</f>
        <v>45604</v>
      </c>
      <c r="L38" s="224">
        <f t="shared" si="12"/>
        <v>70768.37</v>
      </c>
      <c r="M38" s="224">
        <f t="shared" si="12"/>
        <v>57765.42</v>
      </c>
      <c r="N38" s="433">
        <f t="shared" si="12"/>
        <v>67218.58</v>
      </c>
      <c r="O38" s="528">
        <f t="shared" si="12"/>
        <v>62580.25</v>
      </c>
      <c r="P38" s="528">
        <f>SUM(P39:P42)</f>
        <v>56923.06</v>
      </c>
      <c r="Q38" s="528">
        <f t="shared" si="12"/>
        <v>61855.35999999999</v>
      </c>
      <c r="R38" s="433">
        <f>SUM(R39:R41)</f>
        <v>76963</v>
      </c>
      <c r="S38" s="433">
        <f>SUM(S39:S42)</f>
        <v>88456.51000000001</v>
      </c>
      <c r="T38" s="566">
        <v>62049.6</v>
      </c>
      <c r="U38" s="426">
        <f>SUM(U39:U42)</f>
        <v>74269</v>
      </c>
      <c r="V38" s="426">
        <f>SUM(V39:V42)</f>
        <v>74434</v>
      </c>
      <c r="W38" s="691">
        <f>SUM(W39:W42)</f>
        <v>74438.38</v>
      </c>
      <c r="X38" s="611">
        <f t="shared" si="2"/>
        <v>100.00588440766319</v>
      </c>
    </row>
    <row r="39" spans="1:24" ht="12.75">
      <c r="A39" s="714"/>
      <c r="B39" s="204">
        <v>610</v>
      </c>
      <c r="C39" s="36" t="s">
        <v>232</v>
      </c>
      <c r="D39" s="141"/>
      <c r="E39" s="141"/>
      <c r="F39" s="141"/>
      <c r="G39" s="141"/>
      <c r="H39" s="141">
        <v>19662</v>
      </c>
      <c r="I39" s="36">
        <v>20165</v>
      </c>
      <c r="J39" s="37">
        <v>21683</v>
      </c>
      <c r="K39" s="37">
        <v>23558</v>
      </c>
      <c r="L39" s="178">
        <v>34957.48</v>
      </c>
      <c r="M39" s="178">
        <v>28518.63</v>
      </c>
      <c r="N39" s="84">
        <v>34041.99</v>
      </c>
      <c r="O39" s="178">
        <v>33212</v>
      </c>
      <c r="P39" s="178">
        <v>33912.11</v>
      </c>
      <c r="Q39" s="178">
        <v>39048.27</v>
      </c>
      <c r="R39" s="84">
        <v>47240</v>
      </c>
      <c r="S39" s="84">
        <v>53526.83</v>
      </c>
      <c r="T39" s="178">
        <v>34695.98</v>
      </c>
      <c r="U39" s="84">
        <v>45403</v>
      </c>
      <c r="V39" s="84">
        <v>40455</v>
      </c>
      <c r="W39" s="634">
        <v>40351.22</v>
      </c>
      <c r="X39" s="629">
        <f t="shared" si="2"/>
        <v>99.74346805092078</v>
      </c>
    </row>
    <row r="40" spans="1:25" ht="12.75">
      <c r="A40" s="715"/>
      <c r="B40" s="205">
        <v>620</v>
      </c>
      <c r="C40" s="38" t="s">
        <v>233</v>
      </c>
      <c r="D40" s="216"/>
      <c r="E40" s="216"/>
      <c r="F40" s="216"/>
      <c r="G40" s="216"/>
      <c r="H40" s="216">
        <v>6810</v>
      </c>
      <c r="I40" s="38">
        <v>7285</v>
      </c>
      <c r="J40" s="39">
        <v>7713</v>
      </c>
      <c r="K40" s="39">
        <v>8188</v>
      </c>
      <c r="L40" s="180">
        <v>13167.56</v>
      </c>
      <c r="M40" s="180">
        <v>9242.21</v>
      </c>
      <c r="N40" s="24">
        <v>11670.69</v>
      </c>
      <c r="O40" s="180">
        <v>11626.24</v>
      </c>
      <c r="P40" s="180">
        <v>11789.54</v>
      </c>
      <c r="Q40" s="180">
        <v>13624.06</v>
      </c>
      <c r="R40" s="24">
        <v>16725</v>
      </c>
      <c r="S40" s="24">
        <v>17891.14</v>
      </c>
      <c r="T40" s="180">
        <v>11686.92</v>
      </c>
      <c r="U40" s="24">
        <v>15868</v>
      </c>
      <c r="V40" s="24">
        <v>14081</v>
      </c>
      <c r="W40" s="690">
        <v>13989.53</v>
      </c>
      <c r="X40" s="646">
        <f t="shared" si="2"/>
        <v>99.35040124991123</v>
      </c>
      <c r="Y40" s="2"/>
    </row>
    <row r="41" spans="1:24" ht="12.75">
      <c r="A41" s="715"/>
      <c r="B41" s="205">
        <v>630</v>
      </c>
      <c r="C41" s="38" t="s">
        <v>234</v>
      </c>
      <c r="D41" s="216"/>
      <c r="E41" s="216"/>
      <c r="F41" s="216"/>
      <c r="G41" s="216"/>
      <c r="H41" s="216">
        <v>16570</v>
      </c>
      <c r="I41" s="38">
        <v>15543</v>
      </c>
      <c r="J41" s="39">
        <v>16501</v>
      </c>
      <c r="K41" s="39">
        <v>13727</v>
      </c>
      <c r="L41" s="180">
        <v>20379.17</v>
      </c>
      <c r="M41" s="180">
        <v>19888.42</v>
      </c>
      <c r="N41" s="24">
        <v>21248.55</v>
      </c>
      <c r="O41" s="180">
        <v>16832.53</v>
      </c>
      <c r="P41" s="180">
        <v>11149.41</v>
      </c>
      <c r="Q41" s="180">
        <v>8952.96</v>
      </c>
      <c r="R41" s="24">
        <v>12998</v>
      </c>
      <c r="S41" s="24">
        <v>16926.13</v>
      </c>
      <c r="T41" s="180">
        <v>15284.81</v>
      </c>
      <c r="U41" s="24">
        <v>12998</v>
      </c>
      <c r="V41" s="24">
        <v>16598</v>
      </c>
      <c r="W41" s="690">
        <v>17235.75</v>
      </c>
      <c r="X41" s="646">
        <f t="shared" si="2"/>
        <v>103.84233040125316</v>
      </c>
    </row>
    <row r="42" spans="1:24" ht="13.5" thickBot="1">
      <c r="A42" s="716"/>
      <c r="B42" s="205">
        <v>640</v>
      </c>
      <c r="C42" s="183" t="s">
        <v>235</v>
      </c>
      <c r="D42" s="203"/>
      <c r="E42" s="203"/>
      <c r="F42" s="203"/>
      <c r="G42" s="203"/>
      <c r="H42" s="203"/>
      <c r="I42" s="128"/>
      <c r="J42" s="39"/>
      <c r="K42" s="39">
        <v>131</v>
      </c>
      <c r="L42" s="103">
        <v>2264.16</v>
      </c>
      <c r="M42" s="103">
        <v>116.16</v>
      </c>
      <c r="N42" s="63">
        <v>257.35</v>
      </c>
      <c r="O42" s="103">
        <v>909.48</v>
      </c>
      <c r="P42" s="103">
        <v>72</v>
      </c>
      <c r="Q42" s="103">
        <v>230.07</v>
      </c>
      <c r="R42" s="63"/>
      <c r="S42" s="63">
        <v>112.41</v>
      </c>
      <c r="T42" s="103">
        <v>381.89</v>
      </c>
      <c r="U42" s="63"/>
      <c r="V42" s="63">
        <v>3300</v>
      </c>
      <c r="W42" s="504">
        <v>2861.88</v>
      </c>
      <c r="X42" s="630">
        <f t="shared" si="2"/>
        <v>86.72363636363637</v>
      </c>
    </row>
    <row r="43" spans="1:24" ht="15.75" thickBot="1">
      <c r="A43" s="187" t="s">
        <v>254</v>
      </c>
      <c r="B43" s="708" t="s">
        <v>255</v>
      </c>
      <c r="C43" s="743"/>
      <c r="D43" s="209">
        <f>D44</f>
        <v>0</v>
      </c>
      <c r="E43" s="209">
        <f>E44</f>
        <v>0</v>
      </c>
      <c r="F43" s="209">
        <f>F44</f>
        <v>0</v>
      </c>
      <c r="G43" s="209">
        <f>G44</f>
        <v>66</v>
      </c>
      <c r="H43" s="209">
        <f>H44</f>
        <v>175</v>
      </c>
      <c r="I43" s="60">
        <f aca="true" t="shared" si="13" ref="I43:V43">I44</f>
        <v>269</v>
      </c>
      <c r="J43" s="60">
        <f t="shared" si="13"/>
        <v>182</v>
      </c>
      <c r="K43" s="60">
        <f t="shared" si="13"/>
        <v>104</v>
      </c>
      <c r="L43" s="189">
        <f t="shared" si="13"/>
        <v>169.4</v>
      </c>
      <c r="M43" s="189">
        <f t="shared" si="13"/>
        <v>87.6</v>
      </c>
      <c r="N43" s="431">
        <f t="shared" si="13"/>
        <v>40.1</v>
      </c>
      <c r="O43" s="431">
        <f t="shared" si="13"/>
        <v>0</v>
      </c>
      <c r="P43" s="431">
        <f t="shared" si="13"/>
        <v>69.25</v>
      </c>
      <c r="Q43" s="527">
        <f t="shared" si="13"/>
        <v>440.25</v>
      </c>
      <c r="R43" s="431">
        <f t="shared" si="13"/>
        <v>200</v>
      </c>
      <c r="S43" s="431">
        <f t="shared" si="13"/>
        <v>150</v>
      </c>
      <c r="T43" s="477">
        <v>583.1</v>
      </c>
      <c r="U43" s="94">
        <f t="shared" si="13"/>
        <v>500</v>
      </c>
      <c r="V43" s="94">
        <f t="shared" si="13"/>
        <v>500</v>
      </c>
      <c r="W43" s="691">
        <f>W44</f>
        <v>643</v>
      </c>
      <c r="X43" s="611">
        <f t="shared" si="2"/>
        <v>128.6</v>
      </c>
    </row>
    <row r="44" spans="1:24" ht="13.5" thickBot="1">
      <c r="A44" s="225"/>
      <c r="B44" s="226">
        <v>640</v>
      </c>
      <c r="C44" s="128" t="s">
        <v>256</v>
      </c>
      <c r="D44" s="213"/>
      <c r="E44" s="213"/>
      <c r="F44" s="213"/>
      <c r="G44" s="213">
        <v>66</v>
      </c>
      <c r="H44" s="213">
        <v>175</v>
      </c>
      <c r="I44" s="128">
        <v>269</v>
      </c>
      <c r="J44" s="128">
        <v>182</v>
      </c>
      <c r="K44" s="128">
        <v>104</v>
      </c>
      <c r="L44" s="227">
        <v>169.4</v>
      </c>
      <c r="M44" s="221">
        <v>87.6</v>
      </c>
      <c r="N44" s="12">
        <v>40.1</v>
      </c>
      <c r="O44" s="12"/>
      <c r="P44" s="12">
        <v>69.25</v>
      </c>
      <c r="Q44" s="222">
        <v>440.25</v>
      </c>
      <c r="R44" s="12">
        <v>200</v>
      </c>
      <c r="S44" s="12">
        <v>150</v>
      </c>
      <c r="T44" s="222">
        <v>583.1</v>
      </c>
      <c r="U44" s="12">
        <v>500</v>
      </c>
      <c r="V44" s="12">
        <v>500</v>
      </c>
      <c r="W44" s="693">
        <v>643</v>
      </c>
      <c r="X44" s="612">
        <f t="shared" si="2"/>
        <v>128.6</v>
      </c>
    </row>
    <row r="45" spans="1:24" ht="15.75" thickBot="1">
      <c r="A45" s="187" t="s">
        <v>61</v>
      </c>
      <c r="B45" s="708" t="s">
        <v>64</v>
      </c>
      <c r="C45" s="743"/>
      <c r="D45" s="188">
        <v>29310</v>
      </c>
      <c r="E45" s="188">
        <v>30173</v>
      </c>
      <c r="F45" s="188">
        <v>33061</v>
      </c>
      <c r="G45" s="188">
        <v>31215</v>
      </c>
      <c r="H45" s="14">
        <f aca="true" t="shared" si="14" ref="H45:M45">SUM(H46:H48)</f>
        <v>30188</v>
      </c>
      <c r="I45" s="14">
        <f t="shared" si="14"/>
        <v>30251</v>
      </c>
      <c r="J45" s="14">
        <f t="shared" si="14"/>
        <v>29902</v>
      </c>
      <c r="K45" s="14">
        <f t="shared" si="14"/>
        <v>27922</v>
      </c>
      <c r="L45" s="14">
        <f t="shared" si="14"/>
        <v>26736.059999999998</v>
      </c>
      <c r="M45" s="224">
        <f t="shared" si="14"/>
        <v>31580.040000000005</v>
      </c>
      <c r="N45" s="433">
        <f>SUM(N46:N48)</f>
        <v>36470.850000000006</v>
      </c>
      <c r="O45" s="528">
        <f aca="true" t="shared" si="15" ref="O45:V45">SUM(O46:O51)</f>
        <v>54203.55</v>
      </c>
      <c r="P45" s="528">
        <f t="shared" si="15"/>
        <v>87006.54</v>
      </c>
      <c r="Q45" s="528">
        <f t="shared" si="15"/>
        <v>79163.91</v>
      </c>
      <c r="R45" s="433">
        <f t="shared" si="15"/>
        <v>98937</v>
      </c>
      <c r="S45" s="433">
        <f t="shared" si="15"/>
        <v>104096.26</v>
      </c>
      <c r="T45" s="566">
        <v>48272.28</v>
      </c>
      <c r="U45" s="426">
        <f t="shared" si="15"/>
        <v>43341</v>
      </c>
      <c r="V45" s="426">
        <f t="shared" si="15"/>
        <v>58974</v>
      </c>
      <c r="W45" s="691">
        <f>SUM(W46:W48)</f>
        <v>58972.62</v>
      </c>
      <c r="X45" s="611">
        <f t="shared" si="2"/>
        <v>99.99765998575644</v>
      </c>
    </row>
    <row r="46" spans="1:24" ht="12.75">
      <c r="A46" s="714"/>
      <c r="B46" s="177">
        <v>610</v>
      </c>
      <c r="C46" s="36" t="s">
        <v>232</v>
      </c>
      <c r="D46" s="141"/>
      <c r="E46" s="141">
        <v>17128</v>
      </c>
      <c r="F46" s="141">
        <v>19186</v>
      </c>
      <c r="G46" s="141">
        <v>18647</v>
      </c>
      <c r="H46" s="141">
        <v>19330</v>
      </c>
      <c r="I46" s="36">
        <v>19430</v>
      </c>
      <c r="J46" s="37">
        <v>19249</v>
      </c>
      <c r="K46" s="37">
        <v>18860</v>
      </c>
      <c r="L46" s="134">
        <v>17749.95</v>
      </c>
      <c r="M46" s="134">
        <v>21482.58</v>
      </c>
      <c r="N46" s="84">
        <v>23137.49</v>
      </c>
      <c r="O46" s="178">
        <v>24187.48</v>
      </c>
      <c r="P46" s="178">
        <v>31091.66</v>
      </c>
      <c r="Q46" s="178">
        <v>33641.45</v>
      </c>
      <c r="R46" s="84">
        <v>35574</v>
      </c>
      <c r="S46" s="84">
        <v>23174.11</v>
      </c>
      <c r="T46" s="178">
        <v>32790.61</v>
      </c>
      <c r="U46" s="84">
        <v>29086</v>
      </c>
      <c r="V46" s="84">
        <v>40183</v>
      </c>
      <c r="W46" s="694">
        <v>40183.69</v>
      </c>
      <c r="X46" s="649">
        <f t="shared" si="2"/>
        <v>100.00171714406589</v>
      </c>
    </row>
    <row r="47" spans="1:24" ht="12.75">
      <c r="A47" s="715"/>
      <c r="B47" s="179">
        <v>620</v>
      </c>
      <c r="C47" s="38" t="s">
        <v>233</v>
      </c>
      <c r="D47" s="216"/>
      <c r="E47" s="216">
        <v>6174</v>
      </c>
      <c r="F47" s="216">
        <v>6440</v>
      </c>
      <c r="G47" s="216">
        <v>6250</v>
      </c>
      <c r="H47" s="216">
        <v>6780</v>
      </c>
      <c r="I47" s="38">
        <v>6793</v>
      </c>
      <c r="J47" s="39">
        <v>6741</v>
      </c>
      <c r="K47" s="39">
        <v>6528</v>
      </c>
      <c r="L47" s="101">
        <v>6227.83</v>
      </c>
      <c r="M47" s="101">
        <v>7544.26</v>
      </c>
      <c r="N47" s="24">
        <v>8118.17</v>
      </c>
      <c r="O47" s="180">
        <v>8499.7</v>
      </c>
      <c r="P47" s="180">
        <v>10918.71</v>
      </c>
      <c r="Q47" s="180">
        <v>11858.77</v>
      </c>
      <c r="R47" s="24">
        <v>12613</v>
      </c>
      <c r="S47" s="24">
        <v>7938.05</v>
      </c>
      <c r="T47" s="180">
        <v>11644.26</v>
      </c>
      <c r="U47" s="24">
        <v>10455</v>
      </c>
      <c r="V47" s="24">
        <v>14205</v>
      </c>
      <c r="W47" s="690">
        <v>14202.99</v>
      </c>
      <c r="X47" s="646">
        <f t="shared" si="2"/>
        <v>99.98585005279831</v>
      </c>
    </row>
    <row r="48" spans="1:24" ht="12.75">
      <c r="A48" s="715"/>
      <c r="B48" s="179">
        <v>630</v>
      </c>
      <c r="C48" s="38" t="s">
        <v>234</v>
      </c>
      <c r="D48" s="216"/>
      <c r="E48" s="216">
        <v>6871</v>
      </c>
      <c r="F48" s="216">
        <v>7435</v>
      </c>
      <c r="G48" s="216">
        <v>6318</v>
      </c>
      <c r="H48" s="216">
        <v>4078</v>
      </c>
      <c r="I48" s="38">
        <v>4028</v>
      </c>
      <c r="J48" s="39">
        <v>3912</v>
      </c>
      <c r="K48" s="39">
        <f>27588-25054</f>
        <v>2534</v>
      </c>
      <c r="L48" s="101">
        <v>2758.28</v>
      </c>
      <c r="M48" s="101">
        <v>2553.2</v>
      </c>
      <c r="N48" s="24">
        <v>5215.19</v>
      </c>
      <c r="O48" s="180">
        <v>7214.150000000001</v>
      </c>
      <c r="P48" s="180">
        <v>3273.6100000000006</v>
      </c>
      <c r="Q48" s="180">
        <v>2843.350000000004</v>
      </c>
      <c r="R48" s="24">
        <v>2800</v>
      </c>
      <c r="S48" s="24">
        <v>1161.9700000000012</v>
      </c>
      <c r="T48" s="180">
        <v>3837.41</v>
      </c>
      <c r="U48" s="24">
        <v>3800</v>
      </c>
      <c r="V48" s="24">
        <v>4586</v>
      </c>
      <c r="W48" s="690">
        <v>4585.94</v>
      </c>
      <c r="X48" s="646">
        <f t="shared" si="2"/>
        <v>99.99869167030091</v>
      </c>
    </row>
    <row r="49" spans="1:24" ht="12.75">
      <c r="A49" s="715"/>
      <c r="B49" s="562">
        <v>630</v>
      </c>
      <c r="C49" s="42" t="s">
        <v>351</v>
      </c>
      <c r="D49" s="563"/>
      <c r="E49" s="563"/>
      <c r="F49" s="563"/>
      <c r="G49" s="563"/>
      <c r="H49" s="563"/>
      <c r="I49" s="42"/>
      <c r="J49" s="66"/>
      <c r="K49" s="66"/>
      <c r="L49" s="229"/>
      <c r="M49" s="229"/>
      <c r="N49" s="27"/>
      <c r="O49" s="198"/>
      <c r="P49" s="198"/>
      <c r="Q49" s="198">
        <v>8549.6</v>
      </c>
      <c r="R49" s="27">
        <v>22100</v>
      </c>
      <c r="S49" s="27">
        <v>33668.23</v>
      </c>
      <c r="T49" s="198"/>
      <c r="U49" s="27"/>
      <c r="V49" s="27">
        <v>0</v>
      </c>
      <c r="W49" s="504"/>
      <c r="X49" s="630">
        <f t="shared" si="2"/>
        <v>0</v>
      </c>
    </row>
    <row r="50" spans="1:24" ht="12.75">
      <c r="A50" s="715"/>
      <c r="B50" s="562">
        <v>630</v>
      </c>
      <c r="C50" s="42" t="s">
        <v>344</v>
      </c>
      <c r="D50" s="563"/>
      <c r="E50" s="563"/>
      <c r="F50" s="563"/>
      <c r="G50" s="563"/>
      <c r="H50" s="563"/>
      <c r="I50" s="42"/>
      <c r="J50" s="66"/>
      <c r="K50" s="66"/>
      <c r="L50" s="229"/>
      <c r="M50" s="229"/>
      <c r="N50" s="27"/>
      <c r="O50" s="198"/>
      <c r="P50" s="198"/>
      <c r="Q50" s="198">
        <v>22270.739999999998</v>
      </c>
      <c r="R50" s="27">
        <v>25850</v>
      </c>
      <c r="S50" s="27">
        <v>28535.95</v>
      </c>
      <c r="T50" s="198"/>
      <c r="U50" s="27"/>
      <c r="V50" s="27">
        <v>0</v>
      </c>
      <c r="W50" s="504"/>
      <c r="X50" s="630">
        <f t="shared" si="2"/>
        <v>0</v>
      </c>
    </row>
    <row r="51" spans="1:24" ht="13.5" thickBot="1">
      <c r="A51" s="716"/>
      <c r="B51" s="301">
        <v>630</v>
      </c>
      <c r="C51" s="41" t="s">
        <v>165</v>
      </c>
      <c r="D51" s="136"/>
      <c r="E51" s="136"/>
      <c r="F51" s="136"/>
      <c r="G51" s="136"/>
      <c r="H51" s="136"/>
      <c r="I51" s="41"/>
      <c r="J51" s="54"/>
      <c r="K51" s="54"/>
      <c r="L51" s="277"/>
      <c r="M51" s="277"/>
      <c r="N51" s="43"/>
      <c r="O51" s="230">
        <v>14302.22</v>
      </c>
      <c r="P51" s="230">
        <v>41722.56</v>
      </c>
      <c r="Q51" s="230"/>
      <c r="R51" s="43"/>
      <c r="S51" s="43">
        <v>9617.95</v>
      </c>
      <c r="T51" s="230"/>
      <c r="U51" s="43"/>
      <c r="V51" s="43"/>
      <c r="W51" s="695"/>
      <c r="X51" s="650">
        <f t="shared" si="2"/>
        <v>0</v>
      </c>
    </row>
    <row r="52" spans="1:24" ht="15.75" thickBot="1">
      <c r="A52" s="187" t="s">
        <v>205</v>
      </c>
      <c r="B52" s="708" t="s">
        <v>207</v>
      </c>
      <c r="C52" s="743"/>
      <c r="D52" s="209">
        <v>13278</v>
      </c>
      <c r="E52" s="209">
        <v>366029</v>
      </c>
      <c r="F52" s="209">
        <v>277733</v>
      </c>
      <c r="G52" s="209">
        <v>398013</v>
      </c>
      <c r="H52" s="209">
        <v>368170</v>
      </c>
      <c r="I52" s="60">
        <f aca="true" t="shared" si="16" ref="I52:V52">SUM(I53:I57)</f>
        <v>294633</v>
      </c>
      <c r="J52" s="60">
        <f t="shared" si="16"/>
        <v>216960</v>
      </c>
      <c r="K52" s="60">
        <f t="shared" si="16"/>
        <v>236599</v>
      </c>
      <c r="L52" s="189">
        <f t="shared" si="16"/>
        <v>216987.18</v>
      </c>
      <c r="M52" s="189">
        <f t="shared" si="16"/>
        <v>226497.02000000002</v>
      </c>
      <c r="N52" s="431">
        <f aca="true" t="shared" si="17" ref="N52:S52">SUM(N53:N57)</f>
        <v>249510.29</v>
      </c>
      <c r="O52" s="527">
        <f t="shared" si="17"/>
        <v>263692.45</v>
      </c>
      <c r="P52" s="527">
        <f t="shared" si="17"/>
        <v>362393.4</v>
      </c>
      <c r="Q52" s="527">
        <f t="shared" si="17"/>
        <v>432250.81000000006</v>
      </c>
      <c r="R52" s="431">
        <f t="shared" si="17"/>
        <v>444157</v>
      </c>
      <c r="S52" s="431">
        <f t="shared" si="17"/>
        <v>591802.98</v>
      </c>
      <c r="T52" s="477">
        <v>455466.76999999996</v>
      </c>
      <c r="U52" s="94">
        <f t="shared" si="16"/>
        <v>490355</v>
      </c>
      <c r="V52" s="94">
        <f t="shared" si="16"/>
        <v>633005</v>
      </c>
      <c r="W52" s="691">
        <f>SUM(W53:W57)</f>
        <v>500221.37</v>
      </c>
      <c r="X52" s="611">
        <f t="shared" si="2"/>
        <v>79.0232889155694</v>
      </c>
    </row>
    <row r="53" spans="1:24" ht="12.75">
      <c r="A53" s="752"/>
      <c r="B53" s="234">
        <v>640</v>
      </c>
      <c r="C53" s="231" t="s">
        <v>257</v>
      </c>
      <c r="D53" s="232"/>
      <c r="E53" s="232"/>
      <c r="F53" s="232"/>
      <c r="G53" s="232"/>
      <c r="H53" s="232">
        <v>307476</v>
      </c>
      <c r="I53" s="233">
        <v>234550</v>
      </c>
      <c r="J53" s="37">
        <v>150070</v>
      </c>
      <c r="K53" s="37">
        <v>167336</v>
      </c>
      <c r="L53" s="178">
        <v>148104</v>
      </c>
      <c r="M53" s="192">
        <v>157211</v>
      </c>
      <c r="N53" s="126">
        <v>183945</v>
      </c>
      <c r="O53" s="192">
        <v>167281</v>
      </c>
      <c r="P53" s="192">
        <v>263000</v>
      </c>
      <c r="Q53" s="192">
        <v>334227.87</v>
      </c>
      <c r="R53" s="126">
        <f>346757</f>
        <v>346757</v>
      </c>
      <c r="S53" s="126">
        <v>506164.22</v>
      </c>
      <c r="T53" s="192">
        <v>328020.68</v>
      </c>
      <c r="U53" s="126">
        <v>355355</v>
      </c>
      <c r="V53" s="126">
        <v>355355</v>
      </c>
      <c r="W53" s="634">
        <v>353122.01</v>
      </c>
      <c r="X53" s="629">
        <f t="shared" si="2"/>
        <v>99.3716171152791</v>
      </c>
    </row>
    <row r="54" spans="1:24" ht="12.75">
      <c r="A54" s="753"/>
      <c r="B54" s="234">
        <v>640</v>
      </c>
      <c r="C54" s="235" t="s">
        <v>397</v>
      </c>
      <c r="D54" s="236"/>
      <c r="E54" s="236"/>
      <c r="F54" s="236"/>
      <c r="G54" s="236"/>
      <c r="H54" s="236"/>
      <c r="I54" s="237"/>
      <c r="J54" s="51"/>
      <c r="K54" s="51"/>
      <c r="L54" s="105"/>
      <c r="M54" s="115"/>
      <c r="N54" s="20"/>
      <c r="O54" s="115">
        <v>28183</v>
      </c>
      <c r="P54" s="115"/>
      <c r="Q54" s="115"/>
      <c r="R54" s="20"/>
      <c r="S54" s="20"/>
      <c r="T54" s="115"/>
      <c r="U54" s="20">
        <v>0</v>
      </c>
      <c r="V54" s="20">
        <v>142650</v>
      </c>
      <c r="W54" s="634"/>
      <c r="X54" s="629">
        <f t="shared" si="2"/>
        <v>0</v>
      </c>
    </row>
    <row r="55" spans="1:24" ht="12.75" hidden="1">
      <c r="A55" s="753"/>
      <c r="B55" s="234">
        <v>630</v>
      </c>
      <c r="C55" s="235" t="s">
        <v>206</v>
      </c>
      <c r="D55" s="236"/>
      <c r="E55" s="236"/>
      <c r="F55" s="236"/>
      <c r="G55" s="236"/>
      <c r="H55" s="236">
        <v>9596</v>
      </c>
      <c r="I55" s="237">
        <v>3094</v>
      </c>
      <c r="J55" s="39">
        <v>2060</v>
      </c>
      <c r="K55" s="39">
        <v>1011</v>
      </c>
      <c r="L55" s="105">
        <v>1770</v>
      </c>
      <c r="M55" s="115">
        <v>1790</v>
      </c>
      <c r="N55" s="20">
        <v>1340</v>
      </c>
      <c r="O55" s="115">
        <v>3846.12</v>
      </c>
      <c r="P55" s="115">
        <v>1800</v>
      </c>
      <c r="Q55" s="115">
        <v>1980</v>
      </c>
      <c r="R55" s="20">
        <f>3100+2400</f>
        <v>5500</v>
      </c>
      <c r="S55" s="20"/>
      <c r="T55" s="115"/>
      <c r="U55" s="20">
        <v>0</v>
      </c>
      <c r="V55" s="20">
        <v>0</v>
      </c>
      <c r="W55" s="690"/>
      <c r="X55" s="646">
        <f t="shared" si="2"/>
        <v>0</v>
      </c>
    </row>
    <row r="56" spans="1:24" ht="12.75">
      <c r="A56" s="753"/>
      <c r="B56" s="234">
        <v>630</v>
      </c>
      <c r="C56" s="235" t="s">
        <v>328</v>
      </c>
      <c r="D56" s="236"/>
      <c r="E56" s="236"/>
      <c r="F56" s="236"/>
      <c r="G56" s="236"/>
      <c r="H56" s="236"/>
      <c r="I56" s="237"/>
      <c r="J56" s="39"/>
      <c r="K56" s="39"/>
      <c r="L56" s="105"/>
      <c r="M56" s="115"/>
      <c r="N56" s="20">
        <v>0</v>
      </c>
      <c r="O56" s="115"/>
      <c r="P56" s="115">
        <v>27926.51</v>
      </c>
      <c r="Q56" s="115">
        <v>25015.09</v>
      </c>
      <c r="R56" s="20">
        <v>26900</v>
      </c>
      <c r="S56" s="20">
        <v>16532.2</v>
      </c>
      <c r="T56" s="115">
        <v>26556.11</v>
      </c>
      <c r="U56" s="20">
        <v>30000</v>
      </c>
      <c r="V56" s="20">
        <v>30000</v>
      </c>
      <c r="W56" s="690">
        <v>27246.11</v>
      </c>
      <c r="X56" s="646">
        <f t="shared" si="2"/>
        <v>90.82036666666666</v>
      </c>
    </row>
    <row r="57" spans="1:24" ht="13.5" thickBot="1">
      <c r="A57" s="754"/>
      <c r="B57" s="207">
        <v>640</v>
      </c>
      <c r="C57" s="238" t="s">
        <v>258</v>
      </c>
      <c r="D57" s="239"/>
      <c r="E57" s="239"/>
      <c r="F57" s="239"/>
      <c r="G57" s="239"/>
      <c r="H57" s="239">
        <v>49953</v>
      </c>
      <c r="I57" s="240">
        <v>56989</v>
      </c>
      <c r="J57" s="54">
        <v>64830</v>
      </c>
      <c r="K57" s="54">
        <v>68252</v>
      </c>
      <c r="L57" s="186">
        <v>67113.18</v>
      </c>
      <c r="M57" s="241">
        <v>67496.02</v>
      </c>
      <c r="N57" s="75">
        <v>64225.29</v>
      </c>
      <c r="O57" s="241">
        <v>64382.33</v>
      </c>
      <c r="P57" s="241">
        <v>69666.89</v>
      </c>
      <c r="Q57" s="241">
        <v>71027.85</v>
      </c>
      <c r="R57" s="75">
        <v>65000</v>
      </c>
      <c r="S57" s="75">
        <v>69106.56</v>
      </c>
      <c r="T57" s="241">
        <v>100889.98</v>
      </c>
      <c r="U57" s="100">
        <v>105000</v>
      </c>
      <c r="V57" s="100">
        <v>105000</v>
      </c>
      <c r="W57" s="504">
        <v>119853.25</v>
      </c>
      <c r="X57" s="630">
        <f t="shared" si="2"/>
        <v>114.14595238095238</v>
      </c>
    </row>
    <row r="58" spans="1:24" ht="15.75" thickBot="1">
      <c r="A58" s="242" t="s">
        <v>71</v>
      </c>
      <c r="B58" s="762" t="s">
        <v>72</v>
      </c>
      <c r="C58" s="730"/>
      <c r="D58" s="244">
        <v>33426</v>
      </c>
      <c r="E58" s="244">
        <v>39800</v>
      </c>
      <c r="F58" s="244">
        <v>42953</v>
      </c>
      <c r="G58" s="244">
        <v>66506</v>
      </c>
      <c r="H58" s="244">
        <v>76065</v>
      </c>
      <c r="I58" s="70">
        <f>SUM(I63:I70)+I59</f>
        <v>59613</v>
      </c>
      <c r="J58" s="70">
        <f>SUM(J63:J70)+J59</f>
        <v>58168</v>
      </c>
      <c r="K58" s="70">
        <f>SUM(K63:K70)+K59</f>
        <v>57293</v>
      </c>
      <c r="L58" s="70">
        <f aca="true" t="shared" si="18" ref="L58:W58">SUM(L63:L71)+L59</f>
        <v>53359.31</v>
      </c>
      <c r="M58" s="71">
        <f t="shared" si="18"/>
        <v>49261.270000000004</v>
      </c>
      <c r="N58" s="434">
        <f t="shared" si="18"/>
        <v>69492.78</v>
      </c>
      <c r="O58" s="529">
        <f t="shared" si="18"/>
        <v>86003.89000000001</v>
      </c>
      <c r="P58" s="529">
        <f t="shared" si="18"/>
        <v>106730.37000000001</v>
      </c>
      <c r="Q58" s="529">
        <f t="shared" si="18"/>
        <v>101186.41</v>
      </c>
      <c r="R58" s="434">
        <f>SUM(R63:R71)+R59</f>
        <v>95878</v>
      </c>
      <c r="S58" s="434">
        <f>SUM(S63:S71)+S59</f>
        <v>121874.13</v>
      </c>
      <c r="T58" s="544">
        <v>127099.95999999999</v>
      </c>
      <c r="U58" s="94">
        <f t="shared" si="18"/>
        <v>152534</v>
      </c>
      <c r="V58" s="94">
        <f t="shared" si="18"/>
        <v>139762</v>
      </c>
      <c r="W58" s="189">
        <f t="shared" si="18"/>
        <v>141511.22</v>
      </c>
      <c r="X58" s="611">
        <f t="shared" si="2"/>
        <v>101.25157052703881</v>
      </c>
    </row>
    <row r="59" spans="1:24" ht="13.5" thickBot="1">
      <c r="A59" s="755"/>
      <c r="B59" s="780" t="s">
        <v>259</v>
      </c>
      <c r="C59" s="781"/>
      <c r="D59" s="245">
        <v>0</v>
      </c>
      <c r="E59" s="245">
        <v>13477</v>
      </c>
      <c r="F59" s="245">
        <v>15800</v>
      </c>
      <c r="G59" s="245">
        <v>26596</v>
      </c>
      <c r="H59" s="245">
        <v>25323</v>
      </c>
      <c r="I59" s="10">
        <f aca="true" t="shared" si="19" ref="I59:S59">SUM(I60:I62)</f>
        <v>25388</v>
      </c>
      <c r="J59" s="10">
        <f t="shared" si="19"/>
        <v>23577</v>
      </c>
      <c r="K59" s="10">
        <f t="shared" si="19"/>
        <v>25508</v>
      </c>
      <c r="L59" s="10">
        <f t="shared" si="19"/>
        <v>26966.809999999998</v>
      </c>
      <c r="M59" s="476">
        <f t="shared" si="19"/>
        <v>26493.65</v>
      </c>
      <c r="N59" s="432">
        <f t="shared" si="19"/>
        <v>11116.460000000001</v>
      </c>
      <c r="O59" s="530">
        <f t="shared" si="19"/>
        <v>18582.04</v>
      </c>
      <c r="P59" s="530">
        <f t="shared" si="19"/>
        <v>14813.99</v>
      </c>
      <c r="Q59" s="530">
        <f t="shared" si="19"/>
        <v>26680.239999999994</v>
      </c>
      <c r="R59" s="432">
        <f t="shared" si="19"/>
        <v>28425</v>
      </c>
      <c r="S59" s="432">
        <f t="shared" si="19"/>
        <v>27824.831324799998</v>
      </c>
      <c r="T59" s="222">
        <v>24251.070000000003</v>
      </c>
      <c r="U59" s="12">
        <f>SUM(U60:U62)</f>
        <v>34081</v>
      </c>
      <c r="V59" s="12">
        <f>SUM(V60:V62)</f>
        <v>21581</v>
      </c>
      <c r="W59" s="693">
        <f>SUM(W60:W62)</f>
        <v>19728.82</v>
      </c>
      <c r="X59" s="612">
        <f t="shared" si="2"/>
        <v>91.41754320930447</v>
      </c>
    </row>
    <row r="60" spans="1:24" ht="12.75">
      <c r="A60" s="756"/>
      <c r="B60" s="246">
        <v>610</v>
      </c>
      <c r="C60" s="19" t="s">
        <v>232</v>
      </c>
      <c r="D60" s="79"/>
      <c r="E60" s="79"/>
      <c r="F60" s="79"/>
      <c r="G60" s="79"/>
      <c r="H60" s="79">
        <v>16865</v>
      </c>
      <c r="I60" s="19">
        <v>17260</v>
      </c>
      <c r="J60" s="37">
        <v>15432</v>
      </c>
      <c r="K60" s="37">
        <v>15427</v>
      </c>
      <c r="L60" s="21">
        <v>14767.98</v>
      </c>
      <c r="M60" s="115">
        <v>15800.44</v>
      </c>
      <c r="N60" s="20">
        <v>9158.78</v>
      </c>
      <c r="O60" s="115">
        <v>10007.84</v>
      </c>
      <c r="P60" s="115">
        <v>10778.65</v>
      </c>
      <c r="Q60" s="115">
        <v>13605.65</v>
      </c>
      <c r="R60" s="20">
        <v>15292</v>
      </c>
      <c r="S60" s="20">
        <v>13380.38</v>
      </c>
      <c r="T60" s="115">
        <v>12986.24</v>
      </c>
      <c r="U60" s="20">
        <v>19420</v>
      </c>
      <c r="V60" s="21">
        <v>11420</v>
      </c>
      <c r="W60" s="634">
        <v>10570.39</v>
      </c>
      <c r="X60" s="629">
        <f t="shared" si="2"/>
        <v>92.56033274956216</v>
      </c>
    </row>
    <row r="61" spans="1:24" ht="12.75">
      <c r="A61" s="756"/>
      <c r="B61" s="246">
        <v>620</v>
      </c>
      <c r="C61" s="19" t="s">
        <v>233</v>
      </c>
      <c r="D61" s="79"/>
      <c r="E61" s="79"/>
      <c r="F61" s="79"/>
      <c r="G61" s="79"/>
      <c r="H61" s="79">
        <v>6017</v>
      </c>
      <c r="I61" s="19">
        <v>6225</v>
      </c>
      <c r="J61" s="39">
        <v>5547</v>
      </c>
      <c r="K61" s="39">
        <v>5746</v>
      </c>
      <c r="L61" s="21">
        <v>5836.68</v>
      </c>
      <c r="M61" s="115">
        <v>5402.44</v>
      </c>
      <c r="N61" s="20">
        <v>1957.68</v>
      </c>
      <c r="O61" s="115">
        <v>3763.52</v>
      </c>
      <c r="P61" s="115">
        <v>4035.34</v>
      </c>
      <c r="Q61" s="115">
        <v>5883.76</v>
      </c>
      <c r="R61" s="20">
        <v>5633</v>
      </c>
      <c r="S61" s="20">
        <v>6884.72</v>
      </c>
      <c r="T61" s="115">
        <v>7355.7</v>
      </c>
      <c r="U61" s="20">
        <v>7161</v>
      </c>
      <c r="V61" s="21">
        <v>4161</v>
      </c>
      <c r="W61" s="690">
        <v>3358.43</v>
      </c>
      <c r="X61" s="646">
        <f t="shared" si="2"/>
        <v>80.71208844027878</v>
      </c>
    </row>
    <row r="62" spans="1:24" ht="13.5" thickBot="1">
      <c r="A62" s="756"/>
      <c r="B62" s="247">
        <v>630</v>
      </c>
      <c r="C62" s="73" t="s">
        <v>234</v>
      </c>
      <c r="D62" s="248"/>
      <c r="E62" s="248"/>
      <c r="F62" s="248"/>
      <c r="G62" s="248"/>
      <c r="H62" s="248">
        <v>2441</v>
      </c>
      <c r="I62" s="73">
        <v>1903</v>
      </c>
      <c r="J62" s="54">
        <v>2598</v>
      </c>
      <c r="K62" s="54">
        <v>4335</v>
      </c>
      <c r="L62" s="69">
        <v>6362.15</v>
      </c>
      <c r="M62" s="241">
        <v>5290.77</v>
      </c>
      <c r="N62" s="75"/>
      <c r="O62" s="241">
        <v>4810.68</v>
      </c>
      <c r="P62" s="241"/>
      <c r="Q62" s="241">
        <v>7190.8299999999945</v>
      </c>
      <c r="R62" s="75">
        <v>7500</v>
      </c>
      <c r="S62" s="75">
        <v>7559.731324799999</v>
      </c>
      <c r="T62" s="241">
        <v>3909.1300000000047</v>
      </c>
      <c r="U62" s="75">
        <v>7500</v>
      </c>
      <c r="V62" s="43">
        <v>6000</v>
      </c>
      <c r="W62" s="696">
        <v>5800</v>
      </c>
      <c r="X62" s="651">
        <f t="shared" si="2"/>
        <v>96.66666666666667</v>
      </c>
    </row>
    <row r="63" spans="1:24" ht="12.75">
      <c r="A63" s="756"/>
      <c r="B63" s="246">
        <v>600</v>
      </c>
      <c r="C63" s="19" t="s">
        <v>260</v>
      </c>
      <c r="D63" s="79"/>
      <c r="E63" s="79"/>
      <c r="F63" s="79"/>
      <c r="G63" s="79"/>
      <c r="H63" s="79"/>
      <c r="I63" s="19">
        <v>9190</v>
      </c>
      <c r="J63" s="79">
        <v>6912</v>
      </c>
      <c r="K63" s="79">
        <v>9446</v>
      </c>
      <c r="L63" s="79">
        <v>4778.18</v>
      </c>
      <c r="M63" s="359">
        <v>8683.39</v>
      </c>
      <c r="N63" s="20">
        <v>34595.32</v>
      </c>
      <c r="O63" s="115">
        <v>40079.16</v>
      </c>
      <c r="P63" s="115">
        <v>63662.49</v>
      </c>
      <c r="Q63" s="115">
        <v>16897.65</v>
      </c>
      <c r="R63" s="20">
        <v>16500</v>
      </c>
      <c r="S63" s="20">
        <v>18403.2986752</v>
      </c>
      <c r="T63" s="115">
        <v>28872.63</v>
      </c>
      <c r="U63" s="20">
        <v>34500</v>
      </c>
      <c r="V63" s="21">
        <v>34500</v>
      </c>
      <c r="W63" s="634">
        <v>30429.99</v>
      </c>
      <c r="X63" s="629">
        <f t="shared" si="2"/>
        <v>88.2028695652174</v>
      </c>
    </row>
    <row r="64" spans="1:24" ht="12.75">
      <c r="A64" s="756"/>
      <c r="B64" s="246">
        <v>600</v>
      </c>
      <c r="C64" s="19" t="s">
        <v>356</v>
      </c>
      <c r="D64" s="79"/>
      <c r="E64" s="79"/>
      <c r="F64" s="79"/>
      <c r="G64" s="79"/>
      <c r="H64" s="79"/>
      <c r="I64" s="19">
        <v>2000</v>
      </c>
      <c r="J64" s="79"/>
      <c r="K64" s="79"/>
      <c r="L64" s="79"/>
      <c r="M64" s="461"/>
      <c r="N64" s="20">
        <v>0</v>
      </c>
      <c r="O64" s="115"/>
      <c r="P64" s="115"/>
      <c r="Q64" s="115">
        <v>21615.870000000003</v>
      </c>
      <c r="R64" s="20">
        <v>0</v>
      </c>
      <c r="S64" s="20"/>
      <c r="T64" s="115">
        <v>28498.269999999997</v>
      </c>
      <c r="U64" s="20">
        <v>34000</v>
      </c>
      <c r="V64" s="24">
        <v>14000</v>
      </c>
      <c r="W64" s="690">
        <v>24928.15</v>
      </c>
      <c r="X64" s="646">
        <f t="shared" si="2"/>
        <v>178.05821428571429</v>
      </c>
    </row>
    <row r="65" spans="1:24" ht="12.75">
      <c r="A65" s="756"/>
      <c r="B65" s="246">
        <v>600</v>
      </c>
      <c r="C65" s="22" t="s">
        <v>261</v>
      </c>
      <c r="D65" s="81"/>
      <c r="E65" s="81"/>
      <c r="F65" s="81"/>
      <c r="G65" s="81"/>
      <c r="H65" s="81"/>
      <c r="I65" s="22">
        <v>10000</v>
      </c>
      <c r="J65" s="81">
        <v>1500</v>
      </c>
      <c r="K65" s="81">
        <v>370</v>
      </c>
      <c r="L65" s="81">
        <v>592.2</v>
      </c>
      <c r="M65" s="474">
        <v>1220</v>
      </c>
      <c r="N65" s="23">
        <v>0</v>
      </c>
      <c r="O65" s="118"/>
      <c r="P65" s="118"/>
      <c r="Q65" s="118">
        <v>4000</v>
      </c>
      <c r="R65" s="23">
        <v>4000</v>
      </c>
      <c r="S65" s="23"/>
      <c r="T65" s="118"/>
      <c r="U65" s="23">
        <v>5000</v>
      </c>
      <c r="V65" s="24">
        <v>10430</v>
      </c>
      <c r="W65" s="690">
        <f>7321.2+2825.63</f>
        <v>10146.83</v>
      </c>
      <c r="X65" s="646">
        <f t="shared" si="2"/>
        <v>97.28504314477469</v>
      </c>
    </row>
    <row r="66" spans="1:24" ht="12.75">
      <c r="A66" s="756"/>
      <c r="B66" s="246">
        <v>600</v>
      </c>
      <c r="C66" s="22" t="s">
        <v>74</v>
      </c>
      <c r="D66" s="81"/>
      <c r="E66" s="81"/>
      <c r="F66" s="81"/>
      <c r="G66" s="81"/>
      <c r="H66" s="81"/>
      <c r="I66" s="22">
        <v>1871</v>
      </c>
      <c r="J66" s="81">
        <v>2416</v>
      </c>
      <c r="K66" s="81">
        <v>4274</v>
      </c>
      <c r="L66" s="81">
        <v>2000</v>
      </c>
      <c r="M66" s="474">
        <v>3500</v>
      </c>
      <c r="N66" s="23"/>
      <c r="O66" s="118">
        <v>3571.7</v>
      </c>
      <c r="P66" s="118"/>
      <c r="Q66" s="118">
        <v>3594</v>
      </c>
      <c r="R66" s="23">
        <v>6000</v>
      </c>
      <c r="S66" s="23">
        <v>4165.32</v>
      </c>
      <c r="T66" s="118">
        <v>4911.3</v>
      </c>
      <c r="U66" s="23">
        <v>15000</v>
      </c>
      <c r="V66" s="24">
        <v>18000</v>
      </c>
      <c r="W66" s="690">
        <v>15452.01</v>
      </c>
      <c r="X66" s="646">
        <f t="shared" si="2"/>
        <v>85.8445</v>
      </c>
    </row>
    <row r="67" spans="1:24" ht="12.75">
      <c r="A67" s="756"/>
      <c r="B67" s="246">
        <v>600</v>
      </c>
      <c r="C67" s="22" t="s">
        <v>262</v>
      </c>
      <c r="D67" s="81"/>
      <c r="E67" s="81"/>
      <c r="F67" s="81"/>
      <c r="G67" s="81"/>
      <c r="H67" s="81"/>
      <c r="I67" s="22">
        <v>3240</v>
      </c>
      <c r="J67" s="81">
        <v>832</v>
      </c>
      <c r="K67" s="81">
        <v>1493</v>
      </c>
      <c r="L67" s="81">
        <v>1232</v>
      </c>
      <c r="M67" s="474">
        <v>1000</v>
      </c>
      <c r="N67" s="23"/>
      <c r="O67" s="118"/>
      <c r="P67" s="118"/>
      <c r="Q67" s="118"/>
      <c r="R67" s="23">
        <v>1000</v>
      </c>
      <c r="S67" s="23"/>
      <c r="T67" s="118"/>
      <c r="U67" s="23">
        <v>1000</v>
      </c>
      <c r="V67" s="24">
        <v>1000</v>
      </c>
      <c r="W67" s="690"/>
      <c r="X67" s="646">
        <f t="shared" si="2"/>
        <v>0</v>
      </c>
    </row>
    <row r="68" spans="1:24" ht="13.5" thickBot="1">
      <c r="A68" s="756"/>
      <c r="B68" s="246">
        <v>600</v>
      </c>
      <c r="C68" s="22" t="s">
        <v>208</v>
      </c>
      <c r="D68" s="81"/>
      <c r="E68" s="81"/>
      <c r="F68" s="81"/>
      <c r="G68" s="81"/>
      <c r="H68" s="81"/>
      <c r="I68" s="22">
        <v>7924</v>
      </c>
      <c r="J68" s="81">
        <v>11969</v>
      </c>
      <c r="K68" s="81">
        <v>11202</v>
      </c>
      <c r="L68" s="81">
        <v>15790.12</v>
      </c>
      <c r="M68" s="474">
        <v>6364.23</v>
      </c>
      <c r="N68" s="23">
        <v>23781</v>
      </c>
      <c r="O68" s="118">
        <v>23770.99</v>
      </c>
      <c r="P68" s="118">
        <v>28253.89</v>
      </c>
      <c r="Q68" s="118">
        <v>28398.65</v>
      </c>
      <c r="R68" s="23">
        <v>39953</v>
      </c>
      <c r="S68" s="23">
        <v>46536.68</v>
      </c>
      <c r="T68" s="118">
        <v>40391.34</v>
      </c>
      <c r="U68" s="23">
        <v>28953</v>
      </c>
      <c r="V68" s="24">
        <v>40251</v>
      </c>
      <c r="W68" s="690">
        <v>40825.42</v>
      </c>
      <c r="X68" s="646">
        <f aca="true" t="shared" si="20" ref="X68:X131">IF(V68=0,0,W68/V68)*100</f>
        <v>101.42709497900672</v>
      </c>
    </row>
    <row r="69" spans="1:24" ht="13.5" hidden="1" thickBot="1">
      <c r="A69" s="756"/>
      <c r="B69" s="246">
        <v>600</v>
      </c>
      <c r="C69" s="22"/>
      <c r="D69" s="81"/>
      <c r="E69" s="81"/>
      <c r="F69" s="81"/>
      <c r="G69" s="81"/>
      <c r="H69" s="81"/>
      <c r="I69" s="22"/>
      <c r="J69" s="81">
        <v>4512</v>
      </c>
      <c r="K69" s="81">
        <v>5000</v>
      </c>
      <c r="L69" s="81"/>
      <c r="M69" s="249"/>
      <c r="N69" s="26">
        <v>0</v>
      </c>
      <c r="O69" s="475"/>
      <c r="P69" s="475"/>
      <c r="Q69" s="475"/>
      <c r="R69" s="26"/>
      <c r="S69" s="26">
        <v>24944</v>
      </c>
      <c r="T69" s="26">
        <v>0</v>
      </c>
      <c r="U69" s="26"/>
      <c r="V69" s="107"/>
      <c r="W69" s="690"/>
      <c r="X69" s="646">
        <f t="shared" si="20"/>
        <v>0</v>
      </c>
    </row>
    <row r="70" spans="1:24" ht="13.5" hidden="1" thickBot="1">
      <c r="A70" s="756"/>
      <c r="B70" s="246">
        <v>600</v>
      </c>
      <c r="C70" s="250"/>
      <c r="D70" s="81"/>
      <c r="E70" s="81"/>
      <c r="F70" s="81"/>
      <c r="G70" s="81"/>
      <c r="H70" s="81"/>
      <c r="I70" s="22"/>
      <c r="J70" s="81">
        <v>6450</v>
      </c>
      <c r="K70" s="79"/>
      <c r="L70" s="81"/>
      <c r="M70" s="81"/>
      <c r="N70" s="23">
        <v>0</v>
      </c>
      <c r="O70" s="118"/>
      <c r="P70" s="118"/>
      <c r="Q70" s="118"/>
      <c r="R70" s="23"/>
      <c r="S70" s="23"/>
      <c r="T70" s="23"/>
      <c r="U70" s="23"/>
      <c r="V70" s="107"/>
      <c r="W70" s="690"/>
      <c r="X70" s="646">
        <f t="shared" si="20"/>
        <v>0</v>
      </c>
    </row>
    <row r="71" spans="1:24" ht="13.5" hidden="1" thickBot="1">
      <c r="A71" s="757"/>
      <c r="B71" s="581">
        <v>600</v>
      </c>
      <c r="C71" s="41"/>
      <c r="D71" s="185"/>
      <c r="E71" s="185"/>
      <c r="F71" s="185"/>
      <c r="G71" s="185"/>
      <c r="H71" s="185"/>
      <c r="I71" s="102"/>
      <c r="J71" s="102"/>
      <c r="K71" s="248"/>
      <c r="L71" s="248">
        <v>2000</v>
      </c>
      <c r="M71" s="251">
        <v>2000</v>
      </c>
      <c r="N71" s="252">
        <v>0</v>
      </c>
      <c r="O71" s="478"/>
      <c r="P71" s="478"/>
      <c r="Q71" s="478"/>
      <c r="R71" s="252"/>
      <c r="S71" s="252"/>
      <c r="T71" s="252"/>
      <c r="U71" s="252"/>
      <c r="V71" s="605"/>
      <c r="W71" s="695"/>
      <c r="X71" s="650">
        <f t="shared" si="20"/>
        <v>0</v>
      </c>
    </row>
    <row r="72" spans="1:24" ht="15.75" thickBot="1">
      <c r="A72" s="187" t="s">
        <v>263</v>
      </c>
      <c r="B72" s="708" t="s">
        <v>264</v>
      </c>
      <c r="C72" s="743"/>
      <c r="D72" s="188">
        <v>16132</v>
      </c>
      <c r="E72" s="188">
        <v>16995</v>
      </c>
      <c r="F72" s="188">
        <v>21045</v>
      </c>
      <c r="G72" s="188">
        <v>23225</v>
      </c>
      <c r="H72" s="188">
        <v>22830</v>
      </c>
      <c r="I72" s="253">
        <v>22296</v>
      </c>
      <c r="J72" s="253">
        <v>33352</v>
      </c>
      <c r="K72" s="60">
        <v>37492</v>
      </c>
      <c r="L72" s="189">
        <v>38137.74</v>
      </c>
      <c r="M72" s="477">
        <v>48253.93</v>
      </c>
      <c r="N72" s="431">
        <f aca="true" t="shared" si="21" ref="N72:S72">SUM(N73:N75)</f>
        <v>65222.28</v>
      </c>
      <c r="O72" s="527">
        <f t="shared" si="21"/>
        <v>78515.91</v>
      </c>
      <c r="P72" s="527">
        <f t="shared" si="21"/>
        <v>87575.21</v>
      </c>
      <c r="Q72" s="527">
        <f t="shared" si="21"/>
        <v>113415.88</v>
      </c>
      <c r="R72" s="431">
        <f t="shared" si="21"/>
        <v>131986</v>
      </c>
      <c r="S72" s="431">
        <f t="shared" si="21"/>
        <v>110576.57</v>
      </c>
      <c r="T72" s="477">
        <v>114544.14000000001</v>
      </c>
      <c r="U72" s="94">
        <f>SUM(U73:U76)</f>
        <v>150245</v>
      </c>
      <c r="V72" s="94">
        <f>SUM(V73:V76)</f>
        <v>136001</v>
      </c>
      <c r="W72" s="691">
        <f>SUM(W73:W76)</f>
        <v>120914.95999999999</v>
      </c>
      <c r="X72" s="611">
        <f t="shared" si="20"/>
        <v>88.90740509260961</v>
      </c>
    </row>
    <row r="73" spans="1:24" ht="12.75">
      <c r="A73" s="755"/>
      <c r="B73" s="254" t="s">
        <v>412</v>
      </c>
      <c r="C73" s="114" t="s">
        <v>232</v>
      </c>
      <c r="D73" s="191"/>
      <c r="E73" s="191"/>
      <c r="F73" s="191"/>
      <c r="G73" s="191"/>
      <c r="H73" s="191"/>
      <c r="I73" s="114"/>
      <c r="J73" s="114"/>
      <c r="K73" s="77"/>
      <c r="L73" s="77"/>
      <c r="M73" s="20"/>
      <c r="N73" s="443">
        <v>65222.28</v>
      </c>
      <c r="O73" s="531">
        <v>54948.07</v>
      </c>
      <c r="P73" s="531">
        <v>60328.94</v>
      </c>
      <c r="Q73" s="531">
        <v>81894.32</v>
      </c>
      <c r="R73" s="443">
        <v>91182</v>
      </c>
      <c r="S73" s="443">
        <v>79978.1</v>
      </c>
      <c r="T73" s="115">
        <v>82754.91</v>
      </c>
      <c r="U73" s="20">
        <v>104712</v>
      </c>
      <c r="V73" s="20">
        <v>92712</v>
      </c>
      <c r="W73" s="634">
        <v>86730.06</v>
      </c>
      <c r="X73" s="629">
        <f t="shared" si="20"/>
        <v>93.54782552420399</v>
      </c>
    </row>
    <row r="74" spans="1:24" ht="12.75">
      <c r="A74" s="756"/>
      <c r="B74" s="255" t="s">
        <v>413</v>
      </c>
      <c r="C74" s="22" t="s">
        <v>233</v>
      </c>
      <c r="D74" s="194"/>
      <c r="E74" s="194"/>
      <c r="F74" s="194"/>
      <c r="G74" s="194"/>
      <c r="H74" s="194"/>
      <c r="I74" s="22"/>
      <c r="J74" s="22"/>
      <c r="K74" s="81"/>
      <c r="L74" s="81"/>
      <c r="M74" s="23"/>
      <c r="N74" s="444"/>
      <c r="O74" s="532">
        <v>17076.54</v>
      </c>
      <c r="P74" s="532">
        <v>18947.38</v>
      </c>
      <c r="Q74" s="532">
        <v>24987.2</v>
      </c>
      <c r="R74" s="444">
        <v>32804</v>
      </c>
      <c r="S74" s="444">
        <v>24363.74</v>
      </c>
      <c r="T74" s="118">
        <v>25414.02</v>
      </c>
      <c r="U74" s="23">
        <v>37533</v>
      </c>
      <c r="V74" s="23">
        <v>33339</v>
      </c>
      <c r="W74" s="690">
        <v>26803.2</v>
      </c>
      <c r="X74" s="646">
        <f t="shared" si="20"/>
        <v>80.39593269144247</v>
      </c>
    </row>
    <row r="75" spans="1:24" ht="12.75">
      <c r="A75" s="756"/>
      <c r="B75" s="179">
        <v>630</v>
      </c>
      <c r="C75" s="38" t="s">
        <v>234</v>
      </c>
      <c r="D75" s="216"/>
      <c r="E75" s="216"/>
      <c r="F75" s="216"/>
      <c r="G75" s="216"/>
      <c r="H75" s="216"/>
      <c r="I75" s="38"/>
      <c r="J75" s="38"/>
      <c r="K75" s="39"/>
      <c r="L75" s="39"/>
      <c r="M75" s="24"/>
      <c r="N75" s="442"/>
      <c r="O75" s="590">
        <v>6491.299999999999</v>
      </c>
      <c r="P75" s="590">
        <v>8298.89</v>
      </c>
      <c r="Q75" s="590">
        <v>6534.36</v>
      </c>
      <c r="R75" s="442">
        <v>8000</v>
      </c>
      <c r="S75" s="442">
        <v>6234.73</v>
      </c>
      <c r="T75" s="180">
        <v>5512.68</v>
      </c>
      <c r="U75" s="24">
        <v>8000</v>
      </c>
      <c r="V75" s="24">
        <v>3000</v>
      </c>
      <c r="W75" s="690">
        <v>1161.66</v>
      </c>
      <c r="X75" s="646">
        <f t="shared" si="20"/>
        <v>38.722</v>
      </c>
    </row>
    <row r="76" spans="1:24" ht="13.5" thickBot="1">
      <c r="A76" s="757"/>
      <c r="B76" s="301">
        <v>640</v>
      </c>
      <c r="C76" s="41" t="s">
        <v>234</v>
      </c>
      <c r="D76" s="275"/>
      <c r="E76" s="275"/>
      <c r="F76" s="275"/>
      <c r="G76" s="275"/>
      <c r="H76" s="136"/>
      <c r="I76" s="41"/>
      <c r="J76" s="41"/>
      <c r="K76" s="54"/>
      <c r="L76" s="54"/>
      <c r="M76" s="43"/>
      <c r="N76" s="435"/>
      <c r="O76" s="591"/>
      <c r="P76" s="591"/>
      <c r="Q76" s="591"/>
      <c r="R76" s="435"/>
      <c r="S76" s="435"/>
      <c r="T76" s="230">
        <v>862.53</v>
      </c>
      <c r="U76" s="43"/>
      <c r="V76" s="43">
        <v>6950</v>
      </c>
      <c r="W76" s="695">
        <v>6220.04</v>
      </c>
      <c r="X76" s="650">
        <f t="shared" si="20"/>
        <v>89.49697841726618</v>
      </c>
    </row>
    <row r="77" spans="1:24" ht="15.75" thickBot="1">
      <c r="A77" s="242" t="s">
        <v>68</v>
      </c>
      <c r="B77" s="795" t="s">
        <v>69</v>
      </c>
      <c r="C77" s="796"/>
      <c r="D77" s="244">
        <v>1016763</v>
      </c>
      <c r="E77" s="244">
        <v>271062</v>
      </c>
      <c r="F77" s="244">
        <v>471453</v>
      </c>
      <c r="G77" s="244">
        <v>456862</v>
      </c>
      <c r="H77" s="70">
        <f aca="true" t="shared" si="22" ref="H77:V77">SUM(H78:H81)</f>
        <v>440003</v>
      </c>
      <c r="I77" s="70">
        <f t="shared" si="22"/>
        <v>428961</v>
      </c>
      <c r="J77" s="70">
        <f t="shared" si="22"/>
        <v>454364</v>
      </c>
      <c r="K77" s="70">
        <f t="shared" si="22"/>
        <v>445324</v>
      </c>
      <c r="L77" s="71">
        <f>SUM(L78:L81)</f>
        <v>440667.17</v>
      </c>
      <c r="M77" s="189">
        <f t="shared" si="22"/>
        <v>406831.45</v>
      </c>
      <c r="N77" s="431">
        <f t="shared" si="22"/>
        <v>398077.16</v>
      </c>
      <c r="O77" s="527">
        <f>SUM(O78:O81)</f>
        <v>411260.17</v>
      </c>
      <c r="P77" s="527">
        <f>SUM(P78:P81)</f>
        <v>607295.49</v>
      </c>
      <c r="Q77" s="527">
        <f>SUM(Q78:Q81)</f>
        <v>519637.36</v>
      </c>
      <c r="R77" s="431">
        <f t="shared" si="22"/>
        <v>557298</v>
      </c>
      <c r="S77" s="431">
        <f t="shared" si="22"/>
        <v>593834.11</v>
      </c>
      <c r="T77" s="477">
        <v>652346.17</v>
      </c>
      <c r="U77" s="94">
        <f t="shared" si="22"/>
        <v>768282</v>
      </c>
      <c r="V77" s="94">
        <f t="shared" si="22"/>
        <v>791986</v>
      </c>
      <c r="W77" s="691">
        <f>SUM(W78:W81)</f>
        <v>715914.6000000001</v>
      </c>
      <c r="X77" s="611">
        <f t="shared" si="20"/>
        <v>90.39485546461681</v>
      </c>
    </row>
    <row r="78" spans="1:24" ht="12.75">
      <c r="A78" s="752"/>
      <c r="B78" s="190">
        <v>630</v>
      </c>
      <c r="C78" s="256" t="s">
        <v>265</v>
      </c>
      <c r="D78" s="257"/>
      <c r="E78" s="257"/>
      <c r="F78" s="257"/>
      <c r="G78" s="257"/>
      <c r="H78" s="232">
        <v>4585</v>
      </c>
      <c r="I78" s="258">
        <v>1644</v>
      </c>
      <c r="J78" s="256"/>
      <c r="K78" s="77"/>
      <c r="L78" s="359"/>
      <c r="M78" s="115"/>
      <c r="N78" s="20"/>
      <c r="O78" s="115"/>
      <c r="P78" s="115">
        <v>21699.02</v>
      </c>
      <c r="Q78" s="115"/>
      <c r="R78" s="20">
        <v>0</v>
      </c>
      <c r="S78" s="20"/>
      <c r="T78" s="115"/>
      <c r="U78" s="20"/>
      <c r="V78" s="20">
        <v>23704</v>
      </c>
      <c r="W78" s="634"/>
      <c r="X78" s="629">
        <f t="shared" si="20"/>
        <v>0</v>
      </c>
    </row>
    <row r="79" spans="1:24" ht="12.75">
      <c r="A79" s="753"/>
      <c r="B79" s="255" t="s">
        <v>45</v>
      </c>
      <c r="C79" s="259" t="s">
        <v>267</v>
      </c>
      <c r="D79" s="260"/>
      <c r="E79" s="260"/>
      <c r="F79" s="260"/>
      <c r="G79" s="260"/>
      <c r="H79" s="202">
        <v>7659</v>
      </c>
      <c r="I79" s="261">
        <v>5301</v>
      </c>
      <c r="J79" s="202">
        <v>3974</v>
      </c>
      <c r="K79" s="262">
        <v>3974</v>
      </c>
      <c r="L79" s="147">
        <v>3974.17</v>
      </c>
      <c r="M79" s="118">
        <v>4974.02</v>
      </c>
      <c r="N79" s="23">
        <v>3974.17</v>
      </c>
      <c r="O79" s="118">
        <v>3974.17</v>
      </c>
      <c r="P79" s="118">
        <v>3974.17</v>
      </c>
      <c r="Q79" s="118">
        <v>3974.17</v>
      </c>
      <c r="R79" s="23">
        <v>3900</v>
      </c>
      <c r="S79" s="23">
        <v>3974.17</v>
      </c>
      <c r="T79" s="118">
        <v>3974.17</v>
      </c>
      <c r="U79" s="23">
        <v>4000</v>
      </c>
      <c r="V79" s="23">
        <v>4000</v>
      </c>
      <c r="W79" s="690">
        <v>3974.17</v>
      </c>
      <c r="X79" s="646">
        <f t="shared" si="20"/>
        <v>99.35425</v>
      </c>
    </row>
    <row r="80" spans="1:24" ht="12.75">
      <c r="A80" s="753"/>
      <c r="B80" s="255" t="s">
        <v>45</v>
      </c>
      <c r="C80" s="259" t="s">
        <v>315</v>
      </c>
      <c r="D80" s="509"/>
      <c r="E80" s="509"/>
      <c r="F80" s="509"/>
      <c r="G80" s="509"/>
      <c r="H80" s="510"/>
      <c r="I80" s="511"/>
      <c r="J80" s="510"/>
      <c r="K80" s="391"/>
      <c r="L80" s="512"/>
      <c r="M80" s="475"/>
      <c r="N80" s="26"/>
      <c r="O80" s="475">
        <v>49000</v>
      </c>
      <c r="P80" s="475">
        <v>97445.88</v>
      </c>
      <c r="Q80" s="475"/>
      <c r="R80" s="26">
        <v>0</v>
      </c>
      <c r="S80" s="26"/>
      <c r="T80" s="475"/>
      <c r="U80" s="26">
        <v>0</v>
      </c>
      <c r="V80" s="26">
        <v>0</v>
      </c>
      <c r="W80" s="504"/>
      <c r="X80" s="630">
        <f t="shared" si="20"/>
        <v>0</v>
      </c>
    </row>
    <row r="81" spans="1:25" ht="13.5" thickBot="1">
      <c r="A81" s="754"/>
      <c r="B81" s="195">
        <v>640</v>
      </c>
      <c r="C81" s="263" t="s">
        <v>265</v>
      </c>
      <c r="D81" s="54"/>
      <c r="E81" s="54"/>
      <c r="F81" s="54"/>
      <c r="G81" s="54"/>
      <c r="H81" s="136">
        <v>427759</v>
      </c>
      <c r="I81" s="264">
        <v>422016</v>
      </c>
      <c r="J81" s="136">
        <v>450390</v>
      </c>
      <c r="K81" s="265">
        <v>441350</v>
      </c>
      <c r="L81" s="137">
        <v>436693</v>
      </c>
      <c r="M81" s="478">
        <v>401857.43</v>
      </c>
      <c r="N81" s="252">
        <v>394102.99</v>
      </c>
      <c r="O81" s="478">
        <v>358286</v>
      </c>
      <c r="P81" s="478">
        <v>484176.42</v>
      </c>
      <c r="Q81" s="478">
        <v>515663.19</v>
      </c>
      <c r="R81" s="252">
        <v>553398</v>
      </c>
      <c r="S81" s="252">
        <v>589859.94</v>
      </c>
      <c r="T81" s="478">
        <v>648372</v>
      </c>
      <c r="U81" s="252">
        <v>764282</v>
      </c>
      <c r="V81" s="252">
        <v>764282</v>
      </c>
      <c r="W81" s="504">
        <v>711940.43</v>
      </c>
      <c r="X81" s="630">
        <f t="shared" si="20"/>
        <v>93.15153699812375</v>
      </c>
      <c r="Y81" s="2"/>
    </row>
    <row r="82" spans="1:24" ht="15.75" hidden="1" thickBot="1">
      <c r="A82" s="266" t="s">
        <v>266</v>
      </c>
      <c r="B82" s="760" t="s">
        <v>204</v>
      </c>
      <c r="C82" s="761"/>
      <c r="D82" s="267"/>
      <c r="E82" s="267"/>
      <c r="F82" s="267"/>
      <c r="G82" s="267"/>
      <c r="H82" s="267"/>
      <c r="I82" s="268">
        <v>0</v>
      </c>
      <c r="J82" s="268">
        <v>0</v>
      </c>
      <c r="K82" s="269">
        <f>K83</f>
        <v>0</v>
      </c>
      <c r="L82" s="270"/>
      <c r="M82" s="269">
        <f>M83</f>
        <v>0</v>
      </c>
      <c r="N82" s="466"/>
      <c r="O82" s="466"/>
      <c r="P82" s="466"/>
      <c r="Q82" s="569"/>
      <c r="R82" s="466"/>
      <c r="S82" s="466"/>
      <c r="T82" s="466"/>
      <c r="U82" s="466"/>
      <c r="V82" s="466">
        <f>V83</f>
        <v>0</v>
      </c>
      <c r="W82" s="693"/>
      <c r="X82" s="612">
        <f t="shared" si="20"/>
        <v>0</v>
      </c>
    </row>
    <row r="83" spans="1:24" ht="15.75" hidden="1" thickBot="1">
      <c r="A83" s="206"/>
      <c r="B83" s="247">
        <v>630</v>
      </c>
      <c r="C83" s="271" t="s">
        <v>267</v>
      </c>
      <c r="D83" s="272"/>
      <c r="E83" s="272"/>
      <c r="F83" s="272"/>
      <c r="G83" s="272"/>
      <c r="H83" s="272"/>
      <c r="I83" s="273" t="s">
        <v>268</v>
      </c>
      <c r="J83" s="273" t="s">
        <v>268</v>
      </c>
      <c r="K83" s="248"/>
      <c r="L83" s="241"/>
      <c r="M83" s="75"/>
      <c r="N83" s="75"/>
      <c r="O83" s="75"/>
      <c r="P83" s="75"/>
      <c r="Q83" s="241"/>
      <c r="R83" s="75"/>
      <c r="S83" s="75"/>
      <c r="T83" s="75"/>
      <c r="U83" s="75"/>
      <c r="V83" s="75"/>
      <c r="W83" s="692"/>
      <c r="X83" s="648">
        <f t="shared" si="20"/>
        <v>0</v>
      </c>
    </row>
    <row r="84" spans="1:24" ht="15.75" thickBot="1">
      <c r="A84" s="242" t="s">
        <v>65</v>
      </c>
      <c r="B84" s="795" t="s">
        <v>269</v>
      </c>
      <c r="C84" s="796"/>
      <c r="D84" s="244">
        <v>11817</v>
      </c>
      <c r="E84" s="244">
        <v>11784</v>
      </c>
      <c r="F84" s="244">
        <v>12315</v>
      </c>
      <c r="G84" s="244">
        <v>20259</v>
      </c>
      <c r="H84" s="70">
        <f aca="true" t="shared" si="23" ref="H84:M84">SUM(H85:H89)</f>
        <v>14522</v>
      </c>
      <c r="I84" s="70">
        <f t="shared" si="23"/>
        <v>159820</v>
      </c>
      <c r="J84" s="70">
        <f t="shared" si="23"/>
        <v>64721</v>
      </c>
      <c r="K84" s="70">
        <f t="shared" si="23"/>
        <v>10450</v>
      </c>
      <c r="L84" s="71">
        <f t="shared" si="23"/>
        <v>10682.39</v>
      </c>
      <c r="M84" s="71">
        <f t="shared" si="23"/>
        <v>9819.23</v>
      </c>
      <c r="N84" s="434">
        <f aca="true" t="shared" si="24" ref="N84:V84">SUM(N85:N89)</f>
        <v>9873.75</v>
      </c>
      <c r="O84" s="529">
        <f t="shared" si="24"/>
        <v>11427.249999999998</v>
      </c>
      <c r="P84" s="529">
        <f t="shared" si="24"/>
        <v>14386.410000000002</v>
      </c>
      <c r="Q84" s="529">
        <f t="shared" si="24"/>
        <v>17575.48</v>
      </c>
      <c r="R84" s="434">
        <f t="shared" si="24"/>
        <v>16859</v>
      </c>
      <c r="S84" s="434">
        <f t="shared" si="24"/>
        <v>21623.989999999998</v>
      </c>
      <c r="T84" s="544">
        <v>79332.61</v>
      </c>
      <c r="U84" s="372">
        <f t="shared" si="24"/>
        <v>20651</v>
      </c>
      <c r="V84" s="372">
        <f t="shared" si="24"/>
        <v>22131</v>
      </c>
      <c r="W84" s="691">
        <f>SUM(W85:W89)</f>
        <v>20496.760000000002</v>
      </c>
      <c r="X84" s="611">
        <f t="shared" si="20"/>
        <v>92.61560706701009</v>
      </c>
    </row>
    <row r="85" spans="1:24" ht="12.75">
      <c r="A85" s="755"/>
      <c r="B85" s="204">
        <v>610</v>
      </c>
      <c r="C85" s="36" t="s">
        <v>232</v>
      </c>
      <c r="D85" s="141"/>
      <c r="E85" s="141">
        <v>7435</v>
      </c>
      <c r="F85" s="141">
        <v>7170</v>
      </c>
      <c r="G85" s="141">
        <v>13170</v>
      </c>
      <c r="H85" s="141">
        <v>9057</v>
      </c>
      <c r="I85" s="36">
        <v>7158</v>
      </c>
      <c r="J85" s="37">
        <v>7062</v>
      </c>
      <c r="K85" s="37">
        <v>6902</v>
      </c>
      <c r="L85" s="134">
        <v>7013.99</v>
      </c>
      <c r="M85" s="134">
        <v>6670.5</v>
      </c>
      <c r="N85" s="84">
        <v>6756.74</v>
      </c>
      <c r="O85" s="178">
        <v>6231.04</v>
      </c>
      <c r="P85" s="178">
        <v>9222.53</v>
      </c>
      <c r="Q85" s="178">
        <v>10920.12</v>
      </c>
      <c r="R85" s="84">
        <v>11664</v>
      </c>
      <c r="S85" s="84">
        <v>13090.95</v>
      </c>
      <c r="T85" s="178">
        <v>12073.77</v>
      </c>
      <c r="U85" s="84">
        <v>13810</v>
      </c>
      <c r="V85" s="84">
        <v>14910</v>
      </c>
      <c r="W85" s="634">
        <v>14305.76</v>
      </c>
      <c r="X85" s="629">
        <f t="shared" si="20"/>
        <v>95.94741784037559</v>
      </c>
    </row>
    <row r="86" spans="1:24" ht="12.75">
      <c r="A86" s="756"/>
      <c r="B86" s="205">
        <v>620</v>
      </c>
      <c r="C86" s="38" t="s">
        <v>233</v>
      </c>
      <c r="D86" s="216"/>
      <c r="E86" s="216">
        <v>2722</v>
      </c>
      <c r="F86" s="216">
        <v>2589</v>
      </c>
      <c r="G86" s="216">
        <v>4447</v>
      </c>
      <c r="H86" s="216">
        <v>3981</v>
      </c>
      <c r="I86" s="38">
        <v>2874</v>
      </c>
      <c r="J86" s="39">
        <v>2706</v>
      </c>
      <c r="K86" s="39">
        <v>2594</v>
      </c>
      <c r="L86" s="101">
        <v>2904.51</v>
      </c>
      <c r="M86" s="101">
        <v>2212.12</v>
      </c>
      <c r="N86" s="24">
        <v>2382.51</v>
      </c>
      <c r="O86" s="180">
        <v>2182.24</v>
      </c>
      <c r="P86" s="180">
        <v>3409.77</v>
      </c>
      <c r="Q86" s="180">
        <v>4028.34</v>
      </c>
      <c r="R86" s="24">
        <v>4195</v>
      </c>
      <c r="S86" s="24">
        <v>4754.78</v>
      </c>
      <c r="T86" s="180">
        <v>4416.82</v>
      </c>
      <c r="U86" s="24">
        <v>5041</v>
      </c>
      <c r="V86" s="24">
        <v>5421</v>
      </c>
      <c r="W86" s="690">
        <v>5241.06</v>
      </c>
      <c r="X86" s="646">
        <f t="shared" si="20"/>
        <v>96.68068622025457</v>
      </c>
    </row>
    <row r="87" spans="1:24" ht="12.75">
      <c r="A87" s="756"/>
      <c r="B87" s="205">
        <v>630</v>
      </c>
      <c r="C87" s="38" t="s">
        <v>234</v>
      </c>
      <c r="D87" s="216"/>
      <c r="E87" s="216">
        <v>1627</v>
      </c>
      <c r="F87" s="216">
        <v>2556</v>
      </c>
      <c r="G87" s="216">
        <v>2642</v>
      </c>
      <c r="H87" s="216">
        <v>1484</v>
      </c>
      <c r="I87" s="38">
        <v>1204</v>
      </c>
      <c r="J87" s="39">
        <v>1574</v>
      </c>
      <c r="K87" s="39">
        <v>954</v>
      </c>
      <c r="L87" s="101">
        <v>763.89</v>
      </c>
      <c r="M87" s="101">
        <v>936.61</v>
      </c>
      <c r="N87" s="24">
        <v>734.5</v>
      </c>
      <c r="O87" s="180">
        <v>3013.97</v>
      </c>
      <c r="P87" s="180">
        <v>1754.11</v>
      </c>
      <c r="Q87" s="180">
        <v>2627.02</v>
      </c>
      <c r="R87" s="24">
        <v>1000</v>
      </c>
      <c r="S87" s="24">
        <v>1258.26</v>
      </c>
      <c r="T87" s="180">
        <v>722.0800000000017</v>
      </c>
      <c r="U87" s="24">
        <v>1800</v>
      </c>
      <c r="V87" s="24">
        <v>990</v>
      </c>
      <c r="W87" s="690">
        <v>242.74</v>
      </c>
      <c r="X87" s="646">
        <f t="shared" si="20"/>
        <v>24.519191919191922</v>
      </c>
    </row>
    <row r="88" spans="1:24" ht="12.75">
      <c r="A88" s="756"/>
      <c r="B88" s="285">
        <v>640</v>
      </c>
      <c r="C88" s="387"/>
      <c r="D88" s="510"/>
      <c r="E88" s="510"/>
      <c r="F88" s="510"/>
      <c r="G88" s="510"/>
      <c r="H88" s="510"/>
      <c r="I88" s="387"/>
      <c r="J88" s="482"/>
      <c r="K88" s="66"/>
      <c r="L88" s="229"/>
      <c r="M88" s="229"/>
      <c r="N88" s="27"/>
      <c r="O88" s="198"/>
      <c r="P88" s="198"/>
      <c r="Q88" s="198"/>
      <c r="R88" s="27"/>
      <c r="S88" s="27"/>
      <c r="T88" s="198">
        <v>62052.74</v>
      </c>
      <c r="U88" s="27"/>
      <c r="V88" s="27">
        <v>810</v>
      </c>
      <c r="W88" s="504">
        <v>707.2</v>
      </c>
      <c r="X88" s="646">
        <f t="shared" si="20"/>
        <v>87.30864197530865</v>
      </c>
    </row>
    <row r="89" spans="1:24" ht="13.5" thickBot="1">
      <c r="A89" s="757"/>
      <c r="B89" s="228">
        <v>600</v>
      </c>
      <c r="C89" s="274" t="s">
        <v>270</v>
      </c>
      <c r="D89" s="275"/>
      <c r="E89" s="275"/>
      <c r="F89" s="275"/>
      <c r="G89" s="275"/>
      <c r="H89" s="275"/>
      <c r="I89" s="274">
        <v>148584</v>
      </c>
      <c r="J89" s="276">
        <v>53379</v>
      </c>
      <c r="K89" s="54"/>
      <c r="L89" s="277"/>
      <c r="M89" s="54"/>
      <c r="N89" s="43"/>
      <c r="O89" s="43"/>
      <c r="P89" s="43"/>
      <c r="Q89" s="230"/>
      <c r="R89" s="43">
        <v>0</v>
      </c>
      <c r="S89" s="43">
        <v>2520</v>
      </c>
      <c r="T89" s="230">
        <v>67.2</v>
      </c>
      <c r="U89" s="43"/>
      <c r="V89" s="43">
        <v>0</v>
      </c>
      <c r="W89" s="504"/>
      <c r="X89" s="630">
        <f t="shared" si="20"/>
        <v>0</v>
      </c>
    </row>
    <row r="90" spans="1:24" ht="15.75" thickBot="1">
      <c r="A90" s="278" t="s">
        <v>216</v>
      </c>
      <c r="B90" s="758" t="s">
        <v>50</v>
      </c>
      <c r="C90" s="759"/>
      <c r="D90" s="188">
        <v>11518</v>
      </c>
      <c r="E90" s="188">
        <v>13012</v>
      </c>
      <c r="F90" s="188">
        <v>13643</v>
      </c>
      <c r="G90" s="188">
        <v>15109</v>
      </c>
      <c r="H90" s="188">
        <v>14271</v>
      </c>
      <c r="I90" s="60">
        <f aca="true" t="shared" si="25" ref="I90:U90">SUM(I91:I93)</f>
        <v>14580</v>
      </c>
      <c r="J90" s="60">
        <f t="shared" si="25"/>
        <v>13755</v>
      </c>
      <c r="K90" s="60">
        <f t="shared" si="25"/>
        <v>12987</v>
      </c>
      <c r="L90" s="189">
        <f t="shared" si="25"/>
        <v>12440.38</v>
      </c>
      <c r="M90" s="189">
        <f>SUM(M91:M94)</f>
        <v>12085.220000000001</v>
      </c>
      <c r="N90" s="431">
        <f>SUM(N91:N94)</f>
        <v>14820</v>
      </c>
      <c r="O90" s="527">
        <f>SUM(O91:O94)</f>
        <v>17802.890000000003</v>
      </c>
      <c r="P90" s="527">
        <f>SUM(P91:P94)</f>
        <v>18901.94</v>
      </c>
      <c r="Q90" s="527">
        <f>SUM(Q91:Q94)</f>
        <v>19832.530000000002</v>
      </c>
      <c r="R90" s="431">
        <f t="shared" si="25"/>
        <v>22060</v>
      </c>
      <c r="S90" s="431">
        <f t="shared" si="25"/>
        <v>22607.08</v>
      </c>
      <c r="T90" s="477">
        <v>16829.010000000002</v>
      </c>
      <c r="U90" s="94">
        <f t="shared" si="25"/>
        <v>27717</v>
      </c>
      <c r="V90" s="94">
        <f>SUM(V91:V94)</f>
        <v>23598</v>
      </c>
      <c r="W90" s="691">
        <f>SUM(W91:W94)</f>
        <v>23588.97</v>
      </c>
      <c r="X90" s="611">
        <f t="shared" si="20"/>
        <v>99.96173404525808</v>
      </c>
    </row>
    <row r="91" spans="1:24" ht="12.75">
      <c r="A91" s="755"/>
      <c r="B91" s="204">
        <v>610</v>
      </c>
      <c r="C91" s="36" t="s">
        <v>232</v>
      </c>
      <c r="D91" s="141"/>
      <c r="E91" s="141">
        <v>8099</v>
      </c>
      <c r="F91" s="141">
        <v>8597</v>
      </c>
      <c r="G91" s="141">
        <v>9417</v>
      </c>
      <c r="H91" s="141">
        <v>9528</v>
      </c>
      <c r="I91" s="36">
        <v>9523</v>
      </c>
      <c r="J91" s="37">
        <v>8900</v>
      </c>
      <c r="K91" s="37">
        <v>8730</v>
      </c>
      <c r="L91" s="178">
        <v>8356.07</v>
      </c>
      <c r="M91" s="178">
        <v>8369.97</v>
      </c>
      <c r="N91" s="84">
        <v>10167.75</v>
      </c>
      <c r="O91" s="178">
        <v>12358.6</v>
      </c>
      <c r="P91" s="178">
        <v>13120.16</v>
      </c>
      <c r="Q91" s="178">
        <v>14108.2</v>
      </c>
      <c r="R91" s="84">
        <v>15418</v>
      </c>
      <c r="S91" s="84">
        <v>16268.11</v>
      </c>
      <c r="T91" s="178">
        <v>12005.13</v>
      </c>
      <c r="U91" s="84">
        <v>19574</v>
      </c>
      <c r="V91" s="84">
        <v>6124</v>
      </c>
      <c r="W91" s="634">
        <v>6124.62</v>
      </c>
      <c r="X91" s="629">
        <f t="shared" si="20"/>
        <v>100.01012410189418</v>
      </c>
    </row>
    <row r="92" spans="1:24" ht="12.75">
      <c r="A92" s="756"/>
      <c r="B92" s="205">
        <v>620</v>
      </c>
      <c r="C92" s="38" t="s">
        <v>233</v>
      </c>
      <c r="D92" s="216"/>
      <c r="E92" s="216">
        <v>2855</v>
      </c>
      <c r="F92" s="216">
        <v>3220</v>
      </c>
      <c r="G92" s="216">
        <v>3567</v>
      </c>
      <c r="H92" s="216">
        <v>3607</v>
      </c>
      <c r="I92" s="38">
        <v>3617</v>
      </c>
      <c r="J92" s="39">
        <v>3393</v>
      </c>
      <c r="K92" s="39">
        <v>3330</v>
      </c>
      <c r="L92" s="180">
        <v>3406.87</v>
      </c>
      <c r="M92" s="180">
        <v>2973.01</v>
      </c>
      <c r="N92" s="24">
        <v>3841.92</v>
      </c>
      <c r="O92" s="180">
        <v>4614.21</v>
      </c>
      <c r="P92" s="180">
        <v>4873.08</v>
      </c>
      <c r="Q92" s="180">
        <v>4776.7</v>
      </c>
      <c r="R92" s="24">
        <v>5642</v>
      </c>
      <c r="S92" s="24">
        <v>5342.26</v>
      </c>
      <c r="T92" s="180">
        <v>4010.34</v>
      </c>
      <c r="U92" s="24">
        <v>7143</v>
      </c>
      <c r="V92" s="24">
        <v>3902</v>
      </c>
      <c r="W92" s="690">
        <v>3891.94</v>
      </c>
      <c r="X92" s="646">
        <f t="shared" si="20"/>
        <v>99.74218349564326</v>
      </c>
    </row>
    <row r="93" spans="1:24" ht="13.5" thickBot="1">
      <c r="A93" s="756"/>
      <c r="B93" s="285">
        <v>630</v>
      </c>
      <c r="C93" s="42" t="s">
        <v>234</v>
      </c>
      <c r="D93" s="136"/>
      <c r="E93" s="136">
        <v>2058</v>
      </c>
      <c r="F93" s="136">
        <v>1826</v>
      </c>
      <c r="G93" s="136">
        <v>2125</v>
      </c>
      <c r="H93" s="136">
        <v>1136</v>
      </c>
      <c r="I93" s="41">
        <v>1440</v>
      </c>
      <c r="J93" s="54">
        <v>1462</v>
      </c>
      <c r="K93" s="66">
        <v>927</v>
      </c>
      <c r="L93" s="101">
        <v>677.44</v>
      </c>
      <c r="M93" s="101">
        <v>629.37</v>
      </c>
      <c r="N93" s="24">
        <v>810.33</v>
      </c>
      <c r="O93" s="180">
        <v>830.08</v>
      </c>
      <c r="P93" s="180">
        <v>908.7</v>
      </c>
      <c r="Q93" s="180">
        <v>947.63</v>
      </c>
      <c r="R93" s="24">
        <v>1000</v>
      </c>
      <c r="S93" s="24">
        <v>996.71</v>
      </c>
      <c r="T93" s="180">
        <v>541.16</v>
      </c>
      <c r="U93" s="24">
        <v>1000</v>
      </c>
      <c r="V93" s="24">
        <v>32</v>
      </c>
      <c r="W93" s="690">
        <v>32.41</v>
      </c>
      <c r="X93" s="646">
        <f t="shared" si="20"/>
        <v>101.28124999999999</v>
      </c>
    </row>
    <row r="94" spans="1:24" ht="13.5" thickBot="1">
      <c r="A94" s="757"/>
      <c r="B94" s="228">
        <v>640</v>
      </c>
      <c r="C94" s="41" t="s">
        <v>235</v>
      </c>
      <c r="D94" s="239"/>
      <c r="E94" s="239"/>
      <c r="F94" s="239"/>
      <c r="G94" s="239"/>
      <c r="H94" s="239"/>
      <c r="I94" s="102"/>
      <c r="J94" s="185"/>
      <c r="K94" s="217"/>
      <c r="L94" s="459"/>
      <c r="M94" s="459">
        <v>112.87</v>
      </c>
      <c r="N94" s="63"/>
      <c r="O94" s="63"/>
      <c r="P94" s="63"/>
      <c r="Q94" s="103"/>
      <c r="R94" s="63"/>
      <c r="S94" s="63"/>
      <c r="T94" s="103">
        <v>272.38</v>
      </c>
      <c r="U94" s="63"/>
      <c r="V94" s="63">
        <v>13540</v>
      </c>
      <c r="W94" s="692">
        <v>13540</v>
      </c>
      <c r="X94" s="648">
        <f t="shared" si="20"/>
        <v>100</v>
      </c>
    </row>
    <row r="95" spans="1:24" ht="15.75" thickBot="1">
      <c r="A95" s="242" t="s">
        <v>46</v>
      </c>
      <c r="B95" s="762" t="s">
        <v>47</v>
      </c>
      <c r="C95" s="730"/>
      <c r="D95" s="244">
        <v>0</v>
      </c>
      <c r="E95" s="244">
        <v>221337</v>
      </c>
      <c r="F95" s="244">
        <v>136394</v>
      </c>
      <c r="G95" s="244">
        <v>214824</v>
      </c>
      <c r="H95" s="244">
        <v>646088</v>
      </c>
      <c r="I95" s="60">
        <f>SUM(I101:I113)</f>
        <v>152165</v>
      </c>
      <c r="J95" s="60">
        <f>SUM(J101:J113)</f>
        <v>173492</v>
      </c>
      <c r="K95" s="60">
        <f>SUM(K101:K113)</f>
        <v>219663</v>
      </c>
      <c r="L95" s="189">
        <f aca="true" t="shared" si="26" ref="L95:V95">SUM(L96:L113)</f>
        <v>485501.09</v>
      </c>
      <c r="M95" s="189">
        <f t="shared" si="26"/>
        <v>315963.52</v>
      </c>
      <c r="N95" s="431">
        <f t="shared" si="26"/>
        <v>306308.77</v>
      </c>
      <c r="O95" s="527">
        <f t="shared" si="26"/>
        <v>235650.84</v>
      </c>
      <c r="P95" s="527">
        <f>SUM(P96:P113)</f>
        <v>258445.63</v>
      </c>
      <c r="Q95" s="527">
        <f t="shared" si="26"/>
        <v>225107.38</v>
      </c>
      <c r="R95" s="431">
        <f t="shared" si="26"/>
        <v>194631</v>
      </c>
      <c r="S95" s="431">
        <f t="shared" si="26"/>
        <v>243536.62</v>
      </c>
      <c r="T95" s="477">
        <v>245388.62</v>
      </c>
      <c r="U95" s="94">
        <f t="shared" si="26"/>
        <v>275915</v>
      </c>
      <c r="V95" s="94">
        <f t="shared" si="26"/>
        <v>287353</v>
      </c>
      <c r="W95" s="691">
        <f>SUM(W96:W113)</f>
        <v>284081.65</v>
      </c>
      <c r="X95" s="611">
        <f t="shared" si="20"/>
        <v>98.86155703959939</v>
      </c>
    </row>
    <row r="96" spans="1:24" ht="13.5" customHeight="1" hidden="1">
      <c r="A96" s="752"/>
      <c r="B96" s="204">
        <v>630</v>
      </c>
      <c r="C96" s="36" t="s">
        <v>158</v>
      </c>
      <c r="D96" s="279"/>
      <c r="E96" s="279"/>
      <c r="F96" s="279"/>
      <c r="G96" s="279"/>
      <c r="H96" s="279"/>
      <c r="I96" s="280"/>
      <c r="J96" s="280"/>
      <c r="K96" s="280"/>
      <c r="L96" s="192">
        <v>164829</v>
      </c>
      <c r="M96" s="192">
        <v>115488</v>
      </c>
      <c r="N96" s="126">
        <v>98750</v>
      </c>
      <c r="O96" s="192"/>
      <c r="P96" s="192"/>
      <c r="Q96" s="192"/>
      <c r="R96" s="126"/>
      <c r="S96" s="126"/>
      <c r="T96" s="192"/>
      <c r="U96" s="126"/>
      <c r="V96" s="521"/>
      <c r="W96" s="634"/>
      <c r="X96" s="629">
        <f t="shared" si="20"/>
        <v>0</v>
      </c>
    </row>
    <row r="97" spans="1:24" ht="13.5" customHeight="1" hidden="1">
      <c r="A97" s="753"/>
      <c r="B97" s="205"/>
      <c r="C97" s="42" t="s">
        <v>187</v>
      </c>
      <c r="D97" s="281"/>
      <c r="E97" s="281"/>
      <c r="F97" s="281"/>
      <c r="G97" s="281"/>
      <c r="H97" s="281"/>
      <c r="I97" s="282"/>
      <c r="J97" s="282"/>
      <c r="K97" s="282"/>
      <c r="L97" s="115">
        <v>9696.54</v>
      </c>
      <c r="M97" s="479"/>
      <c r="N97" s="283"/>
      <c r="O97" s="479"/>
      <c r="P97" s="479"/>
      <c r="Q97" s="479"/>
      <c r="R97" s="283"/>
      <c r="S97" s="283"/>
      <c r="T97" s="479"/>
      <c r="U97" s="283"/>
      <c r="V97" s="283"/>
      <c r="W97" s="690"/>
      <c r="X97" s="646">
        <f t="shared" si="20"/>
        <v>0</v>
      </c>
    </row>
    <row r="98" spans="1:24" ht="13.5" customHeight="1" hidden="1">
      <c r="A98" s="753"/>
      <c r="B98" s="205"/>
      <c r="C98" s="42" t="s">
        <v>271</v>
      </c>
      <c r="D98" s="281"/>
      <c r="E98" s="281"/>
      <c r="F98" s="281"/>
      <c r="G98" s="281"/>
      <c r="H98" s="281"/>
      <c r="I98" s="282"/>
      <c r="J98" s="282"/>
      <c r="K98" s="282"/>
      <c r="L98" s="115">
        <v>9955.3</v>
      </c>
      <c r="M98" s="479"/>
      <c r="N98" s="283"/>
      <c r="O98" s="479"/>
      <c r="P98" s="479"/>
      <c r="Q98" s="479"/>
      <c r="R98" s="283"/>
      <c r="S98" s="283"/>
      <c r="T98" s="479"/>
      <c r="U98" s="283"/>
      <c r="V98" s="283"/>
      <c r="W98" s="690"/>
      <c r="X98" s="646">
        <f t="shared" si="20"/>
        <v>0</v>
      </c>
    </row>
    <row r="99" spans="1:24" ht="13.5" customHeight="1" hidden="1">
      <c r="A99" s="753"/>
      <c r="B99" s="205"/>
      <c r="C99" s="42" t="s">
        <v>272</v>
      </c>
      <c r="D99" s="281"/>
      <c r="E99" s="281"/>
      <c r="F99" s="281"/>
      <c r="G99" s="281"/>
      <c r="H99" s="281"/>
      <c r="I99" s="282"/>
      <c r="J99" s="282"/>
      <c r="K99" s="282"/>
      <c r="L99" s="115">
        <v>11550</v>
      </c>
      <c r="M99" s="479"/>
      <c r="N99" s="283"/>
      <c r="O99" s="479"/>
      <c r="P99" s="479"/>
      <c r="Q99" s="479"/>
      <c r="R99" s="283"/>
      <c r="S99" s="283"/>
      <c r="T99" s="479"/>
      <c r="U99" s="283"/>
      <c r="V99" s="283"/>
      <c r="W99" s="690"/>
      <c r="X99" s="646">
        <f t="shared" si="20"/>
        <v>0</v>
      </c>
    </row>
    <row r="100" spans="1:24" ht="13.5" customHeight="1" hidden="1">
      <c r="A100" s="753"/>
      <c r="B100" s="205"/>
      <c r="C100" s="38" t="s">
        <v>188</v>
      </c>
      <c r="D100" s="281"/>
      <c r="E100" s="281"/>
      <c r="F100" s="281"/>
      <c r="G100" s="281"/>
      <c r="H100" s="281"/>
      <c r="I100" s="282"/>
      <c r="J100" s="282"/>
      <c r="K100" s="282"/>
      <c r="L100" s="115">
        <v>11848</v>
      </c>
      <c r="M100" s="479"/>
      <c r="N100" s="283"/>
      <c r="O100" s="479"/>
      <c r="P100" s="479"/>
      <c r="Q100" s="479"/>
      <c r="R100" s="283"/>
      <c r="S100" s="283"/>
      <c r="T100" s="479"/>
      <c r="U100" s="283"/>
      <c r="V100" s="283"/>
      <c r="W100" s="690"/>
      <c r="X100" s="646">
        <f t="shared" si="20"/>
        <v>0</v>
      </c>
    </row>
    <row r="101" spans="1:24" ht="13.5" customHeight="1" hidden="1">
      <c r="A101" s="753"/>
      <c r="B101" s="284"/>
      <c r="C101" s="64" t="s">
        <v>324</v>
      </c>
      <c r="D101" s="51"/>
      <c r="E101" s="51"/>
      <c r="F101" s="51"/>
      <c r="G101" s="51"/>
      <c r="H101" s="51"/>
      <c r="I101" s="64"/>
      <c r="J101" s="51"/>
      <c r="K101" s="51"/>
      <c r="L101" s="105">
        <v>55733.87</v>
      </c>
      <c r="M101" s="180">
        <v>17376</v>
      </c>
      <c r="N101" s="21"/>
      <c r="O101" s="105">
        <v>39179.72</v>
      </c>
      <c r="P101" s="105"/>
      <c r="Q101" s="105"/>
      <c r="R101" s="21"/>
      <c r="S101" s="21"/>
      <c r="T101" s="105"/>
      <c r="U101" s="21"/>
      <c r="V101" s="21"/>
      <c r="W101" s="690"/>
      <c r="X101" s="646">
        <f t="shared" si="20"/>
        <v>0</v>
      </c>
    </row>
    <row r="102" spans="1:24" ht="13.5" customHeight="1" hidden="1">
      <c r="A102" s="753"/>
      <c r="B102" s="285"/>
      <c r="C102" s="42" t="s">
        <v>273</v>
      </c>
      <c r="D102" s="66"/>
      <c r="E102" s="66"/>
      <c r="F102" s="66"/>
      <c r="G102" s="66"/>
      <c r="H102" s="66"/>
      <c r="I102" s="42"/>
      <c r="J102" s="66"/>
      <c r="K102" s="39"/>
      <c r="L102" s="180">
        <v>41848</v>
      </c>
      <c r="M102" s="180"/>
      <c r="N102" s="24"/>
      <c r="O102" s="180"/>
      <c r="P102" s="180"/>
      <c r="Q102" s="180"/>
      <c r="R102" s="24"/>
      <c r="S102" s="24"/>
      <c r="T102" s="180"/>
      <c r="U102" s="24"/>
      <c r="V102" s="24"/>
      <c r="W102" s="690"/>
      <c r="X102" s="646">
        <f t="shared" si="20"/>
        <v>0</v>
      </c>
    </row>
    <row r="103" spans="1:24" ht="13.5" customHeight="1" hidden="1">
      <c r="A103" s="753"/>
      <c r="B103" s="285"/>
      <c r="C103" s="42"/>
      <c r="D103" s="66"/>
      <c r="E103" s="66"/>
      <c r="F103" s="66"/>
      <c r="G103" s="66"/>
      <c r="H103" s="66"/>
      <c r="I103" s="42"/>
      <c r="J103" s="66"/>
      <c r="K103" s="39"/>
      <c r="L103" s="24"/>
      <c r="M103" s="180"/>
      <c r="N103" s="24"/>
      <c r="O103" s="180"/>
      <c r="P103" s="180"/>
      <c r="Q103" s="180"/>
      <c r="R103" s="24"/>
      <c r="S103" s="24"/>
      <c r="T103" s="180"/>
      <c r="U103" s="24"/>
      <c r="V103" s="24"/>
      <c r="W103" s="690"/>
      <c r="X103" s="646">
        <f t="shared" si="20"/>
        <v>0</v>
      </c>
    </row>
    <row r="104" spans="1:24" ht="13.5" customHeight="1" hidden="1">
      <c r="A104" s="753"/>
      <c r="B104" s="285"/>
      <c r="C104" s="42"/>
      <c r="D104" s="66"/>
      <c r="E104" s="66"/>
      <c r="F104" s="66"/>
      <c r="G104" s="66"/>
      <c r="H104" s="66"/>
      <c r="I104" s="42"/>
      <c r="J104" s="66"/>
      <c r="K104" s="39"/>
      <c r="L104" s="24"/>
      <c r="M104" s="180"/>
      <c r="N104" s="24"/>
      <c r="O104" s="180"/>
      <c r="P104" s="180"/>
      <c r="Q104" s="180"/>
      <c r="R104" s="24"/>
      <c r="S104" s="24"/>
      <c r="T104" s="180"/>
      <c r="U104" s="24"/>
      <c r="V104" s="24"/>
      <c r="W104" s="690"/>
      <c r="X104" s="646">
        <f t="shared" si="20"/>
        <v>0</v>
      </c>
    </row>
    <row r="105" spans="1:24" ht="13.5" customHeight="1" hidden="1">
      <c r="A105" s="753"/>
      <c r="B105" s="285"/>
      <c r="C105" s="38"/>
      <c r="D105" s="39"/>
      <c r="E105" s="39"/>
      <c r="F105" s="39"/>
      <c r="G105" s="39"/>
      <c r="H105" s="39"/>
      <c r="I105" s="38"/>
      <c r="J105" s="39"/>
      <c r="K105" s="39"/>
      <c r="L105" s="24"/>
      <c r="M105" s="180"/>
      <c r="N105" s="24"/>
      <c r="O105" s="180"/>
      <c r="P105" s="180"/>
      <c r="Q105" s="180"/>
      <c r="R105" s="24"/>
      <c r="S105" s="24"/>
      <c r="T105" s="180"/>
      <c r="U105" s="24"/>
      <c r="V105" s="24"/>
      <c r="W105" s="690"/>
      <c r="X105" s="646">
        <f t="shared" si="20"/>
        <v>0</v>
      </c>
    </row>
    <row r="106" spans="1:24" ht="13.5" customHeight="1" hidden="1">
      <c r="A106" s="753"/>
      <c r="B106" s="285">
        <v>630</v>
      </c>
      <c r="C106" s="38" t="s">
        <v>274</v>
      </c>
      <c r="D106" s="39"/>
      <c r="E106" s="39"/>
      <c r="F106" s="39"/>
      <c r="G106" s="39"/>
      <c r="H106" s="39"/>
      <c r="I106" s="38">
        <v>800</v>
      </c>
      <c r="J106" s="39"/>
      <c r="K106" s="39"/>
      <c r="L106" s="24"/>
      <c r="M106" s="180"/>
      <c r="N106" s="24"/>
      <c r="O106" s="180"/>
      <c r="P106" s="180"/>
      <c r="Q106" s="180"/>
      <c r="R106" s="24"/>
      <c r="S106" s="24"/>
      <c r="T106" s="180"/>
      <c r="U106" s="24"/>
      <c r="V106" s="24"/>
      <c r="W106" s="690"/>
      <c r="X106" s="646">
        <f t="shared" si="20"/>
        <v>0</v>
      </c>
    </row>
    <row r="107" spans="1:24" ht="13.5" customHeight="1" hidden="1">
      <c r="A107" s="753"/>
      <c r="B107" s="285">
        <v>630</v>
      </c>
      <c r="C107" s="38" t="s">
        <v>275</v>
      </c>
      <c r="D107" s="39"/>
      <c r="E107" s="39"/>
      <c r="F107" s="39"/>
      <c r="G107" s="39"/>
      <c r="H107" s="39"/>
      <c r="I107" s="38">
        <v>2124</v>
      </c>
      <c r="J107" s="39">
        <v>1200</v>
      </c>
      <c r="K107" s="24">
        <f>25728+5970+25054</f>
        <v>56752</v>
      </c>
      <c r="L107" s="24"/>
      <c r="M107" s="180"/>
      <c r="N107" s="24"/>
      <c r="O107" s="180"/>
      <c r="P107" s="180"/>
      <c r="Q107" s="180"/>
      <c r="R107" s="24"/>
      <c r="S107" s="24"/>
      <c r="T107" s="180"/>
      <c r="U107" s="24"/>
      <c r="V107" s="24"/>
      <c r="W107" s="690"/>
      <c r="X107" s="646">
        <f t="shared" si="20"/>
        <v>0</v>
      </c>
    </row>
    <row r="108" spans="1:24" ht="13.5" customHeight="1" hidden="1">
      <c r="A108" s="753"/>
      <c r="B108" s="285">
        <v>630</v>
      </c>
      <c r="C108" s="38" t="s">
        <v>276</v>
      </c>
      <c r="D108" s="39"/>
      <c r="E108" s="39"/>
      <c r="F108" s="39"/>
      <c r="G108" s="39"/>
      <c r="H108" s="39"/>
      <c r="I108" s="38"/>
      <c r="J108" s="39">
        <v>22691</v>
      </c>
      <c r="K108" s="24">
        <v>859</v>
      </c>
      <c r="L108" s="24"/>
      <c r="M108" s="180">
        <v>774.55</v>
      </c>
      <c r="N108" s="24"/>
      <c r="O108" s="180"/>
      <c r="P108" s="180"/>
      <c r="Q108" s="180"/>
      <c r="R108" s="24"/>
      <c r="S108" s="24"/>
      <c r="T108" s="180"/>
      <c r="U108" s="24"/>
      <c r="V108" s="24"/>
      <c r="W108" s="690"/>
      <c r="X108" s="646">
        <f t="shared" si="20"/>
        <v>0</v>
      </c>
    </row>
    <row r="109" spans="1:24" ht="13.5" customHeight="1">
      <c r="A109" s="753"/>
      <c r="B109" s="285">
        <v>630</v>
      </c>
      <c r="C109" s="38" t="s">
        <v>317</v>
      </c>
      <c r="D109" s="39"/>
      <c r="E109" s="39"/>
      <c r="F109" s="39"/>
      <c r="G109" s="39"/>
      <c r="H109" s="39"/>
      <c r="I109" s="38">
        <v>4435</v>
      </c>
      <c r="J109" s="39"/>
      <c r="K109" s="39">
        <v>0</v>
      </c>
      <c r="L109" s="180">
        <v>931.15</v>
      </c>
      <c r="M109" s="180">
        <v>7872</v>
      </c>
      <c r="N109" s="24">
        <v>6215.72</v>
      </c>
      <c r="O109" s="180"/>
      <c r="P109" s="180">
        <v>50244.21</v>
      </c>
      <c r="Q109" s="180"/>
      <c r="R109" s="24"/>
      <c r="S109" s="24"/>
      <c r="T109" s="180"/>
      <c r="U109" s="24"/>
      <c r="V109" s="24">
        <v>0</v>
      </c>
      <c r="W109" s="690"/>
      <c r="X109" s="646">
        <f t="shared" si="20"/>
        <v>0</v>
      </c>
    </row>
    <row r="110" spans="1:24" ht="13.5" customHeight="1">
      <c r="A110" s="753"/>
      <c r="B110" s="285">
        <v>630</v>
      </c>
      <c r="C110" s="42" t="s">
        <v>339</v>
      </c>
      <c r="D110" s="66"/>
      <c r="E110" s="66"/>
      <c r="F110" s="66"/>
      <c r="G110" s="66"/>
      <c r="H110" s="66"/>
      <c r="I110" s="42"/>
      <c r="J110" s="66"/>
      <c r="K110" s="66"/>
      <c r="L110" s="27"/>
      <c r="M110" s="198"/>
      <c r="N110" s="27">
        <v>17446.49</v>
      </c>
      <c r="O110" s="198"/>
      <c r="P110" s="198"/>
      <c r="Q110" s="198"/>
      <c r="R110" s="27"/>
      <c r="S110" s="27">
        <v>5640</v>
      </c>
      <c r="T110" s="198"/>
      <c r="U110" s="27"/>
      <c r="V110" s="27"/>
      <c r="W110" s="690"/>
      <c r="X110" s="646">
        <f t="shared" si="20"/>
        <v>0</v>
      </c>
    </row>
    <row r="111" spans="1:24" ht="13.5" customHeight="1">
      <c r="A111" s="753"/>
      <c r="B111" s="285">
        <v>630</v>
      </c>
      <c r="C111" s="42" t="s">
        <v>277</v>
      </c>
      <c r="D111" s="66"/>
      <c r="E111" s="66"/>
      <c r="F111" s="66"/>
      <c r="G111" s="66"/>
      <c r="H111" s="66"/>
      <c r="I111" s="42">
        <v>931</v>
      </c>
      <c r="J111" s="66">
        <v>0</v>
      </c>
      <c r="K111" s="66"/>
      <c r="L111" s="66"/>
      <c r="M111" s="229"/>
      <c r="N111" s="27">
        <v>0</v>
      </c>
      <c r="O111" s="198"/>
      <c r="P111" s="198"/>
      <c r="Q111" s="198">
        <v>0</v>
      </c>
      <c r="R111" s="27"/>
      <c r="S111" s="27">
        <v>36732.99</v>
      </c>
      <c r="T111" s="198"/>
      <c r="U111" s="27"/>
      <c r="V111" s="27"/>
      <c r="W111" s="690"/>
      <c r="X111" s="646">
        <f t="shared" si="20"/>
        <v>0</v>
      </c>
    </row>
    <row r="112" spans="1:24" ht="13.5" customHeight="1">
      <c r="A112" s="753"/>
      <c r="B112" s="285">
        <v>630</v>
      </c>
      <c r="C112" s="42" t="s">
        <v>278</v>
      </c>
      <c r="D112" s="66"/>
      <c r="E112" s="66"/>
      <c r="F112" s="66"/>
      <c r="G112" s="66"/>
      <c r="H112" s="66"/>
      <c r="I112" s="38">
        <v>10805</v>
      </c>
      <c r="J112" s="39">
        <v>3148</v>
      </c>
      <c r="K112" s="66">
        <f>2890+1395+2974+8613+1646</f>
        <v>17518</v>
      </c>
      <c r="L112" s="198">
        <v>34575.23</v>
      </c>
      <c r="M112" s="198">
        <v>22975.97</v>
      </c>
      <c r="N112" s="27">
        <v>28524.56</v>
      </c>
      <c r="O112" s="198">
        <v>26839.28</v>
      </c>
      <c r="P112" s="198">
        <v>38980.9</v>
      </c>
      <c r="Q112" s="198">
        <v>31233.38</v>
      </c>
      <c r="R112" s="27">
        <v>40000</v>
      </c>
      <c r="S112" s="27">
        <v>27953.63</v>
      </c>
      <c r="T112" s="198">
        <v>26606.62</v>
      </c>
      <c r="U112" s="27">
        <v>55000</v>
      </c>
      <c r="V112" s="27">
        <v>66438</v>
      </c>
      <c r="W112" s="690">
        <v>63166.65000000002</v>
      </c>
      <c r="X112" s="646">
        <f t="shared" si="20"/>
        <v>95.07608597489391</v>
      </c>
    </row>
    <row r="113" spans="1:24" ht="13.5" customHeight="1" thickBot="1">
      <c r="A113" s="754"/>
      <c r="B113" s="228">
        <v>640</v>
      </c>
      <c r="C113" s="41" t="s">
        <v>279</v>
      </c>
      <c r="D113" s="54"/>
      <c r="E113" s="54">
        <v>217951</v>
      </c>
      <c r="F113" s="54">
        <v>132776</v>
      </c>
      <c r="G113" s="54">
        <v>141830</v>
      </c>
      <c r="H113" s="54">
        <v>137000</v>
      </c>
      <c r="I113" s="41">
        <v>133070</v>
      </c>
      <c r="J113" s="54">
        <v>146453</v>
      </c>
      <c r="K113" s="54">
        <v>144534</v>
      </c>
      <c r="L113" s="277">
        <v>144534</v>
      </c>
      <c r="M113" s="277">
        <v>151477</v>
      </c>
      <c r="N113" s="43">
        <v>155372</v>
      </c>
      <c r="O113" s="230">
        <v>169631.84</v>
      </c>
      <c r="P113" s="230">
        <v>169220.52</v>
      </c>
      <c r="Q113" s="230">
        <v>193874</v>
      </c>
      <c r="R113" s="43">
        <v>154631</v>
      </c>
      <c r="S113" s="43">
        <v>173210</v>
      </c>
      <c r="T113" s="230">
        <v>218782</v>
      </c>
      <c r="U113" s="43">
        <v>220915</v>
      </c>
      <c r="V113" s="43">
        <v>220915</v>
      </c>
      <c r="W113" s="504">
        <v>220915</v>
      </c>
      <c r="X113" s="630">
        <f t="shared" si="20"/>
        <v>100</v>
      </c>
    </row>
    <row r="114" spans="1:24" ht="15.75" thickBot="1">
      <c r="A114" s="187" t="s">
        <v>280</v>
      </c>
      <c r="B114" s="708" t="s">
        <v>49</v>
      </c>
      <c r="C114" s="743"/>
      <c r="D114" s="60">
        <f>D115</f>
        <v>10589</v>
      </c>
      <c r="E114" s="60">
        <f>E115</f>
        <v>11917</v>
      </c>
      <c r="F114" s="60">
        <f>F115</f>
        <v>11883</v>
      </c>
      <c r="G114" s="60">
        <f>G115</f>
        <v>4189</v>
      </c>
      <c r="H114" s="60">
        <v>5005</v>
      </c>
      <c r="I114" s="60">
        <f aca="true" t="shared" si="27" ref="I114:V114">I115</f>
        <v>5041</v>
      </c>
      <c r="J114" s="60">
        <f t="shared" si="27"/>
        <v>5609</v>
      </c>
      <c r="K114" s="60">
        <f t="shared" si="27"/>
        <v>6003</v>
      </c>
      <c r="L114" s="189">
        <v>3745.53</v>
      </c>
      <c r="M114" s="189">
        <f t="shared" si="27"/>
        <v>5989.44</v>
      </c>
      <c r="N114" s="431">
        <f t="shared" si="27"/>
        <v>5966.9</v>
      </c>
      <c r="O114" s="527">
        <f t="shared" si="27"/>
        <v>6273.49</v>
      </c>
      <c r="P114" s="527">
        <f t="shared" si="27"/>
        <v>6274.93</v>
      </c>
      <c r="Q114" s="527">
        <f t="shared" si="27"/>
        <v>6281.35</v>
      </c>
      <c r="R114" s="431">
        <f t="shared" si="27"/>
        <v>6000</v>
      </c>
      <c r="S114" s="431">
        <f t="shared" si="27"/>
        <v>6582.96</v>
      </c>
      <c r="T114" s="477">
        <v>6571.79</v>
      </c>
      <c r="U114" s="94">
        <f t="shared" si="27"/>
        <v>7000</v>
      </c>
      <c r="V114" s="94">
        <f t="shared" si="27"/>
        <v>7000</v>
      </c>
      <c r="W114" s="691">
        <f>W115</f>
        <v>7767.52</v>
      </c>
      <c r="X114" s="611">
        <f t="shared" si="20"/>
        <v>110.96457142857143</v>
      </c>
    </row>
    <row r="115" spans="1:24" ht="13.5" thickBot="1">
      <c r="A115" s="286"/>
      <c r="B115" s="287"/>
      <c r="C115" s="67" t="s">
        <v>281</v>
      </c>
      <c r="D115" s="74">
        <v>10589</v>
      </c>
      <c r="E115" s="74">
        <v>11917</v>
      </c>
      <c r="F115" s="74">
        <v>11883</v>
      </c>
      <c r="G115" s="74">
        <v>4189</v>
      </c>
      <c r="H115" s="74">
        <v>5005</v>
      </c>
      <c r="I115" s="67">
        <v>5041</v>
      </c>
      <c r="J115" s="74">
        <v>5609</v>
      </c>
      <c r="K115" s="12">
        <v>6003</v>
      </c>
      <c r="L115" s="222">
        <v>3745.53</v>
      </c>
      <c r="M115" s="222">
        <v>5989.44</v>
      </c>
      <c r="N115" s="12">
        <v>5966.9</v>
      </c>
      <c r="O115" s="222">
        <v>6273.49</v>
      </c>
      <c r="P115" s="222">
        <v>6274.93</v>
      </c>
      <c r="Q115" s="222">
        <v>6281.35</v>
      </c>
      <c r="R115" s="12">
        <v>6000</v>
      </c>
      <c r="S115" s="12">
        <v>6582.96</v>
      </c>
      <c r="T115" s="222">
        <v>6571.79</v>
      </c>
      <c r="U115" s="12">
        <v>7000</v>
      </c>
      <c r="V115" s="12">
        <v>7000</v>
      </c>
      <c r="W115" s="693">
        <v>7767.52</v>
      </c>
      <c r="X115" s="612">
        <f t="shared" si="20"/>
        <v>110.96457142857143</v>
      </c>
    </row>
    <row r="116" spans="1:24" ht="15.75" thickBot="1">
      <c r="A116" s="242" t="s">
        <v>300</v>
      </c>
      <c r="B116" s="762" t="s">
        <v>299</v>
      </c>
      <c r="C116" s="730"/>
      <c r="D116" s="70">
        <f>D118</f>
        <v>0</v>
      </c>
      <c r="E116" s="70">
        <f>E118</f>
        <v>122817</v>
      </c>
      <c r="F116" s="70">
        <f>F118</f>
        <v>236905</v>
      </c>
      <c r="G116" s="70">
        <f>G118</f>
        <v>210760</v>
      </c>
      <c r="H116" s="70">
        <v>216000</v>
      </c>
      <c r="I116" s="70">
        <f aca="true" t="shared" si="28" ref="I116:V116">I118</f>
        <v>173560</v>
      </c>
      <c r="J116" s="70">
        <f t="shared" si="28"/>
        <v>168880</v>
      </c>
      <c r="K116" s="70">
        <f t="shared" si="28"/>
        <v>168880</v>
      </c>
      <c r="L116" s="71">
        <v>166668</v>
      </c>
      <c r="M116" s="71">
        <f t="shared" si="28"/>
        <v>150364</v>
      </c>
      <c r="N116" s="434">
        <f t="shared" si="28"/>
        <v>136000</v>
      </c>
      <c r="O116" s="529">
        <f>O118+O117</f>
        <v>141246.73</v>
      </c>
      <c r="P116" s="529">
        <f>P118+P117</f>
        <v>166152.71</v>
      </c>
      <c r="Q116" s="529">
        <f>Q118+Q117</f>
        <v>167000</v>
      </c>
      <c r="R116" s="434">
        <f t="shared" si="28"/>
        <v>132714</v>
      </c>
      <c r="S116" s="434">
        <f t="shared" si="28"/>
        <v>148143.92</v>
      </c>
      <c r="T116" s="544">
        <v>191418.9</v>
      </c>
      <c r="U116" s="372">
        <f t="shared" si="28"/>
        <v>237869</v>
      </c>
      <c r="V116" s="372">
        <f t="shared" si="28"/>
        <v>237869</v>
      </c>
      <c r="W116" s="691">
        <f>W118</f>
        <v>156371.41</v>
      </c>
      <c r="X116" s="611">
        <f t="shared" si="20"/>
        <v>65.73845688172902</v>
      </c>
    </row>
    <row r="117" spans="1:24" ht="15">
      <c r="A117" s="752"/>
      <c r="B117" s="524">
        <v>630</v>
      </c>
      <c r="C117" s="231" t="s">
        <v>318</v>
      </c>
      <c r="D117" s="280"/>
      <c r="E117" s="280"/>
      <c r="F117" s="280"/>
      <c r="G117" s="280"/>
      <c r="H117" s="280"/>
      <c r="I117" s="280"/>
      <c r="J117" s="280"/>
      <c r="K117" s="521"/>
      <c r="L117" s="178"/>
      <c r="M117" s="178"/>
      <c r="N117" s="441"/>
      <c r="O117" s="533">
        <v>3112.73</v>
      </c>
      <c r="P117" s="533"/>
      <c r="Q117" s="533"/>
      <c r="R117" s="441"/>
      <c r="S117" s="441"/>
      <c r="T117" s="178"/>
      <c r="U117" s="84"/>
      <c r="V117" s="84"/>
      <c r="W117" s="697"/>
      <c r="X117" s="652">
        <f t="shared" si="20"/>
        <v>0</v>
      </c>
    </row>
    <row r="118" spans="1:24" ht="13.5" thickBot="1">
      <c r="A118" s="754"/>
      <c r="B118" s="301">
        <v>640</v>
      </c>
      <c r="C118" s="274" t="s">
        <v>282</v>
      </c>
      <c r="D118" s="54"/>
      <c r="E118" s="54">
        <v>122817</v>
      </c>
      <c r="F118" s="54">
        <v>236905</v>
      </c>
      <c r="G118" s="54">
        <v>210760</v>
      </c>
      <c r="H118" s="54">
        <v>216000</v>
      </c>
      <c r="I118" s="41">
        <v>173560</v>
      </c>
      <c r="J118" s="54">
        <v>168880</v>
      </c>
      <c r="K118" s="43">
        <v>168880</v>
      </c>
      <c r="L118" s="230">
        <v>166668</v>
      </c>
      <c r="M118" s="230">
        <v>150364</v>
      </c>
      <c r="N118" s="43">
        <v>136000</v>
      </c>
      <c r="O118" s="230">
        <v>138134</v>
      </c>
      <c r="P118" s="230">
        <v>166152.71</v>
      </c>
      <c r="Q118" s="230">
        <v>167000</v>
      </c>
      <c r="R118" s="43">
        <v>132714</v>
      </c>
      <c r="S118" s="43">
        <v>148143.92</v>
      </c>
      <c r="T118" s="230">
        <v>191418.9</v>
      </c>
      <c r="U118" s="43">
        <v>237869</v>
      </c>
      <c r="V118" s="43">
        <v>237869</v>
      </c>
      <c r="W118" s="695">
        <v>156371.41</v>
      </c>
      <c r="X118" s="650">
        <f t="shared" si="20"/>
        <v>65.73845688172902</v>
      </c>
    </row>
    <row r="119" spans="1:25" ht="15.75" thickBot="1">
      <c r="A119" s="242" t="s">
        <v>58</v>
      </c>
      <c r="B119" s="762" t="s">
        <v>283</v>
      </c>
      <c r="C119" s="730"/>
      <c r="D119" s="70">
        <v>0</v>
      </c>
      <c r="E119" s="70">
        <v>56430</v>
      </c>
      <c r="F119" s="70">
        <v>359789</v>
      </c>
      <c r="G119" s="70">
        <v>312928</v>
      </c>
      <c r="H119" s="70">
        <v>336361</v>
      </c>
      <c r="I119" s="70">
        <f aca="true" t="shared" si="29" ref="I119:V119">SUM(I120:I127)</f>
        <v>283963</v>
      </c>
      <c r="J119" s="70">
        <f t="shared" si="29"/>
        <v>347786</v>
      </c>
      <c r="K119" s="70">
        <f t="shared" si="29"/>
        <v>268221</v>
      </c>
      <c r="L119" s="70">
        <f t="shared" si="29"/>
        <v>263798.23</v>
      </c>
      <c r="M119" s="71">
        <f t="shared" si="29"/>
        <v>287887.32</v>
      </c>
      <c r="N119" s="434">
        <f t="shared" si="29"/>
        <v>314491.48</v>
      </c>
      <c r="O119" s="529">
        <f t="shared" si="29"/>
        <v>300556.48</v>
      </c>
      <c r="P119" s="529">
        <f t="shared" si="29"/>
        <v>267198.25</v>
      </c>
      <c r="Q119" s="529">
        <f t="shared" si="29"/>
        <v>301913.75</v>
      </c>
      <c r="R119" s="434">
        <f t="shared" si="29"/>
        <v>458379</v>
      </c>
      <c r="S119" s="434">
        <f t="shared" si="29"/>
        <v>438448.69</v>
      </c>
      <c r="T119" s="544">
        <v>583280.4600000001</v>
      </c>
      <c r="U119" s="372">
        <f t="shared" si="29"/>
        <v>468069</v>
      </c>
      <c r="V119" s="372">
        <f t="shared" si="29"/>
        <v>777270</v>
      </c>
      <c r="W119" s="691">
        <f>SUM(W120:W127)</f>
        <v>703356.43</v>
      </c>
      <c r="X119" s="611">
        <f t="shared" si="20"/>
        <v>90.49061844661443</v>
      </c>
      <c r="Y119" s="449"/>
    </row>
    <row r="120" spans="1:24" ht="12.75">
      <c r="A120" s="752"/>
      <c r="B120" s="204">
        <v>610</v>
      </c>
      <c r="C120" s="36" t="s">
        <v>232</v>
      </c>
      <c r="D120" s="37"/>
      <c r="E120" s="37"/>
      <c r="F120" s="37"/>
      <c r="G120" s="37"/>
      <c r="H120" s="37"/>
      <c r="I120" s="36">
        <v>264635</v>
      </c>
      <c r="J120" s="37">
        <v>24997</v>
      </c>
      <c r="K120" s="37">
        <v>24062</v>
      </c>
      <c r="L120" s="84">
        <v>22719.55</v>
      </c>
      <c r="M120" s="192">
        <v>28495.57</v>
      </c>
      <c r="N120" s="126">
        <v>28348.01</v>
      </c>
      <c r="O120" s="192">
        <v>31464.64</v>
      </c>
      <c r="P120" s="192">
        <v>33530.71</v>
      </c>
      <c r="Q120" s="192">
        <v>39895.85</v>
      </c>
      <c r="R120" s="126">
        <v>42076</v>
      </c>
      <c r="S120" s="126">
        <v>44602.43</v>
      </c>
      <c r="T120" s="192">
        <v>42900.8</v>
      </c>
      <c r="U120" s="126">
        <v>66442</v>
      </c>
      <c r="V120" s="126">
        <v>66442</v>
      </c>
      <c r="W120" s="634">
        <v>35469.53</v>
      </c>
      <c r="X120" s="629">
        <f t="shared" si="20"/>
        <v>53.38419975316817</v>
      </c>
    </row>
    <row r="121" spans="1:24" ht="12.75">
      <c r="A121" s="753"/>
      <c r="B121" s="205">
        <v>620</v>
      </c>
      <c r="C121" s="38" t="s">
        <v>233</v>
      </c>
      <c r="D121" s="39"/>
      <c r="E121" s="39"/>
      <c r="F121" s="39"/>
      <c r="G121" s="39"/>
      <c r="H121" s="39"/>
      <c r="I121" s="38"/>
      <c r="J121" s="39">
        <v>9316</v>
      </c>
      <c r="K121" s="39">
        <v>8959</v>
      </c>
      <c r="L121" s="24">
        <v>9337.62</v>
      </c>
      <c r="M121" s="118">
        <v>10210.04</v>
      </c>
      <c r="N121" s="23">
        <v>10765.88</v>
      </c>
      <c r="O121" s="118">
        <v>11782.59</v>
      </c>
      <c r="P121" s="118">
        <v>12285.58</v>
      </c>
      <c r="Q121" s="118">
        <v>14108.66</v>
      </c>
      <c r="R121" s="23">
        <v>15425</v>
      </c>
      <c r="S121" s="23">
        <v>15721.4</v>
      </c>
      <c r="T121" s="118">
        <v>15172.28</v>
      </c>
      <c r="U121" s="23">
        <v>24301</v>
      </c>
      <c r="V121" s="23">
        <v>24301</v>
      </c>
      <c r="W121" s="690">
        <v>15007.65</v>
      </c>
      <c r="X121" s="646">
        <f t="shared" si="20"/>
        <v>61.75733508909098</v>
      </c>
    </row>
    <row r="122" spans="1:24" ht="12.75">
      <c r="A122" s="753"/>
      <c r="B122" s="205">
        <v>630</v>
      </c>
      <c r="C122" s="38" t="s">
        <v>234</v>
      </c>
      <c r="D122" s="39"/>
      <c r="E122" s="39"/>
      <c r="F122" s="39"/>
      <c r="G122" s="39"/>
      <c r="H122" s="39"/>
      <c r="I122" s="38"/>
      <c r="J122" s="39">
        <v>291329</v>
      </c>
      <c r="K122" s="39">
        <f>212898</f>
        <v>212898</v>
      </c>
      <c r="L122" s="24">
        <v>204427.59</v>
      </c>
      <c r="M122" s="118">
        <v>218239.71</v>
      </c>
      <c r="N122" s="23">
        <v>254385.59</v>
      </c>
      <c r="O122" s="118">
        <v>246224.25</v>
      </c>
      <c r="P122" s="118">
        <v>219779.39</v>
      </c>
      <c r="Q122" s="118">
        <v>232209.24</v>
      </c>
      <c r="R122" s="23">
        <v>222600</v>
      </c>
      <c r="S122" s="23">
        <v>291671.33</v>
      </c>
      <c r="T122" s="118">
        <v>408635.18</v>
      </c>
      <c r="U122" s="23">
        <v>347250</v>
      </c>
      <c r="V122" s="23">
        <v>412174</v>
      </c>
      <c r="W122" s="690">
        <v>447100.82</v>
      </c>
      <c r="X122" s="646">
        <f t="shared" si="20"/>
        <v>108.47380475236186</v>
      </c>
    </row>
    <row r="123" spans="1:24" ht="12.75">
      <c r="A123" s="753"/>
      <c r="B123" s="179">
        <v>640</v>
      </c>
      <c r="C123" s="38" t="s">
        <v>235</v>
      </c>
      <c r="D123" s="39"/>
      <c r="E123" s="39"/>
      <c r="F123" s="39"/>
      <c r="G123" s="39"/>
      <c r="H123" s="39"/>
      <c r="I123" s="38"/>
      <c r="J123" s="39"/>
      <c r="K123" s="24">
        <v>158</v>
      </c>
      <c r="L123" s="24">
        <v>169.47</v>
      </c>
      <c r="M123" s="118"/>
      <c r="N123" s="23"/>
      <c r="O123" s="118"/>
      <c r="P123" s="118">
        <v>137.43</v>
      </c>
      <c r="Q123" s="118"/>
      <c r="R123" s="23">
        <v>170000</v>
      </c>
      <c r="S123" s="23">
        <v>83861.95999999999</v>
      </c>
      <c r="T123" s="118">
        <v>109783.39</v>
      </c>
      <c r="U123" s="23"/>
      <c r="V123" s="23">
        <v>8000</v>
      </c>
      <c r="W123" s="690">
        <v>5686.259999999998</v>
      </c>
      <c r="X123" s="646">
        <f t="shared" si="20"/>
        <v>71.07824999999998</v>
      </c>
    </row>
    <row r="124" spans="1:24" ht="12.75">
      <c r="A124" s="753"/>
      <c r="B124" s="179"/>
      <c r="C124" s="38" t="s">
        <v>371</v>
      </c>
      <c r="D124" s="39"/>
      <c r="E124" s="39"/>
      <c r="F124" s="39"/>
      <c r="G124" s="39"/>
      <c r="H124" s="39"/>
      <c r="I124" s="38"/>
      <c r="J124" s="39"/>
      <c r="K124" s="24"/>
      <c r="L124" s="24"/>
      <c r="M124" s="118"/>
      <c r="N124" s="23"/>
      <c r="O124" s="118"/>
      <c r="P124" s="118"/>
      <c r="Q124" s="118"/>
      <c r="R124" s="23">
        <v>8278</v>
      </c>
      <c r="S124" s="23"/>
      <c r="T124" s="118"/>
      <c r="U124" s="23">
        <v>11669</v>
      </c>
      <c r="V124" s="81">
        <v>177946</v>
      </c>
      <c r="W124" s="504">
        <f>116125.91+11866.26</f>
        <v>127992.17</v>
      </c>
      <c r="X124" s="630">
        <f t="shared" si="20"/>
        <v>71.92753419576725</v>
      </c>
    </row>
    <row r="125" spans="1:24" ht="12.75">
      <c r="A125" s="753"/>
      <c r="B125" s="179"/>
      <c r="C125" s="38" t="s">
        <v>401</v>
      </c>
      <c r="D125" s="39"/>
      <c r="E125" s="39"/>
      <c r="F125" s="39"/>
      <c r="G125" s="39"/>
      <c r="H125" s="39"/>
      <c r="I125" s="38"/>
      <c r="J125" s="39"/>
      <c r="K125" s="24"/>
      <c r="L125" s="24"/>
      <c r="M125" s="118"/>
      <c r="N125" s="23"/>
      <c r="O125" s="118"/>
      <c r="P125" s="118"/>
      <c r="Q125" s="118"/>
      <c r="R125" s="23"/>
      <c r="S125" s="23"/>
      <c r="T125" s="118"/>
      <c r="U125" s="23"/>
      <c r="V125" s="81">
        <v>49000</v>
      </c>
      <c r="W125" s="504">
        <v>49000</v>
      </c>
      <c r="X125" s="630">
        <f t="shared" si="20"/>
        <v>100</v>
      </c>
    </row>
    <row r="126" spans="1:24" ht="12.75">
      <c r="A126" s="753"/>
      <c r="B126" s="179"/>
      <c r="C126" s="38" t="s">
        <v>402</v>
      </c>
      <c r="D126" s="39"/>
      <c r="E126" s="39"/>
      <c r="F126" s="39"/>
      <c r="G126" s="39"/>
      <c r="H126" s="39"/>
      <c r="I126" s="38"/>
      <c r="J126" s="39"/>
      <c r="K126" s="24"/>
      <c r="L126" s="24"/>
      <c r="M126" s="118"/>
      <c r="N126" s="23"/>
      <c r="O126" s="118"/>
      <c r="P126" s="118"/>
      <c r="Q126" s="118"/>
      <c r="R126" s="23"/>
      <c r="S126" s="23"/>
      <c r="T126" s="118"/>
      <c r="U126" s="23"/>
      <c r="V126" s="81">
        <v>14000</v>
      </c>
      <c r="W126" s="504">
        <v>14000</v>
      </c>
      <c r="X126" s="630">
        <f t="shared" si="20"/>
        <v>100</v>
      </c>
    </row>
    <row r="127" spans="1:24" ht="13.5" thickBot="1">
      <c r="A127" s="754"/>
      <c r="B127" s="207">
        <v>640</v>
      </c>
      <c r="C127" s="102" t="s">
        <v>282</v>
      </c>
      <c r="D127" s="185"/>
      <c r="E127" s="185">
        <v>56430</v>
      </c>
      <c r="F127" s="185">
        <v>66388</v>
      </c>
      <c r="G127" s="185">
        <v>33070</v>
      </c>
      <c r="H127" s="185">
        <v>34000</v>
      </c>
      <c r="I127" s="102">
        <v>19328</v>
      </c>
      <c r="J127" s="185">
        <v>22144</v>
      </c>
      <c r="K127" s="69">
        <v>22144</v>
      </c>
      <c r="L127" s="69">
        <v>27144</v>
      </c>
      <c r="M127" s="186">
        <v>30942</v>
      </c>
      <c r="N127" s="69">
        <v>20992</v>
      </c>
      <c r="O127" s="186">
        <v>11085</v>
      </c>
      <c r="P127" s="186">
        <v>1465.14</v>
      </c>
      <c r="Q127" s="186">
        <v>15700</v>
      </c>
      <c r="R127" s="69"/>
      <c r="S127" s="69">
        <v>2591.57</v>
      </c>
      <c r="T127" s="186">
        <v>6788.81</v>
      </c>
      <c r="U127" s="69">
        <v>18407</v>
      </c>
      <c r="V127" s="69">
        <v>25407</v>
      </c>
      <c r="W127" s="504">
        <v>9100</v>
      </c>
      <c r="X127" s="630">
        <f t="shared" si="20"/>
        <v>35.81690085409533</v>
      </c>
    </row>
    <row r="128" spans="1:24" ht="15.75" thickBot="1">
      <c r="A128" s="206"/>
      <c r="B128" s="750" t="s">
        <v>357</v>
      </c>
      <c r="C128" s="751"/>
      <c r="D128" s="185"/>
      <c r="E128" s="185"/>
      <c r="F128" s="185"/>
      <c r="G128" s="185"/>
      <c r="H128" s="185"/>
      <c r="I128" s="102"/>
      <c r="J128" s="185"/>
      <c r="K128" s="69"/>
      <c r="L128" s="69"/>
      <c r="M128" s="186"/>
      <c r="N128" s="69"/>
      <c r="O128" s="186"/>
      <c r="P128" s="186"/>
      <c r="Q128" s="186"/>
      <c r="R128" s="69"/>
      <c r="S128" s="69">
        <v>21778.81</v>
      </c>
      <c r="T128" s="186">
        <v>1065</v>
      </c>
      <c r="U128" s="69"/>
      <c r="V128" s="69"/>
      <c r="W128" s="693"/>
      <c r="X128" s="612">
        <f t="shared" si="20"/>
        <v>0</v>
      </c>
    </row>
    <row r="129" spans="1:24" ht="15.75" thickBot="1">
      <c r="A129" s="206"/>
      <c r="B129" s="577">
        <v>600</v>
      </c>
      <c r="C129" s="67" t="s">
        <v>358</v>
      </c>
      <c r="D129" s="185"/>
      <c r="E129" s="185"/>
      <c r="F129" s="185"/>
      <c r="G129" s="185"/>
      <c r="H129" s="185"/>
      <c r="I129" s="102"/>
      <c r="J129" s="185"/>
      <c r="K129" s="69"/>
      <c r="L129" s="69"/>
      <c r="M129" s="186"/>
      <c r="N129" s="69"/>
      <c r="O129" s="186"/>
      <c r="P129" s="186"/>
      <c r="Q129" s="186"/>
      <c r="R129" s="69"/>
      <c r="S129" s="69">
        <v>21778.81</v>
      </c>
      <c r="T129" s="186">
        <v>1065</v>
      </c>
      <c r="U129" s="69"/>
      <c r="V129" s="69"/>
      <c r="W129" s="693"/>
      <c r="X129" s="612">
        <f t="shared" si="20"/>
        <v>0</v>
      </c>
    </row>
    <row r="130" spans="1:24" ht="15.75" thickBot="1">
      <c r="A130" s="242" t="s">
        <v>214</v>
      </c>
      <c r="B130" s="762" t="s">
        <v>284</v>
      </c>
      <c r="C130" s="730"/>
      <c r="D130" s="70">
        <f aca="true" t="shared" si="30" ref="D130:V130">SUM(D131:D134)</f>
        <v>398161</v>
      </c>
      <c r="E130" s="70">
        <f t="shared" si="30"/>
        <v>245269</v>
      </c>
      <c r="F130" s="70">
        <f t="shared" si="30"/>
        <v>266050</v>
      </c>
      <c r="G130" s="70">
        <f t="shared" si="30"/>
        <v>237941</v>
      </c>
      <c r="H130" s="70">
        <f t="shared" si="30"/>
        <v>273708</v>
      </c>
      <c r="I130" s="70">
        <f t="shared" si="30"/>
        <v>262675</v>
      </c>
      <c r="J130" s="70">
        <f t="shared" si="30"/>
        <v>162661</v>
      </c>
      <c r="K130" s="70">
        <f t="shared" si="30"/>
        <v>165913</v>
      </c>
      <c r="L130" s="71">
        <f t="shared" si="30"/>
        <v>173111</v>
      </c>
      <c r="M130" s="71">
        <f t="shared" si="30"/>
        <v>179007.07</v>
      </c>
      <c r="N130" s="434">
        <f t="shared" si="30"/>
        <v>207573.5</v>
      </c>
      <c r="O130" s="529">
        <f t="shared" si="30"/>
        <v>252852.5</v>
      </c>
      <c r="P130" s="529">
        <f>SUM(P131:P134)</f>
        <v>259830</v>
      </c>
      <c r="Q130" s="529">
        <f>SUM(Q131:Q134)</f>
        <v>341183.70999999996</v>
      </c>
      <c r="R130" s="434">
        <f t="shared" si="30"/>
        <v>312893</v>
      </c>
      <c r="S130" s="434">
        <f t="shared" si="30"/>
        <v>363265.4</v>
      </c>
      <c r="T130" s="544">
        <v>463096.88</v>
      </c>
      <c r="U130" s="372">
        <f t="shared" si="30"/>
        <v>494313</v>
      </c>
      <c r="V130" s="372">
        <f t="shared" si="30"/>
        <v>506843</v>
      </c>
      <c r="W130" s="691">
        <f>SUM(W131:W134)</f>
        <v>501093.99</v>
      </c>
      <c r="X130" s="611">
        <f t="shared" si="20"/>
        <v>98.86572173237077</v>
      </c>
    </row>
    <row r="131" spans="1:24" ht="12.75">
      <c r="A131" s="755"/>
      <c r="B131" s="288"/>
      <c r="C131" s="36" t="s">
        <v>346</v>
      </c>
      <c r="D131" s="37">
        <v>373863</v>
      </c>
      <c r="E131" s="37">
        <v>211312</v>
      </c>
      <c r="F131" s="37">
        <v>220574</v>
      </c>
      <c r="G131" s="37">
        <v>190734</v>
      </c>
      <c r="H131" s="37">
        <v>216608</v>
      </c>
      <c r="I131" s="36">
        <v>202225</v>
      </c>
      <c r="J131" s="39">
        <v>118262</v>
      </c>
      <c r="K131" s="39">
        <v>116713</v>
      </c>
      <c r="L131" s="105">
        <v>116713</v>
      </c>
      <c r="M131" s="105">
        <v>132538</v>
      </c>
      <c r="N131" s="21">
        <v>117290</v>
      </c>
      <c r="O131" s="21">
        <v>150490</v>
      </c>
      <c r="P131" s="21">
        <v>157200</v>
      </c>
      <c r="Q131" s="105">
        <v>183913.71</v>
      </c>
      <c r="R131" s="21">
        <v>234058</v>
      </c>
      <c r="S131" s="21">
        <v>257655.4</v>
      </c>
      <c r="T131" s="105">
        <v>320916.88</v>
      </c>
      <c r="U131" s="21">
        <v>341843</v>
      </c>
      <c r="V131" s="21">
        <v>349843</v>
      </c>
      <c r="W131" s="634">
        <v>352753.99</v>
      </c>
      <c r="X131" s="629">
        <f t="shared" si="20"/>
        <v>100.83208467798413</v>
      </c>
    </row>
    <row r="132" spans="1:24" ht="12.75">
      <c r="A132" s="756"/>
      <c r="B132" s="560"/>
      <c r="C132" s="38" t="s">
        <v>312</v>
      </c>
      <c r="D132" s="39"/>
      <c r="E132" s="39"/>
      <c r="F132" s="39"/>
      <c r="G132" s="39"/>
      <c r="H132" s="39"/>
      <c r="I132" s="38"/>
      <c r="J132" s="39"/>
      <c r="K132" s="39"/>
      <c r="L132" s="180"/>
      <c r="M132" s="180">
        <v>3467.07</v>
      </c>
      <c r="N132" s="24">
        <v>50283.5</v>
      </c>
      <c r="O132" s="24">
        <v>101647</v>
      </c>
      <c r="P132" s="24">
        <v>53450</v>
      </c>
      <c r="Q132" s="180">
        <v>57270</v>
      </c>
      <c r="R132" s="24">
        <v>18835</v>
      </c>
      <c r="S132" s="24">
        <v>105610</v>
      </c>
      <c r="T132" s="180">
        <v>142180</v>
      </c>
      <c r="U132" s="24">
        <v>57470</v>
      </c>
      <c r="V132" s="24">
        <v>62000</v>
      </c>
      <c r="W132" s="690">
        <v>148340</v>
      </c>
      <c r="X132" s="646">
        <f aca="true" t="shared" si="31" ref="X132:X196">IF(V132=0,0,W132/V132)*100</f>
        <v>239.25806451612902</v>
      </c>
    </row>
    <row r="133" spans="1:24" ht="12.75">
      <c r="A133" s="756"/>
      <c r="B133" s="560"/>
      <c r="C133" s="38" t="s">
        <v>340</v>
      </c>
      <c r="D133" s="39"/>
      <c r="E133" s="39"/>
      <c r="F133" s="39"/>
      <c r="G133" s="39"/>
      <c r="H133" s="39"/>
      <c r="I133" s="38"/>
      <c r="J133" s="39"/>
      <c r="K133" s="39"/>
      <c r="L133" s="180"/>
      <c r="M133" s="180"/>
      <c r="N133" s="24"/>
      <c r="O133" s="24"/>
      <c r="P133" s="24"/>
      <c r="Q133" s="180">
        <v>20000</v>
      </c>
      <c r="R133" s="24">
        <v>10000</v>
      </c>
      <c r="S133" s="24"/>
      <c r="T133" s="180"/>
      <c r="U133" s="24">
        <v>10000</v>
      </c>
      <c r="V133" s="24">
        <v>10000</v>
      </c>
      <c r="W133" s="504"/>
      <c r="X133" s="630">
        <f t="shared" si="31"/>
        <v>0</v>
      </c>
    </row>
    <row r="134" spans="1:24" ht="13.5" thickBot="1">
      <c r="A134" s="757"/>
      <c r="B134" s="289"/>
      <c r="C134" s="41" t="s">
        <v>285</v>
      </c>
      <c r="D134" s="54">
        <v>24298</v>
      </c>
      <c r="E134" s="54">
        <v>33957</v>
      </c>
      <c r="F134" s="54">
        <v>45476</v>
      </c>
      <c r="G134" s="54">
        <v>47207</v>
      </c>
      <c r="H134" s="54">
        <v>57100</v>
      </c>
      <c r="I134" s="41">
        <v>60450</v>
      </c>
      <c r="J134" s="39">
        <v>44399</v>
      </c>
      <c r="K134" s="39">
        <v>49200</v>
      </c>
      <c r="L134" s="198">
        <v>56398</v>
      </c>
      <c r="M134" s="198">
        <v>43002</v>
      </c>
      <c r="N134" s="27">
        <v>40000</v>
      </c>
      <c r="O134" s="27">
        <v>715.5</v>
      </c>
      <c r="P134" s="27">
        <f>102630-53450</f>
        <v>49180</v>
      </c>
      <c r="Q134" s="198">
        <v>80000</v>
      </c>
      <c r="R134" s="27">
        <v>50000</v>
      </c>
      <c r="S134" s="27"/>
      <c r="T134" s="198"/>
      <c r="U134" s="27">
        <v>85000</v>
      </c>
      <c r="V134" s="27">
        <v>85000</v>
      </c>
      <c r="W134" s="504"/>
      <c r="X134" s="630">
        <f t="shared" si="31"/>
        <v>0</v>
      </c>
    </row>
    <row r="135" spans="1:25" ht="15.75" thickBot="1">
      <c r="A135" s="187" t="s">
        <v>298</v>
      </c>
      <c r="B135" s="708" t="s">
        <v>73</v>
      </c>
      <c r="C135" s="743"/>
      <c r="D135" s="60">
        <v>16298</v>
      </c>
      <c r="E135" s="60">
        <f>SUM(E136:E147)</f>
        <v>196674</v>
      </c>
      <c r="F135" s="60">
        <f>SUM(F136:F147)</f>
        <v>276704</v>
      </c>
      <c r="G135" s="60">
        <v>322185</v>
      </c>
      <c r="H135" s="60">
        <v>434860</v>
      </c>
      <c r="I135" s="60">
        <f>SUM(I136:I147)</f>
        <v>399432</v>
      </c>
      <c r="J135" s="60">
        <f>SUM(J136:J147)</f>
        <v>332348</v>
      </c>
      <c r="K135" s="60">
        <f>SUM(K136:K147)</f>
        <v>315787</v>
      </c>
      <c r="L135" s="189">
        <f aca="true" t="shared" si="32" ref="L135:Q135">SUM(L136:L149)</f>
        <v>311192.31999999995</v>
      </c>
      <c r="M135" s="189">
        <f t="shared" si="32"/>
        <v>355810.5</v>
      </c>
      <c r="N135" s="431">
        <f t="shared" si="32"/>
        <v>384915.19</v>
      </c>
      <c r="O135" s="527">
        <f t="shared" si="32"/>
        <v>388070.83</v>
      </c>
      <c r="P135" s="527">
        <f t="shared" si="32"/>
        <v>361113.8</v>
      </c>
      <c r="Q135" s="527">
        <f t="shared" si="32"/>
        <v>408594.14</v>
      </c>
      <c r="R135" s="431">
        <f aca="true" t="shared" si="33" ref="R135:W135">SUM(R136:R149)</f>
        <v>261523</v>
      </c>
      <c r="S135" s="431">
        <f t="shared" si="33"/>
        <v>268647.67</v>
      </c>
      <c r="T135" s="477">
        <v>354233.36</v>
      </c>
      <c r="U135" s="94">
        <f t="shared" si="33"/>
        <v>441836</v>
      </c>
      <c r="V135" s="94">
        <f t="shared" si="33"/>
        <v>556055</v>
      </c>
      <c r="W135" s="691">
        <f t="shared" si="33"/>
        <v>519374.83</v>
      </c>
      <c r="X135" s="611">
        <f t="shared" si="31"/>
        <v>93.40349965381122</v>
      </c>
      <c r="Y135" s="2"/>
    </row>
    <row r="136" spans="1:24" ht="12.75">
      <c r="A136" s="755"/>
      <c r="B136" s="290"/>
      <c r="C136" s="199" t="s">
        <v>286</v>
      </c>
      <c r="D136" s="291">
        <v>4913</v>
      </c>
      <c r="E136" s="291">
        <v>3850</v>
      </c>
      <c r="F136" s="291">
        <v>5112</v>
      </c>
      <c r="G136" s="291"/>
      <c r="H136" s="291"/>
      <c r="I136" s="199">
        <v>6756</v>
      </c>
      <c r="J136" s="291">
        <v>7114</v>
      </c>
      <c r="K136" s="37">
        <v>7113</v>
      </c>
      <c r="L136" s="84">
        <v>7438.6</v>
      </c>
      <c r="M136" s="178">
        <v>12903.29</v>
      </c>
      <c r="N136" s="84">
        <v>10157.04</v>
      </c>
      <c r="O136" s="178">
        <v>15460.72</v>
      </c>
      <c r="P136" s="178">
        <v>9192</v>
      </c>
      <c r="Q136" s="178">
        <v>10989.94</v>
      </c>
      <c r="R136" s="84">
        <v>14300</v>
      </c>
      <c r="S136" s="84">
        <v>9714.43</v>
      </c>
      <c r="T136" s="178">
        <v>3866.95</v>
      </c>
      <c r="U136" s="84">
        <v>14300</v>
      </c>
      <c r="V136" s="84">
        <v>5300</v>
      </c>
      <c r="W136" s="634">
        <f>1066.96+3169.48+10.59</f>
        <v>4247.030000000001</v>
      </c>
      <c r="X136" s="629">
        <f t="shared" si="31"/>
        <v>80.13264150943398</v>
      </c>
    </row>
    <row r="137" spans="1:24" ht="12.75">
      <c r="A137" s="756"/>
      <c r="B137" s="292"/>
      <c r="C137" s="201" t="s">
        <v>212</v>
      </c>
      <c r="D137" s="293"/>
      <c r="E137" s="293"/>
      <c r="F137" s="293"/>
      <c r="G137" s="293"/>
      <c r="H137" s="293"/>
      <c r="I137" s="294">
        <v>48971</v>
      </c>
      <c r="J137" s="293"/>
      <c r="K137" s="51"/>
      <c r="L137" s="21"/>
      <c r="M137" s="105"/>
      <c r="N137" s="21"/>
      <c r="O137" s="105"/>
      <c r="P137" s="105">
        <v>12970.5</v>
      </c>
      <c r="Q137" s="105">
        <v>4960</v>
      </c>
      <c r="R137" s="21">
        <v>0</v>
      </c>
      <c r="S137" s="21"/>
      <c r="T137" s="105"/>
      <c r="U137" s="21"/>
      <c r="V137" s="21">
        <v>0</v>
      </c>
      <c r="W137" s="690"/>
      <c r="X137" s="646">
        <f t="shared" si="31"/>
        <v>0</v>
      </c>
    </row>
    <row r="138" spans="1:24" ht="12.75">
      <c r="A138" s="756"/>
      <c r="B138" s="292"/>
      <c r="C138" s="201" t="s">
        <v>197</v>
      </c>
      <c r="D138" s="293"/>
      <c r="E138" s="293"/>
      <c r="F138" s="293"/>
      <c r="G138" s="293"/>
      <c r="H138" s="293"/>
      <c r="I138" s="294">
        <v>24304</v>
      </c>
      <c r="J138" s="293">
        <v>10566</v>
      </c>
      <c r="K138" s="51">
        <v>3350</v>
      </c>
      <c r="L138" s="21">
        <v>4052</v>
      </c>
      <c r="M138" s="105">
        <v>10555.27</v>
      </c>
      <c r="N138" s="21"/>
      <c r="O138" s="105">
        <v>12040.65</v>
      </c>
      <c r="P138" s="105">
        <v>15000</v>
      </c>
      <c r="Q138" s="105">
        <v>42000</v>
      </c>
      <c r="R138" s="21">
        <v>10000</v>
      </c>
      <c r="S138" s="21"/>
      <c r="T138" s="105">
        <v>55000</v>
      </c>
      <c r="U138" s="21">
        <v>10000</v>
      </c>
      <c r="V138" s="21">
        <v>35000</v>
      </c>
      <c r="W138" s="690">
        <v>35000</v>
      </c>
      <c r="X138" s="646">
        <f t="shared" si="31"/>
        <v>100</v>
      </c>
    </row>
    <row r="139" spans="1:24" ht="12.75">
      <c r="A139" s="756"/>
      <c r="B139" s="292"/>
      <c r="C139" s="201" t="s">
        <v>314</v>
      </c>
      <c r="D139" s="293"/>
      <c r="E139" s="293"/>
      <c r="F139" s="293"/>
      <c r="G139" s="293"/>
      <c r="H139" s="293"/>
      <c r="I139" s="294"/>
      <c r="J139" s="293"/>
      <c r="K139" s="51"/>
      <c r="L139" s="21"/>
      <c r="M139" s="105">
        <v>19000</v>
      </c>
      <c r="N139" s="21">
        <v>10407.57</v>
      </c>
      <c r="O139" s="105">
        <v>19000</v>
      </c>
      <c r="P139" s="105">
        <v>3083.2</v>
      </c>
      <c r="Q139" s="105">
        <v>4899.4</v>
      </c>
      <c r="R139" s="21">
        <v>2000</v>
      </c>
      <c r="S139" s="21">
        <v>3257.1899999999996</v>
      </c>
      <c r="T139" s="105">
        <v>7200</v>
      </c>
      <c r="U139" s="21">
        <v>7000</v>
      </c>
      <c r="V139" s="21">
        <v>6000</v>
      </c>
      <c r="W139" s="690">
        <v>6000</v>
      </c>
      <c r="X139" s="646">
        <f t="shared" si="31"/>
        <v>100</v>
      </c>
    </row>
    <row r="140" spans="1:24" ht="12.75">
      <c r="A140" s="756"/>
      <c r="B140" s="292"/>
      <c r="C140" s="201" t="s">
        <v>287</v>
      </c>
      <c r="D140" s="293"/>
      <c r="E140" s="293"/>
      <c r="F140" s="293"/>
      <c r="G140" s="293"/>
      <c r="H140" s="293"/>
      <c r="I140" s="294"/>
      <c r="J140" s="293"/>
      <c r="K140" s="51"/>
      <c r="L140" s="21"/>
      <c r="M140" s="105"/>
      <c r="N140" s="21">
        <v>15000</v>
      </c>
      <c r="O140" s="105">
        <v>2377</v>
      </c>
      <c r="P140" s="105">
        <v>11700</v>
      </c>
      <c r="Q140" s="105">
        <v>17500</v>
      </c>
      <c r="R140" s="21">
        <v>1000</v>
      </c>
      <c r="S140" s="21">
        <v>6500</v>
      </c>
      <c r="T140" s="105"/>
      <c r="U140" s="21">
        <v>10000</v>
      </c>
      <c r="V140" s="21">
        <v>11200</v>
      </c>
      <c r="W140" s="690">
        <v>11000</v>
      </c>
      <c r="X140" s="646">
        <f t="shared" si="31"/>
        <v>98.21428571428571</v>
      </c>
    </row>
    <row r="141" spans="1:24" ht="12.75">
      <c r="A141" s="756"/>
      <c r="B141" s="295"/>
      <c r="C141" s="201" t="s">
        <v>345</v>
      </c>
      <c r="D141" s="181"/>
      <c r="E141" s="181">
        <v>7568</v>
      </c>
      <c r="F141" s="181">
        <v>15767</v>
      </c>
      <c r="G141" s="181">
        <v>15084</v>
      </c>
      <c r="H141" s="181"/>
      <c r="I141" s="201">
        <v>13552</v>
      </c>
      <c r="J141" s="181">
        <v>11060</v>
      </c>
      <c r="K141" s="39">
        <v>9650</v>
      </c>
      <c r="L141" s="24">
        <v>9100</v>
      </c>
      <c r="M141" s="180">
        <v>10889.5</v>
      </c>
      <c r="N141" s="24">
        <v>15000</v>
      </c>
      <c r="O141" s="180">
        <v>7950</v>
      </c>
      <c r="P141" s="180"/>
      <c r="Q141" s="180"/>
      <c r="R141" s="24">
        <v>4000</v>
      </c>
      <c r="S141" s="24"/>
      <c r="T141" s="180"/>
      <c r="U141" s="24">
        <v>6000</v>
      </c>
      <c r="V141" s="24">
        <v>6000</v>
      </c>
      <c r="W141" s="690">
        <f>6000-1500</f>
        <v>4500</v>
      </c>
      <c r="X141" s="646">
        <f t="shared" si="31"/>
        <v>75</v>
      </c>
    </row>
    <row r="142" spans="1:24" ht="12.75">
      <c r="A142" s="756"/>
      <c r="B142" s="295"/>
      <c r="C142" s="201" t="s">
        <v>70</v>
      </c>
      <c r="D142" s="181"/>
      <c r="E142" s="181"/>
      <c r="F142" s="181"/>
      <c r="G142" s="181"/>
      <c r="H142" s="181"/>
      <c r="I142" s="201"/>
      <c r="J142" s="181"/>
      <c r="K142" s="39"/>
      <c r="L142" s="24"/>
      <c r="M142" s="24"/>
      <c r="N142" s="24"/>
      <c r="O142" s="180">
        <v>10000</v>
      </c>
      <c r="P142" s="180">
        <v>5000</v>
      </c>
      <c r="Q142" s="180"/>
      <c r="R142" s="24">
        <v>0</v>
      </c>
      <c r="S142" s="24"/>
      <c r="T142" s="180"/>
      <c r="U142" s="24">
        <v>4000</v>
      </c>
      <c r="V142" s="24">
        <v>9000</v>
      </c>
      <c r="W142" s="690">
        <v>9000</v>
      </c>
      <c r="X142" s="646">
        <f t="shared" si="31"/>
        <v>100</v>
      </c>
    </row>
    <row r="143" spans="1:24" ht="12.75">
      <c r="A143" s="756"/>
      <c r="B143" s="295"/>
      <c r="C143" s="201" t="s">
        <v>306</v>
      </c>
      <c r="D143" s="181"/>
      <c r="E143" s="181"/>
      <c r="F143" s="181"/>
      <c r="G143" s="181"/>
      <c r="H143" s="181"/>
      <c r="I143" s="201"/>
      <c r="J143" s="181"/>
      <c r="K143" s="39"/>
      <c r="L143" s="24"/>
      <c r="M143" s="24"/>
      <c r="N143" s="24">
        <v>256.58</v>
      </c>
      <c r="O143" s="180">
        <v>4000</v>
      </c>
      <c r="P143" s="180">
        <v>6335</v>
      </c>
      <c r="Q143" s="180">
        <v>10280.42</v>
      </c>
      <c r="R143" s="24">
        <v>1000</v>
      </c>
      <c r="S143" s="24"/>
      <c r="T143" s="180">
        <v>4000</v>
      </c>
      <c r="U143" s="24">
        <v>5000</v>
      </c>
      <c r="V143" s="24">
        <v>5000</v>
      </c>
      <c r="W143" s="690">
        <v>4472.800000000001</v>
      </c>
      <c r="X143" s="646">
        <f t="shared" si="31"/>
        <v>89.45600000000002</v>
      </c>
    </row>
    <row r="144" spans="1:24" ht="12.75">
      <c r="A144" s="756"/>
      <c r="B144" s="295"/>
      <c r="C144" s="201" t="s">
        <v>192</v>
      </c>
      <c r="D144" s="181"/>
      <c r="E144" s="181"/>
      <c r="F144" s="181"/>
      <c r="G144" s="181"/>
      <c r="H144" s="181"/>
      <c r="I144" s="201"/>
      <c r="J144" s="181"/>
      <c r="K144" s="39"/>
      <c r="L144" s="24"/>
      <c r="M144" s="24"/>
      <c r="N144" s="24">
        <v>4000</v>
      </c>
      <c r="O144" s="180">
        <v>1050</v>
      </c>
      <c r="P144" s="180">
        <v>42000.1</v>
      </c>
      <c r="Q144" s="180">
        <v>86465</v>
      </c>
      <c r="R144" s="24">
        <v>75178</v>
      </c>
      <c r="S144" s="24">
        <v>71700</v>
      </c>
      <c r="T144" s="180">
        <v>89723</v>
      </c>
      <c r="U144" s="24">
        <v>131000</v>
      </c>
      <c r="V144" s="24">
        <v>224019</v>
      </c>
      <c r="W144" s="690">
        <v>190619</v>
      </c>
      <c r="X144" s="646">
        <f t="shared" si="31"/>
        <v>85.09055035510382</v>
      </c>
    </row>
    <row r="145" spans="1:24" ht="12.75">
      <c r="A145" s="756"/>
      <c r="B145" s="295"/>
      <c r="C145" s="201" t="s">
        <v>193</v>
      </c>
      <c r="D145" s="181"/>
      <c r="E145" s="181">
        <v>58189</v>
      </c>
      <c r="F145" s="181">
        <v>75483</v>
      </c>
      <c r="G145" s="181">
        <v>91400</v>
      </c>
      <c r="H145" s="181"/>
      <c r="I145" s="201">
        <v>152242</v>
      </c>
      <c r="J145" s="181">
        <v>162681</v>
      </c>
      <c r="K145" s="39">
        <v>150333</v>
      </c>
      <c r="L145" s="24">
        <v>119218</v>
      </c>
      <c r="M145" s="180">
        <v>148153</v>
      </c>
      <c r="N145" s="24">
        <v>76969</v>
      </c>
      <c r="O145" s="180">
        <v>70558</v>
      </c>
      <c r="P145" s="180">
        <v>77400</v>
      </c>
      <c r="Q145" s="180">
        <v>117346.38</v>
      </c>
      <c r="R145" s="24">
        <v>88613</v>
      </c>
      <c r="S145" s="24">
        <v>86733</v>
      </c>
      <c r="T145" s="180">
        <v>90525.41</v>
      </c>
      <c r="U145" s="24">
        <v>132000</v>
      </c>
      <c r="V145" s="24">
        <v>132000</v>
      </c>
      <c r="W145" s="690">
        <v>132000</v>
      </c>
      <c r="X145" s="646">
        <f t="shared" si="31"/>
        <v>100</v>
      </c>
    </row>
    <row r="146" spans="1:24" ht="12.75">
      <c r="A146" s="756"/>
      <c r="B146" s="295"/>
      <c r="C146" s="201" t="s">
        <v>341</v>
      </c>
      <c r="D146" s="181"/>
      <c r="E146" s="181">
        <v>99250</v>
      </c>
      <c r="F146" s="181">
        <v>153754</v>
      </c>
      <c r="G146" s="181">
        <v>143286</v>
      </c>
      <c r="H146" s="181"/>
      <c r="I146" s="201">
        <v>86643</v>
      </c>
      <c r="J146" s="181">
        <v>82311</v>
      </c>
      <c r="K146" s="39">
        <v>93232</v>
      </c>
      <c r="L146" s="24">
        <v>109100</v>
      </c>
      <c r="M146" s="180">
        <v>88221</v>
      </c>
      <c r="N146" s="24">
        <v>81209</v>
      </c>
      <c r="O146" s="180">
        <v>72867</v>
      </c>
      <c r="P146" s="180"/>
      <c r="Q146" s="180"/>
      <c r="R146" s="24">
        <v>0</v>
      </c>
      <c r="S146" s="24"/>
      <c r="T146" s="180"/>
      <c r="U146" s="24">
        <v>0</v>
      </c>
      <c r="V146" s="24">
        <v>0</v>
      </c>
      <c r="W146" s="690"/>
      <c r="X146" s="646">
        <f t="shared" si="31"/>
        <v>0</v>
      </c>
    </row>
    <row r="147" spans="1:24" ht="12.75">
      <c r="A147" s="756"/>
      <c r="B147" s="296"/>
      <c r="C147" s="38" t="s">
        <v>194</v>
      </c>
      <c r="D147" s="39"/>
      <c r="E147" s="39">
        <v>27817</v>
      </c>
      <c r="F147" s="39">
        <v>26588</v>
      </c>
      <c r="G147" s="39">
        <v>25790</v>
      </c>
      <c r="H147" s="39"/>
      <c r="I147" s="38">
        <v>66964</v>
      </c>
      <c r="J147" s="39">
        <v>58616</v>
      </c>
      <c r="K147" s="39">
        <v>52109</v>
      </c>
      <c r="L147" s="39">
        <v>49442</v>
      </c>
      <c r="M147" s="101">
        <v>49808</v>
      </c>
      <c r="N147" s="24">
        <v>60863</v>
      </c>
      <c r="O147" s="180">
        <v>64900</v>
      </c>
      <c r="P147" s="180">
        <v>67942</v>
      </c>
      <c r="Q147" s="180"/>
      <c r="R147" s="24">
        <v>0</v>
      </c>
      <c r="S147" s="24"/>
      <c r="T147" s="180"/>
      <c r="U147" s="24">
        <v>0</v>
      </c>
      <c r="V147" s="24">
        <v>0</v>
      </c>
      <c r="W147" s="690"/>
      <c r="X147" s="646">
        <f t="shared" si="31"/>
        <v>0</v>
      </c>
    </row>
    <row r="148" spans="1:24" ht="12.75">
      <c r="A148" s="756"/>
      <c r="B148" s="411"/>
      <c r="C148" s="42" t="s">
        <v>195</v>
      </c>
      <c r="D148" s="66"/>
      <c r="E148" s="66"/>
      <c r="F148" s="66"/>
      <c r="G148" s="66"/>
      <c r="H148" s="66"/>
      <c r="I148" s="42"/>
      <c r="J148" s="66"/>
      <c r="K148" s="66"/>
      <c r="L148" s="66">
        <v>12841.72</v>
      </c>
      <c r="M148" s="229">
        <v>16280.44</v>
      </c>
      <c r="N148" s="27">
        <v>18152</v>
      </c>
      <c r="O148" s="198">
        <v>24031</v>
      </c>
      <c r="P148" s="198">
        <v>24298</v>
      </c>
      <c r="Q148" s="198">
        <v>25498</v>
      </c>
      <c r="R148" s="27">
        <v>7498</v>
      </c>
      <c r="S148" s="27">
        <v>18663</v>
      </c>
      <c r="T148" s="198">
        <v>21115</v>
      </c>
      <c r="U148" s="27">
        <v>25555</v>
      </c>
      <c r="V148" s="27">
        <v>25555</v>
      </c>
      <c r="W148" s="690">
        <v>25555</v>
      </c>
      <c r="X148" s="646">
        <f t="shared" si="31"/>
        <v>100</v>
      </c>
    </row>
    <row r="149" spans="1:24" ht="13.5" thickBot="1">
      <c r="A149" s="757"/>
      <c r="B149" s="297"/>
      <c r="C149" s="41" t="s">
        <v>196</v>
      </c>
      <c r="D149" s="54"/>
      <c r="E149" s="54"/>
      <c r="F149" s="54"/>
      <c r="G149" s="54"/>
      <c r="H149" s="54"/>
      <c r="I149" s="41"/>
      <c r="J149" s="54"/>
      <c r="K149" s="54"/>
      <c r="L149" s="54"/>
      <c r="M149" s="54"/>
      <c r="N149" s="43">
        <v>92901</v>
      </c>
      <c r="O149" s="230">
        <v>83836.46</v>
      </c>
      <c r="P149" s="230">
        <v>86193</v>
      </c>
      <c r="Q149" s="230">
        <v>88655</v>
      </c>
      <c r="R149" s="43">
        <v>57934</v>
      </c>
      <c r="S149" s="43">
        <v>72080.05</v>
      </c>
      <c r="T149" s="230">
        <v>82803</v>
      </c>
      <c r="U149" s="43">
        <v>96981</v>
      </c>
      <c r="V149" s="43">
        <v>96981</v>
      </c>
      <c r="W149" s="504">
        <v>96981</v>
      </c>
      <c r="X149" s="630">
        <f t="shared" si="31"/>
        <v>100</v>
      </c>
    </row>
    <row r="150" spans="1:24" ht="15.75" thickBot="1">
      <c r="A150" s="266" t="s">
        <v>288</v>
      </c>
      <c r="B150" s="708" t="s">
        <v>0</v>
      </c>
      <c r="C150" s="743"/>
      <c r="D150" s="60">
        <f>SUM(D151:D152)</f>
        <v>0</v>
      </c>
      <c r="E150" s="60">
        <f>SUM(E151:E152)</f>
        <v>44944</v>
      </c>
      <c r="F150" s="60">
        <f>SUM(F151:F152)</f>
        <v>55765</v>
      </c>
      <c r="G150" s="60">
        <f>SUM(G151:G152)</f>
        <v>48780</v>
      </c>
      <c r="H150" s="60">
        <f aca="true" t="shared" si="34" ref="H150:M150">SUM(H151:H152)</f>
        <v>52570</v>
      </c>
      <c r="I150" s="60">
        <f t="shared" si="34"/>
        <v>48691</v>
      </c>
      <c r="J150" s="60">
        <f t="shared" si="34"/>
        <v>46108</v>
      </c>
      <c r="K150" s="70">
        <f t="shared" si="34"/>
        <v>47470</v>
      </c>
      <c r="L150" s="71">
        <f t="shared" si="34"/>
        <v>48334.8</v>
      </c>
      <c r="M150" s="71">
        <f t="shared" si="34"/>
        <v>45244.8</v>
      </c>
      <c r="N150" s="434">
        <f aca="true" t="shared" si="35" ref="N150:V150">SUM(N151:N152)</f>
        <v>51246.22</v>
      </c>
      <c r="O150" s="529">
        <f t="shared" si="35"/>
        <v>45133.520000000004</v>
      </c>
      <c r="P150" s="529">
        <f t="shared" si="35"/>
        <v>47476.15</v>
      </c>
      <c r="Q150" s="529">
        <f t="shared" si="35"/>
        <v>47435.44</v>
      </c>
      <c r="R150" s="434">
        <f t="shared" si="35"/>
        <v>58836</v>
      </c>
      <c r="S150" s="434">
        <f t="shared" si="35"/>
        <v>55192.62</v>
      </c>
      <c r="T150" s="544">
        <v>49545.7</v>
      </c>
      <c r="U150" s="372">
        <f t="shared" si="35"/>
        <v>68261</v>
      </c>
      <c r="V150" s="372">
        <f t="shared" si="35"/>
        <v>68261</v>
      </c>
      <c r="W150" s="691">
        <f>SUM(W151:W152)</f>
        <v>59886.53</v>
      </c>
      <c r="X150" s="611">
        <f t="shared" si="31"/>
        <v>87.73169159549377</v>
      </c>
    </row>
    <row r="151" spans="1:24" ht="12.75">
      <c r="A151" s="755"/>
      <c r="B151" s="204">
        <v>630</v>
      </c>
      <c r="C151" s="199" t="s">
        <v>200</v>
      </c>
      <c r="D151" s="291"/>
      <c r="E151" s="291">
        <v>36679</v>
      </c>
      <c r="F151" s="291">
        <v>46803</v>
      </c>
      <c r="G151" s="291">
        <v>39726</v>
      </c>
      <c r="H151" s="291">
        <v>43006</v>
      </c>
      <c r="I151" s="199">
        <v>38795</v>
      </c>
      <c r="J151" s="199">
        <v>36600</v>
      </c>
      <c r="K151" s="37">
        <v>37500</v>
      </c>
      <c r="L151" s="178">
        <v>40890</v>
      </c>
      <c r="M151" s="178">
        <v>37800</v>
      </c>
      <c r="N151" s="84">
        <v>39750</v>
      </c>
      <c r="O151" s="178">
        <v>33550</v>
      </c>
      <c r="P151" s="178">
        <v>37036.15</v>
      </c>
      <c r="Q151" s="178">
        <v>37925.44</v>
      </c>
      <c r="R151" s="84">
        <v>39836</v>
      </c>
      <c r="S151" s="84">
        <v>42509.62</v>
      </c>
      <c r="T151" s="178">
        <v>37622.7</v>
      </c>
      <c r="U151" s="84">
        <v>49261</v>
      </c>
      <c r="V151" s="84">
        <v>49261</v>
      </c>
      <c r="W151" s="634">
        <v>45858.53</v>
      </c>
      <c r="X151" s="629">
        <f t="shared" si="31"/>
        <v>93.09297415805607</v>
      </c>
    </row>
    <row r="152" spans="1:24" ht="13.5" thickBot="1">
      <c r="A152" s="757"/>
      <c r="B152" s="228">
        <v>630</v>
      </c>
      <c r="C152" s="274" t="s">
        <v>1</v>
      </c>
      <c r="D152" s="276"/>
      <c r="E152" s="276">
        <v>8265</v>
      </c>
      <c r="F152" s="276">
        <v>8962</v>
      </c>
      <c r="G152" s="276">
        <v>9054</v>
      </c>
      <c r="H152" s="276">
        <v>9564</v>
      </c>
      <c r="I152" s="274">
        <v>9896</v>
      </c>
      <c r="J152" s="274">
        <v>9508</v>
      </c>
      <c r="K152" s="54">
        <v>9970</v>
      </c>
      <c r="L152" s="230">
        <v>7444.8</v>
      </c>
      <c r="M152" s="230">
        <v>7444.8</v>
      </c>
      <c r="N152" s="43">
        <v>11496.22</v>
      </c>
      <c r="O152" s="230">
        <v>11583.52</v>
      </c>
      <c r="P152" s="230">
        <v>10440</v>
      </c>
      <c r="Q152" s="230">
        <v>9510</v>
      </c>
      <c r="R152" s="43">
        <v>19000</v>
      </c>
      <c r="S152" s="43">
        <v>12683</v>
      </c>
      <c r="T152" s="230">
        <v>11923</v>
      </c>
      <c r="U152" s="43">
        <v>19000</v>
      </c>
      <c r="V152" s="43">
        <v>19000</v>
      </c>
      <c r="W152" s="504">
        <v>14028</v>
      </c>
      <c r="X152" s="630">
        <f t="shared" si="31"/>
        <v>73.83157894736843</v>
      </c>
    </row>
    <row r="153" spans="1:24" ht="15.75" thickBot="1">
      <c r="A153" s="242" t="s">
        <v>63</v>
      </c>
      <c r="B153" s="708" t="s">
        <v>2</v>
      </c>
      <c r="C153" s="743"/>
      <c r="D153" s="60">
        <v>6008</v>
      </c>
      <c r="E153" s="60">
        <f>SUM(E154:E158)</f>
        <v>6373</v>
      </c>
      <c r="F153" s="60">
        <f>SUM(F154:F158)</f>
        <v>76413</v>
      </c>
      <c r="G153" s="60">
        <f>SUM(G154:G158)</f>
        <v>50904</v>
      </c>
      <c r="H153" s="60">
        <v>43602</v>
      </c>
      <c r="I153" s="60">
        <f aca="true" t="shared" si="36" ref="I153:V153">SUM(I154:I158)</f>
        <v>80402</v>
      </c>
      <c r="J153" s="60">
        <f t="shared" si="36"/>
        <v>65201</v>
      </c>
      <c r="K153" s="60">
        <f t="shared" si="36"/>
        <v>82763</v>
      </c>
      <c r="L153" s="189">
        <f t="shared" si="36"/>
        <v>85325.96</v>
      </c>
      <c r="M153" s="189">
        <f t="shared" si="36"/>
        <v>98428.31</v>
      </c>
      <c r="N153" s="431">
        <f t="shared" si="36"/>
        <v>91637.84999999999</v>
      </c>
      <c r="O153" s="431">
        <f t="shared" si="36"/>
        <v>98282.1</v>
      </c>
      <c r="P153" s="431">
        <f t="shared" si="36"/>
        <v>86440.45</v>
      </c>
      <c r="Q153" s="527">
        <f t="shared" si="36"/>
        <v>124303.2</v>
      </c>
      <c r="R153" s="431">
        <f t="shared" si="36"/>
        <v>102958</v>
      </c>
      <c r="S153" s="431">
        <f t="shared" si="36"/>
        <v>120375.1</v>
      </c>
      <c r="T153" s="477">
        <v>131965.77000000002</v>
      </c>
      <c r="U153" s="94">
        <f t="shared" si="36"/>
        <v>110990</v>
      </c>
      <c r="V153" s="94">
        <f t="shared" si="36"/>
        <v>129003</v>
      </c>
      <c r="W153" s="691">
        <f>SUM(W154:W158)</f>
        <v>120110.47</v>
      </c>
      <c r="X153" s="611">
        <f t="shared" si="31"/>
        <v>93.1067262001659</v>
      </c>
    </row>
    <row r="154" spans="1:24" ht="12.75">
      <c r="A154" s="767"/>
      <c r="B154" s="788"/>
      <c r="C154" s="36" t="s">
        <v>3</v>
      </c>
      <c r="D154" s="37"/>
      <c r="E154" s="37">
        <v>5842</v>
      </c>
      <c r="F154" s="37">
        <v>6108</v>
      </c>
      <c r="G154" s="37">
        <v>13480</v>
      </c>
      <c r="H154" s="37">
        <v>6009</v>
      </c>
      <c r="I154" s="36">
        <v>6900</v>
      </c>
      <c r="J154" s="291">
        <v>3787</v>
      </c>
      <c r="K154" s="37">
        <v>3290</v>
      </c>
      <c r="L154" s="178">
        <v>1483</v>
      </c>
      <c r="M154" s="178">
        <v>9142.95</v>
      </c>
      <c r="N154" s="84">
        <v>5153.01</v>
      </c>
      <c r="O154" s="84"/>
      <c r="P154" s="84"/>
      <c r="Q154" s="178"/>
      <c r="R154" s="84">
        <v>0</v>
      </c>
      <c r="S154" s="84"/>
      <c r="T154" s="178"/>
      <c r="U154" s="84"/>
      <c r="V154" s="84">
        <v>0</v>
      </c>
      <c r="W154" s="694"/>
      <c r="X154" s="649">
        <f t="shared" si="31"/>
        <v>0</v>
      </c>
    </row>
    <row r="155" spans="1:24" ht="12.75">
      <c r="A155" s="768"/>
      <c r="B155" s="789"/>
      <c r="C155" s="64" t="s">
        <v>407</v>
      </c>
      <c r="D155" s="51"/>
      <c r="E155" s="51"/>
      <c r="F155" s="51"/>
      <c r="G155" s="51"/>
      <c r="H155" s="51"/>
      <c r="I155" s="64"/>
      <c r="J155" s="293"/>
      <c r="K155" s="51"/>
      <c r="L155" s="105"/>
      <c r="M155" s="105"/>
      <c r="N155" s="21"/>
      <c r="O155" s="21"/>
      <c r="P155" s="21"/>
      <c r="Q155" s="105"/>
      <c r="R155" s="21"/>
      <c r="S155" s="21"/>
      <c r="T155" s="105">
        <v>12859</v>
      </c>
      <c r="U155" s="21"/>
      <c r="V155" s="21">
        <v>7000</v>
      </c>
      <c r="W155" s="634"/>
      <c r="X155" s="629">
        <f t="shared" si="31"/>
        <v>0</v>
      </c>
    </row>
    <row r="156" spans="1:24" ht="12.75">
      <c r="A156" s="768"/>
      <c r="B156" s="789"/>
      <c r="C156" s="38" t="s">
        <v>156</v>
      </c>
      <c r="D156" s="39"/>
      <c r="E156" s="39"/>
      <c r="F156" s="39"/>
      <c r="G156" s="39"/>
      <c r="H156" s="39"/>
      <c r="I156" s="38"/>
      <c r="J156" s="181"/>
      <c r="K156" s="39"/>
      <c r="L156" s="105"/>
      <c r="M156" s="105"/>
      <c r="N156" s="21"/>
      <c r="O156" s="105">
        <v>4985.1</v>
      </c>
      <c r="P156" s="105">
        <v>14458.009999999998</v>
      </c>
      <c r="Q156" s="105">
        <v>18101.53</v>
      </c>
      <c r="R156" s="21">
        <v>12748</v>
      </c>
      <c r="S156" s="21">
        <v>24224.58</v>
      </c>
      <c r="T156" s="105">
        <v>8502.77</v>
      </c>
      <c r="U156" s="21"/>
      <c r="V156" s="21">
        <v>11013</v>
      </c>
      <c r="W156" s="634">
        <f>1012.8+9212.67</f>
        <v>10225.47</v>
      </c>
      <c r="X156" s="629">
        <f t="shared" si="31"/>
        <v>92.84908744211387</v>
      </c>
    </row>
    <row r="157" spans="1:24" ht="12.75">
      <c r="A157" s="768"/>
      <c r="B157" s="789"/>
      <c r="C157" s="38" t="s">
        <v>4</v>
      </c>
      <c r="D157" s="39"/>
      <c r="E157" s="39">
        <v>0</v>
      </c>
      <c r="F157" s="39">
        <v>66388</v>
      </c>
      <c r="G157" s="39">
        <v>33390</v>
      </c>
      <c r="H157" s="39">
        <v>32749</v>
      </c>
      <c r="I157" s="38">
        <v>70000</v>
      </c>
      <c r="J157" s="181">
        <v>59118</v>
      </c>
      <c r="K157" s="39">
        <v>75103</v>
      </c>
      <c r="L157" s="180">
        <v>81056.96</v>
      </c>
      <c r="M157" s="180">
        <v>86285.36</v>
      </c>
      <c r="N157" s="24">
        <v>5874.72</v>
      </c>
      <c r="O157" s="180">
        <v>90485</v>
      </c>
      <c r="P157" s="180">
        <v>71812.44</v>
      </c>
      <c r="Q157" s="180">
        <v>103201.67</v>
      </c>
      <c r="R157" s="24">
        <v>88710</v>
      </c>
      <c r="S157" s="24">
        <v>95300.52</v>
      </c>
      <c r="T157" s="180">
        <v>109444</v>
      </c>
      <c r="U157" s="24">
        <v>108990</v>
      </c>
      <c r="V157" s="24">
        <v>108990</v>
      </c>
      <c r="W157" s="690">
        <v>108990</v>
      </c>
      <c r="X157" s="646">
        <f t="shared" si="31"/>
        <v>100</v>
      </c>
    </row>
    <row r="158" spans="1:24" ht="13.5" thickBot="1">
      <c r="A158" s="769"/>
      <c r="B158" s="790"/>
      <c r="C158" s="102" t="s">
        <v>5</v>
      </c>
      <c r="D158" s="185"/>
      <c r="E158" s="185">
        <v>531</v>
      </c>
      <c r="F158" s="185">
        <v>3917</v>
      </c>
      <c r="G158" s="185">
        <v>4034</v>
      </c>
      <c r="H158" s="185">
        <v>796</v>
      </c>
      <c r="I158" s="102">
        <v>3502</v>
      </c>
      <c r="J158" s="276">
        <v>2296</v>
      </c>
      <c r="K158" s="54">
        <v>4370</v>
      </c>
      <c r="L158" s="186">
        <v>2786</v>
      </c>
      <c r="M158" s="186">
        <v>3000</v>
      </c>
      <c r="N158" s="69">
        <v>80610.12</v>
      </c>
      <c r="O158" s="186">
        <v>2812</v>
      </c>
      <c r="P158" s="186">
        <v>170</v>
      </c>
      <c r="Q158" s="186">
        <v>3000</v>
      </c>
      <c r="R158" s="69">
        <v>1500</v>
      </c>
      <c r="S158" s="69">
        <v>850</v>
      </c>
      <c r="T158" s="186">
        <v>1160</v>
      </c>
      <c r="U158" s="69">
        <v>2000</v>
      </c>
      <c r="V158" s="69">
        <v>2000</v>
      </c>
      <c r="W158" s="695">
        <v>895</v>
      </c>
      <c r="X158" s="650">
        <f t="shared" si="31"/>
        <v>44.75</v>
      </c>
    </row>
    <row r="159" spans="1:24" ht="15.75" thickBot="1">
      <c r="A159" s="187" t="s">
        <v>6</v>
      </c>
      <c r="B159" s="708" t="s">
        <v>7</v>
      </c>
      <c r="C159" s="743"/>
      <c r="D159" s="60">
        <v>2960832</v>
      </c>
      <c r="E159" s="60">
        <v>3369814</v>
      </c>
      <c r="F159" s="60">
        <v>3780057</v>
      </c>
      <c r="G159" s="60">
        <v>4405952.43</v>
      </c>
      <c r="H159" s="60">
        <v>4455752</v>
      </c>
      <c r="I159" s="60">
        <f aca="true" t="shared" si="37" ref="I159:S159">I160+I165</f>
        <v>4609033</v>
      </c>
      <c r="J159" s="60">
        <f t="shared" si="37"/>
        <v>4840194</v>
      </c>
      <c r="K159" s="60">
        <f t="shared" si="37"/>
        <v>4773475</v>
      </c>
      <c r="L159" s="189">
        <f t="shared" si="37"/>
        <v>4944992.85</v>
      </c>
      <c r="M159" s="189">
        <f t="shared" si="37"/>
        <v>5255422.85</v>
      </c>
      <c r="N159" s="431">
        <f t="shared" si="37"/>
        <v>5401219.45</v>
      </c>
      <c r="O159" s="527">
        <f t="shared" si="37"/>
        <v>5606281.4399999995</v>
      </c>
      <c r="P159" s="527">
        <f t="shared" si="37"/>
        <v>5915004.52</v>
      </c>
      <c r="Q159" s="527">
        <f t="shared" si="37"/>
        <v>6513428.659999999</v>
      </c>
      <c r="R159" s="431">
        <f t="shared" si="37"/>
        <v>6622320</v>
      </c>
      <c r="S159" s="431">
        <f t="shared" si="37"/>
        <v>7277274.319999999</v>
      </c>
      <c r="T159" s="477">
        <v>8156314.79</v>
      </c>
      <c r="U159" s="94">
        <f>U160+U165</f>
        <v>7566193</v>
      </c>
      <c r="V159" s="94">
        <f>V160+V165</f>
        <v>9387009</v>
      </c>
      <c r="W159" s="691">
        <f>W160+W165</f>
        <v>9213622.68</v>
      </c>
      <c r="X159" s="611">
        <f t="shared" si="31"/>
        <v>98.15291196588817</v>
      </c>
    </row>
    <row r="160" spans="1:24" ht="15.75" thickBot="1">
      <c r="A160" s="767"/>
      <c r="B160" s="765" t="s">
        <v>213</v>
      </c>
      <c r="C160" s="766"/>
      <c r="D160" s="58">
        <v>29177</v>
      </c>
      <c r="E160" s="58">
        <v>27518</v>
      </c>
      <c r="F160" s="58">
        <v>28447</v>
      </c>
      <c r="G160" s="58">
        <v>30677</v>
      </c>
      <c r="H160" s="58">
        <v>31410</v>
      </c>
      <c r="I160" s="58">
        <f>SUM(I161:I163)</f>
        <v>41249</v>
      </c>
      <c r="J160" s="58">
        <f>SUM(J161:J163)</f>
        <v>38808</v>
      </c>
      <c r="K160" s="58">
        <f>SUM(K161:K163)</f>
        <v>36313</v>
      </c>
      <c r="L160" s="138">
        <f>SUM(L161:L163)</f>
        <v>35493.83</v>
      </c>
      <c r="M160" s="138">
        <f>SUM(M161:M164)</f>
        <v>51463.89000000001</v>
      </c>
      <c r="N160" s="436">
        <f>SUM(N161:N163)</f>
        <v>56202.630000000005</v>
      </c>
      <c r="O160" s="534">
        <f>SUM(O161:O163)</f>
        <v>54280.090000000004</v>
      </c>
      <c r="P160" s="534">
        <f>SUM(P161:P164)</f>
        <v>61314.87</v>
      </c>
      <c r="Q160" s="534">
        <f>SUM(Q161:Q164)</f>
        <v>51737.259999999995</v>
      </c>
      <c r="R160" s="436">
        <f>SUM(R161:R163)</f>
        <v>65741</v>
      </c>
      <c r="S160" s="436">
        <f>SUM(S161:S163)</f>
        <v>44484.13</v>
      </c>
      <c r="T160" s="124">
        <v>39859.219999999994</v>
      </c>
      <c r="U160" s="87">
        <f>SUM(U161:U163)</f>
        <v>74399</v>
      </c>
      <c r="V160" s="87">
        <f>SUM(V161:V163)</f>
        <v>74399</v>
      </c>
      <c r="W160" s="691">
        <f>SUM(W161:W164)</f>
        <v>45717.189999999995</v>
      </c>
      <c r="X160" s="611">
        <f t="shared" si="31"/>
        <v>61.448661944380966</v>
      </c>
    </row>
    <row r="161" spans="1:24" ht="12.75">
      <c r="A161" s="768"/>
      <c r="B161" s="284">
        <v>610</v>
      </c>
      <c r="C161" s="64" t="s">
        <v>232</v>
      </c>
      <c r="D161" s="217"/>
      <c r="E161" s="217">
        <v>18854</v>
      </c>
      <c r="F161" s="217">
        <v>18290</v>
      </c>
      <c r="G161" s="217">
        <v>19464</v>
      </c>
      <c r="H161" s="217">
        <v>22248</v>
      </c>
      <c r="I161" s="128">
        <v>29541</v>
      </c>
      <c r="J161" s="181">
        <v>26330</v>
      </c>
      <c r="K161" s="39">
        <v>25388</v>
      </c>
      <c r="L161" s="217">
        <v>24578.53</v>
      </c>
      <c r="M161" s="462">
        <v>33902.8</v>
      </c>
      <c r="N161" s="467">
        <v>34953.55</v>
      </c>
      <c r="O161" s="535">
        <v>37117.04</v>
      </c>
      <c r="P161" s="535">
        <v>39049.72</v>
      </c>
      <c r="Q161" s="535">
        <v>35866.21</v>
      </c>
      <c r="R161" s="467">
        <v>45404</v>
      </c>
      <c r="S161" s="467">
        <v>32858.17</v>
      </c>
      <c r="T161" s="535">
        <v>29279.14</v>
      </c>
      <c r="U161" s="467">
        <v>51820</v>
      </c>
      <c r="V161" s="467">
        <v>51820</v>
      </c>
      <c r="W161" s="634">
        <v>33777.67</v>
      </c>
      <c r="X161" s="629">
        <f t="shared" si="31"/>
        <v>65.18269008104978</v>
      </c>
    </row>
    <row r="162" spans="1:24" ht="12.75">
      <c r="A162" s="768"/>
      <c r="B162" s="205">
        <v>620</v>
      </c>
      <c r="C162" s="38" t="s">
        <v>233</v>
      </c>
      <c r="D162" s="39"/>
      <c r="E162" s="39">
        <v>6473</v>
      </c>
      <c r="F162" s="39">
        <v>6340</v>
      </c>
      <c r="G162" s="39">
        <v>6869</v>
      </c>
      <c r="H162" s="39">
        <v>6877</v>
      </c>
      <c r="I162" s="38">
        <v>9575</v>
      </c>
      <c r="J162" s="181">
        <v>9735</v>
      </c>
      <c r="K162" s="39">
        <v>9358</v>
      </c>
      <c r="L162" s="39">
        <v>9719.8</v>
      </c>
      <c r="M162" s="171">
        <v>11551.79</v>
      </c>
      <c r="N162" s="86">
        <v>12736.3</v>
      </c>
      <c r="O162" s="536">
        <v>13736.32</v>
      </c>
      <c r="P162" s="536">
        <v>15439.53</v>
      </c>
      <c r="Q162" s="536">
        <v>12794.52</v>
      </c>
      <c r="R162" s="86">
        <v>16337</v>
      </c>
      <c r="S162" s="86">
        <v>10514.61</v>
      </c>
      <c r="T162" s="536">
        <v>9186.25</v>
      </c>
      <c r="U162" s="86">
        <v>18579</v>
      </c>
      <c r="V162" s="86">
        <v>18579</v>
      </c>
      <c r="W162" s="690">
        <v>10632.08</v>
      </c>
      <c r="X162" s="646">
        <f t="shared" si="31"/>
        <v>57.22633080359546</v>
      </c>
    </row>
    <row r="163" spans="1:24" ht="13.5" thickBot="1">
      <c r="A163" s="768"/>
      <c r="B163" s="179">
        <v>630</v>
      </c>
      <c r="C163" s="38" t="s">
        <v>234</v>
      </c>
      <c r="D163" s="54"/>
      <c r="E163" s="54">
        <v>2191</v>
      </c>
      <c r="F163" s="54">
        <v>3817</v>
      </c>
      <c r="G163" s="54">
        <v>4344</v>
      </c>
      <c r="H163" s="54">
        <v>2285</v>
      </c>
      <c r="I163" s="41">
        <v>2133</v>
      </c>
      <c r="J163" s="181">
        <v>2743</v>
      </c>
      <c r="K163" s="39">
        <v>1567</v>
      </c>
      <c r="L163" s="39">
        <v>1195.5</v>
      </c>
      <c r="M163" s="101">
        <v>1127.3</v>
      </c>
      <c r="N163" s="24">
        <v>8512.78</v>
      </c>
      <c r="O163" s="180">
        <v>3426.73</v>
      </c>
      <c r="P163" s="180">
        <v>3125.62</v>
      </c>
      <c r="Q163" s="180">
        <v>3076.53</v>
      </c>
      <c r="R163" s="24">
        <v>4000</v>
      </c>
      <c r="S163" s="24">
        <v>1111.35</v>
      </c>
      <c r="T163" s="180">
        <v>1326.63</v>
      </c>
      <c r="U163" s="24">
        <v>4000</v>
      </c>
      <c r="V163" s="24">
        <v>4000</v>
      </c>
      <c r="W163" s="690">
        <v>673.8400000000001</v>
      </c>
      <c r="X163" s="646">
        <f t="shared" si="31"/>
        <v>16.846000000000004</v>
      </c>
    </row>
    <row r="164" spans="1:24" ht="13.5" thickBot="1">
      <c r="A164" s="768"/>
      <c r="B164" s="40">
        <v>640</v>
      </c>
      <c r="C164" s="238" t="s">
        <v>235</v>
      </c>
      <c r="D164" s="185"/>
      <c r="E164" s="185"/>
      <c r="F164" s="185"/>
      <c r="G164" s="185"/>
      <c r="H164" s="185"/>
      <c r="I164" s="102"/>
      <c r="J164" s="208"/>
      <c r="K164" s="217"/>
      <c r="L164" s="217"/>
      <c r="M164" s="459">
        <v>4882</v>
      </c>
      <c r="N164" s="63"/>
      <c r="O164" s="103"/>
      <c r="P164" s="103">
        <v>3700</v>
      </c>
      <c r="Q164" s="103"/>
      <c r="R164" s="63"/>
      <c r="S164" s="63"/>
      <c r="T164" s="103">
        <v>67.2</v>
      </c>
      <c r="U164" s="63"/>
      <c r="V164" s="63"/>
      <c r="W164" s="692">
        <v>633.6</v>
      </c>
      <c r="X164" s="648">
        <f t="shared" si="31"/>
        <v>0</v>
      </c>
    </row>
    <row r="165" spans="1:24" ht="13.5" thickBot="1">
      <c r="A165" s="768"/>
      <c r="B165" s="775" t="s">
        <v>8</v>
      </c>
      <c r="C165" s="776"/>
      <c r="D165" s="33">
        <v>2931655</v>
      </c>
      <c r="E165" s="33">
        <v>3342296</v>
      </c>
      <c r="F165" s="33">
        <v>3751610</v>
      </c>
      <c r="G165" s="33">
        <v>4375275.43</v>
      </c>
      <c r="H165" s="33">
        <v>4424342</v>
      </c>
      <c r="I165" s="33">
        <f aca="true" t="shared" si="38" ref="I165:V165">SUM(I166:I176)</f>
        <v>4567784</v>
      </c>
      <c r="J165" s="33">
        <f t="shared" si="38"/>
        <v>4801386</v>
      </c>
      <c r="K165" s="33">
        <f t="shared" si="38"/>
        <v>4737162</v>
      </c>
      <c r="L165" s="298">
        <f t="shared" si="38"/>
        <v>4909499.02</v>
      </c>
      <c r="M165" s="298">
        <f t="shared" si="38"/>
        <v>5203958.96</v>
      </c>
      <c r="N165" s="437">
        <f t="shared" si="38"/>
        <v>5345016.82</v>
      </c>
      <c r="O165" s="537">
        <f t="shared" si="38"/>
        <v>5552001.35</v>
      </c>
      <c r="P165" s="537">
        <f t="shared" si="38"/>
        <v>5853689.649999999</v>
      </c>
      <c r="Q165" s="537">
        <f t="shared" si="38"/>
        <v>6461691.399999999</v>
      </c>
      <c r="R165" s="437">
        <f t="shared" si="38"/>
        <v>6556579</v>
      </c>
      <c r="S165" s="437">
        <f>SUM(S166:S176)</f>
        <v>7232790.1899999995</v>
      </c>
      <c r="T165" s="487">
        <v>8116455.57</v>
      </c>
      <c r="U165" s="113">
        <f t="shared" si="38"/>
        <v>7491794</v>
      </c>
      <c r="V165" s="113">
        <f t="shared" si="38"/>
        <v>9312610</v>
      </c>
      <c r="W165" s="693">
        <f>SUM(W166:W176)</f>
        <v>9167905.49</v>
      </c>
      <c r="X165" s="612">
        <f t="shared" si="31"/>
        <v>98.44614442138133</v>
      </c>
    </row>
    <row r="166" spans="1:24" ht="12.75">
      <c r="A166" s="768"/>
      <c r="B166" s="788"/>
      <c r="C166" s="64" t="s">
        <v>9</v>
      </c>
      <c r="D166" s="51">
        <v>1541725</v>
      </c>
      <c r="E166" s="51">
        <v>1718084</v>
      </c>
      <c r="F166" s="51">
        <v>1793999</v>
      </c>
      <c r="G166" s="51">
        <v>1958942</v>
      </c>
      <c r="H166" s="51">
        <v>2084677</v>
      </c>
      <c r="I166" s="64">
        <v>2039732</v>
      </c>
      <c r="J166" s="51">
        <v>2241882</v>
      </c>
      <c r="K166" s="51">
        <v>2385291</v>
      </c>
      <c r="L166" s="105">
        <v>2363727.67</v>
      </c>
      <c r="M166" s="105">
        <v>2385302.7</v>
      </c>
      <c r="N166" s="21">
        <v>2457964.41</v>
      </c>
      <c r="O166" s="105">
        <v>2387323.05</v>
      </c>
      <c r="P166" s="105">
        <v>2377088.1</v>
      </c>
      <c r="Q166" s="105">
        <v>2542642.4799999995</v>
      </c>
      <c r="R166" s="21">
        <v>2750047</v>
      </c>
      <c r="S166" s="21">
        <v>3148124.82</v>
      </c>
      <c r="T166" s="105">
        <v>3203567.85</v>
      </c>
      <c r="U166" s="21">
        <v>2859269</v>
      </c>
      <c r="V166" s="21">
        <v>3727325</v>
      </c>
      <c r="W166" s="634">
        <f>3556478.56</f>
        <v>3556478.56</v>
      </c>
      <c r="X166" s="629">
        <f t="shared" si="31"/>
        <v>95.41637930687557</v>
      </c>
    </row>
    <row r="167" spans="1:24" ht="12.75">
      <c r="A167" s="768"/>
      <c r="B167" s="789"/>
      <c r="C167" s="38" t="s">
        <v>10</v>
      </c>
      <c r="D167" s="39">
        <v>1389930</v>
      </c>
      <c r="E167" s="39">
        <v>1591682</v>
      </c>
      <c r="F167" s="39">
        <v>1867423</v>
      </c>
      <c r="G167" s="39">
        <v>2134669.43</v>
      </c>
      <c r="H167" s="39">
        <v>2069302</v>
      </c>
      <c r="I167" s="38">
        <v>2182809</v>
      </c>
      <c r="J167" s="39">
        <v>2169532</v>
      </c>
      <c r="K167" s="39">
        <v>1972245</v>
      </c>
      <c r="L167" s="180">
        <v>2097007.99</v>
      </c>
      <c r="M167" s="180">
        <v>2239643.29</v>
      </c>
      <c r="N167" s="24">
        <v>2410623.65</v>
      </c>
      <c r="O167" s="180">
        <v>2546291.14</v>
      </c>
      <c r="P167" s="180">
        <v>2674051.77</v>
      </c>
      <c r="Q167" s="180">
        <v>2839554.52</v>
      </c>
      <c r="R167" s="24">
        <v>3056422</v>
      </c>
      <c r="S167" s="24">
        <v>3053951.34</v>
      </c>
      <c r="T167" s="180">
        <v>3508477.43</v>
      </c>
      <c r="U167" s="24">
        <v>3613996</v>
      </c>
      <c r="V167" s="24">
        <v>3974141</v>
      </c>
      <c r="W167" s="690">
        <f>4026024.16-4000-2700-12315-35651</f>
        <v>3971358.16</v>
      </c>
      <c r="X167" s="646">
        <f t="shared" si="31"/>
        <v>99.92997631437838</v>
      </c>
    </row>
    <row r="168" spans="1:24" ht="12.75">
      <c r="A168" s="768"/>
      <c r="B168" s="789"/>
      <c r="C168" s="42" t="s">
        <v>442</v>
      </c>
      <c r="D168" s="66"/>
      <c r="E168" s="66"/>
      <c r="F168" s="66"/>
      <c r="G168" s="66"/>
      <c r="H168" s="66"/>
      <c r="I168" s="42"/>
      <c r="J168" s="66"/>
      <c r="K168" s="66"/>
      <c r="L168" s="198"/>
      <c r="M168" s="198"/>
      <c r="N168" s="27"/>
      <c r="O168" s="198"/>
      <c r="P168" s="198"/>
      <c r="Q168" s="198"/>
      <c r="R168" s="27"/>
      <c r="S168" s="27"/>
      <c r="T168" s="198"/>
      <c r="U168" s="27"/>
      <c r="V168" s="27">
        <v>3203</v>
      </c>
      <c r="W168" s="690">
        <v>3203.7999999999993</v>
      </c>
      <c r="X168" s="646">
        <f t="shared" si="31"/>
        <v>100.02497658445206</v>
      </c>
    </row>
    <row r="169" spans="1:24" ht="12.75">
      <c r="A169" s="768"/>
      <c r="B169" s="789"/>
      <c r="C169" s="42" t="s">
        <v>450</v>
      </c>
      <c r="D169" s="66"/>
      <c r="E169" s="66"/>
      <c r="F169" s="66"/>
      <c r="G169" s="66"/>
      <c r="H169" s="66"/>
      <c r="I169" s="42"/>
      <c r="J169" s="66"/>
      <c r="K169" s="66"/>
      <c r="L169" s="198"/>
      <c r="M169" s="198"/>
      <c r="N169" s="27"/>
      <c r="O169" s="198"/>
      <c r="P169" s="198"/>
      <c r="Q169" s="198"/>
      <c r="R169" s="27"/>
      <c r="S169" s="27"/>
      <c r="T169" s="198"/>
      <c r="U169" s="27"/>
      <c r="V169" s="27"/>
      <c r="W169" s="690">
        <v>33230.33</v>
      </c>
      <c r="X169" s="646"/>
    </row>
    <row r="170" spans="1:24" ht="12.75">
      <c r="A170" s="768"/>
      <c r="B170" s="789"/>
      <c r="C170" s="42" t="s">
        <v>409</v>
      </c>
      <c r="D170" s="66"/>
      <c r="E170" s="66"/>
      <c r="F170" s="66"/>
      <c r="G170" s="66"/>
      <c r="H170" s="66"/>
      <c r="I170" s="42"/>
      <c r="J170" s="42"/>
      <c r="K170" s="66">
        <v>6822</v>
      </c>
      <c r="L170" s="198">
        <v>58464.77</v>
      </c>
      <c r="M170" s="198">
        <v>145561.9699999993</v>
      </c>
      <c r="N170" s="27">
        <v>13019.76</v>
      </c>
      <c r="O170" s="198">
        <v>88405.36</v>
      </c>
      <c r="P170" s="198">
        <v>106886.92</v>
      </c>
      <c r="Q170" s="198">
        <v>135605.86</v>
      </c>
      <c r="R170" s="27"/>
      <c r="S170" s="27">
        <v>31662</v>
      </c>
      <c r="T170" s="198">
        <v>25794</v>
      </c>
      <c r="U170" s="27"/>
      <c r="V170" s="27">
        <v>325819</v>
      </c>
      <c r="W170" s="690">
        <f>35651+273690.37</f>
        <v>309341.37</v>
      </c>
      <c r="X170" s="646">
        <f t="shared" si="31"/>
        <v>94.94270438494993</v>
      </c>
    </row>
    <row r="171" spans="1:24" ht="12.75">
      <c r="A171" s="768"/>
      <c r="B171" s="789"/>
      <c r="C171" s="42" t="s">
        <v>410</v>
      </c>
      <c r="D171" s="66"/>
      <c r="E171" s="66"/>
      <c r="F171" s="66"/>
      <c r="G171" s="66"/>
      <c r="H171" s="66"/>
      <c r="I171" s="42">
        <v>11276</v>
      </c>
      <c r="J171" s="42">
        <v>23184</v>
      </c>
      <c r="K171" s="66">
        <v>0</v>
      </c>
      <c r="L171" s="198">
        <v>4779.37</v>
      </c>
      <c r="M171" s="198">
        <v>0</v>
      </c>
      <c r="N171" s="27">
        <v>0</v>
      </c>
      <c r="O171" s="198"/>
      <c r="P171" s="198">
        <v>10000</v>
      </c>
      <c r="Q171" s="198">
        <v>2000</v>
      </c>
      <c r="R171" s="27">
        <v>7500</v>
      </c>
      <c r="S171" s="27">
        <v>227811.97</v>
      </c>
      <c r="T171" s="198">
        <v>234762</v>
      </c>
      <c r="U171" s="27">
        <v>253900</v>
      </c>
      <c r="V171" s="27">
        <v>213133</v>
      </c>
      <c r="W171" s="690">
        <f>15629.45+17600.88+192874.6</f>
        <v>226104.93</v>
      </c>
      <c r="X171" s="646">
        <f t="shared" si="31"/>
        <v>106.08630761074072</v>
      </c>
    </row>
    <row r="172" spans="1:24" ht="12.75">
      <c r="A172" s="768"/>
      <c r="B172" s="789"/>
      <c r="C172" s="42" t="s">
        <v>331</v>
      </c>
      <c r="D172" s="66"/>
      <c r="E172" s="66"/>
      <c r="F172" s="66"/>
      <c r="G172" s="66"/>
      <c r="H172" s="66"/>
      <c r="I172" s="42"/>
      <c r="J172" s="42"/>
      <c r="K172" s="66"/>
      <c r="L172" s="198"/>
      <c r="M172" s="198"/>
      <c r="N172" s="27"/>
      <c r="O172" s="198"/>
      <c r="P172" s="198">
        <v>208274.06</v>
      </c>
      <c r="Q172" s="198">
        <v>197961.72999999998</v>
      </c>
      <c r="R172" s="27"/>
      <c r="S172" s="27">
        <v>120016.06</v>
      </c>
      <c r="T172" s="198">
        <v>312130</v>
      </c>
      <c r="U172" s="27">
        <v>0</v>
      </c>
      <c r="V172" s="27">
        <v>253315</v>
      </c>
      <c r="W172" s="690">
        <v>252514.33999999997</v>
      </c>
      <c r="X172" s="646">
        <f t="shared" si="31"/>
        <v>99.68392712630518</v>
      </c>
    </row>
    <row r="173" spans="1:24" ht="12.75">
      <c r="A173" s="768"/>
      <c r="B173" s="789"/>
      <c r="C173" s="42" t="s">
        <v>342</v>
      </c>
      <c r="D173" s="66"/>
      <c r="E173" s="66"/>
      <c r="F173" s="66"/>
      <c r="G173" s="66"/>
      <c r="H173" s="66">
        <v>2568</v>
      </c>
      <c r="I173" s="42">
        <v>2134</v>
      </c>
      <c r="J173" s="42"/>
      <c r="K173" s="66">
        <v>0</v>
      </c>
      <c r="L173" s="198">
        <v>240.97</v>
      </c>
      <c r="M173" s="198">
        <v>0</v>
      </c>
      <c r="N173" s="27">
        <v>0</v>
      </c>
      <c r="O173" s="198"/>
      <c r="P173" s="198">
        <v>4600</v>
      </c>
      <c r="Q173" s="198">
        <v>48000</v>
      </c>
      <c r="R173" s="27">
        <v>20000</v>
      </c>
      <c r="S173" s="27"/>
      <c r="T173" s="198">
        <v>21652</v>
      </c>
      <c r="U173" s="27"/>
      <c r="V173" s="27">
        <v>4000</v>
      </c>
      <c r="W173" s="690">
        <v>4000</v>
      </c>
      <c r="X173" s="646">
        <f t="shared" si="31"/>
        <v>100</v>
      </c>
    </row>
    <row r="174" spans="1:24" ht="12.75">
      <c r="A174" s="768"/>
      <c r="B174" s="789"/>
      <c r="C174" s="42" t="s">
        <v>389</v>
      </c>
      <c r="D174" s="66"/>
      <c r="E174" s="66"/>
      <c r="F174" s="66"/>
      <c r="G174" s="66"/>
      <c r="H174" s="66"/>
      <c r="I174" s="42"/>
      <c r="J174" s="42"/>
      <c r="K174" s="66"/>
      <c r="L174" s="198">
        <v>8661.25</v>
      </c>
      <c r="M174" s="198"/>
      <c r="N174" s="27">
        <v>0</v>
      </c>
      <c r="O174" s="198"/>
      <c r="P174" s="198"/>
      <c r="Q174" s="198">
        <v>21500</v>
      </c>
      <c r="R174" s="27">
        <v>14500</v>
      </c>
      <c r="S174" s="27"/>
      <c r="T174" s="198">
        <v>1697.29</v>
      </c>
      <c r="U174" s="27">
        <v>0</v>
      </c>
      <c r="V174" s="27">
        <v>2700</v>
      </c>
      <c r="W174" s="690">
        <v>2700</v>
      </c>
      <c r="X174" s="646">
        <f t="shared" si="31"/>
        <v>100</v>
      </c>
    </row>
    <row r="175" spans="1:24" ht="12.75">
      <c r="A175" s="768"/>
      <c r="B175" s="789"/>
      <c r="C175" s="42" t="s">
        <v>427</v>
      </c>
      <c r="D175" s="66"/>
      <c r="E175" s="66"/>
      <c r="F175" s="66"/>
      <c r="G175" s="66"/>
      <c r="H175" s="66">
        <v>2166</v>
      </c>
      <c r="I175" s="42">
        <v>10924</v>
      </c>
      <c r="J175" s="42">
        <v>33868</v>
      </c>
      <c r="K175" s="66">
        <v>0</v>
      </c>
      <c r="L175" s="198"/>
      <c r="M175" s="198"/>
      <c r="N175" s="27">
        <v>0</v>
      </c>
      <c r="O175" s="198">
        <v>415.8</v>
      </c>
      <c r="P175" s="198">
        <v>2494.8</v>
      </c>
      <c r="Q175" s="198">
        <v>22623.81</v>
      </c>
      <c r="R175" s="27">
        <v>6212</v>
      </c>
      <c r="S175" s="27"/>
      <c r="T175" s="198">
        <v>17352</v>
      </c>
      <c r="U175" s="27"/>
      <c r="V175" s="27">
        <v>12315</v>
      </c>
      <c r="W175" s="690">
        <v>12315</v>
      </c>
      <c r="X175" s="646">
        <f t="shared" si="31"/>
        <v>100</v>
      </c>
    </row>
    <row r="176" spans="1:24" ht="13.5" thickBot="1">
      <c r="A176" s="769"/>
      <c r="B176" s="790"/>
      <c r="C176" s="41" t="s">
        <v>11</v>
      </c>
      <c r="D176" s="54"/>
      <c r="E176" s="54">
        <v>32530</v>
      </c>
      <c r="F176" s="54">
        <v>90188</v>
      </c>
      <c r="G176" s="54">
        <v>281664</v>
      </c>
      <c r="H176" s="54">
        <v>265629</v>
      </c>
      <c r="I176" s="41">
        <v>320909</v>
      </c>
      <c r="J176" s="41">
        <v>332920</v>
      </c>
      <c r="K176" s="54">
        <v>372804</v>
      </c>
      <c r="L176" s="230">
        <v>376617</v>
      </c>
      <c r="M176" s="230">
        <v>433451</v>
      </c>
      <c r="N176" s="43">
        <v>463409</v>
      </c>
      <c r="O176" s="230">
        <v>529566</v>
      </c>
      <c r="P176" s="230">
        <v>470294</v>
      </c>
      <c r="Q176" s="230">
        <v>651803</v>
      </c>
      <c r="R176" s="43">
        <v>701898</v>
      </c>
      <c r="S176" s="43">
        <v>651224</v>
      </c>
      <c r="T176" s="230">
        <v>791023</v>
      </c>
      <c r="U176" s="43">
        <v>764629</v>
      </c>
      <c r="V176" s="43">
        <v>796659</v>
      </c>
      <c r="W176" s="504">
        <f>563767+232892</f>
        <v>796659</v>
      </c>
      <c r="X176" s="630">
        <f t="shared" si="31"/>
        <v>100</v>
      </c>
    </row>
    <row r="177" spans="1:24" ht="15.75" hidden="1" thickBot="1">
      <c r="A177" s="299" t="s">
        <v>12</v>
      </c>
      <c r="B177" s="708" t="s">
        <v>13</v>
      </c>
      <c r="C177" s="743"/>
      <c r="D177" s="60">
        <v>14672</v>
      </c>
      <c r="E177" s="60">
        <v>18356</v>
      </c>
      <c r="F177" s="60">
        <v>24962</v>
      </c>
      <c r="G177" s="60">
        <v>26012</v>
      </c>
      <c r="H177" s="60">
        <v>24167</v>
      </c>
      <c r="I177" s="60">
        <f aca="true" t="shared" si="39" ref="I177:N177">SUM(I178:I181)</f>
        <v>21978</v>
      </c>
      <c r="J177" s="60">
        <f t="shared" si="39"/>
        <v>26182</v>
      </c>
      <c r="K177" s="60">
        <f t="shared" si="39"/>
        <v>16605</v>
      </c>
      <c r="L177" s="189">
        <f t="shared" si="39"/>
        <v>19312.66</v>
      </c>
      <c r="M177" s="189">
        <f t="shared" si="39"/>
        <v>17232.5</v>
      </c>
      <c r="N177" s="431">
        <f t="shared" si="39"/>
        <v>19393.890000000003</v>
      </c>
      <c r="O177" s="431">
        <f>SUM(O178:O180)</f>
        <v>0</v>
      </c>
      <c r="P177" s="431">
        <f>SUM(P178:P180)</f>
        <v>0</v>
      </c>
      <c r="Q177" s="431">
        <f>SUM(Q178:Q180)</f>
        <v>0</v>
      </c>
      <c r="R177" s="431"/>
      <c r="S177" s="431">
        <v>315.6</v>
      </c>
      <c r="T177" s="94">
        <v>0</v>
      </c>
      <c r="U177" s="94"/>
      <c r="V177" s="94">
        <f>SUM(V178:V180)</f>
        <v>0</v>
      </c>
      <c r="W177" s="698">
        <f>SUM(W178:W180)</f>
        <v>0</v>
      </c>
      <c r="X177" s="647">
        <f t="shared" si="31"/>
        <v>0</v>
      </c>
    </row>
    <row r="178" spans="1:24" ht="12.75" hidden="1">
      <c r="A178" s="770"/>
      <c r="B178" s="300">
        <v>610</v>
      </c>
      <c r="C178" s="64" t="s">
        <v>232</v>
      </c>
      <c r="D178" s="51"/>
      <c r="E178" s="51">
        <v>11817</v>
      </c>
      <c r="F178" s="51">
        <v>16331</v>
      </c>
      <c r="G178" s="51">
        <v>16188</v>
      </c>
      <c r="H178" s="51">
        <v>16639</v>
      </c>
      <c r="I178" s="51">
        <v>14808</v>
      </c>
      <c r="J178" s="51">
        <v>14984</v>
      </c>
      <c r="K178" s="51">
        <v>11095</v>
      </c>
      <c r="L178" s="105">
        <v>11946.75</v>
      </c>
      <c r="M178" s="105">
        <v>12156.96</v>
      </c>
      <c r="N178" s="21">
        <v>13480.65</v>
      </c>
      <c r="O178" s="21"/>
      <c r="P178" s="21"/>
      <c r="Q178" s="105"/>
      <c r="R178" s="21"/>
      <c r="S178" s="21">
        <v>4548.47</v>
      </c>
      <c r="T178" s="21">
        <v>0</v>
      </c>
      <c r="U178" s="21"/>
      <c r="V178" s="21"/>
      <c r="W178" s="634">
        <v>0</v>
      </c>
      <c r="X178" s="629">
        <f t="shared" si="31"/>
        <v>0</v>
      </c>
    </row>
    <row r="179" spans="1:24" ht="12.75" hidden="1">
      <c r="A179" s="771"/>
      <c r="B179" s="179">
        <v>620</v>
      </c>
      <c r="C179" s="38" t="s">
        <v>233</v>
      </c>
      <c r="D179" s="39"/>
      <c r="E179" s="39">
        <v>3983</v>
      </c>
      <c r="F179" s="39">
        <v>5610</v>
      </c>
      <c r="G179" s="39">
        <v>5689</v>
      </c>
      <c r="H179" s="39">
        <v>5822</v>
      </c>
      <c r="I179" s="39">
        <v>5320</v>
      </c>
      <c r="J179" s="39">
        <v>5972</v>
      </c>
      <c r="K179" s="39">
        <v>4227</v>
      </c>
      <c r="L179" s="180">
        <v>4902.95</v>
      </c>
      <c r="M179" s="180">
        <v>3941.03</v>
      </c>
      <c r="N179" s="24">
        <v>4701.62</v>
      </c>
      <c r="O179" s="24"/>
      <c r="P179" s="24"/>
      <c r="Q179" s="180"/>
      <c r="R179" s="24"/>
      <c r="S179" s="24">
        <v>20800</v>
      </c>
      <c r="T179" s="24"/>
      <c r="U179" s="24"/>
      <c r="V179" s="24"/>
      <c r="W179" s="690">
        <v>0</v>
      </c>
      <c r="X179" s="646">
        <f t="shared" si="31"/>
        <v>0</v>
      </c>
    </row>
    <row r="180" spans="1:24" ht="12.75" hidden="1">
      <c r="A180" s="771"/>
      <c r="B180" s="179">
        <v>630</v>
      </c>
      <c r="C180" s="38" t="s">
        <v>234</v>
      </c>
      <c r="D180" s="39"/>
      <c r="E180" s="39">
        <v>2556</v>
      </c>
      <c r="F180" s="39">
        <v>3021</v>
      </c>
      <c r="G180" s="39">
        <v>4135</v>
      </c>
      <c r="H180" s="39">
        <v>1706</v>
      </c>
      <c r="I180" s="39">
        <f>1591+259</f>
        <v>1850</v>
      </c>
      <c r="J180" s="39">
        <v>1495</v>
      </c>
      <c r="K180" s="39">
        <v>1200</v>
      </c>
      <c r="L180" s="180">
        <v>931.46</v>
      </c>
      <c r="M180" s="180">
        <v>1055.02</v>
      </c>
      <c r="N180" s="24">
        <v>1132.97</v>
      </c>
      <c r="O180" s="24"/>
      <c r="P180" s="24"/>
      <c r="Q180" s="180"/>
      <c r="R180" s="24"/>
      <c r="S180" s="24">
        <v>651224</v>
      </c>
      <c r="T180" s="24"/>
      <c r="U180" s="24"/>
      <c r="V180" s="24"/>
      <c r="W180" s="690">
        <v>0</v>
      </c>
      <c r="X180" s="646">
        <f t="shared" si="31"/>
        <v>0</v>
      </c>
    </row>
    <row r="181" spans="1:24" ht="2.25" customHeight="1" hidden="1" thickBot="1">
      <c r="A181" s="772"/>
      <c r="B181" s="301">
        <v>640</v>
      </c>
      <c r="C181" s="41" t="s">
        <v>14</v>
      </c>
      <c r="D181" s="54"/>
      <c r="E181" s="54"/>
      <c r="F181" s="54"/>
      <c r="G181" s="54"/>
      <c r="H181" s="54"/>
      <c r="I181" s="54"/>
      <c r="J181" s="54">
        <v>3731</v>
      </c>
      <c r="K181" s="217">
        <v>83</v>
      </c>
      <c r="L181" s="103">
        <v>1531.5</v>
      </c>
      <c r="M181" s="103">
        <v>79.49</v>
      </c>
      <c r="N181" s="63">
        <v>78.65</v>
      </c>
      <c r="O181" s="63"/>
      <c r="P181" s="63"/>
      <c r="Q181" s="103"/>
      <c r="R181" s="63"/>
      <c r="S181" s="63"/>
      <c r="T181" s="63"/>
      <c r="U181" s="63"/>
      <c r="V181" s="63"/>
      <c r="W181" s="504"/>
      <c r="X181" s="630">
        <f t="shared" si="31"/>
        <v>0</v>
      </c>
    </row>
    <row r="182" spans="1:24" ht="15.75" thickBot="1">
      <c r="A182" s="187" t="s">
        <v>15</v>
      </c>
      <c r="B182" s="708" t="s">
        <v>16</v>
      </c>
      <c r="C182" s="743"/>
      <c r="D182" s="60">
        <v>42988</v>
      </c>
      <c r="E182" s="60">
        <v>41924</v>
      </c>
      <c r="F182" s="60">
        <v>49127</v>
      </c>
      <c r="G182" s="60">
        <v>48507</v>
      </c>
      <c r="H182" s="60">
        <v>53865</v>
      </c>
      <c r="I182" s="60">
        <f aca="true" t="shared" si="40" ref="I182:Q182">I183+I190+I189</f>
        <v>59113.2</v>
      </c>
      <c r="J182" s="60">
        <f t="shared" si="40"/>
        <v>51352</v>
      </c>
      <c r="K182" s="60">
        <f t="shared" si="40"/>
        <v>57413</v>
      </c>
      <c r="L182" s="189">
        <f t="shared" si="40"/>
        <v>142019.73</v>
      </c>
      <c r="M182" s="189">
        <f t="shared" si="40"/>
        <v>67235.89000000001</v>
      </c>
      <c r="N182" s="431">
        <f t="shared" si="40"/>
        <v>59484.65</v>
      </c>
      <c r="O182" s="527">
        <f t="shared" si="40"/>
        <v>64756.130000000005</v>
      </c>
      <c r="P182" s="431">
        <f t="shared" si="40"/>
        <v>109958.24</v>
      </c>
      <c r="Q182" s="527">
        <f t="shared" si="40"/>
        <v>135589.8</v>
      </c>
      <c r="R182" s="527">
        <f aca="true" t="shared" si="41" ref="R182:W182">R183+R190+R189</f>
        <v>125333</v>
      </c>
      <c r="S182" s="527">
        <f t="shared" si="41"/>
        <v>157945.56</v>
      </c>
      <c r="T182" s="477">
        <v>167405.25</v>
      </c>
      <c r="U182" s="94">
        <f>U183+U190+U189</f>
        <v>157032</v>
      </c>
      <c r="V182" s="94">
        <f t="shared" si="41"/>
        <v>197760</v>
      </c>
      <c r="W182" s="691">
        <f t="shared" si="41"/>
        <v>201927.87000000002</v>
      </c>
      <c r="X182" s="611">
        <f t="shared" si="31"/>
        <v>102.10753944174758</v>
      </c>
    </row>
    <row r="183" spans="1:24" ht="15.75" thickBot="1">
      <c r="A183" s="767"/>
      <c r="B183" s="765" t="s">
        <v>17</v>
      </c>
      <c r="C183" s="766"/>
      <c r="D183" s="58">
        <v>39801</v>
      </c>
      <c r="E183" s="58">
        <v>41194</v>
      </c>
      <c r="F183" s="58">
        <v>47169</v>
      </c>
      <c r="G183" s="58">
        <v>47600</v>
      </c>
      <c r="H183" s="58">
        <v>53724</v>
      </c>
      <c r="I183" s="58">
        <f>SUM(I184:I186)</f>
        <v>56208.2</v>
      </c>
      <c r="J183" s="58">
        <f>SUM(J184:J186)</f>
        <v>47897</v>
      </c>
      <c r="K183" s="58">
        <f>SUM(K184:K187)</f>
        <v>54913</v>
      </c>
      <c r="L183" s="138">
        <f>SUM(L184:L187)</f>
        <v>59991.65</v>
      </c>
      <c r="M183" s="138">
        <f>SUM(M184:M187)</f>
        <v>64735.89000000001</v>
      </c>
      <c r="N183" s="436">
        <f>SUM(N184:N187)</f>
        <v>54463.6</v>
      </c>
      <c r="O183" s="534">
        <f>SUM(O184:O187)</f>
        <v>60460.66</v>
      </c>
      <c r="P183" s="436">
        <f>SUM(P184:P189)</f>
        <v>105530.11</v>
      </c>
      <c r="Q183" s="534">
        <f>SUM(Q184:Q189)</f>
        <v>129250.44999999998</v>
      </c>
      <c r="R183" s="534">
        <f>SUM(R184:R189)</f>
        <v>120333</v>
      </c>
      <c r="S183" s="534">
        <f>SUM(S184:S189)</f>
        <v>153794.93</v>
      </c>
      <c r="T183" s="124">
        <v>159621.69</v>
      </c>
      <c r="U183" s="87">
        <f>SUM(U184:U188)</f>
        <v>152032</v>
      </c>
      <c r="V183" s="87">
        <f>SUM(V184:V188)</f>
        <v>192760</v>
      </c>
      <c r="W183" s="691">
        <f>SUM(W184:W188)</f>
        <v>192762.96000000002</v>
      </c>
      <c r="X183" s="611">
        <f t="shared" si="31"/>
        <v>100.00153558829635</v>
      </c>
    </row>
    <row r="184" spans="1:24" ht="12.75">
      <c r="A184" s="768"/>
      <c r="B184" s="284">
        <v>610</v>
      </c>
      <c r="C184" s="64" t="s">
        <v>232</v>
      </c>
      <c r="D184" s="51"/>
      <c r="E184" s="51">
        <v>22141</v>
      </c>
      <c r="F184" s="51">
        <v>25294</v>
      </c>
      <c r="G184" s="51">
        <v>27320</v>
      </c>
      <c r="H184" s="51">
        <v>30945</v>
      </c>
      <c r="I184" s="51">
        <v>30403</v>
      </c>
      <c r="J184" s="51">
        <v>28630</v>
      </c>
      <c r="K184" s="51">
        <v>28741</v>
      </c>
      <c r="L184" s="105">
        <v>31950.86</v>
      </c>
      <c r="M184" s="105">
        <v>36896.54</v>
      </c>
      <c r="N184" s="21">
        <v>32643.72</v>
      </c>
      <c r="O184" s="105">
        <v>34750.01</v>
      </c>
      <c r="P184" s="105">
        <v>39563.77</v>
      </c>
      <c r="Q184" s="105">
        <v>51910.33</v>
      </c>
      <c r="R184" s="21">
        <v>54722</v>
      </c>
      <c r="S184" s="21">
        <v>75745.25</v>
      </c>
      <c r="T184" s="105">
        <v>63557.98</v>
      </c>
      <c r="U184" s="21">
        <v>77946</v>
      </c>
      <c r="V184" s="21">
        <v>75946</v>
      </c>
      <c r="W184" s="634">
        <v>75737.91</v>
      </c>
      <c r="X184" s="629">
        <f t="shared" si="31"/>
        <v>99.72600268611909</v>
      </c>
    </row>
    <row r="185" spans="1:24" ht="12.75">
      <c r="A185" s="768"/>
      <c r="B185" s="205">
        <v>620</v>
      </c>
      <c r="C185" s="38" t="s">
        <v>233</v>
      </c>
      <c r="D185" s="39"/>
      <c r="E185" s="39">
        <v>8265</v>
      </c>
      <c r="F185" s="39">
        <v>9427</v>
      </c>
      <c r="G185" s="39">
        <v>10234</v>
      </c>
      <c r="H185" s="39">
        <v>11482</v>
      </c>
      <c r="I185" s="39">
        <f>11947-(14.4+22.4+180)</f>
        <v>11730.2</v>
      </c>
      <c r="J185" s="39">
        <v>10691</v>
      </c>
      <c r="K185" s="39">
        <v>10646</v>
      </c>
      <c r="L185" s="180">
        <v>12860.64</v>
      </c>
      <c r="M185" s="180">
        <v>12687.37</v>
      </c>
      <c r="N185" s="24">
        <v>12446.38</v>
      </c>
      <c r="O185" s="180">
        <v>13294.12</v>
      </c>
      <c r="P185" s="180">
        <v>14895.57</v>
      </c>
      <c r="Q185" s="180">
        <v>19183.12</v>
      </c>
      <c r="R185" s="24">
        <v>20061</v>
      </c>
      <c r="S185" s="24">
        <v>24361.98</v>
      </c>
      <c r="T185" s="180">
        <v>23238.41</v>
      </c>
      <c r="U185" s="24">
        <v>28536</v>
      </c>
      <c r="V185" s="24">
        <v>27837</v>
      </c>
      <c r="W185" s="690">
        <v>27504.79</v>
      </c>
      <c r="X185" s="646">
        <f t="shared" si="31"/>
        <v>98.80658835363006</v>
      </c>
    </row>
    <row r="186" spans="1:24" ht="12.75">
      <c r="A186" s="768"/>
      <c r="B186" s="285">
        <v>630</v>
      </c>
      <c r="C186" s="42" t="s">
        <v>234</v>
      </c>
      <c r="D186" s="39"/>
      <c r="E186" s="39">
        <v>10788</v>
      </c>
      <c r="F186" s="39">
        <v>12448</v>
      </c>
      <c r="G186" s="39">
        <v>10046</v>
      </c>
      <c r="H186" s="39">
        <v>11297</v>
      </c>
      <c r="I186" s="39">
        <f>16682-(2550+28+110)+81</f>
        <v>14075</v>
      </c>
      <c r="J186" s="39">
        <f>11880-3455+151</f>
        <v>8576</v>
      </c>
      <c r="K186" s="39">
        <v>15451</v>
      </c>
      <c r="L186" s="101">
        <v>15180.15</v>
      </c>
      <c r="M186" s="101">
        <v>15023.18</v>
      </c>
      <c r="N186" s="24">
        <v>9257.17</v>
      </c>
      <c r="O186" s="180">
        <v>12173.76</v>
      </c>
      <c r="P186" s="180">
        <v>13915.91</v>
      </c>
      <c r="Q186" s="180">
        <v>9666.879999999997</v>
      </c>
      <c r="R186" s="24">
        <v>13550</v>
      </c>
      <c r="S186" s="24">
        <v>11553.059999999998</v>
      </c>
      <c r="T186" s="180">
        <v>14258.839999999997</v>
      </c>
      <c r="U186" s="24">
        <v>13550</v>
      </c>
      <c r="V186" s="24">
        <v>29097</v>
      </c>
      <c r="W186" s="690">
        <v>29872.020000000004</v>
      </c>
      <c r="X186" s="646">
        <f t="shared" si="31"/>
        <v>102.66357356428499</v>
      </c>
    </row>
    <row r="187" spans="1:24" ht="12.75">
      <c r="A187" s="768"/>
      <c r="B187" s="179">
        <v>640</v>
      </c>
      <c r="C187" s="201" t="s">
        <v>235</v>
      </c>
      <c r="D187" s="181"/>
      <c r="E187" s="181"/>
      <c r="F187" s="181"/>
      <c r="G187" s="181"/>
      <c r="H187" s="181"/>
      <c r="I187" s="39"/>
      <c r="J187" s="39"/>
      <c r="K187" s="39">
        <v>75</v>
      </c>
      <c r="L187" s="24"/>
      <c r="M187" s="180">
        <v>128.8</v>
      </c>
      <c r="N187" s="24">
        <v>116.33</v>
      </c>
      <c r="O187" s="180">
        <v>242.77</v>
      </c>
      <c r="P187" s="180">
        <v>133.86</v>
      </c>
      <c r="Q187" s="180">
        <v>88.44</v>
      </c>
      <c r="R187" s="24">
        <v>0</v>
      </c>
      <c r="S187" s="24"/>
      <c r="T187" s="180">
        <v>298.85</v>
      </c>
      <c r="U187" s="24"/>
      <c r="V187" s="24">
        <v>1880</v>
      </c>
      <c r="W187" s="690">
        <f>1494.4+153.84</f>
        <v>1648.24</v>
      </c>
      <c r="X187" s="646">
        <f t="shared" si="31"/>
        <v>87.67234042553191</v>
      </c>
    </row>
    <row r="188" spans="1:24" ht="13.5" thickBot="1">
      <c r="A188" s="768"/>
      <c r="B188" s="301">
        <v>630</v>
      </c>
      <c r="C188" s="274" t="s">
        <v>330</v>
      </c>
      <c r="D188" s="276"/>
      <c r="E188" s="276"/>
      <c r="F188" s="276"/>
      <c r="G188" s="276"/>
      <c r="H188" s="276"/>
      <c r="I188" s="54"/>
      <c r="J188" s="54"/>
      <c r="K188" s="54"/>
      <c r="L188" s="43"/>
      <c r="M188" s="230"/>
      <c r="N188" s="43"/>
      <c r="O188" s="230"/>
      <c r="P188" s="230">
        <v>37021</v>
      </c>
      <c r="Q188" s="230">
        <v>48401.68</v>
      </c>
      <c r="R188" s="43">
        <v>32000</v>
      </c>
      <c r="S188" s="43">
        <v>42134.64</v>
      </c>
      <c r="T188" s="230">
        <v>58267.61</v>
      </c>
      <c r="U188" s="43">
        <v>32000</v>
      </c>
      <c r="V188" s="43">
        <v>58000</v>
      </c>
      <c r="W188" s="695">
        <v>58000</v>
      </c>
      <c r="X188" s="650">
        <f t="shared" si="31"/>
        <v>100</v>
      </c>
    </row>
    <row r="189" spans="1:24" ht="13.5" hidden="1" thickBot="1">
      <c r="A189" s="768"/>
      <c r="B189" s="287">
        <v>630</v>
      </c>
      <c r="C189" s="238" t="s">
        <v>164</v>
      </c>
      <c r="D189" s="272"/>
      <c r="E189" s="272"/>
      <c r="F189" s="272"/>
      <c r="G189" s="272"/>
      <c r="H189" s="272"/>
      <c r="I189" s="302"/>
      <c r="J189" s="302"/>
      <c r="K189" s="54"/>
      <c r="L189" s="186">
        <v>82028.08</v>
      </c>
      <c r="M189" s="69"/>
      <c r="N189" s="69"/>
      <c r="O189" s="186"/>
      <c r="P189" s="186"/>
      <c r="Q189" s="186"/>
      <c r="R189" s="69"/>
      <c r="S189" s="69"/>
      <c r="T189" s="186"/>
      <c r="U189" s="69"/>
      <c r="V189" s="69"/>
      <c r="W189" s="693"/>
      <c r="X189" s="612">
        <f t="shared" si="31"/>
        <v>0</v>
      </c>
    </row>
    <row r="190" spans="1:24" ht="15.75" thickBot="1">
      <c r="A190" s="768"/>
      <c r="B190" s="775" t="s">
        <v>18</v>
      </c>
      <c r="C190" s="776"/>
      <c r="D190" s="303">
        <v>3187</v>
      </c>
      <c r="E190" s="303">
        <v>730</v>
      </c>
      <c r="F190" s="303">
        <v>1958</v>
      </c>
      <c r="G190" s="303">
        <v>907</v>
      </c>
      <c r="H190" s="303">
        <v>141</v>
      </c>
      <c r="I190" s="302">
        <f aca="true" t="shared" si="42" ref="I190:W190">I191</f>
        <v>2905</v>
      </c>
      <c r="J190" s="302">
        <f t="shared" si="42"/>
        <v>3455</v>
      </c>
      <c r="K190" s="302">
        <f t="shared" si="42"/>
        <v>2500</v>
      </c>
      <c r="L190" s="302">
        <v>0</v>
      </c>
      <c r="M190" s="480">
        <f t="shared" si="42"/>
        <v>2500</v>
      </c>
      <c r="N190" s="302">
        <f t="shared" si="42"/>
        <v>5021.05</v>
      </c>
      <c r="O190" s="480">
        <f t="shared" si="42"/>
        <v>4295.47</v>
      </c>
      <c r="P190" s="480">
        <f t="shared" si="42"/>
        <v>4428.13</v>
      </c>
      <c r="Q190" s="480">
        <f t="shared" si="42"/>
        <v>6339.35</v>
      </c>
      <c r="R190" s="438">
        <f>R191</f>
        <v>5000</v>
      </c>
      <c r="S190" s="438">
        <f>S191</f>
        <v>4150.63</v>
      </c>
      <c r="T190" s="606">
        <v>7783.56</v>
      </c>
      <c r="U190" s="592">
        <f t="shared" si="42"/>
        <v>5000</v>
      </c>
      <c r="V190" s="592">
        <f t="shared" si="42"/>
        <v>5000</v>
      </c>
      <c r="W190" s="691">
        <f t="shared" si="42"/>
        <v>9164.91</v>
      </c>
      <c r="X190" s="611">
        <f t="shared" si="31"/>
        <v>183.29819999999998</v>
      </c>
    </row>
    <row r="191" spans="1:24" ht="13.5" thickBot="1">
      <c r="A191" s="769"/>
      <c r="B191" s="304">
        <v>630</v>
      </c>
      <c r="C191" s="41" t="s">
        <v>234</v>
      </c>
      <c r="D191" s="54">
        <v>3187</v>
      </c>
      <c r="E191" s="54">
        <v>730</v>
      </c>
      <c r="F191" s="54">
        <v>1958</v>
      </c>
      <c r="G191" s="54">
        <v>907</v>
      </c>
      <c r="H191" s="54">
        <v>141</v>
      </c>
      <c r="I191" s="41">
        <v>2905</v>
      </c>
      <c r="J191" s="41">
        <v>3455</v>
      </c>
      <c r="K191" s="54">
        <v>2500</v>
      </c>
      <c r="L191" s="43">
        <v>0</v>
      </c>
      <c r="M191" s="230">
        <v>2500</v>
      </c>
      <c r="N191" s="43">
        <v>5021.05</v>
      </c>
      <c r="O191" s="230">
        <v>4295.47</v>
      </c>
      <c r="P191" s="230">
        <v>4428.13</v>
      </c>
      <c r="Q191" s="230">
        <v>6339.35</v>
      </c>
      <c r="R191" s="43">
        <v>5000</v>
      </c>
      <c r="S191" s="43">
        <v>4150.63</v>
      </c>
      <c r="T191" s="230">
        <v>7783.56</v>
      </c>
      <c r="U191" s="43">
        <v>5000</v>
      </c>
      <c r="V191" s="43">
        <v>5000</v>
      </c>
      <c r="W191" s="693">
        <v>9164.91</v>
      </c>
      <c r="X191" s="612">
        <f t="shared" si="31"/>
        <v>183.29819999999998</v>
      </c>
    </row>
    <row r="192" spans="1:24" ht="15.75" thickBot="1">
      <c r="A192" s="565" t="s">
        <v>15</v>
      </c>
      <c r="B192" s="762" t="s">
        <v>19</v>
      </c>
      <c r="C192" s="730"/>
      <c r="D192" s="70">
        <v>90752</v>
      </c>
      <c r="E192" s="70">
        <v>96030</v>
      </c>
      <c r="F192" s="70">
        <v>117540</v>
      </c>
      <c r="G192" s="70">
        <v>141455</v>
      </c>
      <c r="H192" s="70">
        <f aca="true" t="shared" si="43" ref="H192:V192">SUM(H193:H197)</f>
        <v>157876</v>
      </c>
      <c r="I192" s="70">
        <f t="shared" si="43"/>
        <v>153798</v>
      </c>
      <c r="J192" s="70">
        <f t="shared" si="43"/>
        <v>141580</v>
      </c>
      <c r="K192" s="70">
        <f t="shared" si="43"/>
        <v>144793</v>
      </c>
      <c r="L192" s="71">
        <f t="shared" si="43"/>
        <v>138341.56</v>
      </c>
      <c r="M192" s="71">
        <f t="shared" si="43"/>
        <v>147764.81</v>
      </c>
      <c r="N192" s="434">
        <f t="shared" si="43"/>
        <v>187629.79</v>
      </c>
      <c r="O192" s="529">
        <f t="shared" si="43"/>
        <v>231026.1</v>
      </c>
      <c r="P192" s="434">
        <f t="shared" si="43"/>
        <v>241971.54</v>
      </c>
      <c r="Q192" s="529">
        <f t="shared" si="43"/>
        <v>327330.75</v>
      </c>
      <c r="R192" s="434">
        <f t="shared" si="43"/>
        <v>348444</v>
      </c>
      <c r="S192" s="434">
        <f t="shared" si="43"/>
        <v>321639.06</v>
      </c>
      <c r="T192" s="544">
        <v>330404.67</v>
      </c>
      <c r="U192" s="372">
        <f t="shared" si="43"/>
        <v>384568</v>
      </c>
      <c r="V192" s="372">
        <f t="shared" si="43"/>
        <v>428300</v>
      </c>
      <c r="W192" s="691">
        <f>SUM(W193:W196)</f>
        <v>428298.01</v>
      </c>
      <c r="X192" s="611">
        <f t="shared" si="31"/>
        <v>99.99953537240252</v>
      </c>
    </row>
    <row r="193" spans="1:24" ht="12.75">
      <c r="A193" s="785"/>
      <c r="B193" s="204">
        <v>610</v>
      </c>
      <c r="C193" s="36" t="s">
        <v>232</v>
      </c>
      <c r="D193" s="37"/>
      <c r="E193" s="37">
        <v>65691</v>
      </c>
      <c r="F193" s="37">
        <v>80097</v>
      </c>
      <c r="G193" s="37">
        <v>93395</v>
      </c>
      <c r="H193" s="37">
        <v>102238</v>
      </c>
      <c r="I193" s="36">
        <v>102422</v>
      </c>
      <c r="J193" s="37">
        <v>93404</v>
      </c>
      <c r="K193" s="37">
        <v>93846</v>
      </c>
      <c r="L193" s="178">
        <v>85213.93</v>
      </c>
      <c r="M193" s="134">
        <v>101710.97</v>
      </c>
      <c r="N193" s="84">
        <v>126027.75</v>
      </c>
      <c r="O193" s="178">
        <v>154366.21</v>
      </c>
      <c r="P193" s="178">
        <v>162844.91</v>
      </c>
      <c r="Q193" s="178">
        <v>223275.62</v>
      </c>
      <c r="R193" s="84">
        <v>241998</v>
      </c>
      <c r="S193" s="84">
        <v>204838.15</v>
      </c>
      <c r="T193" s="178">
        <v>224556.43</v>
      </c>
      <c r="U193" s="84">
        <v>268607</v>
      </c>
      <c r="V193" s="84">
        <v>261311</v>
      </c>
      <c r="W193" s="634">
        <v>261310.41</v>
      </c>
      <c r="X193" s="629">
        <f t="shared" si="31"/>
        <v>99.9997742153985</v>
      </c>
    </row>
    <row r="194" spans="1:24" ht="12.75">
      <c r="A194" s="786"/>
      <c r="B194" s="205">
        <v>620</v>
      </c>
      <c r="C194" s="38" t="s">
        <v>233</v>
      </c>
      <c r="D194" s="39"/>
      <c r="E194" s="39">
        <v>22738</v>
      </c>
      <c r="F194" s="39">
        <v>27783</v>
      </c>
      <c r="G194" s="39">
        <v>32056</v>
      </c>
      <c r="H194" s="39">
        <v>35361</v>
      </c>
      <c r="I194" s="38">
        <v>35526</v>
      </c>
      <c r="J194" s="39">
        <v>32703</v>
      </c>
      <c r="K194" s="39">
        <v>32877</v>
      </c>
      <c r="L194" s="180">
        <v>32579.829999999994</v>
      </c>
      <c r="M194" s="101">
        <v>29560.18</v>
      </c>
      <c r="N194" s="24">
        <v>41405.87</v>
      </c>
      <c r="O194" s="180">
        <v>53348.97</v>
      </c>
      <c r="P194" s="180">
        <v>57717.62</v>
      </c>
      <c r="Q194" s="180">
        <v>78315.26</v>
      </c>
      <c r="R194" s="24">
        <v>85046</v>
      </c>
      <c r="S194" s="24">
        <v>76270.92</v>
      </c>
      <c r="T194" s="180">
        <v>78579.13</v>
      </c>
      <c r="U194" s="24">
        <v>94561</v>
      </c>
      <c r="V194" s="24">
        <v>92988</v>
      </c>
      <c r="W194" s="690">
        <v>92986.92</v>
      </c>
      <c r="X194" s="646">
        <f t="shared" si="31"/>
        <v>99.99883855981416</v>
      </c>
    </row>
    <row r="195" spans="1:24" ht="12.75">
      <c r="A195" s="786"/>
      <c r="B195" s="285">
        <v>630</v>
      </c>
      <c r="C195" s="42" t="s">
        <v>234</v>
      </c>
      <c r="D195" s="66"/>
      <c r="E195" s="66">
        <v>7369</v>
      </c>
      <c r="F195" s="66">
        <v>8830</v>
      </c>
      <c r="G195" s="66">
        <v>15669</v>
      </c>
      <c r="H195" s="66">
        <v>19477</v>
      </c>
      <c r="I195" s="42">
        <v>15050</v>
      </c>
      <c r="J195" s="39">
        <v>14133</v>
      </c>
      <c r="K195" s="39">
        <v>17748</v>
      </c>
      <c r="L195" s="198">
        <v>20156.86</v>
      </c>
      <c r="M195" s="198">
        <v>15870.11</v>
      </c>
      <c r="N195" s="27">
        <v>19809.26</v>
      </c>
      <c r="O195" s="198">
        <v>22572.22</v>
      </c>
      <c r="P195" s="198">
        <v>20719.09</v>
      </c>
      <c r="Q195" s="198">
        <v>25179.48</v>
      </c>
      <c r="R195" s="27">
        <v>21400</v>
      </c>
      <c r="S195" s="27">
        <v>33111.74</v>
      </c>
      <c r="T195" s="198">
        <v>21537.92</v>
      </c>
      <c r="U195" s="27">
        <v>21400</v>
      </c>
      <c r="V195" s="27">
        <v>52877</v>
      </c>
      <c r="W195" s="690">
        <v>52876.88</v>
      </c>
      <c r="X195" s="646">
        <f t="shared" si="31"/>
        <v>99.99977305822947</v>
      </c>
    </row>
    <row r="196" spans="1:24" ht="13.5" thickBot="1">
      <c r="A196" s="786"/>
      <c r="B196" s="228">
        <v>640</v>
      </c>
      <c r="C196" s="41" t="s">
        <v>235</v>
      </c>
      <c r="D196" s="54"/>
      <c r="E196" s="54"/>
      <c r="F196" s="54"/>
      <c r="G196" s="54"/>
      <c r="H196" s="54"/>
      <c r="I196" s="41"/>
      <c r="J196" s="54">
        <v>1340</v>
      </c>
      <c r="K196" s="54">
        <v>322</v>
      </c>
      <c r="L196" s="230">
        <v>390.94</v>
      </c>
      <c r="M196" s="230">
        <v>623.55</v>
      </c>
      <c r="N196" s="43">
        <v>386.91</v>
      </c>
      <c r="O196" s="230">
        <v>738.7</v>
      </c>
      <c r="P196" s="230">
        <v>689.92</v>
      </c>
      <c r="Q196" s="230">
        <v>560.39</v>
      </c>
      <c r="R196" s="43">
        <v>0</v>
      </c>
      <c r="S196" s="43">
        <v>7418.25</v>
      </c>
      <c r="T196" s="230">
        <v>5731.19</v>
      </c>
      <c r="U196" s="43"/>
      <c r="V196" s="43">
        <v>21124</v>
      </c>
      <c r="W196" s="504">
        <v>21123.8</v>
      </c>
      <c r="X196" s="630">
        <f t="shared" si="31"/>
        <v>99.99905320961938</v>
      </c>
    </row>
    <row r="197" spans="1:24" ht="13.5" hidden="1" thickBot="1">
      <c r="A197" s="787"/>
      <c r="B197" s="207">
        <v>630</v>
      </c>
      <c r="C197" s="102" t="s">
        <v>20</v>
      </c>
      <c r="D197" s="185"/>
      <c r="E197" s="185">
        <v>232</v>
      </c>
      <c r="F197" s="185">
        <v>830</v>
      </c>
      <c r="G197" s="185">
        <v>335</v>
      </c>
      <c r="H197" s="185">
        <v>800</v>
      </c>
      <c r="I197" s="102">
        <v>800</v>
      </c>
      <c r="J197" s="102"/>
      <c r="K197" s="185"/>
      <c r="L197" s="69"/>
      <c r="M197" s="69"/>
      <c r="N197" s="69"/>
      <c r="O197" s="186"/>
      <c r="P197" s="186"/>
      <c r="Q197" s="186"/>
      <c r="R197" s="69"/>
      <c r="S197" s="69"/>
      <c r="T197" s="186"/>
      <c r="U197" s="69"/>
      <c r="V197" s="69"/>
      <c r="W197" s="693"/>
      <c r="X197" s="612">
        <f aca="true" t="shared" si="44" ref="X197:X218">IF(V197=0,0,W197/V197)*100</f>
        <v>0</v>
      </c>
    </row>
    <row r="198" spans="1:24" ht="15.75" thickBot="1">
      <c r="A198" s="450" t="s">
        <v>21</v>
      </c>
      <c r="B198" s="762" t="s">
        <v>51</v>
      </c>
      <c r="C198" s="730"/>
      <c r="D198" s="244">
        <v>35152</v>
      </c>
      <c r="E198" s="244">
        <v>34654</v>
      </c>
      <c r="F198" s="244">
        <v>45741</v>
      </c>
      <c r="G198" s="244">
        <v>45381</v>
      </c>
      <c r="H198" s="70">
        <f>SUM(H199:H202)</f>
        <v>47758</v>
      </c>
      <c r="I198" s="70">
        <f>SUM(I199:I202)</f>
        <v>57427</v>
      </c>
      <c r="J198" s="70">
        <f>SUM(J199:J201)</f>
        <v>33860</v>
      </c>
      <c r="K198" s="70">
        <f>SUM(K199:K202)</f>
        <v>33843</v>
      </c>
      <c r="L198" s="71">
        <f>SUM(L199:L202)</f>
        <v>35020.590000000004</v>
      </c>
      <c r="M198" s="71">
        <f>SUM(M199:M202)</f>
        <v>40552.41</v>
      </c>
      <c r="N198" s="434">
        <f>SUM(N199:N202)</f>
        <v>37850.049999999996</v>
      </c>
      <c r="O198" s="529">
        <f>SUM(O199:O202)</f>
        <v>37981.53</v>
      </c>
      <c r="P198" s="434">
        <f>SUM(P199:P201)</f>
        <v>31489.34</v>
      </c>
      <c r="Q198" s="529">
        <f>SUM(Q199:Q201)</f>
        <v>40039.15</v>
      </c>
      <c r="R198" s="434">
        <f>SUM(R199:R201)</f>
        <v>42586</v>
      </c>
      <c r="S198" s="434">
        <f>SUM(S199:S201)</f>
        <v>41664.05</v>
      </c>
      <c r="T198" s="544">
        <v>33379.97</v>
      </c>
      <c r="U198" s="372">
        <f>SUM(U199:U202)</f>
        <v>63816</v>
      </c>
      <c r="V198" s="372">
        <f>SUM(V199:V202)</f>
        <v>55659</v>
      </c>
      <c r="W198" s="691">
        <f>SUM(W199:W202)</f>
        <v>47004.46000000001</v>
      </c>
      <c r="X198" s="611">
        <f t="shared" si="44"/>
        <v>84.45078064643636</v>
      </c>
    </row>
    <row r="199" spans="1:24" ht="12.75">
      <c r="A199" s="777"/>
      <c r="B199" s="204">
        <v>610</v>
      </c>
      <c r="C199" s="199" t="s">
        <v>232</v>
      </c>
      <c r="D199" s="291"/>
      <c r="E199" s="291">
        <v>21277</v>
      </c>
      <c r="F199" s="291">
        <v>26622</v>
      </c>
      <c r="G199" s="291">
        <v>27938</v>
      </c>
      <c r="H199" s="291">
        <v>29205</v>
      </c>
      <c r="I199" s="37">
        <v>32982</v>
      </c>
      <c r="J199" s="37">
        <v>19537</v>
      </c>
      <c r="K199" s="37">
        <v>19331</v>
      </c>
      <c r="L199" s="178">
        <v>19931.3</v>
      </c>
      <c r="M199" s="178">
        <v>21474.28</v>
      </c>
      <c r="N199" s="84">
        <v>19698.37</v>
      </c>
      <c r="O199" s="178">
        <v>20600.24</v>
      </c>
      <c r="P199" s="178">
        <v>19790.26</v>
      </c>
      <c r="Q199" s="178">
        <v>21979.15</v>
      </c>
      <c r="R199" s="84">
        <v>23564</v>
      </c>
      <c r="S199" s="84">
        <v>20878.86</v>
      </c>
      <c r="T199" s="178">
        <v>23204.72</v>
      </c>
      <c r="U199" s="84">
        <v>39108</v>
      </c>
      <c r="V199" s="84">
        <v>33108</v>
      </c>
      <c r="W199" s="634">
        <v>29821.93</v>
      </c>
      <c r="X199" s="629">
        <f t="shared" si="44"/>
        <v>90.07469493777938</v>
      </c>
    </row>
    <row r="200" spans="1:24" ht="12.75">
      <c r="A200" s="778"/>
      <c r="B200" s="205">
        <v>620</v>
      </c>
      <c r="C200" s="201" t="s">
        <v>233</v>
      </c>
      <c r="D200" s="181"/>
      <c r="E200" s="181">
        <v>8033</v>
      </c>
      <c r="F200" s="181">
        <v>9792</v>
      </c>
      <c r="G200" s="181">
        <v>10190</v>
      </c>
      <c r="H200" s="181">
        <v>10431</v>
      </c>
      <c r="I200" s="39">
        <v>13206</v>
      </c>
      <c r="J200" s="39">
        <v>7857</v>
      </c>
      <c r="K200" s="39">
        <v>7510</v>
      </c>
      <c r="L200" s="180">
        <v>8330.59</v>
      </c>
      <c r="M200" s="180">
        <v>7982.2</v>
      </c>
      <c r="N200" s="24">
        <v>7602.19</v>
      </c>
      <c r="O200" s="180">
        <v>8776.16</v>
      </c>
      <c r="P200" s="180">
        <v>7193.52</v>
      </c>
      <c r="Q200" s="180">
        <v>8019.72</v>
      </c>
      <c r="R200" s="24">
        <v>8487</v>
      </c>
      <c r="S200" s="24">
        <v>7600.32</v>
      </c>
      <c r="T200" s="180">
        <v>8387.87</v>
      </c>
      <c r="U200" s="24">
        <v>14173</v>
      </c>
      <c r="V200" s="24">
        <v>12076</v>
      </c>
      <c r="W200" s="690">
        <v>10212.83</v>
      </c>
      <c r="X200" s="646">
        <f t="shared" si="44"/>
        <v>84.57129844319311</v>
      </c>
    </row>
    <row r="201" spans="1:24" ht="12.75">
      <c r="A201" s="778"/>
      <c r="B201" s="205">
        <v>630</v>
      </c>
      <c r="C201" s="201" t="s">
        <v>234</v>
      </c>
      <c r="D201" s="181"/>
      <c r="E201" s="181">
        <v>5344</v>
      </c>
      <c r="F201" s="181">
        <v>9327</v>
      </c>
      <c r="G201" s="181">
        <v>7253</v>
      </c>
      <c r="H201" s="181">
        <v>8122</v>
      </c>
      <c r="I201" s="39">
        <v>7483</v>
      </c>
      <c r="J201" s="39">
        <v>6466</v>
      </c>
      <c r="K201" s="39">
        <v>6899</v>
      </c>
      <c r="L201" s="180">
        <v>6669.76</v>
      </c>
      <c r="M201" s="180">
        <v>10990.38</v>
      </c>
      <c r="N201" s="24">
        <v>10449.24</v>
      </c>
      <c r="O201" s="180">
        <v>5491.570000000001</v>
      </c>
      <c r="P201" s="180">
        <v>4505.56</v>
      </c>
      <c r="Q201" s="180">
        <v>10040.28</v>
      </c>
      <c r="R201" s="24">
        <v>10535</v>
      </c>
      <c r="S201" s="24">
        <v>13184.87</v>
      </c>
      <c r="T201" s="180">
        <v>1787.38</v>
      </c>
      <c r="U201" s="24">
        <v>10535</v>
      </c>
      <c r="V201" s="24">
        <v>10035</v>
      </c>
      <c r="W201" s="690">
        <v>6630.01</v>
      </c>
      <c r="X201" s="646">
        <f t="shared" si="44"/>
        <v>66.06885899352267</v>
      </c>
    </row>
    <row r="202" spans="1:24" ht="13.5" thickBot="1">
      <c r="A202" s="779"/>
      <c r="B202" s="207">
        <v>640</v>
      </c>
      <c r="C202" s="238" t="s">
        <v>235</v>
      </c>
      <c r="D202" s="272"/>
      <c r="E202" s="272"/>
      <c r="F202" s="272"/>
      <c r="G202" s="272"/>
      <c r="H202" s="272"/>
      <c r="I202" s="185">
        <v>3756</v>
      </c>
      <c r="J202" s="185"/>
      <c r="K202" s="185">
        <v>103</v>
      </c>
      <c r="L202" s="305">
        <v>88.94</v>
      </c>
      <c r="M202" s="277">
        <v>105.55</v>
      </c>
      <c r="N202" s="43">
        <v>100.25</v>
      </c>
      <c r="O202" s="230">
        <v>3113.56</v>
      </c>
      <c r="P202" s="230"/>
      <c r="Q202" s="230"/>
      <c r="R202" s="43">
        <v>0</v>
      </c>
      <c r="S202" s="43"/>
      <c r="T202" s="230"/>
      <c r="U202" s="43"/>
      <c r="V202" s="43">
        <v>440</v>
      </c>
      <c r="W202" s="504">
        <v>339.69</v>
      </c>
      <c r="X202" s="630">
        <f t="shared" si="44"/>
        <v>77.20227272727273</v>
      </c>
    </row>
    <row r="203" spans="1:24" ht="36" customHeight="1" thickBot="1">
      <c r="A203" s="306" t="s">
        <v>22</v>
      </c>
      <c r="B203" s="773" t="s">
        <v>23</v>
      </c>
      <c r="C203" s="774"/>
      <c r="D203" s="307">
        <v>105855</v>
      </c>
      <c r="E203" s="307">
        <v>102071</v>
      </c>
      <c r="F203" s="307">
        <v>77475</v>
      </c>
      <c r="G203" s="307">
        <v>119794</v>
      </c>
      <c r="H203" s="308">
        <v>122484</v>
      </c>
      <c r="I203" s="308">
        <f>I204+I209+I210+I211+I212+I213+I215+I217+I214</f>
        <v>95592</v>
      </c>
      <c r="J203" s="308">
        <f>J204+J209+J210+J211+J212+J213+J215+J217+J214</f>
        <v>235945</v>
      </c>
      <c r="K203" s="308">
        <f>K204+K209+K210+K211+K212+K213+K215+K217+K214</f>
        <v>566990</v>
      </c>
      <c r="L203" s="309">
        <f>L204+L209+L210+L211+L212+L213+L215+L217+L214</f>
        <v>568843.26</v>
      </c>
      <c r="M203" s="309">
        <f>M204+M209+M212+M213+M214+M215-M214</f>
        <v>470939.2299999999</v>
      </c>
      <c r="N203" s="439">
        <f>SUM(N209:N217)+N204</f>
        <v>341351.46</v>
      </c>
      <c r="O203" s="538">
        <f>SUM(O209:O217)+O204</f>
        <v>302230.36999999994</v>
      </c>
      <c r="P203" s="439">
        <f>SUM(P209:P217)+P204</f>
        <v>332895.13</v>
      </c>
      <c r="Q203" s="538">
        <f>SUM(Q209:Q217)+Q204</f>
        <v>380830.30000000005</v>
      </c>
      <c r="R203" s="439">
        <f>R204+R209+R212+R214+R216+R215+R211+R217</f>
        <v>352166</v>
      </c>
      <c r="S203" s="439">
        <f>S204+S209+S212+S214+S216+S215+S211+S217+S210</f>
        <v>318162.49999999994</v>
      </c>
      <c r="T203" s="607">
        <v>485514.21</v>
      </c>
      <c r="U203" s="608">
        <f>U204+U209+U212+U214+U216+U215+U211+U217+U210+U213</f>
        <v>352744</v>
      </c>
      <c r="V203" s="608">
        <f>V204+V209+V212+V214+V216+V215+V211+V217+V210+V213</f>
        <v>652500</v>
      </c>
      <c r="W203" s="607">
        <f>W204+W209+W212+W214+W216+W215+W211+W217+W210+W213</f>
        <v>657814.55</v>
      </c>
      <c r="X203" s="653">
        <f t="shared" si="44"/>
        <v>100.81449042145594</v>
      </c>
    </row>
    <row r="204" spans="1:24" ht="26.25" customHeight="1" thickBot="1">
      <c r="A204" s="782"/>
      <c r="B204" s="783" t="s">
        <v>329</v>
      </c>
      <c r="C204" s="784"/>
      <c r="D204" s="310">
        <v>26024</v>
      </c>
      <c r="E204" s="310">
        <v>26422</v>
      </c>
      <c r="F204" s="310">
        <v>12381</v>
      </c>
      <c r="G204" s="310">
        <v>67096</v>
      </c>
      <c r="H204" s="311">
        <f aca="true" t="shared" si="45" ref="H204:O204">SUM(H205:H207)</f>
        <v>63788</v>
      </c>
      <c r="I204" s="311">
        <f t="shared" si="45"/>
        <v>2494</v>
      </c>
      <c r="J204" s="311">
        <f t="shared" si="45"/>
        <v>41385</v>
      </c>
      <c r="K204" s="311">
        <f>SUM(K205:K208)</f>
        <v>80229</v>
      </c>
      <c r="L204" s="312">
        <f>SUM(L205:L208)</f>
        <v>66952.96999999999</v>
      </c>
      <c r="M204" s="312">
        <f>SUM(M205:M208)</f>
        <v>85074.98</v>
      </c>
      <c r="N204" s="311">
        <f t="shared" si="45"/>
        <v>7365</v>
      </c>
      <c r="O204" s="312">
        <f t="shared" si="45"/>
        <v>28865.35</v>
      </c>
      <c r="P204" s="311">
        <f aca="true" t="shared" si="46" ref="P204:V204">SUM(P205:P208)</f>
        <v>120501.78</v>
      </c>
      <c r="Q204" s="312">
        <f t="shared" si="46"/>
        <v>126996.82000000002</v>
      </c>
      <c r="R204" s="311">
        <f t="shared" si="46"/>
        <v>141442</v>
      </c>
      <c r="S204" s="311">
        <f t="shared" si="46"/>
        <v>173154.97999999998</v>
      </c>
      <c r="T204" s="312">
        <v>175177.12</v>
      </c>
      <c r="U204" s="311">
        <f>SUM(U205:U208)</f>
        <v>198744</v>
      </c>
      <c r="V204" s="311">
        <f t="shared" si="46"/>
        <v>216467</v>
      </c>
      <c r="W204" s="699">
        <f>SUM(W205:W208)</f>
        <v>216468.51</v>
      </c>
      <c r="X204" s="653">
        <f t="shared" si="44"/>
        <v>100.00069756591074</v>
      </c>
    </row>
    <row r="205" spans="1:24" ht="12.75">
      <c r="A205" s="782"/>
      <c r="B205" s="177">
        <v>610</v>
      </c>
      <c r="C205" s="36" t="s">
        <v>232</v>
      </c>
      <c r="D205" s="37"/>
      <c r="E205" s="37">
        <v>16132</v>
      </c>
      <c r="F205" s="37">
        <v>7933</v>
      </c>
      <c r="G205" s="37">
        <v>43567</v>
      </c>
      <c r="H205" s="37">
        <v>42257</v>
      </c>
      <c r="I205" s="313">
        <v>2163</v>
      </c>
      <c r="J205" s="313">
        <v>27310</v>
      </c>
      <c r="K205" s="313">
        <v>54820</v>
      </c>
      <c r="L205" s="314">
        <v>43998.71</v>
      </c>
      <c r="M205" s="314">
        <v>61007.02</v>
      </c>
      <c r="N205" s="468">
        <v>1010.2</v>
      </c>
      <c r="O205" s="539">
        <v>19809.79</v>
      </c>
      <c r="P205" s="539">
        <v>74996.97</v>
      </c>
      <c r="Q205" s="539">
        <v>83271.48000000001</v>
      </c>
      <c r="R205" s="468">
        <v>91152</v>
      </c>
      <c r="S205" s="468">
        <v>116904.23</v>
      </c>
      <c r="T205" s="539">
        <v>114332.05</v>
      </c>
      <c r="U205" s="468">
        <v>133614</v>
      </c>
      <c r="V205" s="468">
        <v>146000</v>
      </c>
      <c r="W205" s="634">
        <v>146001.82</v>
      </c>
      <c r="X205" s="629">
        <f t="shared" si="44"/>
        <v>100.00124657534246</v>
      </c>
    </row>
    <row r="206" spans="1:24" ht="12.75">
      <c r="A206" s="782"/>
      <c r="B206" s="179">
        <v>620</v>
      </c>
      <c r="C206" s="38" t="s">
        <v>233</v>
      </c>
      <c r="D206" s="39"/>
      <c r="E206" s="39">
        <v>5344</v>
      </c>
      <c r="F206" s="39">
        <v>2622</v>
      </c>
      <c r="G206" s="39">
        <v>14529</v>
      </c>
      <c r="H206" s="39">
        <v>14713</v>
      </c>
      <c r="I206" s="315">
        <v>323</v>
      </c>
      <c r="J206" s="315">
        <v>10254</v>
      </c>
      <c r="K206" s="315">
        <v>19614</v>
      </c>
      <c r="L206" s="316">
        <v>18142.44</v>
      </c>
      <c r="M206" s="316">
        <v>19303.48</v>
      </c>
      <c r="N206" s="317">
        <v>430.73</v>
      </c>
      <c r="O206" s="316">
        <v>6838.92</v>
      </c>
      <c r="P206" s="316">
        <v>26581.7</v>
      </c>
      <c r="Q206" s="316">
        <v>26861.5</v>
      </c>
      <c r="R206" s="317">
        <v>32290</v>
      </c>
      <c r="S206" s="317">
        <v>40364.94</v>
      </c>
      <c r="T206" s="316">
        <v>38100.61</v>
      </c>
      <c r="U206" s="317">
        <v>47130</v>
      </c>
      <c r="V206" s="317">
        <v>48475</v>
      </c>
      <c r="W206" s="690">
        <v>48471.75</v>
      </c>
      <c r="X206" s="646">
        <f t="shared" si="44"/>
        <v>99.99329551315111</v>
      </c>
    </row>
    <row r="207" spans="1:24" ht="12.75">
      <c r="A207" s="782"/>
      <c r="B207" s="179">
        <v>630</v>
      </c>
      <c r="C207" s="38" t="s">
        <v>234</v>
      </c>
      <c r="D207" s="39"/>
      <c r="E207" s="39">
        <v>4946</v>
      </c>
      <c r="F207" s="39">
        <v>1826</v>
      </c>
      <c r="G207" s="39">
        <v>9000</v>
      </c>
      <c r="H207" s="39">
        <v>6818</v>
      </c>
      <c r="I207" s="39">
        <v>8</v>
      </c>
      <c r="J207" s="39">
        <f>3526+295</f>
        <v>3821</v>
      </c>
      <c r="K207" s="315">
        <v>5011</v>
      </c>
      <c r="L207" s="316">
        <v>4277.15</v>
      </c>
      <c r="M207" s="316">
        <v>4479.7</v>
      </c>
      <c r="N207" s="317">
        <v>5924.07</v>
      </c>
      <c r="O207" s="316">
        <v>2216.64</v>
      </c>
      <c r="P207" s="316">
        <v>18923.11</v>
      </c>
      <c r="Q207" s="316">
        <v>14768.490000000002</v>
      </c>
      <c r="R207" s="317">
        <v>18000</v>
      </c>
      <c r="S207" s="317">
        <v>15653.83</v>
      </c>
      <c r="T207" s="316">
        <v>21635.12</v>
      </c>
      <c r="U207" s="317">
        <v>18000</v>
      </c>
      <c r="V207" s="317">
        <v>16038</v>
      </c>
      <c r="W207" s="690">
        <v>16039.74</v>
      </c>
      <c r="X207" s="646">
        <f t="shared" si="44"/>
        <v>100.01084923307147</v>
      </c>
    </row>
    <row r="208" spans="1:24" ht="13.5" thickBot="1">
      <c r="A208" s="782"/>
      <c r="B208" s="301">
        <v>640</v>
      </c>
      <c r="C208" s="274" t="s">
        <v>235</v>
      </c>
      <c r="D208" s="276"/>
      <c r="E208" s="276"/>
      <c r="F208" s="276"/>
      <c r="G208" s="276"/>
      <c r="H208" s="276"/>
      <c r="I208" s="276"/>
      <c r="J208" s="276"/>
      <c r="K208" s="318">
        <v>784</v>
      </c>
      <c r="L208" s="319">
        <v>534.67</v>
      </c>
      <c r="M208" s="319">
        <v>284.78</v>
      </c>
      <c r="N208" s="320"/>
      <c r="O208" s="319"/>
      <c r="P208" s="319"/>
      <c r="Q208" s="319">
        <v>2095.35</v>
      </c>
      <c r="R208" s="320">
        <v>0</v>
      </c>
      <c r="S208" s="320">
        <v>231.98</v>
      </c>
      <c r="T208" s="319">
        <v>1109.3400000000001</v>
      </c>
      <c r="U208" s="320"/>
      <c r="V208" s="320">
        <v>5954</v>
      </c>
      <c r="W208" s="695">
        <v>5955.2</v>
      </c>
      <c r="X208" s="650">
        <f t="shared" si="44"/>
        <v>100.02015451797111</v>
      </c>
    </row>
    <row r="209" spans="1:24" ht="12.75">
      <c r="A209" s="782"/>
      <c r="B209" s="321"/>
      <c r="C209" s="294" t="s">
        <v>24</v>
      </c>
      <c r="D209" s="293"/>
      <c r="E209" s="293"/>
      <c r="F209" s="293"/>
      <c r="G209" s="293"/>
      <c r="H209" s="293"/>
      <c r="I209" s="294">
        <v>9265</v>
      </c>
      <c r="J209" s="181">
        <v>11343</v>
      </c>
      <c r="K209" s="39">
        <v>6313</v>
      </c>
      <c r="L209" s="105">
        <v>5404.14</v>
      </c>
      <c r="M209" s="105">
        <v>4327.68</v>
      </c>
      <c r="N209" s="21"/>
      <c r="O209" s="105">
        <v>3575.04</v>
      </c>
      <c r="P209" s="105">
        <v>3928.96</v>
      </c>
      <c r="Q209" s="105">
        <v>5212.52</v>
      </c>
      <c r="R209" s="21">
        <v>3500</v>
      </c>
      <c r="S209" s="21">
        <v>2417</v>
      </c>
      <c r="T209" s="105">
        <v>3205.42</v>
      </c>
      <c r="U209" s="21">
        <v>3500</v>
      </c>
      <c r="V209" s="21">
        <v>3500</v>
      </c>
      <c r="W209" s="105">
        <v>4980</v>
      </c>
      <c r="X209" s="629">
        <f t="shared" si="44"/>
        <v>142.28571428571428</v>
      </c>
    </row>
    <row r="210" spans="1:24" ht="12.75">
      <c r="A210" s="782"/>
      <c r="B210" s="322"/>
      <c r="C210" s="201" t="s">
        <v>25</v>
      </c>
      <c r="D210" s="181"/>
      <c r="E210" s="181"/>
      <c r="F210" s="181"/>
      <c r="G210" s="181"/>
      <c r="H210" s="181"/>
      <c r="I210" s="201"/>
      <c r="J210" s="181"/>
      <c r="K210" s="39"/>
      <c r="L210" s="180"/>
      <c r="M210" s="24"/>
      <c r="N210" s="24">
        <v>0</v>
      </c>
      <c r="O210" s="180">
        <v>30265.35</v>
      </c>
      <c r="P210" s="180"/>
      <c r="Q210" s="180"/>
      <c r="R210" s="24">
        <v>0</v>
      </c>
      <c r="S210" s="24">
        <v>937.16</v>
      </c>
      <c r="T210" s="180">
        <v>31667.72</v>
      </c>
      <c r="U210" s="24">
        <v>30000</v>
      </c>
      <c r="V210" s="24">
        <v>30000</v>
      </c>
      <c r="W210" s="180">
        <v>37823.27</v>
      </c>
      <c r="X210" s="646">
        <f t="shared" si="44"/>
        <v>126.07756666666666</v>
      </c>
    </row>
    <row r="211" spans="1:24" ht="12.75" customHeight="1">
      <c r="A211" s="782"/>
      <c r="B211" s="322">
        <v>630</v>
      </c>
      <c r="C211" s="201" t="s">
        <v>25</v>
      </c>
      <c r="D211" s="181"/>
      <c r="E211" s="181"/>
      <c r="F211" s="181"/>
      <c r="G211" s="181"/>
      <c r="H211" s="181"/>
      <c r="I211" s="201"/>
      <c r="J211" s="181"/>
      <c r="K211" s="39"/>
      <c r="L211" s="180"/>
      <c r="M211" s="24"/>
      <c r="N211" s="24">
        <v>0</v>
      </c>
      <c r="O211" s="180"/>
      <c r="P211" s="180"/>
      <c r="Q211" s="180"/>
      <c r="R211" s="24">
        <v>0</v>
      </c>
      <c r="S211" s="24"/>
      <c r="T211" s="180">
        <v>0</v>
      </c>
      <c r="U211" s="24"/>
      <c r="V211" s="24">
        <v>0</v>
      </c>
      <c r="W211" s="180"/>
      <c r="X211" s="646">
        <f t="shared" si="44"/>
        <v>0</v>
      </c>
    </row>
    <row r="212" spans="1:24" ht="12.75" customHeight="1">
      <c r="A212" s="782"/>
      <c r="B212" s="322">
        <v>630</v>
      </c>
      <c r="C212" s="201" t="s">
        <v>26</v>
      </c>
      <c r="D212" s="181"/>
      <c r="E212" s="181"/>
      <c r="F212" s="181"/>
      <c r="G212" s="181"/>
      <c r="H212" s="181"/>
      <c r="I212" s="201">
        <v>66358</v>
      </c>
      <c r="J212" s="181">
        <v>95746</v>
      </c>
      <c r="K212" s="39">
        <f>5530+80179</f>
        <v>85709</v>
      </c>
      <c r="L212" s="180">
        <v>56320.98000000001</v>
      </c>
      <c r="M212" s="180">
        <v>47905.93</v>
      </c>
      <c r="N212" s="24">
        <v>34336.340000000004</v>
      </c>
      <c r="O212" s="180">
        <v>29495.23</v>
      </c>
      <c r="P212" s="180">
        <v>24290.5</v>
      </c>
      <c r="Q212" s="180">
        <v>106460.45</v>
      </c>
      <c r="R212" s="24">
        <v>35000</v>
      </c>
      <c r="S212" s="24"/>
      <c r="T212" s="180"/>
      <c r="U212" s="24">
        <v>0</v>
      </c>
      <c r="V212" s="24">
        <v>0</v>
      </c>
      <c r="W212" s="180"/>
      <c r="X212" s="646">
        <f t="shared" si="44"/>
        <v>0</v>
      </c>
    </row>
    <row r="213" spans="1:24" ht="12.75">
      <c r="A213" s="782"/>
      <c r="B213" s="322">
        <v>630</v>
      </c>
      <c r="C213" s="201" t="s">
        <v>414</v>
      </c>
      <c r="D213" s="181"/>
      <c r="E213" s="181"/>
      <c r="F213" s="181"/>
      <c r="G213" s="181"/>
      <c r="H213" s="181"/>
      <c r="I213" s="39">
        <v>642</v>
      </c>
      <c r="J213" s="181"/>
      <c r="K213" s="39"/>
      <c r="L213" s="180"/>
      <c r="M213" s="180">
        <v>323039.83999999997</v>
      </c>
      <c r="N213" s="24">
        <v>0</v>
      </c>
      <c r="O213" s="180"/>
      <c r="P213" s="180"/>
      <c r="Q213" s="180"/>
      <c r="R213" s="24">
        <v>0</v>
      </c>
      <c r="S213" s="24"/>
      <c r="T213" s="180">
        <v>0</v>
      </c>
      <c r="U213" s="24"/>
      <c r="V213" s="24">
        <v>238098</v>
      </c>
      <c r="W213" s="180">
        <v>238098.5</v>
      </c>
      <c r="X213" s="646">
        <f t="shared" si="44"/>
        <v>100.00020999756403</v>
      </c>
    </row>
    <row r="214" spans="1:24" ht="12.75">
      <c r="A214" s="782"/>
      <c r="B214" s="322"/>
      <c r="C214" s="201" t="s">
        <v>159</v>
      </c>
      <c r="D214" s="181"/>
      <c r="E214" s="181"/>
      <c r="F214" s="181"/>
      <c r="G214" s="181"/>
      <c r="H214" s="181"/>
      <c r="I214" s="201"/>
      <c r="J214" s="181">
        <v>85602</v>
      </c>
      <c r="K214" s="39">
        <f>4915+388479</f>
        <v>393394</v>
      </c>
      <c r="L214" s="180">
        <v>426977.77</v>
      </c>
      <c r="M214" s="180">
        <v>6176.6</v>
      </c>
      <c r="N214" s="24">
        <v>281171.12</v>
      </c>
      <c r="O214" s="180">
        <v>192626.66999999998</v>
      </c>
      <c r="P214" s="180">
        <v>166083.11</v>
      </c>
      <c r="Q214" s="180">
        <v>128496.68000000001</v>
      </c>
      <c r="R214" s="24">
        <v>150000</v>
      </c>
      <c r="S214" s="24">
        <v>127195.48999999999</v>
      </c>
      <c r="T214" s="180">
        <v>264695.44</v>
      </c>
      <c r="U214" s="24">
        <v>115000</v>
      </c>
      <c r="V214" s="24">
        <v>145346</v>
      </c>
      <c r="W214" s="180">
        <f>46288.32+99058.88</f>
        <v>145347.2</v>
      </c>
      <c r="X214" s="646">
        <f t="shared" si="44"/>
        <v>100.00082561611603</v>
      </c>
    </row>
    <row r="215" spans="1:24" ht="12.75">
      <c r="A215" s="782"/>
      <c r="B215" s="322">
        <v>630</v>
      </c>
      <c r="C215" s="201" t="s">
        <v>304</v>
      </c>
      <c r="D215" s="181"/>
      <c r="E215" s="181"/>
      <c r="F215" s="181"/>
      <c r="G215" s="181"/>
      <c r="H215" s="181"/>
      <c r="I215" s="201">
        <v>16833</v>
      </c>
      <c r="J215" s="181">
        <v>1809</v>
      </c>
      <c r="K215" s="39">
        <v>1345</v>
      </c>
      <c r="L215" s="180">
        <v>13077.4</v>
      </c>
      <c r="M215" s="180">
        <v>10590.8</v>
      </c>
      <c r="N215" s="24">
        <v>6654.32</v>
      </c>
      <c r="O215" s="180">
        <v>7292.93</v>
      </c>
      <c r="P215" s="180">
        <v>7200.599999999999</v>
      </c>
      <c r="Q215" s="180">
        <v>10049.73</v>
      </c>
      <c r="R215" s="24">
        <v>0</v>
      </c>
      <c r="S215" s="24">
        <v>11104.67</v>
      </c>
      <c r="T215" s="180">
        <v>10768.51</v>
      </c>
      <c r="U215" s="24"/>
      <c r="V215" s="24">
        <v>13589</v>
      </c>
      <c r="W215" s="180">
        <f>10070.6+3519.34</f>
        <v>13589.94</v>
      </c>
      <c r="X215" s="646">
        <f t="shared" si="44"/>
        <v>100.00691735962913</v>
      </c>
    </row>
    <row r="216" spans="1:24" ht="12.75">
      <c r="A216" s="782"/>
      <c r="B216" s="481"/>
      <c r="C216" s="201" t="s">
        <v>27</v>
      </c>
      <c r="D216" s="482"/>
      <c r="E216" s="482"/>
      <c r="F216" s="482"/>
      <c r="G216" s="482"/>
      <c r="H216" s="482"/>
      <c r="I216" s="387"/>
      <c r="J216" s="181"/>
      <c r="K216" s="39"/>
      <c r="L216" s="198"/>
      <c r="M216" s="198"/>
      <c r="N216" s="27">
        <v>9556.68</v>
      </c>
      <c r="O216" s="198">
        <v>7519.8</v>
      </c>
      <c r="P216" s="198">
        <v>6557</v>
      </c>
      <c r="Q216" s="198">
        <v>315.4</v>
      </c>
      <c r="R216" s="27">
        <v>20224</v>
      </c>
      <c r="S216" s="27">
        <v>3353.2</v>
      </c>
      <c r="T216" s="198"/>
      <c r="U216" s="27">
        <v>3500</v>
      </c>
      <c r="V216" s="27">
        <v>3500</v>
      </c>
      <c r="W216" s="198"/>
      <c r="X216" s="630">
        <f t="shared" si="44"/>
        <v>0</v>
      </c>
    </row>
    <row r="217" spans="1:24" ht="13.5" thickBot="1">
      <c r="A217" s="782"/>
      <c r="B217" s="323">
        <v>630</v>
      </c>
      <c r="C217" s="324" t="s">
        <v>28</v>
      </c>
      <c r="D217" s="325"/>
      <c r="E217" s="325"/>
      <c r="F217" s="325"/>
      <c r="G217" s="325"/>
      <c r="H217" s="325"/>
      <c r="I217" s="324"/>
      <c r="J217" s="181">
        <v>60</v>
      </c>
      <c r="K217" s="39"/>
      <c r="L217" s="198">
        <v>110</v>
      </c>
      <c r="M217" s="326"/>
      <c r="N217" s="326">
        <v>2268</v>
      </c>
      <c r="O217" s="540">
        <v>2590</v>
      </c>
      <c r="P217" s="540">
        <v>4333.18</v>
      </c>
      <c r="Q217" s="540">
        <v>3298.7</v>
      </c>
      <c r="R217" s="326">
        <v>2000</v>
      </c>
      <c r="S217" s="326"/>
      <c r="T217" s="540"/>
      <c r="U217" s="326">
        <v>2000</v>
      </c>
      <c r="V217" s="326">
        <v>2000</v>
      </c>
      <c r="W217" s="504">
        <v>1507.13</v>
      </c>
      <c r="X217" s="630">
        <f t="shared" si="44"/>
        <v>75.35650000000001</v>
      </c>
    </row>
    <row r="218" spans="1:24" ht="17.25" thickBot="1" thickTop="1">
      <c r="A218" s="327"/>
      <c r="B218" s="328"/>
      <c r="C218" s="131" t="s">
        <v>29</v>
      </c>
      <c r="D218" s="90">
        <f aca="true" t="shared" si="47" ref="D218:Q218">D4+D10+D14+D26+D28+D30+D36+D38+D43+D52+D58+D72+D77+D84+D90+D95+D114+D116+D130+D135+D150+D153+D159+D177+D182+D192+D198+D203+D119+D19+D45+D82</f>
        <v>5867125</v>
      </c>
      <c r="E218" s="90">
        <f t="shared" si="47"/>
        <v>6460200</v>
      </c>
      <c r="F218" s="90">
        <f t="shared" si="47"/>
        <v>7832271</v>
      </c>
      <c r="G218" s="90">
        <f t="shared" si="47"/>
        <v>8716285.43</v>
      </c>
      <c r="H218" s="90">
        <f t="shared" si="47"/>
        <v>9309387</v>
      </c>
      <c r="I218" s="90">
        <f t="shared" si="47"/>
        <v>8743512.2</v>
      </c>
      <c r="J218" s="90">
        <f t="shared" si="47"/>
        <v>8908071</v>
      </c>
      <c r="K218" s="90">
        <f t="shared" si="47"/>
        <v>8934542</v>
      </c>
      <c r="L218" s="329">
        <f t="shared" si="47"/>
        <v>9572545.38</v>
      </c>
      <c r="M218" s="329">
        <f t="shared" si="47"/>
        <v>9554914.799999999</v>
      </c>
      <c r="N218" s="440">
        <f t="shared" si="47"/>
        <v>9695081.340000002</v>
      </c>
      <c r="O218" s="541">
        <f t="shared" si="47"/>
        <v>10029034.879999999</v>
      </c>
      <c r="P218" s="440">
        <f t="shared" si="47"/>
        <v>10815176.44</v>
      </c>
      <c r="Q218" s="541">
        <f t="shared" si="47"/>
        <v>12072287.610000001</v>
      </c>
      <c r="R218" s="440">
        <f>R4+R10+R14+R19+R26+R28+R30+R36+R38+R43+R45+R52+R58+R72+R77+R84+R90+R95+R114+R116+R119+R130+R135+R150+R153+R159+R182+R192+R198+R203</f>
        <v>12278088</v>
      </c>
      <c r="S218" s="440">
        <f>S4+S10+S14+S19+S26+S28+S30+S36+S38+S43+S45+S52+S58+S72+S77+S84+S90+S95+S114+S116+S119+S130+S135+S150+S153+S159+S182+S192+S198+S203+S128</f>
        <v>13351433.260000002</v>
      </c>
      <c r="T218" s="576">
        <f>T4+T10+T14+T19+T26+T28+T30+T36+T38+T43+T45+T52+T58+T72+T77+T84+T90+T95+T114+T116+T119+T130+T135+T150+T153+T159+T182+T192+T198+T203</f>
        <v>14806830.810000002</v>
      </c>
      <c r="U218" s="430">
        <f>U4+U10+U14+U19+U26+U28+U30+U36+U38+U43+U45+U52+U58+U72+U77+U84+U90+U95+U114+U116+U119+U130+U135+U150+U153+U159+U182+U192+U198+U203</f>
        <v>14836790</v>
      </c>
      <c r="V218" s="430">
        <f>V4+V10+V14+V19+V26+V28+V30+V36+V38+V43+V45+V52+V58+V72+V77+V84+V90+V95+V114+V116+V119+V130+V135+V150+V153+V159+V182+V192+V198+V203</f>
        <v>17742482</v>
      </c>
      <c r="W218" s="576">
        <f>W4+W10+W14+W19+W26+W28+W30+W36+W38+W43+W45+W52+W58+W72+W77+W84+W90+W95+W114+W116+W119+W130+W135+W150+W153+W159+W182+W192+W198+W203</f>
        <v>17087777.59</v>
      </c>
      <c r="X218" s="632">
        <f t="shared" si="44"/>
        <v>96.30996153751205</v>
      </c>
    </row>
    <row r="219" ht="13.5" thickTop="1"/>
    <row r="223" ht="12.75">
      <c r="W223" s="593"/>
    </row>
  </sheetData>
  <sheetProtection/>
  <mergeCells count="92">
    <mergeCell ref="U2:U3"/>
    <mergeCell ref="W2:W3"/>
    <mergeCell ref="S2:S3"/>
    <mergeCell ref="B4:C4"/>
    <mergeCell ref="I2:I3"/>
    <mergeCell ref="A53:A57"/>
    <mergeCell ref="Q2:Q3"/>
    <mergeCell ref="F2:F3"/>
    <mergeCell ref="N2:N3"/>
    <mergeCell ref="E2:E3"/>
    <mergeCell ref="B52:C52"/>
    <mergeCell ref="A117:A118"/>
    <mergeCell ref="B77:C77"/>
    <mergeCell ref="A46:A51"/>
    <mergeCell ref="B43:C43"/>
    <mergeCell ref="A91:A94"/>
    <mergeCell ref="A59:A71"/>
    <mergeCell ref="A1:C1"/>
    <mergeCell ref="A20:A25"/>
    <mergeCell ref="A15:A18"/>
    <mergeCell ref="B19:C19"/>
    <mergeCell ref="A31:A35"/>
    <mergeCell ref="A39:A42"/>
    <mergeCell ref="B38:C38"/>
    <mergeCell ref="A11:A13"/>
    <mergeCell ref="B10:C10"/>
    <mergeCell ref="B177:C177"/>
    <mergeCell ref="B30:C30"/>
    <mergeCell ref="A5:A9"/>
    <mergeCell ref="A2:A3"/>
    <mergeCell ref="B2:B3"/>
    <mergeCell ref="A131:A134"/>
    <mergeCell ref="B166:B176"/>
    <mergeCell ref="B28:C28"/>
    <mergeCell ref="B84:C84"/>
    <mergeCell ref="B119:C119"/>
    <mergeCell ref="A204:A217"/>
    <mergeCell ref="B204:C204"/>
    <mergeCell ref="B192:C192"/>
    <mergeCell ref="A193:A197"/>
    <mergeCell ref="B198:C198"/>
    <mergeCell ref="B135:C135"/>
    <mergeCell ref="A136:A149"/>
    <mergeCell ref="A151:A152"/>
    <mergeCell ref="A154:A158"/>
    <mergeCell ref="B154:B158"/>
    <mergeCell ref="O2:O3"/>
    <mergeCell ref="A160:A176"/>
    <mergeCell ref="B160:C160"/>
    <mergeCell ref="B165:C165"/>
    <mergeCell ref="B58:C58"/>
    <mergeCell ref="B95:C95"/>
    <mergeCell ref="B72:C72"/>
    <mergeCell ref="A73:A76"/>
    <mergeCell ref="B59:C59"/>
    <mergeCell ref="B45:C45"/>
    <mergeCell ref="A183:A191"/>
    <mergeCell ref="A178:A181"/>
    <mergeCell ref="B182:C182"/>
    <mergeCell ref="B203:C203"/>
    <mergeCell ref="B190:C190"/>
    <mergeCell ref="A199:A202"/>
    <mergeCell ref="V2:V3"/>
    <mergeCell ref="R2:R3"/>
    <mergeCell ref="P2:P3"/>
    <mergeCell ref="L2:L3"/>
    <mergeCell ref="M2:M3"/>
    <mergeCell ref="B183:C183"/>
    <mergeCell ref="B159:C159"/>
    <mergeCell ref="B150:C150"/>
    <mergeCell ref="B153:C153"/>
    <mergeCell ref="B130:C130"/>
    <mergeCell ref="X2:X3"/>
    <mergeCell ref="J2:J3"/>
    <mergeCell ref="T2:T3"/>
    <mergeCell ref="C2:C3"/>
    <mergeCell ref="B114:C114"/>
    <mergeCell ref="K2:K3"/>
    <mergeCell ref="D2:D3"/>
    <mergeCell ref="B36:C36"/>
    <mergeCell ref="B14:C14"/>
    <mergeCell ref="H2:H3"/>
    <mergeCell ref="G2:G3"/>
    <mergeCell ref="B26:C26"/>
    <mergeCell ref="B128:C128"/>
    <mergeCell ref="A120:A127"/>
    <mergeCell ref="A78:A81"/>
    <mergeCell ref="A85:A89"/>
    <mergeCell ref="B90:C90"/>
    <mergeCell ref="B82:C82"/>
    <mergeCell ref="B116:C116"/>
    <mergeCell ref="A96:A113"/>
  </mergeCells>
  <printOptions/>
  <pageMargins left="0" right="0" top="0.1968503937007874" bottom="0.1968503937007874" header="0" footer="0"/>
  <pageSetup orientation="landscape" paperSize="9" scale="85" r:id="rId1"/>
  <rowBreaks count="3" manualBreakCount="3">
    <brk id="71" max="27" man="1"/>
    <brk id="158" max="255" man="1"/>
    <brk id="218" max="255" man="1"/>
  </rowBreaks>
  <colBreaks count="1" manualBreakCount="1">
    <brk id="24" max="65535" man="1"/>
  </colBreaks>
  <ignoredErrors>
    <ignoredError sqref="V77 B77:M77 B79:B81 C75:M75 C73:M73 C74:M74" numberStoredAsText="1"/>
    <ignoredError sqref="L116:M116 L115 L118 V1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Z56"/>
  <sheetViews>
    <sheetView zoomScale="85" zoomScaleNormal="85" zoomScalePageLayoutView="0" workbookViewId="0" topLeftCell="B1">
      <selection activeCell="W7" sqref="W7"/>
    </sheetView>
  </sheetViews>
  <sheetFormatPr defaultColWidth="9.140625" defaultRowHeight="12.75"/>
  <cols>
    <col min="1" max="2" width="9.140625" style="1" customWidth="1"/>
    <col min="3" max="3" width="37.57421875" style="1" customWidth="1"/>
    <col min="4" max="11" width="11.7109375" style="1" hidden="1" customWidth="1"/>
    <col min="12" max="12" width="15.57421875" style="1" hidden="1" customWidth="1"/>
    <col min="13" max="14" width="14.00390625" style="1" hidden="1" customWidth="1"/>
    <col min="15" max="16" width="16.140625" style="1" hidden="1" customWidth="1"/>
    <col min="17" max="17" width="15.28125" style="1" hidden="1" customWidth="1"/>
    <col min="18" max="19" width="14.00390625" style="1" hidden="1" customWidth="1"/>
    <col min="20" max="20" width="15.8515625" style="1" customWidth="1"/>
    <col min="21" max="21" width="14.57421875" style="1" customWidth="1"/>
    <col min="22" max="22" width="14.421875" style="1" customWidth="1"/>
    <col min="23" max="23" width="14.8515625" style="1" customWidth="1"/>
    <col min="24" max="24" width="9.57421875" style="1" customWidth="1"/>
    <col min="25" max="25" width="9.140625" style="1" customWidth="1"/>
    <col min="26" max="26" width="11.7109375" style="1" bestFit="1" customWidth="1"/>
    <col min="27" max="16384" width="9.140625" style="1" customWidth="1"/>
  </cols>
  <sheetData>
    <row r="1" spans="1:3" ht="12.75">
      <c r="A1" s="578" t="s">
        <v>385</v>
      </c>
      <c r="B1" s="578"/>
      <c r="C1" s="578"/>
    </row>
    <row r="2" spans="1:3" ht="13.5" thickBot="1">
      <c r="A2" s="578" t="s">
        <v>386</v>
      </c>
      <c r="B2" s="578"/>
      <c r="C2" s="578"/>
    </row>
    <row r="3" spans="1:24" ht="14.25" customHeight="1" thickTop="1">
      <c r="A3" s="723" t="s">
        <v>77</v>
      </c>
      <c r="B3" s="739" t="s">
        <v>78</v>
      </c>
      <c r="C3" s="712" t="s">
        <v>79</v>
      </c>
      <c r="D3" s="712" t="s">
        <v>169</v>
      </c>
      <c r="E3" s="712" t="s">
        <v>170</v>
      </c>
      <c r="F3" s="712" t="s">
        <v>171</v>
      </c>
      <c r="G3" s="712" t="s">
        <v>172</v>
      </c>
      <c r="H3" s="712" t="s">
        <v>173</v>
      </c>
      <c r="I3" s="712" t="s">
        <v>85</v>
      </c>
      <c r="J3" s="712" t="s">
        <v>86</v>
      </c>
      <c r="K3" s="712" t="s">
        <v>87</v>
      </c>
      <c r="L3" s="712" t="s">
        <v>88</v>
      </c>
      <c r="M3" s="712" t="s">
        <v>303</v>
      </c>
      <c r="N3" s="712" t="s">
        <v>316</v>
      </c>
      <c r="O3" s="712" t="s">
        <v>332</v>
      </c>
      <c r="P3" s="712" t="s">
        <v>337</v>
      </c>
      <c r="Q3" s="712" t="s">
        <v>347</v>
      </c>
      <c r="R3" s="712" t="s">
        <v>353</v>
      </c>
      <c r="S3" s="712" t="s">
        <v>354</v>
      </c>
      <c r="T3" s="712" t="s">
        <v>426</v>
      </c>
      <c r="U3" s="712" t="s">
        <v>447</v>
      </c>
      <c r="V3" s="725" t="s">
        <v>444</v>
      </c>
      <c r="W3" s="725" t="s">
        <v>445</v>
      </c>
      <c r="X3" s="727" t="s">
        <v>446</v>
      </c>
    </row>
    <row r="4" spans="1:24" ht="27.75" customHeight="1" thickBot="1">
      <c r="A4" s="724"/>
      <c r="B4" s="740"/>
      <c r="C4" s="713"/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  <c r="O4" s="713"/>
      <c r="P4" s="713"/>
      <c r="Q4" s="713"/>
      <c r="R4" s="713"/>
      <c r="S4" s="713"/>
      <c r="T4" s="713"/>
      <c r="U4" s="713"/>
      <c r="V4" s="726"/>
      <c r="W4" s="726"/>
      <c r="X4" s="728"/>
    </row>
    <row r="5" spans="1:24" ht="17.25" thickBot="1" thickTop="1">
      <c r="A5" s="91">
        <v>200</v>
      </c>
      <c r="B5" s="741" t="s">
        <v>108</v>
      </c>
      <c r="C5" s="742"/>
      <c r="D5" s="92">
        <f aca="true" t="shared" si="0" ref="D5:O5">D6</f>
        <v>355009</v>
      </c>
      <c r="E5" s="92">
        <f t="shared" si="0"/>
        <v>311359</v>
      </c>
      <c r="F5" s="92">
        <f t="shared" si="0"/>
        <v>955255</v>
      </c>
      <c r="G5" s="92">
        <f t="shared" si="0"/>
        <v>1090339</v>
      </c>
      <c r="H5" s="92">
        <f t="shared" si="0"/>
        <v>496614</v>
      </c>
      <c r="I5" s="92">
        <f t="shared" si="0"/>
        <v>174771</v>
      </c>
      <c r="J5" s="92">
        <f t="shared" si="0"/>
        <v>74221</v>
      </c>
      <c r="K5" s="92">
        <f t="shared" si="0"/>
        <v>98051</v>
      </c>
      <c r="L5" s="92">
        <f t="shared" si="0"/>
        <v>223532.5</v>
      </c>
      <c r="M5" s="483">
        <f t="shared" si="0"/>
        <v>61991.15</v>
      </c>
      <c r="N5" s="92">
        <f t="shared" si="0"/>
        <v>87107.9</v>
      </c>
      <c r="O5" s="483">
        <f t="shared" si="0"/>
        <v>542510.87</v>
      </c>
      <c r="P5" s="483">
        <f aca="true" t="shared" si="1" ref="P5:V5">P6</f>
        <v>47974.47</v>
      </c>
      <c r="Q5" s="483">
        <f t="shared" si="1"/>
        <v>147766.67</v>
      </c>
      <c r="R5" s="92">
        <f t="shared" si="1"/>
        <v>177036</v>
      </c>
      <c r="S5" s="92">
        <f t="shared" si="1"/>
        <v>989473.64</v>
      </c>
      <c r="T5" s="483">
        <v>85846.54</v>
      </c>
      <c r="U5" s="92">
        <f t="shared" si="1"/>
        <v>0</v>
      </c>
      <c r="V5" s="92">
        <f t="shared" si="1"/>
        <v>161445</v>
      </c>
      <c r="W5" s="483">
        <f>W6</f>
        <v>181230</v>
      </c>
      <c r="X5" s="639">
        <f aca="true" t="shared" si="2" ref="X5:X56">IF(V5=0,0,W5/V5)*100</f>
        <v>112.25494750534237</v>
      </c>
    </row>
    <row r="6" spans="1:24" ht="15.75" thickBot="1">
      <c r="A6" s="93">
        <v>230</v>
      </c>
      <c r="B6" s="707" t="s">
        <v>174</v>
      </c>
      <c r="C6" s="743"/>
      <c r="D6" s="94">
        <f aca="true" t="shared" si="3" ref="D6:K6">D7+D11</f>
        <v>355009</v>
      </c>
      <c r="E6" s="94">
        <f t="shared" si="3"/>
        <v>311359</v>
      </c>
      <c r="F6" s="94">
        <f t="shared" si="3"/>
        <v>955255</v>
      </c>
      <c r="G6" s="94">
        <f t="shared" si="3"/>
        <v>1090339</v>
      </c>
      <c r="H6" s="94">
        <f t="shared" si="3"/>
        <v>496614</v>
      </c>
      <c r="I6" s="94">
        <f t="shared" si="3"/>
        <v>174771</v>
      </c>
      <c r="J6" s="94">
        <f t="shared" si="3"/>
        <v>74221</v>
      </c>
      <c r="K6" s="94">
        <f t="shared" si="3"/>
        <v>98051</v>
      </c>
      <c r="L6" s="94">
        <f aca="true" t="shared" si="4" ref="L6:V6">L7+L11</f>
        <v>223532.5</v>
      </c>
      <c r="M6" s="477">
        <f t="shared" si="4"/>
        <v>61991.15</v>
      </c>
      <c r="N6" s="94">
        <f t="shared" si="4"/>
        <v>87107.9</v>
      </c>
      <c r="O6" s="477">
        <f t="shared" si="4"/>
        <v>542510.87</v>
      </c>
      <c r="P6" s="477">
        <f t="shared" si="4"/>
        <v>47974.47</v>
      </c>
      <c r="Q6" s="477">
        <f t="shared" si="4"/>
        <v>147766.67</v>
      </c>
      <c r="R6" s="94">
        <f t="shared" si="4"/>
        <v>177036</v>
      </c>
      <c r="S6" s="94">
        <f>S7+S11</f>
        <v>989473.64</v>
      </c>
      <c r="T6" s="477">
        <v>85846.54000000001</v>
      </c>
      <c r="U6" s="60">
        <f>U7+U11</f>
        <v>0</v>
      </c>
      <c r="V6" s="60">
        <f t="shared" si="4"/>
        <v>161445</v>
      </c>
      <c r="W6" s="189">
        <f>W7+W11</f>
        <v>181230</v>
      </c>
      <c r="X6" s="622">
        <f t="shared" si="2"/>
        <v>112.25494750534237</v>
      </c>
    </row>
    <row r="7" spans="1:24" ht="13.5" thickBot="1">
      <c r="A7" s="701"/>
      <c r="B7" s="95">
        <v>231</v>
      </c>
      <c r="C7" s="56" t="s">
        <v>175</v>
      </c>
      <c r="D7" s="87">
        <f aca="true" t="shared" si="5" ref="D7:V7">SUM(D8:D10)</f>
        <v>351125</v>
      </c>
      <c r="E7" s="87">
        <f t="shared" si="5"/>
        <v>106121</v>
      </c>
      <c r="F7" s="87">
        <f t="shared" si="5"/>
        <v>227246</v>
      </c>
      <c r="G7" s="87">
        <f t="shared" si="5"/>
        <v>45397</v>
      </c>
      <c r="H7" s="87">
        <f t="shared" si="5"/>
        <v>103200</v>
      </c>
      <c r="I7" s="87">
        <f t="shared" si="5"/>
        <v>85320</v>
      </c>
      <c r="J7" s="87">
        <f t="shared" si="5"/>
        <v>21933</v>
      </c>
      <c r="K7" s="87">
        <f t="shared" si="5"/>
        <v>32153</v>
      </c>
      <c r="L7" s="87">
        <f>SUM(L8:L10)</f>
        <v>84811.72</v>
      </c>
      <c r="M7" s="124">
        <f>SUM(M8:M10)</f>
        <v>23898.96</v>
      </c>
      <c r="N7" s="87">
        <f>SUM(N8:N10)</f>
        <v>33003</v>
      </c>
      <c r="O7" s="124">
        <f>SUM(O8:O10)</f>
        <v>255643.36</v>
      </c>
      <c r="P7" s="124">
        <v>0</v>
      </c>
      <c r="Q7" s="124">
        <v>0</v>
      </c>
      <c r="R7" s="58">
        <f t="shared" si="5"/>
        <v>38955</v>
      </c>
      <c r="S7" s="58">
        <f>SUM(S8:S10)</f>
        <v>5772</v>
      </c>
      <c r="T7" s="138">
        <v>50505</v>
      </c>
      <c r="U7" s="58">
        <f>SUM(U8:U10)</f>
        <v>0</v>
      </c>
      <c r="V7" s="58">
        <f t="shared" si="5"/>
        <v>0</v>
      </c>
      <c r="W7" s="138">
        <f>SUM(W8:W10)</f>
        <v>0</v>
      </c>
      <c r="X7" s="125">
        <f t="shared" si="2"/>
        <v>0</v>
      </c>
    </row>
    <row r="8" spans="1:24" ht="12.75">
      <c r="A8" s="702"/>
      <c r="B8" s="704"/>
      <c r="C8" s="96" t="s">
        <v>176</v>
      </c>
      <c r="D8" s="97">
        <v>192923</v>
      </c>
      <c r="E8" s="97">
        <v>101839</v>
      </c>
      <c r="F8" s="97">
        <v>227246</v>
      </c>
      <c r="G8" s="97">
        <v>45397</v>
      </c>
      <c r="H8" s="97">
        <v>103200</v>
      </c>
      <c r="I8" s="78">
        <v>85320</v>
      </c>
      <c r="J8" s="20">
        <v>21933</v>
      </c>
      <c r="K8" s="21">
        <v>23657</v>
      </c>
      <c r="L8" s="21">
        <v>83346.52</v>
      </c>
      <c r="M8" s="105">
        <v>19336.16</v>
      </c>
      <c r="N8" s="21">
        <v>33003</v>
      </c>
      <c r="O8" s="105">
        <v>251642.36</v>
      </c>
      <c r="P8" s="105"/>
      <c r="Q8" s="105"/>
      <c r="R8" s="21"/>
      <c r="S8" s="21"/>
      <c r="T8" s="105">
        <v>50505</v>
      </c>
      <c r="U8" s="105"/>
      <c r="V8" s="51"/>
      <c r="W8" s="65"/>
      <c r="X8" s="127">
        <f t="shared" si="2"/>
        <v>0</v>
      </c>
    </row>
    <row r="9" spans="1:24" ht="12.75">
      <c r="A9" s="702"/>
      <c r="B9" s="705"/>
      <c r="C9" s="38" t="s">
        <v>177</v>
      </c>
      <c r="D9" s="98"/>
      <c r="E9" s="98"/>
      <c r="F9" s="98"/>
      <c r="G9" s="98"/>
      <c r="H9" s="98"/>
      <c r="I9" s="99"/>
      <c r="J9" s="100"/>
      <c r="K9" s="63"/>
      <c r="L9" s="101"/>
      <c r="M9" s="105">
        <v>4562.8</v>
      </c>
      <c r="N9" s="21"/>
      <c r="O9" s="105"/>
      <c r="P9" s="105"/>
      <c r="Q9" s="105"/>
      <c r="R9" s="21">
        <v>38955</v>
      </c>
      <c r="S9" s="21">
        <v>5772</v>
      </c>
      <c r="T9" s="105"/>
      <c r="U9" s="105"/>
      <c r="V9" s="51"/>
      <c r="W9" s="65"/>
      <c r="X9" s="127">
        <f t="shared" si="2"/>
        <v>0</v>
      </c>
    </row>
    <row r="10" spans="1:24" ht="13.5" thickBot="1">
      <c r="A10" s="702"/>
      <c r="B10" s="706"/>
      <c r="C10" s="102" t="s">
        <v>178</v>
      </c>
      <c r="D10" s="53">
        <v>158202</v>
      </c>
      <c r="E10" s="53">
        <v>4282</v>
      </c>
      <c r="F10" s="53">
        <v>0</v>
      </c>
      <c r="G10" s="53"/>
      <c r="H10" s="53"/>
      <c r="I10" s="53"/>
      <c r="J10" s="53"/>
      <c r="K10" s="43">
        <v>8496</v>
      </c>
      <c r="L10" s="21">
        <v>1465.2</v>
      </c>
      <c r="M10" s="63"/>
      <c r="N10" s="63"/>
      <c r="O10" s="103">
        <v>4001</v>
      </c>
      <c r="P10" s="103"/>
      <c r="Q10" s="103"/>
      <c r="R10" s="63"/>
      <c r="S10" s="63"/>
      <c r="T10" s="103"/>
      <c r="U10" s="103"/>
      <c r="V10" s="51"/>
      <c r="W10" s="65"/>
      <c r="X10" s="127">
        <f t="shared" si="2"/>
        <v>0</v>
      </c>
    </row>
    <row r="11" spans="1:24" ht="13.5" thickBot="1">
      <c r="A11" s="702"/>
      <c r="B11" s="104">
        <v>233</v>
      </c>
      <c r="C11" s="55" t="s">
        <v>179</v>
      </c>
      <c r="D11" s="87">
        <f aca="true" t="shared" si="6" ref="D11:V11">SUM(D12:D16)</f>
        <v>3884</v>
      </c>
      <c r="E11" s="87">
        <f t="shared" si="6"/>
        <v>205238</v>
      </c>
      <c r="F11" s="87">
        <f t="shared" si="6"/>
        <v>728009</v>
      </c>
      <c r="G11" s="87">
        <f t="shared" si="6"/>
        <v>1044942</v>
      </c>
      <c r="H11" s="87">
        <f t="shared" si="6"/>
        <v>393414</v>
      </c>
      <c r="I11" s="87">
        <f t="shared" si="6"/>
        <v>89451</v>
      </c>
      <c r="J11" s="87">
        <f t="shared" si="6"/>
        <v>52288</v>
      </c>
      <c r="K11" s="87">
        <f t="shared" si="6"/>
        <v>65898</v>
      </c>
      <c r="L11" s="87">
        <f t="shared" si="6"/>
        <v>138720.78</v>
      </c>
      <c r="M11" s="124">
        <f t="shared" si="6"/>
        <v>38092.19</v>
      </c>
      <c r="N11" s="87">
        <f t="shared" si="6"/>
        <v>54104.9</v>
      </c>
      <c r="O11" s="124">
        <f>SUM(O12:O16)</f>
        <v>286867.51</v>
      </c>
      <c r="P11" s="87">
        <f>SUM(P12:P16)</f>
        <v>47974.47</v>
      </c>
      <c r="Q11" s="124">
        <f>SUM(Q12:Q16)</f>
        <v>147766.67</v>
      </c>
      <c r="R11" s="58">
        <f t="shared" si="6"/>
        <v>138081</v>
      </c>
      <c r="S11" s="58">
        <f t="shared" si="6"/>
        <v>983701.64</v>
      </c>
      <c r="T11" s="138">
        <v>35341.54</v>
      </c>
      <c r="U11" s="58">
        <f t="shared" si="6"/>
        <v>0</v>
      </c>
      <c r="V11" s="58">
        <f t="shared" si="6"/>
        <v>161445</v>
      </c>
      <c r="W11" s="138">
        <f>SUM(W12:W16)</f>
        <v>181230</v>
      </c>
      <c r="X11" s="125">
        <f t="shared" si="2"/>
        <v>112.25494750534237</v>
      </c>
    </row>
    <row r="12" spans="1:24" ht="13.5" thickBot="1">
      <c r="A12" s="702"/>
      <c r="B12" s="704"/>
      <c r="C12" s="36" t="s">
        <v>180</v>
      </c>
      <c r="D12" s="50">
        <v>3884</v>
      </c>
      <c r="E12" s="50">
        <v>205238</v>
      </c>
      <c r="F12" s="50">
        <v>728009</v>
      </c>
      <c r="G12" s="50">
        <v>98695</v>
      </c>
      <c r="H12" s="50">
        <v>393414</v>
      </c>
      <c r="I12" s="50">
        <v>89451</v>
      </c>
      <c r="J12" s="21">
        <v>52288</v>
      </c>
      <c r="K12" s="21">
        <v>65898</v>
      </c>
      <c r="L12" s="21">
        <v>138720.78</v>
      </c>
      <c r="M12" s="484">
        <v>38092.19</v>
      </c>
      <c r="N12" s="494">
        <v>54104.9</v>
      </c>
      <c r="O12" s="542">
        <v>286867.51</v>
      </c>
      <c r="P12" s="542">
        <v>47974.47</v>
      </c>
      <c r="Q12" s="542">
        <v>147766.67</v>
      </c>
      <c r="R12" s="494">
        <v>138081</v>
      </c>
      <c r="S12" s="494">
        <v>983701.64</v>
      </c>
      <c r="T12" s="542">
        <v>35341.54</v>
      </c>
      <c r="U12" s="542"/>
      <c r="V12" s="51">
        <v>161445</v>
      </c>
      <c r="W12" s="65">
        <v>181230</v>
      </c>
      <c r="X12" s="127">
        <f t="shared" si="2"/>
        <v>112.25494750534237</v>
      </c>
    </row>
    <row r="13" spans="1:24" ht="13.5" hidden="1" thickBot="1">
      <c r="A13" s="702"/>
      <c r="B13" s="705"/>
      <c r="C13" s="106" t="s">
        <v>181</v>
      </c>
      <c r="D13" s="107"/>
      <c r="E13" s="107"/>
      <c r="F13" s="107"/>
      <c r="G13" s="107"/>
      <c r="H13" s="107"/>
      <c r="I13" s="107"/>
      <c r="J13" s="107"/>
      <c r="K13" s="86"/>
      <c r="L13" s="108"/>
      <c r="M13" s="108"/>
      <c r="N13" s="108"/>
      <c r="O13" s="543"/>
      <c r="P13" s="543"/>
      <c r="Q13" s="543"/>
      <c r="R13" s="108"/>
      <c r="S13" s="108"/>
      <c r="T13" s="543"/>
      <c r="U13" s="543"/>
      <c r="V13" s="164"/>
      <c r="W13" s="636"/>
      <c r="X13" s="640">
        <f t="shared" si="2"/>
        <v>0</v>
      </c>
    </row>
    <row r="14" spans="1:24" ht="13.5" hidden="1" thickBot="1">
      <c r="A14" s="702"/>
      <c r="B14" s="705"/>
      <c r="C14" s="106" t="s">
        <v>182</v>
      </c>
      <c r="D14" s="107"/>
      <c r="E14" s="107"/>
      <c r="F14" s="107"/>
      <c r="G14" s="107"/>
      <c r="H14" s="107"/>
      <c r="I14" s="107"/>
      <c r="J14" s="107"/>
      <c r="K14" s="86"/>
      <c r="L14" s="105"/>
      <c r="M14" s="108"/>
      <c r="N14" s="108"/>
      <c r="O14" s="543"/>
      <c r="P14" s="543"/>
      <c r="Q14" s="543"/>
      <c r="R14" s="108"/>
      <c r="S14" s="108"/>
      <c r="T14" s="543"/>
      <c r="U14" s="543"/>
      <c r="V14" s="164"/>
      <c r="W14" s="636"/>
      <c r="X14" s="640">
        <f t="shared" si="2"/>
        <v>0</v>
      </c>
    </row>
    <row r="15" spans="1:24" ht="13.5" hidden="1" thickBot="1">
      <c r="A15" s="702"/>
      <c r="B15" s="705"/>
      <c r="C15" s="106" t="s">
        <v>183</v>
      </c>
      <c r="D15" s="107"/>
      <c r="E15" s="107"/>
      <c r="F15" s="107"/>
      <c r="G15" s="107"/>
      <c r="H15" s="107"/>
      <c r="I15" s="107"/>
      <c r="J15" s="107"/>
      <c r="K15" s="86"/>
      <c r="L15" s="108"/>
      <c r="M15" s="108"/>
      <c r="N15" s="108"/>
      <c r="O15" s="543"/>
      <c r="P15" s="543"/>
      <c r="Q15" s="543"/>
      <c r="R15" s="108"/>
      <c r="S15" s="108"/>
      <c r="T15" s="543"/>
      <c r="U15" s="543"/>
      <c r="V15" s="164"/>
      <c r="W15" s="636"/>
      <c r="X15" s="640">
        <f t="shared" si="2"/>
        <v>0</v>
      </c>
    </row>
    <row r="16" spans="1:24" ht="13.5" hidden="1" thickBot="1">
      <c r="A16" s="702"/>
      <c r="B16" s="706"/>
      <c r="C16" s="109" t="s">
        <v>184</v>
      </c>
      <c r="D16" s="53"/>
      <c r="E16" s="53"/>
      <c r="F16" s="53"/>
      <c r="G16" s="53">
        <v>946247</v>
      </c>
      <c r="H16" s="53"/>
      <c r="I16" s="53"/>
      <c r="J16" s="53"/>
      <c r="K16" s="43"/>
      <c r="L16" s="63"/>
      <c r="M16" s="63"/>
      <c r="N16" s="63"/>
      <c r="O16" s="103"/>
      <c r="P16" s="103"/>
      <c r="Q16" s="103"/>
      <c r="R16" s="63"/>
      <c r="S16" s="63"/>
      <c r="T16" s="103"/>
      <c r="U16" s="103"/>
      <c r="V16" s="51"/>
      <c r="W16" s="65"/>
      <c r="X16" s="127">
        <f t="shared" si="2"/>
        <v>0</v>
      </c>
    </row>
    <row r="17" spans="1:26" ht="16.5" thickBot="1">
      <c r="A17" s="110">
        <v>300</v>
      </c>
      <c r="B17" s="733" t="s">
        <v>140</v>
      </c>
      <c r="C17" s="802"/>
      <c r="D17" s="111">
        <f>D18+D52</f>
        <v>1758083</v>
      </c>
      <c r="E17" s="111">
        <f>E18+E52</f>
        <v>706599</v>
      </c>
      <c r="F17" s="111">
        <f>F18+F52</f>
        <v>290114</v>
      </c>
      <c r="G17" s="111">
        <f>G18+G52</f>
        <v>3301074</v>
      </c>
      <c r="H17" s="111">
        <v>2959527</v>
      </c>
      <c r="I17" s="111">
        <f aca="true" t="shared" si="7" ref="I17:N17">I18+I52</f>
        <v>4474942</v>
      </c>
      <c r="J17" s="111">
        <f t="shared" si="7"/>
        <v>4428553.06</v>
      </c>
      <c r="K17" s="111">
        <f t="shared" si="7"/>
        <v>3580446</v>
      </c>
      <c r="L17" s="111">
        <f t="shared" si="7"/>
        <v>994806.09</v>
      </c>
      <c r="M17" s="485">
        <f t="shared" si="7"/>
        <v>690306.37</v>
      </c>
      <c r="N17" s="111">
        <f t="shared" si="7"/>
        <v>848428.28</v>
      </c>
      <c r="O17" s="485">
        <f>O18+O52</f>
        <v>1153730.93</v>
      </c>
      <c r="P17" s="485">
        <f>P18+P52</f>
        <v>2075273.05</v>
      </c>
      <c r="Q17" s="485">
        <f>Q18+Q52</f>
        <v>1378895.97</v>
      </c>
      <c r="R17" s="111">
        <f>R18+R52</f>
        <v>2461132</v>
      </c>
      <c r="S17" s="111">
        <f>S18+S52</f>
        <v>1872835.86</v>
      </c>
      <c r="T17" s="485">
        <v>3307638</v>
      </c>
      <c r="U17" s="445">
        <f>U18+U52</f>
        <v>350000</v>
      </c>
      <c r="V17" s="445">
        <f>V18+V52</f>
        <v>780091</v>
      </c>
      <c r="W17" s="637">
        <f>W18+W52</f>
        <v>786284.34</v>
      </c>
      <c r="X17" s="641">
        <f t="shared" si="2"/>
        <v>100.79392532409679</v>
      </c>
      <c r="Z17" s="593"/>
    </row>
    <row r="18" spans="1:24" ht="15.75" thickBot="1">
      <c r="A18" s="93">
        <v>320</v>
      </c>
      <c r="B18" s="707" t="s">
        <v>429</v>
      </c>
      <c r="C18" s="743"/>
      <c r="D18" s="112">
        <f>D19</f>
        <v>1758083</v>
      </c>
      <c r="E18" s="112">
        <f>E19</f>
        <v>706599</v>
      </c>
      <c r="F18" s="112">
        <f>F19</f>
        <v>290114</v>
      </c>
      <c r="G18" s="112">
        <f>G19</f>
        <v>3301074</v>
      </c>
      <c r="H18" s="112">
        <v>2959527</v>
      </c>
      <c r="I18" s="112">
        <f aca="true" t="shared" si="8" ref="I18:W18">I19</f>
        <v>4417142</v>
      </c>
      <c r="J18" s="112">
        <f t="shared" si="8"/>
        <v>4408068.06</v>
      </c>
      <c r="K18" s="112">
        <f t="shared" si="8"/>
        <v>3580446</v>
      </c>
      <c r="L18" s="112">
        <f t="shared" si="8"/>
        <v>994806.09</v>
      </c>
      <c r="M18" s="486">
        <f t="shared" si="8"/>
        <v>690306.37</v>
      </c>
      <c r="N18" s="446">
        <f t="shared" si="8"/>
        <v>848428.28</v>
      </c>
      <c r="O18" s="502">
        <f t="shared" si="8"/>
        <v>1153730.93</v>
      </c>
      <c r="P18" s="446">
        <f t="shared" si="8"/>
        <v>2075273.05</v>
      </c>
      <c r="Q18" s="502">
        <v>1378895.97</v>
      </c>
      <c r="R18" s="446">
        <v>2461132</v>
      </c>
      <c r="S18" s="446">
        <f t="shared" si="8"/>
        <v>1872835.86</v>
      </c>
      <c r="T18" s="502">
        <v>1788943.5</v>
      </c>
      <c r="U18" s="446">
        <f t="shared" si="8"/>
        <v>350000</v>
      </c>
      <c r="V18" s="446">
        <f t="shared" si="8"/>
        <v>780091</v>
      </c>
      <c r="W18" s="502">
        <f t="shared" si="8"/>
        <v>780090.5599999999</v>
      </c>
      <c r="X18" s="642">
        <f t="shared" si="2"/>
        <v>99.99994359632402</v>
      </c>
    </row>
    <row r="19" spans="1:24" ht="13.5" customHeight="1" thickBot="1">
      <c r="A19" s="799"/>
      <c r="B19" s="104">
        <v>321</v>
      </c>
      <c r="C19" s="55" t="s">
        <v>142</v>
      </c>
      <c r="D19" s="56">
        <v>1758083</v>
      </c>
      <c r="E19" s="56">
        <v>706599</v>
      </c>
      <c r="F19" s="56">
        <v>290114</v>
      </c>
      <c r="G19" s="56">
        <v>3301074</v>
      </c>
      <c r="H19" s="56">
        <v>2959527</v>
      </c>
      <c r="I19" s="113">
        <v>4417142</v>
      </c>
      <c r="J19" s="113">
        <v>4408068.06</v>
      </c>
      <c r="K19" s="113">
        <v>3580446</v>
      </c>
      <c r="L19" s="113">
        <v>994806.09</v>
      </c>
      <c r="M19" s="487">
        <f>SUM(M20:M51)</f>
        <v>690306.37</v>
      </c>
      <c r="N19" s="113">
        <f>SUM(N20:N51)</f>
        <v>848428.28</v>
      </c>
      <c r="O19" s="487">
        <v>1153730.93</v>
      </c>
      <c r="P19" s="487">
        <v>2075273.05</v>
      </c>
      <c r="Q19" s="487">
        <v>1378895.97</v>
      </c>
      <c r="R19" s="113">
        <v>2461132</v>
      </c>
      <c r="S19" s="113">
        <v>1872835.86</v>
      </c>
      <c r="T19" s="487">
        <v>1788943.5</v>
      </c>
      <c r="U19" s="33">
        <f>SUM(U20:U28)</f>
        <v>350000</v>
      </c>
      <c r="V19" s="33">
        <f>SUM(V20:V28)</f>
        <v>780091</v>
      </c>
      <c r="W19" s="298">
        <f>SUM(W20:W51)</f>
        <v>780090.5599999999</v>
      </c>
      <c r="X19" s="618">
        <f t="shared" si="2"/>
        <v>99.99994359632402</v>
      </c>
    </row>
    <row r="20" spans="1:24" ht="15.75" customHeight="1">
      <c r="A20" s="800"/>
      <c r="B20" s="798"/>
      <c r="C20" s="114" t="s">
        <v>399</v>
      </c>
      <c r="D20" s="78"/>
      <c r="E20" s="78"/>
      <c r="F20" s="78"/>
      <c r="G20" s="78"/>
      <c r="H20" s="78"/>
      <c r="I20" s="78"/>
      <c r="J20" s="78"/>
      <c r="K20" s="20"/>
      <c r="L20" s="115"/>
      <c r="M20" s="115">
        <v>66064.15</v>
      </c>
      <c r="N20" s="20"/>
      <c r="O20" s="20"/>
      <c r="P20" s="20"/>
      <c r="Q20" s="115"/>
      <c r="R20" s="20"/>
      <c r="S20" s="20"/>
      <c r="T20" s="115"/>
      <c r="U20" s="20"/>
      <c r="V20" s="51">
        <v>27000</v>
      </c>
      <c r="W20" s="65">
        <v>27000</v>
      </c>
      <c r="X20" s="127">
        <f t="shared" si="2"/>
        <v>100</v>
      </c>
    </row>
    <row r="21" spans="1:24" ht="15.75" customHeight="1">
      <c r="A21" s="800"/>
      <c r="B21" s="798"/>
      <c r="C21" s="19" t="s">
        <v>400</v>
      </c>
      <c r="D21" s="78"/>
      <c r="E21" s="78"/>
      <c r="F21" s="78"/>
      <c r="G21" s="78"/>
      <c r="H21" s="78"/>
      <c r="I21" s="78"/>
      <c r="J21" s="78"/>
      <c r="K21" s="20"/>
      <c r="L21" s="115"/>
      <c r="M21" s="115">
        <v>58454.17</v>
      </c>
      <c r="N21" s="20"/>
      <c r="O21" s="20"/>
      <c r="P21" s="20"/>
      <c r="Q21" s="115"/>
      <c r="R21" s="20"/>
      <c r="S21" s="20"/>
      <c r="T21" s="115"/>
      <c r="U21" s="20"/>
      <c r="V21" s="51">
        <v>15000</v>
      </c>
      <c r="W21" s="65">
        <v>15000</v>
      </c>
      <c r="X21" s="127">
        <f t="shared" si="2"/>
        <v>100</v>
      </c>
    </row>
    <row r="22" spans="1:24" ht="15.75" customHeight="1">
      <c r="A22" s="800"/>
      <c r="B22" s="798"/>
      <c r="C22" s="19" t="s">
        <v>416</v>
      </c>
      <c r="D22" s="50"/>
      <c r="E22" s="50"/>
      <c r="F22" s="50"/>
      <c r="G22" s="50"/>
      <c r="H22" s="50"/>
      <c r="I22" s="50"/>
      <c r="J22" s="50"/>
      <c r="K22" s="20"/>
      <c r="L22" s="115"/>
      <c r="M22" s="115"/>
      <c r="N22" s="20"/>
      <c r="O22" s="20"/>
      <c r="P22" s="20"/>
      <c r="Q22" s="115"/>
      <c r="R22" s="20"/>
      <c r="S22" s="20"/>
      <c r="T22" s="115"/>
      <c r="U22" s="20">
        <v>350000</v>
      </c>
      <c r="V22" s="51">
        <v>343580</v>
      </c>
      <c r="W22" s="65">
        <v>343579.63</v>
      </c>
      <c r="X22" s="127">
        <f t="shared" si="2"/>
        <v>99.99989231037895</v>
      </c>
    </row>
    <row r="23" spans="1:24" ht="15.75" customHeight="1">
      <c r="A23" s="800"/>
      <c r="B23" s="798"/>
      <c r="C23" s="19" t="s">
        <v>440</v>
      </c>
      <c r="D23" s="50"/>
      <c r="E23" s="50"/>
      <c r="F23" s="50"/>
      <c r="G23" s="50"/>
      <c r="H23" s="50"/>
      <c r="I23" s="50"/>
      <c r="J23" s="50"/>
      <c r="K23" s="20"/>
      <c r="L23" s="115"/>
      <c r="M23" s="115"/>
      <c r="N23" s="20"/>
      <c r="O23" s="20"/>
      <c r="P23" s="20"/>
      <c r="Q23" s="115"/>
      <c r="R23" s="20"/>
      <c r="S23" s="20"/>
      <c r="T23" s="115"/>
      <c r="U23" s="20"/>
      <c r="V23" s="51">
        <v>84648</v>
      </c>
      <c r="W23" s="65">
        <v>84647.76</v>
      </c>
      <c r="X23" s="127">
        <f t="shared" si="2"/>
        <v>99.99971647292315</v>
      </c>
    </row>
    <row r="24" spans="1:24" ht="15.75" customHeight="1">
      <c r="A24" s="800"/>
      <c r="B24" s="798"/>
      <c r="C24" s="19" t="s">
        <v>417</v>
      </c>
      <c r="D24" s="19"/>
      <c r="E24" s="19"/>
      <c r="F24" s="19"/>
      <c r="G24" s="19"/>
      <c r="H24" s="19">
        <v>341897</v>
      </c>
      <c r="I24" s="79">
        <v>341897</v>
      </c>
      <c r="J24" s="79">
        <v>344900</v>
      </c>
      <c r="K24" s="23">
        <v>341900</v>
      </c>
      <c r="L24" s="21">
        <v>341900</v>
      </c>
      <c r="M24" s="115">
        <v>340000</v>
      </c>
      <c r="N24" s="20">
        <v>340000</v>
      </c>
      <c r="O24" s="20"/>
      <c r="P24" s="20"/>
      <c r="Q24" s="115"/>
      <c r="R24" s="20"/>
      <c r="S24" s="20"/>
      <c r="T24" s="115"/>
      <c r="U24" s="20"/>
      <c r="V24" s="51">
        <v>23050</v>
      </c>
      <c r="W24" s="65">
        <v>23050.12</v>
      </c>
      <c r="X24" s="127">
        <f t="shared" si="2"/>
        <v>100.00052060737528</v>
      </c>
    </row>
    <row r="25" spans="1:24" ht="15.75" customHeight="1">
      <c r="A25" s="800"/>
      <c r="B25" s="798"/>
      <c r="C25" s="19" t="s">
        <v>441</v>
      </c>
      <c r="D25" s="78"/>
      <c r="E25" s="78"/>
      <c r="F25" s="78"/>
      <c r="G25" s="78"/>
      <c r="H25" s="78"/>
      <c r="I25" s="20"/>
      <c r="J25" s="20"/>
      <c r="K25" s="23"/>
      <c r="L25" s="21"/>
      <c r="M25" s="115"/>
      <c r="N25" s="20"/>
      <c r="O25" s="20"/>
      <c r="P25" s="20"/>
      <c r="Q25" s="115"/>
      <c r="R25" s="20"/>
      <c r="S25" s="20"/>
      <c r="T25" s="115"/>
      <c r="U25" s="20"/>
      <c r="V25" s="51">
        <v>212709</v>
      </c>
      <c r="W25" s="65">
        <v>212709.18</v>
      </c>
      <c r="X25" s="127">
        <f t="shared" si="2"/>
        <v>100.00008462265349</v>
      </c>
    </row>
    <row r="26" spans="1:24" ht="15.75" customHeight="1">
      <c r="A26" s="800"/>
      <c r="B26" s="798"/>
      <c r="C26" s="38" t="s">
        <v>418</v>
      </c>
      <c r="D26" s="52"/>
      <c r="E26" s="52"/>
      <c r="F26" s="52"/>
      <c r="G26" s="52"/>
      <c r="H26" s="52"/>
      <c r="I26" s="52"/>
      <c r="J26" s="52"/>
      <c r="K26" s="23"/>
      <c r="L26" s="21">
        <v>68448.02</v>
      </c>
      <c r="M26" s="115">
        <v>6610.12</v>
      </c>
      <c r="N26" s="20"/>
      <c r="O26" s="20"/>
      <c r="P26" s="20"/>
      <c r="Q26" s="115">
        <v>0</v>
      </c>
      <c r="R26" s="20"/>
      <c r="S26" s="20"/>
      <c r="T26" s="115"/>
      <c r="U26" s="20"/>
      <c r="V26" s="51">
        <v>23704</v>
      </c>
      <c r="W26" s="65">
        <v>23703.87</v>
      </c>
      <c r="X26" s="127">
        <f t="shared" si="2"/>
        <v>99.99945156935539</v>
      </c>
    </row>
    <row r="27" spans="1:24" ht="15.75" customHeight="1">
      <c r="A27" s="800"/>
      <c r="B27" s="798"/>
      <c r="C27" s="38" t="s">
        <v>428</v>
      </c>
      <c r="D27" s="52"/>
      <c r="E27" s="52"/>
      <c r="F27" s="52"/>
      <c r="G27" s="52"/>
      <c r="H27" s="52"/>
      <c r="I27" s="52"/>
      <c r="J27" s="52"/>
      <c r="K27" s="23"/>
      <c r="L27" s="115"/>
      <c r="M27" s="115">
        <v>9000</v>
      </c>
      <c r="N27" s="20"/>
      <c r="O27" s="20"/>
      <c r="P27" s="20"/>
      <c r="Q27" s="115">
        <v>0</v>
      </c>
      <c r="R27" s="20"/>
      <c r="S27" s="20"/>
      <c r="T27" s="115"/>
      <c r="U27" s="20"/>
      <c r="V27" s="51">
        <v>2000</v>
      </c>
      <c r="W27" s="65">
        <v>2000</v>
      </c>
      <c r="X27" s="127">
        <f t="shared" si="2"/>
        <v>100</v>
      </c>
    </row>
    <row r="28" spans="1:24" ht="15.75" customHeight="1" thickBot="1">
      <c r="A28" s="800"/>
      <c r="B28" s="798"/>
      <c r="C28" s="116" t="s">
        <v>439</v>
      </c>
      <c r="D28" s="117"/>
      <c r="E28" s="117"/>
      <c r="F28" s="117"/>
      <c r="G28" s="117"/>
      <c r="H28" s="117"/>
      <c r="I28" s="52"/>
      <c r="J28" s="52"/>
      <c r="K28" s="23"/>
      <c r="L28" s="115"/>
      <c r="M28" s="115">
        <v>8142.7</v>
      </c>
      <c r="N28" s="20"/>
      <c r="O28" s="20"/>
      <c r="P28" s="20"/>
      <c r="Q28" s="115">
        <v>0</v>
      </c>
      <c r="R28" s="20"/>
      <c r="S28" s="20"/>
      <c r="T28" s="115"/>
      <c r="U28" s="20"/>
      <c r="V28" s="51">
        <v>48400</v>
      </c>
      <c r="W28" s="65">
        <v>48400</v>
      </c>
      <c r="X28" s="127">
        <f t="shared" si="2"/>
        <v>100</v>
      </c>
    </row>
    <row r="29" spans="1:24" ht="15.75" customHeight="1" hidden="1">
      <c r="A29" s="800"/>
      <c r="B29" s="798"/>
      <c r="C29" s="38"/>
      <c r="D29" s="52"/>
      <c r="E29" s="52"/>
      <c r="F29" s="52"/>
      <c r="G29" s="52"/>
      <c r="H29" s="52"/>
      <c r="I29" s="52"/>
      <c r="J29" s="52"/>
      <c r="K29" s="23"/>
      <c r="L29" s="118"/>
      <c r="M29" s="23"/>
      <c r="N29" s="23">
        <v>5221.4</v>
      </c>
      <c r="O29" s="39"/>
      <c r="P29" s="39"/>
      <c r="Q29" s="101">
        <v>0</v>
      </c>
      <c r="R29" s="39"/>
      <c r="S29" s="39"/>
      <c r="T29" s="101"/>
      <c r="U29" s="39"/>
      <c r="V29" s="39"/>
      <c r="W29" s="101"/>
      <c r="X29" s="119">
        <f t="shared" si="2"/>
        <v>0</v>
      </c>
    </row>
    <row r="30" spans="1:24" ht="15.75" customHeight="1" hidden="1">
      <c r="A30" s="800"/>
      <c r="B30" s="798"/>
      <c r="C30" s="38"/>
      <c r="D30" s="52"/>
      <c r="E30" s="52"/>
      <c r="F30" s="52"/>
      <c r="G30" s="52"/>
      <c r="H30" s="52"/>
      <c r="I30" s="52"/>
      <c r="J30" s="52"/>
      <c r="K30" s="23"/>
      <c r="L30" s="118"/>
      <c r="M30" s="23"/>
      <c r="N30" s="23"/>
      <c r="O30" s="23"/>
      <c r="P30" s="23"/>
      <c r="Q30" s="118">
        <v>0</v>
      </c>
      <c r="R30" s="23"/>
      <c r="S30" s="23"/>
      <c r="T30" s="118"/>
      <c r="U30" s="23"/>
      <c r="V30" s="39"/>
      <c r="W30" s="101"/>
      <c r="X30" s="119">
        <f t="shared" si="2"/>
        <v>0</v>
      </c>
    </row>
    <row r="31" spans="1:24" ht="15.75" customHeight="1" hidden="1">
      <c r="A31" s="800"/>
      <c r="B31" s="798"/>
      <c r="C31" s="38"/>
      <c r="D31" s="52"/>
      <c r="E31" s="52"/>
      <c r="F31" s="52"/>
      <c r="G31" s="52"/>
      <c r="H31" s="52"/>
      <c r="I31" s="52"/>
      <c r="J31" s="52"/>
      <c r="K31" s="23"/>
      <c r="L31" s="118"/>
      <c r="M31" s="23"/>
      <c r="N31" s="23"/>
      <c r="O31" s="23"/>
      <c r="P31" s="23"/>
      <c r="Q31" s="118">
        <v>0</v>
      </c>
      <c r="R31" s="23"/>
      <c r="S31" s="23"/>
      <c r="T31" s="118"/>
      <c r="U31" s="23"/>
      <c r="V31" s="39"/>
      <c r="W31" s="101"/>
      <c r="X31" s="119">
        <f t="shared" si="2"/>
        <v>0</v>
      </c>
    </row>
    <row r="32" spans="1:24" ht="15.75" customHeight="1" hidden="1">
      <c r="A32" s="800"/>
      <c r="B32" s="798"/>
      <c r="C32" s="38"/>
      <c r="D32" s="52"/>
      <c r="E32" s="52"/>
      <c r="F32" s="52"/>
      <c r="G32" s="52"/>
      <c r="H32" s="52"/>
      <c r="I32" s="52"/>
      <c r="J32" s="52"/>
      <c r="K32" s="23"/>
      <c r="L32" s="118"/>
      <c r="M32" s="23"/>
      <c r="N32" s="23"/>
      <c r="O32" s="23"/>
      <c r="P32" s="23"/>
      <c r="Q32" s="118">
        <v>0</v>
      </c>
      <c r="R32" s="23"/>
      <c r="S32" s="23"/>
      <c r="T32" s="118"/>
      <c r="U32" s="23"/>
      <c r="V32" s="39"/>
      <c r="W32" s="101"/>
      <c r="X32" s="119">
        <f t="shared" si="2"/>
        <v>0</v>
      </c>
    </row>
    <row r="33" spans="1:24" ht="15.75" customHeight="1" hidden="1">
      <c r="A33" s="800"/>
      <c r="B33" s="798"/>
      <c r="C33" s="64"/>
      <c r="D33" s="59"/>
      <c r="E33" s="59"/>
      <c r="F33" s="59"/>
      <c r="G33" s="59"/>
      <c r="H33" s="59"/>
      <c r="I33" s="52"/>
      <c r="J33" s="52"/>
      <c r="K33" s="23"/>
      <c r="L33" s="118"/>
      <c r="M33" s="23"/>
      <c r="N33" s="23"/>
      <c r="O33" s="23"/>
      <c r="P33" s="23"/>
      <c r="Q33" s="118">
        <v>0</v>
      </c>
      <c r="R33" s="23"/>
      <c r="S33" s="23"/>
      <c r="T33" s="118"/>
      <c r="U33" s="23"/>
      <c r="V33" s="101"/>
      <c r="W33" s="101"/>
      <c r="X33" s="119">
        <f t="shared" si="2"/>
        <v>0</v>
      </c>
    </row>
    <row r="34" spans="1:24" ht="15.75" customHeight="1" hidden="1">
      <c r="A34" s="800"/>
      <c r="B34" s="798"/>
      <c r="C34" s="64"/>
      <c r="D34" s="50"/>
      <c r="E34" s="50"/>
      <c r="F34" s="50"/>
      <c r="G34" s="50"/>
      <c r="H34" s="50"/>
      <c r="I34" s="52"/>
      <c r="J34" s="52"/>
      <c r="K34" s="23"/>
      <c r="L34" s="118"/>
      <c r="M34" s="23"/>
      <c r="N34" s="23"/>
      <c r="O34" s="23"/>
      <c r="P34" s="23"/>
      <c r="Q34" s="118">
        <v>0</v>
      </c>
      <c r="R34" s="23"/>
      <c r="S34" s="23"/>
      <c r="T34" s="118"/>
      <c r="U34" s="23"/>
      <c r="V34" s="101"/>
      <c r="W34" s="101"/>
      <c r="X34" s="119">
        <f t="shared" si="2"/>
        <v>0</v>
      </c>
    </row>
    <row r="35" spans="1:24" ht="15.75" customHeight="1" hidden="1">
      <c r="A35" s="800"/>
      <c r="B35" s="798"/>
      <c r="C35" s="64"/>
      <c r="D35" s="52"/>
      <c r="E35" s="52"/>
      <c r="F35" s="52"/>
      <c r="G35" s="52"/>
      <c r="H35" s="52"/>
      <c r="I35" s="52"/>
      <c r="J35" s="52"/>
      <c r="K35" s="23">
        <v>0</v>
      </c>
      <c r="L35" s="118"/>
      <c r="M35" s="23"/>
      <c r="N35" s="23"/>
      <c r="O35" s="23"/>
      <c r="P35" s="23"/>
      <c r="Q35" s="118">
        <v>0</v>
      </c>
      <c r="R35" s="23"/>
      <c r="S35" s="23"/>
      <c r="T35" s="118"/>
      <c r="U35" s="23"/>
      <c r="V35" s="101"/>
      <c r="W35" s="101"/>
      <c r="X35" s="119">
        <f t="shared" si="2"/>
        <v>0</v>
      </c>
    </row>
    <row r="36" spans="1:24" ht="15.75" customHeight="1" hidden="1">
      <c r="A36" s="800"/>
      <c r="B36" s="798"/>
      <c r="C36" s="64"/>
      <c r="D36" s="52"/>
      <c r="E36" s="52"/>
      <c r="F36" s="52"/>
      <c r="G36" s="52"/>
      <c r="H36" s="52"/>
      <c r="I36" s="52"/>
      <c r="J36" s="52"/>
      <c r="K36" s="23">
        <v>0</v>
      </c>
      <c r="L36" s="118"/>
      <c r="M36" s="23"/>
      <c r="N36" s="23"/>
      <c r="O36" s="23"/>
      <c r="P36" s="23"/>
      <c r="Q36" s="118">
        <v>0</v>
      </c>
      <c r="R36" s="23"/>
      <c r="S36" s="23"/>
      <c r="T36" s="118"/>
      <c r="U36" s="23"/>
      <c r="V36" s="101"/>
      <c r="W36" s="101"/>
      <c r="X36" s="119">
        <f t="shared" si="2"/>
        <v>0</v>
      </c>
    </row>
    <row r="37" spans="1:24" ht="15.75" customHeight="1" hidden="1">
      <c r="A37" s="800"/>
      <c r="B37" s="798"/>
      <c r="C37" s="64"/>
      <c r="D37" s="52"/>
      <c r="E37" s="52"/>
      <c r="F37" s="52"/>
      <c r="G37" s="52"/>
      <c r="H37" s="52"/>
      <c r="I37" s="52"/>
      <c r="J37" s="52"/>
      <c r="K37" s="23"/>
      <c r="L37" s="118"/>
      <c r="M37" s="23"/>
      <c r="N37" s="23"/>
      <c r="O37" s="23"/>
      <c r="P37" s="23"/>
      <c r="Q37" s="118">
        <v>0</v>
      </c>
      <c r="R37" s="23"/>
      <c r="S37" s="23"/>
      <c r="T37" s="118"/>
      <c r="U37" s="23"/>
      <c r="V37" s="101"/>
      <c r="W37" s="101"/>
      <c r="X37" s="119">
        <f t="shared" si="2"/>
        <v>0</v>
      </c>
    </row>
    <row r="38" spans="1:24" ht="15.75" customHeight="1" hidden="1">
      <c r="A38" s="800"/>
      <c r="B38" s="798"/>
      <c r="C38" s="38"/>
      <c r="D38" s="52"/>
      <c r="E38" s="52"/>
      <c r="F38" s="52"/>
      <c r="G38" s="52"/>
      <c r="H38" s="52"/>
      <c r="I38" s="52"/>
      <c r="J38" s="52"/>
      <c r="K38" s="23"/>
      <c r="L38" s="118"/>
      <c r="M38" s="23"/>
      <c r="N38" s="23"/>
      <c r="O38" s="23"/>
      <c r="P38" s="23"/>
      <c r="Q38" s="118">
        <v>0</v>
      </c>
      <c r="R38" s="23"/>
      <c r="S38" s="23"/>
      <c r="T38" s="118"/>
      <c r="U38" s="23"/>
      <c r="V38" s="101"/>
      <c r="W38" s="101"/>
      <c r="X38" s="119">
        <f t="shared" si="2"/>
        <v>0</v>
      </c>
    </row>
    <row r="39" spans="1:24" ht="15.75" customHeight="1" hidden="1">
      <c r="A39" s="800"/>
      <c r="B39" s="798"/>
      <c r="C39" s="38"/>
      <c r="D39" s="52"/>
      <c r="E39" s="52"/>
      <c r="F39" s="52"/>
      <c r="G39" s="52"/>
      <c r="H39" s="52"/>
      <c r="I39" s="52"/>
      <c r="J39" s="52"/>
      <c r="K39" s="23"/>
      <c r="L39" s="118"/>
      <c r="M39" s="23"/>
      <c r="N39" s="23"/>
      <c r="O39" s="23"/>
      <c r="P39" s="23"/>
      <c r="Q39" s="118">
        <v>0</v>
      </c>
      <c r="R39" s="23"/>
      <c r="S39" s="23"/>
      <c r="T39" s="118"/>
      <c r="U39" s="23"/>
      <c r="V39" s="101"/>
      <c r="W39" s="101"/>
      <c r="X39" s="119">
        <f t="shared" si="2"/>
        <v>0</v>
      </c>
    </row>
    <row r="40" spans="1:24" ht="15.75" customHeight="1" hidden="1">
      <c r="A40" s="800"/>
      <c r="B40" s="798"/>
      <c r="C40" s="38"/>
      <c r="D40" s="52"/>
      <c r="E40" s="52"/>
      <c r="F40" s="52"/>
      <c r="G40" s="52"/>
      <c r="H40" s="52"/>
      <c r="I40" s="52"/>
      <c r="J40" s="52"/>
      <c r="K40" s="23"/>
      <c r="L40" s="118"/>
      <c r="M40" s="23"/>
      <c r="N40" s="23"/>
      <c r="O40" s="23"/>
      <c r="P40" s="23"/>
      <c r="Q40" s="118">
        <v>0</v>
      </c>
      <c r="R40" s="23"/>
      <c r="S40" s="23"/>
      <c r="T40" s="118"/>
      <c r="U40" s="23"/>
      <c r="V40" s="101"/>
      <c r="W40" s="101"/>
      <c r="X40" s="119">
        <f t="shared" si="2"/>
        <v>0</v>
      </c>
    </row>
    <row r="41" spans="1:24" ht="15.75" customHeight="1" hidden="1">
      <c r="A41" s="800"/>
      <c r="B41" s="798"/>
      <c r="C41" s="38"/>
      <c r="D41" s="52"/>
      <c r="E41" s="52"/>
      <c r="F41" s="52"/>
      <c r="G41" s="52"/>
      <c r="H41" s="52"/>
      <c r="I41" s="52"/>
      <c r="J41" s="52"/>
      <c r="K41" s="23"/>
      <c r="L41" s="118"/>
      <c r="M41" s="23">
        <v>136054.5</v>
      </c>
      <c r="N41" s="23"/>
      <c r="O41" s="23"/>
      <c r="P41" s="23"/>
      <c r="Q41" s="118">
        <v>0</v>
      </c>
      <c r="R41" s="23"/>
      <c r="S41" s="23"/>
      <c r="T41" s="118"/>
      <c r="U41" s="23"/>
      <c r="V41" s="101"/>
      <c r="W41" s="101"/>
      <c r="X41" s="119">
        <f t="shared" si="2"/>
        <v>0</v>
      </c>
    </row>
    <row r="42" spans="1:24" ht="15.75" customHeight="1" hidden="1">
      <c r="A42" s="800"/>
      <c r="B42" s="798"/>
      <c r="C42" s="38"/>
      <c r="D42" s="52"/>
      <c r="E42" s="52"/>
      <c r="F42" s="52"/>
      <c r="G42" s="52"/>
      <c r="H42" s="52"/>
      <c r="I42" s="52"/>
      <c r="J42" s="52"/>
      <c r="K42" s="23"/>
      <c r="L42" s="118"/>
      <c r="M42" s="118">
        <v>65980.73</v>
      </c>
      <c r="N42" s="23"/>
      <c r="O42" s="23"/>
      <c r="P42" s="23"/>
      <c r="Q42" s="118">
        <v>0</v>
      </c>
      <c r="R42" s="23"/>
      <c r="S42" s="23"/>
      <c r="T42" s="118"/>
      <c r="U42" s="23"/>
      <c r="V42" s="39"/>
      <c r="W42" s="101"/>
      <c r="X42" s="119">
        <f t="shared" si="2"/>
        <v>0</v>
      </c>
    </row>
    <row r="43" spans="1:24" ht="15.75" customHeight="1" hidden="1">
      <c r="A43" s="800"/>
      <c r="B43" s="798"/>
      <c r="C43" s="38"/>
      <c r="D43" s="52"/>
      <c r="E43" s="52"/>
      <c r="F43" s="52"/>
      <c r="G43" s="52"/>
      <c r="H43" s="52"/>
      <c r="I43" s="52"/>
      <c r="J43" s="52"/>
      <c r="K43" s="23"/>
      <c r="L43" s="118"/>
      <c r="M43" s="23"/>
      <c r="N43" s="23">
        <v>4000</v>
      </c>
      <c r="O43" s="23"/>
      <c r="P43" s="23"/>
      <c r="Q43" s="118"/>
      <c r="R43" s="23"/>
      <c r="S43" s="23"/>
      <c r="T43" s="118"/>
      <c r="U43" s="23"/>
      <c r="V43" s="39"/>
      <c r="W43" s="101"/>
      <c r="X43" s="119">
        <f t="shared" si="2"/>
        <v>0</v>
      </c>
    </row>
    <row r="44" spans="1:24" ht="15.75" customHeight="1" hidden="1">
      <c r="A44" s="800"/>
      <c r="B44" s="798"/>
      <c r="C44" s="38"/>
      <c r="D44" s="52"/>
      <c r="E44" s="52"/>
      <c r="F44" s="52"/>
      <c r="G44" s="52"/>
      <c r="H44" s="52"/>
      <c r="I44" s="52"/>
      <c r="J44" s="52"/>
      <c r="K44" s="23"/>
      <c r="L44" s="118"/>
      <c r="M44" s="23"/>
      <c r="N44" s="23">
        <v>15000</v>
      </c>
      <c r="O44" s="23"/>
      <c r="P44" s="23"/>
      <c r="Q44" s="118">
        <v>0</v>
      </c>
      <c r="R44" s="23"/>
      <c r="S44" s="23"/>
      <c r="T44" s="118"/>
      <c r="U44" s="23"/>
      <c r="V44" s="39"/>
      <c r="W44" s="101"/>
      <c r="X44" s="119">
        <f t="shared" si="2"/>
        <v>0</v>
      </c>
    </row>
    <row r="45" spans="1:24" ht="15.75" customHeight="1" hidden="1">
      <c r="A45" s="800"/>
      <c r="B45" s="798"/>
      <c r="C45" s="38"/>
      <c r="D45" s="52"/>
      <c r="E45" s="52"/>
      <c r="F45" s="52"/>
      <c r="G45" s="52"/>
      <c r="H45" s="52"/>
      <c r="I45" s="52"/>
      <c r="J45" s="52"/>
      <c r="K45" s="23"/>
      <c r="L45" s="118"/>
      <c r="M45" s="23"/>
      <c r="N45" s="23"/>
      <c r="O45" s="23"/>
      <c r="P45" s="23"/>
      <c r="Q45" s="118"/>
      <c r="R45" s="23"/>
      <c r="S45" s="23"/>
      <c r="T45" s="118"/>
      <c r="U45" s="23"/>
      <c r="V45" s="39"/>
      <c r="W45" s="101"/>
      <c r="X45" s="119">
        <f t="shared" si="2"/>
        <v>0</v>
      </c>
    </row>
    <row r="46" spans="1:24" ht="15.75" customHeight="1" hidden="1">
      <c r="A46" s="800"/>
      <c r="B46" s="798"/>
      <c r="C46" s="38"/>
      <c r="D46" s="52"/>
      <c r="E46" s="52"/>
      <c r="F46" s="52"/>
      <c r="G46" s="52"/>
      <c r="H46" s="52"/>
      <c r="I46" s="52"/>
      <c r="J46" s="52"/>
      <c r="K46" s="23"/>
      <c r="L46" s="118"/>
      <c r="M46" s="23"/>
      <c r="N46" s="23">
        <v>484206.88</v>
      </c>
      <c r="O46" s="23"/>
      <c r="P46" s="23"/>
      <c r="Q46" s="118"/>
      <c r="R46" s="23"/>
      <c r="S46" s="23"/>
      <c r="T46" s="118"/>
      <c r="U46" s="23"/>
      <c r="V46" s="39"/>
      <c r="W46" s="101"/>
      <c r="X46" s="119">
        <f t="shared" si="2"/>
        <v>0</v>
      </c>
    </row>
    <row r="47" spans="1:24" ht="15.75" customHeight="1" hidden="1">
      <c r="A47" s="800"/>
      <c r="B47" s="798"/>
      <c r="C47" s="38"/>
      <c r="D47" s="52"/>
      <c r="E47" s="52"/>
      <c r="F47" s="52"/>
      <c r="G47" s="52"/>
      <c r="H47" s="52"/>
      <c r="I47" s="52"/>
      <c r="J47" s="52"/>
      <c r="K47" s="23"/>
      <c r="L47" s="118"/>
      <c r="M47" s="23"/>
      <c r="N47" s="23"/>
      <c r="O47" s="23"/>
      <c r="P47" s="23"/>
      <c r="Q47" s="118"/>
      <c r="R47" s="23"/>
      <c r="S47" s="23"/>
      <c r="T47" s="118"/>
      <c r="U47" s="23"/>
      <c r="V47" s="39"/>
      <c r="W47" s="101"/>
      <c r="X47" s="119">
        <f t="shared" si="2"/>
        <v>0</v>
      </c>
    </row>
    <row r="48" spans="1:24" ht="15.75" customHeight="1" hidden="1">
      <c r="A48" s="800"/>
      <c r="B48" s="798"/>
      <c r="C48" s="38"/>
      <c r="D48" s="52"/>
      <c r="E48" s="52"/>
      <c r="F48" s="52"/>
      <c r="G48" s="52"/>
      <c r="H48" s="52"/>
      <c r="I48" s="52"/>
      <c r="J48" s="52"/>
      <c r="K48" s="23"/>
      <c r="L48" s="118"/>
      <c r="M48" s="23"/>
      <c r="N48" s="23"/>
      <c r="O48" s="23"/>
      <c r="P48" s="23"/>
      <c r="Q48" s="118"/>
      <c r="R48" s="23"/>
      <c r="S48" s="23"/>
      <c r="T48" s="118"/>
      <c r="U48" s="23"/>
      <c r="V48" s="39"/>
      <c r="W48" s="101"/>
      <c r="X48" s="119">
        <f t="shared" si="2"/>
        <v>0</v>
      </c>
    </row>
    <row r="49" spans="1:24" ht="15.75" customHeight="1" hidden="1">
      <c r="A49" s="800"/>
      <c r="B49" s="798"/>
      <c r="C49" s="38"/>
      <c r="D49" s="52"/>
      <c r="E49" s="52"/>
      <c r="F49" s="52"/>
      <c r="G49" s="52"/>
      <c r="H49" s="52"/>
      <c r="I49" s="52"/>
      <c r="J49" s="52"/>
      <c r="K49" s="23"/>
      <c r="L49" s="118"/>
      <c r="M49" s="23"/>
      <c r="N49" s="23"/>
      <c r="O49" s="23"/>
      <c r="P49" s="23"/>
      <c r="Q49" s="118"/>
      <c r="R49" s="23"/>
      <c r="S49" s="23"/>
      <c r="T49" s="118"/>
      <c r="U49" s="23"/>
      <c r="V49" s="39"/>
      <c r="W49" s="101"/>
      <c r="X49" s="119">
        <f t="shared" si="2"/>
        <v>0</v>
      </c>
    </row>
    <row r="50" spans="1:24" ht="15.75" customHeight="1" hidden="1">
      <c r="A50" s="800"/>
      <c r="B50" s="798"/>
      <c r="C50" s="38"/>
      <c r="D50" s="52"/>
      <c r="E50" s="52"/>
      <c r="F50" s="52"/>
      <c r="G50" s="52"/>
      <c r="H50" s="52"/>
      <c r="I50" s="52"/>
      <c r="J50" s="52"/>
      <c r="K50" s="23"/>
      <c r="L50" s="118"/>
      <c r="M50" s="23"/>
      <c r="N50" s="23"/>
      <c r="O50" s="23"/>
      <c r="P50" s="23"/>
      <c r="Q50" s="118"/>
      <c r="R50" s="23"/>
      <c r="S50" s="23"/>
      <c r="T50" s="118"/>
      <c r="U50" s="23"/>
      <c r="V50" s="39"/>
      <c r="W50" s="101"/>
      <c r="X50" s="119">
        <f t="shared" si="2"/>
        <v>0</v>
      </c>
    </row>
    <row r="51" spans="1:24" ht="15.75" customHeight="1" hidden="1" thickBot="1">
      <c r="A51" s="801"/>
      <c r="B51" s="798"/>
      <c r="C51" s="38"/>
      <c r="D51" s="52"/>
      <c r="E51" s="52"/>
      <c r="F51" s="52"/>
      <c r="G51" s="52"/>
      <c r="H51" s="52"/>
      <c r="I51" s="52"/>
      <c r="J51" s="52"/>
      <c r="K51" s="23"/>
      <c r="L51" s="118"/>
      <c r="M51" s="23"/>
      <c r="N51" s="23"/>
      <c r="O51" s="23"/>
      <c r="P51" s="23"/>
      <c r="Q51" s="118"/>
      <c r="R51" s="23"/>
      <c r="S51" s="23"/>
      <c r="T51" s="118"/>
      <c r="U51" s="23"/>
      <c r="V51" s="101"/>
      <c r="W51" s="101"/>
      <c r="X51" s="119">
        <f t="shared" si="2"/>
        <v>0</v>
      </c>
    </row>
    <row r="52" spans="1:24" ht="15.75" thickBot="1">
      <c r="A52" s="120">
        <v>330</v>
      </c>
      <c r="B52" s="707" t="s">
        <v>166</v>
      </c>
      <c r="C52" s="743"/>
      <c r="D52" s="121">
        <f aca="true" t="shared" si="9" ref="D52:K53">D53</f>
        <v>0</v>
      </c>
      <c r="E52" s="121">
        <f t="shared" si="9"/>
        <v>0</v>
      </c>
      <c r="F52" s="121">
        <f t="shared" si="9"/>
        <v>0</v>
      </c>
      <c r="G52" s="121">
        <f t="shared" si="9"/>
        <v>0</v>
      </c>
      <c r="H52" s="121">
        <f t="shared" si="9"/>
        <v>0</v>
      </c>
      <c r="I52" s="121">
        <f t="shared" si="9"/>
        <v>57800</v>
      </c>
      <c r="J52" s="122">
        <f t="shared" si="9"/>
        <v>20485</v>
      </c>
      <c r="K52" s="121">
        <f t="shared" si="9"/>
        <v>0</v>
      </c>
      <c r="L52" s="123"/>
      <c r="M52" s="121">
        <f aca="true" t="shared" si="10" ref="M52:O53">M53</f>
        <v>0</v>
      </c>
      <c r="N52" s="121">
        <f t="shared" si="10"/>
        <v>0</v>
      </c>
      <c r="O52" s="121">
        <f t="shared" si="10"/>
        <v>0</v>
      </c>
      <c r="P52" s="121"/>
      <c r="Q52" s="123">
        <f>Q53</f>
        <v>0</v>
      </c>
      <c r="R52" s="209"/>
      <c r="S52" s="209"/>
      <c r="T52" s="123">
        <v>1518694.5</v>
      </c>
      <c r="U52" s="447">
        <f aca="true" t="shared" si="11" ref="U52:W53">U53</f>
        <v>0</v>
      </c>
      <c r="V52" s="447">
        <f t="shared" si="11"/>
        <v>0</v>
      </c>
      <c r="W52" s="638">
        <f t="shared" si="11"/>
        <v>6193.78</v>
      </c>
      <c r="X52" s="643">
        <f t="shared" si="2"/>
        <v>0</v>
      </c>
    </row>
    <row r="53" spans="1:24" ht="13.5" thickBot="1">
      <c r="A53" s="714"/>
      <c r="B53" s="104">
        <v>332</v>
      </c>
      <c r="C53" s="55" t="s">
        <v>219</v>
      </c>
      <c r="D53" s="56">
        <f t="shared" si="9"/>
        <v>0</v>
      </c>
      <c r="E53" s="56">
        <f t="shared" si="9"/>
        <v>0</v>
      </c>
      <c r="F53" s="56">
        <f t="shared" si="9"/>
        <v>0</v>
      </c>
      <c r="G53" s="56">
        <f t="shared" si="9"/>
        <v>0</v>
      </c>
      <c r="H53" s="56">
        <f t="shared" si="9"/>
        <v>0</v>
      </c>
      <c r="I53" s="56">
        <f t="shared" si="9"/>
        <v>57800</v>
      </c>
      <c r="J53" s="87">
        <f t="shared" si="9"/>
        <v>20485</v>
      </c>
      <c r="K53" s="56">
        <f t="shared" si="9"/>
        <v>0</v>
      </c>
      <c r="L53" s="124"/>
      <c r="M53" s="56">
        <f t="shared" si="10"/>
        <v>0</v>
      </c>
      <c r="N53" s="56">
        <f t="shared" si="10"/>
        <v>0</v>
      </c>
      <c r="O53" s="56">
        <f t="shared" si="10"/>
        <v>0</v>
      </c>
      <c r="P53" s="56"/>
      <c r="Q53" s="124">
        <f>Q54</f>
        <v>0</v>
      </c>
      <c r="R53" s="87"/>
      <c r="S53" s="87"/>
      <c r="T53" s="124">
        <v>1518694.5</v>
      </c>
      <c r="U53" s="87">
        <f t="shared" si="11"/>
        <v>0</v>
      </c>
      <c r="V53" s="87">
        <f t="shared" si="11"/>
        <v>0</v>
      </c>
      <c r="W53" s="124">
        <f t="shared" si="11"/>
        <v>6193.78</v>
      </c>
      <c r="X53" s="125">
        <f t="shared" si="2"/>
        <v>0</v>
      </c>
    </row>
    <row r="54" spans="1:24" ht="12.75">
      <c r="A54" s="715"/>
      <c r="B54" s="704"/>
      <c r="C54" s="114" t="s">
        <v>423</v>
      </c>
      <c r="D54" s="76"/>
      <c r="E54" s="76"/>
      <c r="F54" s="76"/>
      <c r="G54" s="76"/>
      <c r="H54" s="76"/>
      <c r="I54" s="76">
        <v>57800</v>
      </c>
      <c r="J54" s="126">
        <v>20485</v>
      </c>
      <c r="K54" s="126"/>
      <c r="L54" s="20"/>
      <c r="M54" s="20"/>
      <c r="N54" s="20"/>
      <c r="O54" s="20"/>
      <c r="P54" s="20"/>
      <c r="Q54" s="115"/>
      <c r="R54" s="20"/>
      <c r="S54" s="20"/>
      <c r="T54" s="115"/>
      <c r="U54" s="20"/>
      <c r="V54" s="65"/>
      <c r="W54" s="65">
        <v>6193.78</v>
      </c>
      <c r="X54" s="127">
        <f t="shared" si="2"/>
        <v>0</v>
      </c>
    </row>
    <row r="55" spans="1:24" ht="13.5" thickBot="1">
      <c r="A55" s="715"/>
      <c r="B55" s="705"/>
      <c r="C55" s="128"/>
      <c r="D55" s="62"/>
      <c r="E55" s="62"/>
      <c r="F55" s="62"/>
      <c r="G55" s="62"/>
      <c r="H55" s="62"/>
      <c r="I55" s="62"/>
      <c r="J55" s="62"/>
      <c r="K55" s="63"/>
      <c r="L55" s="63"/>
      <c r="M55" s="63"/>
      <c r="N55" s="63"/>
      <c r="O55" s="63"/>
      <c r="P55" s="63"/>
      <c r="Q55" s="103"/>
      <c r="R55" s="63"/>
      <c r="S55" s="63"/>
      <c r="T55" s="103"/>
      <c r="U55" s="63"/>
      <c r="V55" s="65"/>
      <c r="W55" s="65"/>
      <c r="X55" s="127">
        <f t="shared" si="2"/>
        <v>0</v>
      </c>
    </row>
    <row r="56" spans="1:24" ht="17.25" thickBot="1" thickTop="1">
      <c r="A56" s="129"/>
      <c r="B56" s="130"/>
      <c r="C56" s="131" t="s">
        <v>220</v>
      </c>
      <c r="D56" s="90">
        <f aca="true" t="shared" si="12" ref="D56:V56">D17+D5</f>
        <v>2113092</v>
      </c>
      <c r="E56" s="90">
        <f t="shared" si="12"/>
        <v>1017958</v>
      </c>
      <c r="F56" s="90">
        <f t="shared" si="12"/>
        <v>1245369</v>
      </c>
      <c r="G56" s="90">
        <f t="shared" si="12"/>
        <v>4391413</v>
      </c>
      <c r="H56" s="90">
        <f t="shared" si="12"/>
        <v>3456141</v>
      </c>
      <c r="I56" s="90">
        <f t="shared" si="12"/>
        <v>4649713</v>
      </c>
      <c r="J56" s="90">
        <f t="shared" si="12"/>
        <v>4502774.06</v>
      </c>
      <c r="K56" s="90">
        <f t="shared" si="12"/>
        <v>3678497</v>
      </c>
      <c r="L56" s="90">
        <f t="shared" si="12"/>
        <v>1218338.5899999999</v>
      </c>
      <c r="M56" s="329">
        <f t="shared" si="12"/>
        <v>752297.52</v>
      </c>
      <c r="N56" s="90">
        <f t="shared" si="12"/>
        <v>935536.18</v>
      </c>
      <c r="O56" s="90">
        <f aca="true" t="shared" si="13" ref="O56:T56">O17+O5</f>
        <v>1696241.7999999998</v>
      </c>
      <c r="P56" s="90">
        <f t="shared" si="13"/>
        <v>2123247.52</v>
      </c>
      <c r="Q56" s="329">
        <f t="shared" si="13"/>
        <v>1526662.64</v>
      </c>
      <c r="R56" s="90">
        <f t="shared" si="13"/>
        <v>2638168</v>
      </c>
      <c r="S56" s="90">
        <f t="shared" si="13"/>
        <v>2862309.5</v>
      </c>
      <c r="T56" s="329">
        <f t="shared" si="13"/>
        <v>3393484.54</v>
      </c>
      <c r="U56" s="90">
        <f t="shared" si="12"/>
        <v>350000</v>
      </c>
      <c r="V56" s="90">
        <f t="shared" si="12"/>
        <v>941536</v>
      </c>
      <c r="W56" s="329">
        <f>W17+W5</f>
        <v>967514.34</v>
      </c>
      <c r="X56" s="644">
        <f t="shared" si="2"/>
        <v>102.75914463175067</v>
      </c>
    </row>
    <row r="57" ht="13.5" thickTop="1"/>
  </sheetData>
  <sheetProtection/>
  <mergeCells count="36">
    <mergeCell ref="U3:U4"/>
    <mergeCell ref="W3:W4"/>
    <mergeCell ref="A3:A4"/>
    <mergeCell ref="B3:B4"/>
    <mergeCell ref="C3:C4"/>
    <mergeCell ref="A19:A51"/>
    <mergeCell ref="B17:C17"/>
    <mergeCell ref="B5:C5"/>
    <mergeCell ref="A7:A16"/>
    <mergeCell ref="B8:B10"/>
    <mergeCell ref="B6:C6"/>
    <mergeCell ref="B12:B16"/>
    <mergeCell ref="D3:D4"/>
    <mergeCell ref="K3:K4"/>
    <mergeCell ref="L3:L4"/>
    <mergeCell ref="E3:E4"/>
    <mergeCell ref="F3:F4"/>
    <mergeCell ref="G3:G4"/>
    <mergeCell ref="H3:H4"/>
    <mergeCell ref="J3:J4"/>
    <mergeCell ref="X3:X4"/>
    <mergeCell ref="V3:V4"/>
    <mergeCell ref="O3:O4"/>
    <mergeCell ref="Q3:Q4"/>
    <mergeCell ref="P3:P4"/>
    <mergeCell ref="A53:A55"/>
    <mergeCell ref="B54:B55"/>
    <mergeCell ref="B18:C18"/>
    <mergeCell ref="B20:B51"/>
    <mergeCell ref="B52:C52"/>
    <mergeCell ref="R3:R4"/>
    <mergeCell ref="M3:M4"/>
    <mergeCell ref="I3:I4"/>
    <mergeCell ref="N3:N4"/>
    <mergeCell ref="S3:S4"/>
    <mergeCell ref="T3:T4"/>
  </mergeCells>
  <printOptions/>
  <pageMargins left="0.15748031496062992" right="0" top="0.3937007874015748" bottom="0.984251968503937" header="0.5118110236220472" footer="0.5118110236220472"/>
  <pageSetup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G149"/>
  <sheetViews>
    <sheetView zoomScalePageLayoutView="0" workbookViewId="0" topLeftCell="A84">
      <selection activeCell="W152" sqref="W152"/>
    </sheetView>
  </sheetViews>
  <sheetFormatPr defaultColWidth="9.140625" defaultRowHeight="12.75"/>
  <cols>
    <col min="1" max="1" width="10.8515625" style="0" customWidth="1"/>
    <col min="3" max="3" width="36.28125" style="0" customWidth="1"/>
    <col min="4" max="11" width="9.140625" style="0" hidden="1" customWidth="1"/>
    <col min="12" max="12" width="14.421875" style="0" hidden="1" customWidth="1"/>
    <col min="13" max="14" width="14.7109375" style="0" hidden="1" customWidth="1"/>
    <col min="15" max="18" width="15.28125" style="0" hidden="1" customWidth="1"/>
    <col min="19" max="19" width="16.00390625" style="0" hidden="1" customWidth="1"/>
    <col min="20" max="21" width="12.140625" style="0" customWidth="1"/>
    <col min="22" max="22" width="11.28125" style="1" customWidth="1"/>
    <col min="23" max="23" width="15.421875" style="0" customWidth="1"/>
    <col min="24" max="24" width="8.7109375" style="0" customWidth="1"/>
    <col min="26" max="26" width="9.421875" style="410" customWidth="1"/>
    <col min="27" max="28" width="9.421875" style="0" customWidth="1"/>
    <col min="29" max="29" width="10.140625" style="0" bestFit="1" customWidth="1"/>
  </cols>
  <sheetData>
    <row r="1" spans="1:10" ht="13.5" thickBot="1">
      <c r="A1" s="822" t="s">
        <v>319</v>
      </c>
      <c r="B1" s="822"/>
      <c r="C1" s="822"/>
      <c r="D1" s="822"/>
      <c r="E1" s="822"/>
      <c r="F1" s="822"/>
      <c r="G1" s="822"/>
      <c r="H1" s="822"/>
      <c r="I1" s="822"/>
      <c r="J1" s="822"/>
    </row>
    <row r="2" spans="1:33" ht="13.5" customHeight="1" thickTop="1">
      <c r="A2" s="791" t="s">
        <v>43</v>
      </c>
      <c r="B2" s="823" t="s">
        <v>78</v>
      </c>
      <c r="C2" s="763" t="s">
        <v>44</v>
      </c>
      <c r="D2" s="712" t="s">
        <v>169</v>
      </c>
      <c r="E2" s="712" t="s">
        <v>170</v>
      </c>
      <c r="F2" s="712" t="s">
        <v>171</v>
      </c>
      <c r="G2" s="712" t="s">
        <v>172</v>
      </c>
      <c r="H2" s="712" t="s">
        <v>173</v>
      </c>
      <c r="I2" s="712" t="s">
        <v>85</v>
      </c>
      <c r="J2" s="712" t="s">
        <v>86</v>
      </c>
      <c r="K2" s="712" t="s">
        <v>87</v>
      </c>
      <c r="L2" s="712" t="s">
        <v>88</v>
      </c>
      <c r="M2" s="810" t="s">
        <v>89</v>
      </c>
      <c r="N2" s="810" t="s">
        <v>316</v>
      </c>
      <c r="O2" s="712" t="s">
        <v>332</v>
      </c>
      <c r="P2" s="712" t="s">
        <v>337</v>
      </c>
      <c r="Q2" s="712" t="s">
        <v>347</v>
      </c>
      <c r="R2" s="712" t="s">
        <v>353</v>
      </c>
      <c r="S2" s="712" t="s">
        <v>354</v>
      </c>
      <c r="T2" s="712" t="s">
        <v>426</v>
      </c>
      <c r="U2" s="712" t="s">
        <v>447</v>
      </c>
      <c r="V2" s="725" t="s">
        <v>444</v>
      </c>
      <c r="W2" s="725" t="s">
        <v>445</v>
      </c>
      <c r="X2" s="727" t="s">
        <v>446</v>
      </c>
      <c r="Z2" s="559"/>
      <c r="AA2" s="559"/>
      <c r="AB2" s="559"/>
      <c r="AC2" s="559"/>
      <c r="AD2" s="559"/>
      <c r="AE2" s="559"/>
      <c r="AF2" s="559"/>
      <c r="AG2" s="559"/>
    </row>
    <row r="3" spans="1:33" ht="30" customHeight="1" thickBot="1">
      <c r="A3" s="792"/>
      <c r="B3" s="824"/>
      <c r="C3" s="764"/>
      <c r="D3" s="713"/>
      <c r="E3" s="713"/>
      <c r="F3" s="713"/>
      <c r="G3" s="713"/>
      <c r="H3" s="713"/>
      <c r="I3" s="713"/>
      <c r="J3" s="713"/>
      <c r="K3" s="713"/>
      <c r="L3" s="713"/>
      <c r="M3" s="811"/>
      <c r="N3" s="811"/>
      <c r="O3" s="713"/>
      <c r="P3" s="713"/>
      <c r="Q3" s="713"/>
      <c r="R3" s="713"/>
      <c r="S3" s="713"/>
      <c r="T3" s="713"/>
      <c r="U3" s="713"/>
      <c r="V3" s="726"/>
      <c r="W3" s="726"/>
      <c r="X3" s="728"/>
      <c r="Z3" s="559"/>
      <c r="AA3" s="559"/>
      <c r="AB3" s="559"/>
      <c r="AC3" s="559"/>
      <c r="AD3" s="559"/>
      <c r="AE3" s="559"/>
      <c r="AF3" s="559"/>
      <c r="AG3" s="559"/>
    </row>
    <row r="4" spans="1:24" ht="16.5" thickBot="1" thickTop="1">
      <c r="A4" s="242" t="s">
        <v>230</v>
      </c>
      <c r="B4" s="812" t="s">
        <v>30</v>
      </c>
      <c r="C4" s="812"/>
      <c r="D4" s="330">
        <v>372735</v>
      </c>
      <c r="E4" s="330">
        <v>64629</v>
      </c>
      <c r="F4" s="330">
        <v>39833</v>
      </c>
      <c r="G4" s="330">
        <v>3383</v>
      </c>
      <c r="H4" s="330"/>
      <c r="I4" s="331">
        <v>18260</v>
      </c>
      <c r="J4" s="331">
        <v>0</v>
      </c>
      <c r="K4" s="331">
        <v>0</v>
      </c>
      <c r="L4" s="331">
        <v>0</v>
      </c>
      <c r="M4" s="331">
        <v>0</v>
      </c>
      <c r="N4" s="330">
        <v>6946.8</v>
      </c>
      <c r="O4" s="330">
        <v>10541.5</v>
      </c>
      <c r="P4" s="458">
        <v>23813.83</v>
      </c>
      <c r="Q4" s="458">
        <v>0</v>
      </c>
      <c r="R4" s="330">
        <v>16560</v>
      </c>
      <c r="S4" s="330">
        <v>9109</v>
      </c>
      <c r="T4" s="330">
        <v>0</v>
      </c>
      <c r="U4" s="330">
        <f>U5+U6+U8+U7</f>
        <v>45000</v>
      </c>
      <c r="V4" s="330">
        <f>V5+V6+V8+V7</f>
        <v>307709</v>
      </c>
      <c r="W4" s="458">
        <f>W5+W6+W8+W7</f>
        <v>272756.4</v>
      </c>
      <c r="X4" s="599">
        <f aca="true" t="shared" si="0" ref="X4:X67">IF(V4=0,0,W4/V4)*100</f>
        <v>88.64102122459857</v>
      </c>
    </row>
    <row r="5" spans="1:24" ht="12.75">
      <c r="A5" s="755"/>
      <c r="B5" s="809"/>
      <c r="C5" s="64" t="s">
        <v>441</v>
      </c>
      <c r="D5" s="21"/>
      <c r="E5" s="21"/>
      <c r="F5" s="21"/>
      <c r="G5" s="21"/>
      <c r="H5" s="50"/>
      <c r="I5" s="50"/>
      <c r="J5" s="50"/>
      <c r="K5" s="21"/>
      <c r="L5" s="21"/>
      <c r="M5" s="21"/>
      <c r="N5" s="21"/>
      <c r="O5" s="21"/>
      <c r="P5" s="105"/>
      <c r="Q5" s="105"/>
      <c r="R5" s="21">
        <v>16560</v>
      </c>
      <c r="S5" s="21"/>
      <c r="T5" s="21"/>
      <c r="U5" s="21">
        <v>45000</v>
      </c>
      <c r="V5" s="51">
        <v>257709</v>
      </c>
      <c r="W5" s="65">
        <f>131313.96+92590.44</f>
        <v>223904.4</v>
      </c>
      <c r="X5" s="127">
        <f t="shared" si="0"/>
        <v>86.88264670616859</v>
      </c>
    </row>
    <row r="6" spans="1:24" ht="13.5" thickBot="1">
      <c r="A6" s="756"/>
      <c r="B6" s="803"/>
      <c r="C6" s="64" t="s">
        <v>376</v>
      </c>
      <c r="D6" s="21"/>
      <c r="E6" s="21"/>
      <c r="F6" s="21"/>
      <c r="G6" s="21"/>
      <c r="H6" s="50"/>
      <c r="I6" s="50"/>
      <c r="J6" s="50"/>
      <c r="K6" s="21"/>
      <c r="L6" s="21"/>
      <c r="M6" s="21"/>
      <c r="N6" s="21"/>
      <c r="O6" s="21"/>
      <c r="P6" s="105"/>
      <c r="Q6" s="105"/>
      <c r="R6" s="21"/>
      <c r="S6" s="21"/>
      <c r="T6" s="21"/>
      <c r="U6" s="21"/>
      <c r="V6" s="51">
        <v>50000</v>
      </c>
      <c r="W6" s="65">
        <v>48852</v>
      </c>
      <c r="X6" s="127">
        <f t="shared" si="0"/>
        <v>97.70400000000001</v>
      </c>
    </row>
    <row r="7" spans="1:24" ht="13.5" hidden="1" thickBot="1">
      <c r="A7" s="756"/>
      <c r="B7" s="803"/>
      <c r="C7" s="64"/>
      <c r="D7" s="21"/>
      <c r="E7" s="21"/>
      <c r="F7" s="21"/>
      <c r="G7" s="21"/>
      <c r="H7" s="50"/>
      <c r="I7" s="50"/>
      <c r="J7" s="50"/>
      <c r="K7" s="21"/>
      <c r="L7" s="21"/>
      <c r="M7" s="21"/>
      <c r="N7" s="21"/>
      <c r="O7" s="21"/>
      <c r="P7" s="105"/>
      <c r="Q7" s="105"/>
      <c r="R7" s="21"/>
      <c r="S7" s="21"/>
      <c r="T7" s="21"/>
      <c r="U7" s="21"/>
      <c r="V7" s="51"/>
      <c r="W7" s="65">
        <f aca="true" t="shared" si="1" ref="W7:W35">IF(S7=0,0,V7/S7)</f>
        <v>0</v>
      </c>
      <c r="X7" s="127">
        <f t="shared" si="0"/>
        <v>0</v>
      </c>
    </row>
    <row r="8" spans="1:24" ht="13.5" hidden="1" thickBot="1">
      <c r="A8" s="757"/>
      <c r="B8" s="804"/>
      <c r="C8" s="64"/>
      <c r="D8" s="21"/>
      <c r="E8" s="21"/>
      <c r="F8" s="21"/>
      <c r="G8" s="21"/>
      <c r="H8" s="50"/>
      <c r="I8" s="50"/>
      <c r="J8" s="50"/>
      <c r="K8" s="21"/>
      <c r="L8" s="21"/>
      <c r="M8" s="21"/>
      <c r="N8" s="21"/>
      <c r="O8" s="21"/>
      <c r="P8" s="105"/>
      <c r="Q8" s="105"/>
      <c r="R8" s="21"/>
      <c r="S8" s="21"/>
      <c r="T8" s="21"/>
      <c r="U8" s="21"/>
      <c r="V8" s="51"/>
      <c r="W8" s="65">
        <f t="shared" si="1"/>
        <v>0</v>
      </c>
      <c r="X8" s="127">
        <f t="shared" si="0"/>
        <v>0</v>
      </c>
    </row>
    <row r="9" spans="1:24" ht="15.75" hidden="1" thickBot="1">
      <c r="A9" s="187" t="s">
        <v>66</v>
      </c>
      <c r="B9" s="808" t="s">
        <v>67</v>
      </c>
      <c r="C9" s="808"/>
      <c r="D9" s="209">
        <v>17958</v>
      </c>
      <c r="E9" s="209">
        <v>0</v>
      </c>
      <c r="F9" s="209">
        <v>19916</v>
      </c>
      <c r="G9" s="209">
        <v>18253</v>
      </c>
      <c r="H9" s="209">
        <v>16675</v>
      </c>
      <c r="I9" s="121">
        <v>3031</v>
      </c>
      <c r="J9" s="121">
        <v>0</v>
      </c>
      <c r="K9" s="60">
        <f>SUM(K10:K11)</f>
        <v>10398</v>
      </c>
      <c r="L9" s="60"/>
      <c r="M9" s="60">
        <f>SUM(M10:M11)</f>
        <v>0</v>
      </c>
      <c r="N9" s="60">
        <v>5666.4</v>
      </c>
      <c r="O9" s="60">
        <v>10703.82</v>
      </c>
      <c r="P9" s="189">
        <v>12513.86</v>
      </c>
      <c r="Q9" s="189">
        <v>14947.44</v>
      </c>
      <c r="R9" s="60"/>
      <c r="S9" s="60">
        <v>5729.45</v>
      </c>
      <c r="T9" s="60"/>
      <c r="U9" s="60"/>
      <c r="V9" s="60">
        <f>SUM(V10:V11)</f>
        <v>0</v>
      </c>
      <c r="W9" s="189">
        <f t="shared" si="1"/>
        <v>0</v>
      </c>
      <c r="X9" s="622">
        <f t="shared" si="0"/>
        <v>0</v>
      </c>
    </row>
    <row r="10" spans="1:24" ht="13.5" hidden="1" thickBot="1">
      <c r="A10" s="332"/>
      <c r="B10" s="809"/>
      <c r="C10" s="36" t="s">
        <v>31</v>
      </c>
      <c r="D10" s="84"/>
      <c r="E10" s="84"/>
      <c r="F10" s="84"/>
      <c r="G10" s="84"/>
      <c r="H10" s="49"/>
      <c r="I10" s="49"/>
      <c r="J10" s="49"/>
      <c r="K10" s="84">
        <v>10398</v>
      </c>
      <c r="L10" s="84"/>
      <c r="M10" s="84"/>
      <c r="N10" s="84"/>
      <c r="O10" s="84"/>
      <c r="P10" s="178"/>
      <c r="Q10" s="178"/>
      <c r="R10" s="84"/>
      <c r="S10" s="84"/>
      <c r="T10" s="84"/>
      <c r="U10" s="84"/>
      <c r="V10" s="37"/>
      <c r="W10" s="134"/>
      <c r="X10" s="657">
        <f t="shared" si="0"/>
        <v>0</v>
      </c>
    </row>
    <row r="11" spans="1:24" ht="13.5" hidden="1" thickBot="1">
      <c r="A11" s="332"/>
      <c r="B11" s="804"/>
      <c r="C11" s="128" t="s">
        <v>198</v>
      </c>
      <c r="D11" s="63"/>
      <c r="E11" s="63"/>
      <c r="F11" s="63"/>
      <c r="G11" s="63"/>
      <c r="H11" s="62"/>
      <c r="I11" s="62"/>
      <c r="J11" s="62"/>
      <c r="K11" s="63"/>
      <c r="L11" s="63"/>
      <c r="M11" s="63"/>
      <c r="N11" s="63"/>
      <c r="O11" s="63"/>
      <c r="P11" s="103"/>
      <c r="Q11" s="103"/>
      <c r="R11" s="63"/>
      <c r="S11" s="63"/>
      <c r="T11" s="63"/>
      <c r="U11" s="63"/>
      <c r="V11" s="51"/>
      <c r="W11" s="65">
        <f t="shared" si="1"/>
        <v>0</v>
      </c>
      <c r="X11" s="127">
        <f t="shared" si="0"/>
        <v>0</v>
      </c>
    </row>
    <row r="12" spans="1:24" ht="15.75" thickBot="1">
      <c r="A12" s="187" t="s">
        <v>61</v>
      </c>
      <c r="B12" s="808" t="s">
        <v>62</v>
      </c>
      <c r="C12" s="808"/>
      <c r="D12" s="209">
        <v>894211</v>
      </c>
      <c r="E12" s="209">
        <v>382958</v>
      </c>
      <c r="F12" s="209">
        <v>343590</v>
      </c>
      <c r="G12" s="209">
        <v>610914</v>
      </c>
      <c r="H12" s="209">
        <v>1718795</v>
      </c>
      <c r="I12" s="121">
        <v>495900</v>
      </c>
      <c r="J12" s="209">
        <v>421522</v>
      </c>
      <c r="K12" s="60">
        <f>SUM(K13:K29)</f>
        <v>2058954</v>
      </c>
      <c r="L12" s="60">
        <v>108548.12</v>
      </c>
      <c r="M12" s="189">
        <f>SUM(M13:M29)</f>
        <v>187078.06</v>
      </c>
      <c r="N12" s="60">
        <v>923357.06</v>
      </c>
      <c r="O12" s="60">
        <v>421573.23</v>
      </c>
      <c r="P12" s="189">
        <v>904828.37</v>
      </c>
      <c r="Q12" s="189">
        <v>1191812.5499999998</v>
      </c>
      <c r="R12" s="60">
        <v>1949425</v>
      </c>
      <c r="S12" s="60">
        <v>1324755.3800000001</v>
      </c>
      <c r="T12" s="60">
        <v>85680.63</v>
      </c>
      <c r="U12" s="60">
        <f>SUM(U13:U29)</f>
        <v>60000</v>
      </c>
      <c r="V12" s="60">
        <f>SUM(V13:V29)</f>
        <v>105500</v>
      </c>
      <c r="W12" s="189">
        <f>SUM(W13:W29)</f>
        <v>88794.76</v>
      </c>
      <c r="X12" s="622">
        <f t="shared" si="0"/>
        <v>84.16564928909952</v>
      </c>
    </row>
    <row r="13" spans="1:24" ht="13.5" thickBot="1">
      <c r="A13" s="756"/>
      <c r="B13" s="825"/>
      <c r="C13" s="64" t="s">
        <v>32</v>
      </c>
      <c r="D13" s="21"/>
      <c r="E13" s="21"/>
      <c r="F13" s="21"/>
      <c r="G13" s="21"/>
      <c r="H13" s="50"/>
      <c r="I13" s="50"/>
      <c r="J13" s="21"/>
      <c r="K13" s="21">
        <v>47371</v>
      </c>
      <c r="L13" s="21">
        <v>31209.2</v>
      </c>
      <c r="M13" s="105">
        <v>11397.78</v>
      </c>
      <c r="N13" s="21"/>
      <c r="O13" s="21"/>
      <c r="P13" s="105"/>
      <c r="Q13" s="105"/>
      <c r="R13" s="21"/>
      <c r="S13" s="21">
        <v>1324755.3800000001</v>
      </c>
      <c r="T13" s="21">
        <v>85680.63</v>
      </c>
      <c r="U13" s="21">
        <v>60000</v>
      </c>
      <c r="V13" s="51">
        <v>105500</v>
      </c>
      <c r="W13" s="65">
        <f>88769.76+25</f>
        <v>88794.76</v>
      </c>
      <c r="X13" s="127">
        <f t="shared" si="0"/>
        <v>84.16564928909952</v>
      </c>
    </row>
    <row r="14" spans="1:24" ht="13.5" hidden="1" thickBot="1">
      <c r="A14" s="756"/>
      <c r="B14" s="825"/>
      <c r="C14" s="64"/>
      <c r="D14" s="21"/>
      <c r="E14" s="21"/>
      <c r="F14" s="21"/>
      <c r="G14" s="21"/>
      <c r="H14" s="50"/>
      <c r="I14" s="50"/>
      <c r="J14" s="21"/>
      <c r="K14" s="21"/>
      <c r="L14" s="21"/>
      <c r="M14" s="105"/>
      <c r="N14" s="21"/>
      <c r="O14" s="21"/>
      <c r="P14" s="105"/>
      <c r="Q14" s="105"/>
      <c r="R14" s="21"/>
      <c r="S14" s="21"/>
      <c r="T14" s="21"/>
      <c r="U14" s="21"/>
      <c r="V14" s="51"/>
      <c r="W14" s="65">
        <f t="shared" si="1"/>
        <v>0</v>
      </c>
      <c r="X14" s="127">
        <f t="shared" si="0"/>
        <v>0</v>
      </c>
    </row>
    <row r="15" spans="1:24" ht="13.5" hidden="1" thickBot="1">
      <c r="A15" s="756"/>
      <c r="B15" s="825"/>
      <c r="C15" s="38"/>
      <c r="D15" s="24"/>
      <c r="E15" s="24"/>
      <c r="F15" s="24"/>
      <c r="G15" s="24"/>
      <c r="H15" s="52"/>
      <c r="I15" s="52"/>
      <c r="J15" s="24"/>
      <c r="K15" s="24"/>
      <c r="L15" s="21"/>
      <c r="M15" s="105">
        <v>4562.8</v>
      </c>
      <c r="N15" s="21"/>
      <c r="O15" s="21"/>
      <c r="P15" s="105"/>
      <c r="Q15" s="105"/>
      <c r="R15" s="21"/>
      <c r="S15" s="21"/>
      <c r="T15" s="21"/>
      <c r="U15" s="21"/>
      <c r="V15" s="51"/>
      <c r="W15" s="65">
        <f t="shared" si="1"/>
        <v>0</v>
      </c>
      <c r="X15" s="127">
        <f t="shared" si="0"/>
        <v>0</v>
      </c>
    </row>
    <row r="16" spans="1:24" ht="13.5" hidden="1" thickBot="1">
      <c r="A16" s="756"/>
      <c r="B16" s="825"/>
      <c r="C16" s="42"/>
      <c r="D16" s="27"/>
      <c r="E16" s="27"/>
      <c r="F16" s="27"/>
      <c r="G16" s="27"/>
      <c r="H16" s="59"/>
      <c r="I16" s="59"/>
      <c r="J16" s="27"/>
      <c r="K16" s="27"/>
      <c r="L16" s="21"/>
      <c r="M16" s="105"/>
      <c r="N16" s="21"/>
      <c r="O16" s="21"/>
      <c r="P16" s="105"/>
      <c r="Q16" s="105"/>
      <c r="R16" s="21"/>
      <c r="S16" s="21"/>
      <c r="T16" s="21"/>
      <c r="U16" s="21"/>
      <c r="V16" s="51"/>
      <c r="W16" s="65">
        <f t="shared" si="1"/>
        <v>0</v>
      </c>
      <c r="X16" s="127">
        <f t="shared" si="0"/>
        <v>0</v>
      </c>
    </row>
    <row r="17" spans="1:24" ht="13.5" hidden="1" thickBot="1">
      <c r="A17" s="756"/>
      <c r="B17" s="825"/>
      <c r="C17" s="42"/>
      <c r="D17" s="27"/>
      <c r="E17" s="27"/>
      <c r="F17" s="27"/>
      <c r="G17" s="27"/>
      <c r="H17" s="59"/>
      <c r="I17" s="59"/>
      <c r="J17" s="27"/>
      <c r="K17" s="27">
        <v>282056</v>
      </c>
      <c r="L17" s="21"/>
      <c r="M17" s="101">
        <v>0</v>
      </c>
      <c r="N17" s="51"/>
      <c r="O17" s="51"/>
      <c r="P17" s="65"/>
      <c r="Q17" s="65"/>
      <c r="R17" s="51"/>
      <c r="S17" s="51"/>
      <c r="T17" s="51"/>
      <c r="U17" s="51"/>
      <c r="V17" s="51"/>
      <c r="W17" s="65">
        <f t="shared" si="1"/>
        <v>0</v>
      </c>
      <c r="X17" s="127">
        <f t="shared" si="0"/>
        <v>0</v>
      </c>
    </row>
    <row r="18" spans="1:24" ht="13.5" hidden="1" thickBot="1">
      <c r="A18" s="756"/>
      <c r="B18" s="825"/>
      <c r="C18" s="42"/>
      <c r="D18" s="24"/>
      <c r="E18" s="24"/>
      <c r="F18" s="24"/>
      <c r="G18" s="24"/>
      <c r="H18" s="52"/>
      <c r="I18" s="52"/>
      <c r="J18" s="24"/>
      <c r="K18" s="24">
        <v>881052</v>
      </c>
      <c r="L18" s="21">
        <v>70504.9</v>
      </c>
      <c r="M18" s="105"/>
      <c r="N18" s="21"/>
      <c r="O18" s="21"/>
      <c r="P18" s="105"/>
      <c r="Q18" s="105"/>
      <c r="R18" s="21"/>
      <c r="S18" s="21"/>
      <c r="T18" s="21"/>
      <c r="U18" s="21"/>
      <c r="V18" s="51"/>
      <c r="W18" s="65">
        <f t="shared" si="1"/>
        <v>0</v>
      </c>
      <c r="X18" s="127">
        <f t="shared" si="0"/>
        <v>0</v>
      </c>
    </row>
    <row r="19" spans="1:24" ht="13.5" hidden="1" thickBot="1">
      <c r="A19" s="756"/>
      <c r="B19" s="825"/>
      <c r="C19" s="38"/>
      <c r="D19" s="24"/>
      <c r="E19" s="24"/>
      <c r="F19" s="24"/>
      <c r="G19" s="24"/>
      <c r="H19" s="52"/>
      <c r="I19" s="52"/>
      <c r="J19" s="24"/>
      <c r="K19" s="24">
        <v>100004</v>
      </c>
      <c r="L19" s="21"/>
      <c r="M19" s="105">
        <v>13200</v>
      </c>
      <c r="N19" s="21"/>
      <c r="O19" s="21"/>
      <c r="P19" s="105"/>
      <c r="Q19" s="105"/>
      <c r="R19" s="21"/>
      <c r="S19" s="21"/>
      <c r="T19" s="21"/>
      <c r="U19" s="21"/>
      <c r="V19" s="51"/>
      <c r="W19" s="65">
        <f t="shared" si="1"/>
        <v>0</v>
      </c>
      <c r="X19" s="127">
        <f t="shared" si="0"/>
        <v>0</v>
      </c>
    </row>
    <row r="20" spans="1:24" ht="13.5" hidden="1" thickBot="1">
      <c r="A20" s="756"/>
      <c r="B20" s="825"/>
      <c r="C20" s="38"/>
      <c r="D20" s="24"/>
      <c r="E20" s="24"/>
      <c r="F20" s="24"/>
      <c r="G20" s="24"/>
      <c r="H20" s="52"/>
      <c r="I20" s="52"/>
      <c r="J20" s="24"/>
      <c r="K20" s="24">
        <v>0</v>
      </c>
      <c r="L20" s="21"/>
      <c r="M20" s="105"/>
      <c r="N20" s="21"/>
      <c r="O20" s="21"/>
      <c r="P20" s="105"/>
      <c r="Q20" s="105"/>
      <c r="R20" s="21"/>
      <c r="S20" s="21"/>
      <c r="T20" s="21"/>
      <c r="U20" s="21"/>
      <c r="V20" s="51"/>
      <c r="W20" s="65">
        <f t="shared" si="1"/>
        <v>0</v>
      </c>
      <c r="X20" s="127">
        <f t="shared" si="0"/>
        <v>0</v>
      </c>
    </row>
    <row r="21" spans="1:24" ht="13.5" hidden="1" thickBot="1">
      <c r="A21" s="756"/>
      <c r="B21" s="825"/>
      <c r="C21" s="38" t="s">
        <v>218</v>
      </c>
      <c r="D21" s="24"/>
      <c r="E21" s="24"/>
      <c r="F21" s="24"/>
      <c r="G21" s="24"/>
      <c r="H21" s="52"/>
      <c r="I21" s="52"/>
      <c r="J21" s="24"/>
      <c r="K21" s="24"/>
      <c r="L21" s="21"/>
      <c r="M21" s="105">
        <v>144897.48</v>
      </c>
      <c r="N21" s="21"/>
      <c r="O21" s="21"/>
      <c r="P21" s="105"/>
      <c r="Q21" s="105"/>
      <c r="R21" s="21"/>
      <c r="S21" s="21"/>
      <c r="T21" s="21"/>
      <c r="U21" s="21"/>
      <c r="V21" s="51"/>
      <c r="W21" s="65">
        <f t="shared" si="1"/>
        <v>0</v>
      </c>
      <c r="X21" s="127">
        <f t="shared" si="0"/>
        <v>0</v>
      </c>
    </row>
    <row r="22" spans="1:24" ht="13.5" hidden="1" thickBot="1">
      <c r="A22" s="756"/>
      <c r="B22" s="825"/>
      <c r="C22" s="38" t="s">
        <v>190</v>
      </c>
      <c r="D22" s="24"/>
      <c r="E22" s="24"/>
      <c r="F22" s="24"/>
      <c r="G22" s="24"/>
      <c r="H22" s="52"/>
      <c r="I22" s="52"/>
      <c r="J22" s="24"/>
      <c r="K22" s="24"/>
      <c r="L22" s="21"/>
      <c r="M22" s="105"/>
      <c r="N22" s="21"/>
      <c r="O22" s="21"/>
      <c r="P22" s="105"/>
      <c r="Q22" s="105"/>
      <c r="R22" s="21"/>
      <c r="S22" s="21"/>
      <c r="T22" s="21"/>
      <c r="U22" s="21"/>
      <c r="V22" s="51"/>
      <c r="W22" s="65">
        <f t="shared" si="1"/>
        <v>0</v>
      </c>
      <c r="X22" s="127">
        <f t="shared" si="0"/>
        <v>0</v>
      </c>
    </row>
    <row r="23" spans="1:24" ht="13.5" hidden="1" thickBot="1">
      <c r="A23" s="756"/>
      <c r="B23" s="825"/>
      <c r="C23" s="38" t="s">
        <v>301</v>
      </c>
      <c r="D23" s="24"/>
      <c r="E23" s="24"/>
      <c r="F23" s="24"/>
      <c r="G23" s="24"/>
      <c r="H23" s="52"/>
      <c r="I23" s="52"/>
      <c r="J23" s="24"/>
      <c r="K23" s="24"/>
      <c r="L23" s="24"/>
      <c r="M23" s="180"/>
      <c r="N23" s="24"/>
      <c r="O23" s="24"/>
      <c r="P23" s="180"/>
      <c r="Q23" s="180"/>
      <c r="R23" s="24"/>
      <c r="S23" s="24"/>
      <c r="T23" s="24"/>
      <c r="U23" s="24"/>
      <c r="V23" s="24"/>
      <c r="W23" s="65">
        <f t="shared" si="1"/>
        <v>0</v>
      </c>
      <c r="X23" s="119">
        <f t="shared" si="0"/>
        <v>0</v>
      </c>
    </row>
    <row r="24" spans="1:24" ht="13.5" hidden="1" thickBot="1">
      <c r="A24" s="756"/>
      <c r="B24" s="825"/>
      <c r="C24" s="38" t="s">
        <v>189</v>
      </c>
      <c r="D24" s="24"/>
      <c r="E24" s="24"/>
      <c r="F24" s="24"/>
      <c r="G24" s="24"/>
      <c r="H24" s="52"/>
      <c r="I24" s="52"/>
      <c r="J24" s="24"/>
      <c r="K24" s="24"/>
      <c r="L24" s="24"/>
      <c r="M24" s="180"/>
      <c r="N24" s="24"/>
      <c r="O24" s="24"/>
      <c r="P24" s="180"/>
      <c r="Q24" s="180"/>
      <c r="R24" s="24"/>
      <c r="S24" s="24"/>
      <c r="T24" s="24"/>
      <c r="U24" s="24"/>
      <c r="V24" s="39"/>
      <c r="W24" s="65">
        <f t="shared" si="1"/>
        <v>0</v>
      </c>
      <c r="X24" s="119">
        <f t="shared" si="0"/>
        <v>0</v>
      </c>
    </row>
    <row r="25" spans="1:24" ht="13.5" hidden="1" thickBot="1">
      <c r="A25" s="756"/>
      <c r="B25" s="825"/>
      <c r="C25" s="38" t="s">
        <v>302</v>
      </c>
      <c r="D25" s="24"/>
      <c r="E25" s="24"/>
      <c r="F25" s="24"/>
      <c r="G25" s="24"/>
      <c r="H25" s="52"/>
      <c r="I25" s="52"/>
      <c r="J25" s="24"/>
      <c r="K25" s="24"/>
      <c r="L25" s="24"/>
      <c r="M25" s="180">
        <v>1500</v>
      </c>
      <c r="N25" s="24"/>
      <c r="O25" s="24"/>
      <c r="P25" s="180"/>
      <c r="Q25" s="180"/>
      <c r="R25" s="24"/>
      <c r="S25" s="24"/>
      <c r="T25" s="24"/>
      <c r="U25" s="24"/>
      <c r="V25" s="39"/>
      <c r="W25" s="101">
        <f t="shared" si="1"/>
        <v>0</v>
      </c>
      <c r="X25" s="119">
        <f t="shared" si="0"/>
        <v>0</v>
      </c>
    </row>
    <row r="26" spans="1:24" ht="13.5" hidden="1" thickBot="1">
      <c r="A26" s="756"/>
      <c r="B26" s="825"/>
      <c r="C26" s="38" t="s">
        <v>311</v>
      </c>
      <c r="D26" s="24"/>
      <c r="E26" s="24"/>
      <c r="F26" s="24"/>
      <c r="G26" s="24"/>
      <c r="H26" s="52"/>
      <c r="I26" s="52"/>
      <c r="J26" s="24"/>
      <c r="K26" s="24"/>
      <c r="L26" s="24"/>
      <c r="M26" s="180"/>
      <c r="N26" s="24"/>
      <c r="O26" s="24"/>
      <c r="P26" s="180"/>
      <c r="Q26" s="180"/>
      <c r="R26" s="24"/>
      <c r="S26" s="24"/>
      <c r="T26" s="24"/>
      <c r="U26" s="24"/>
      <c r="V26" s="39"/>
      <c r="W26" s="101">
        <f t="shared" si="1"/>
        <v>0</v>
      </c>
      <c r="X26" s="127">
        <f t="shared" si="0"/>
        <v>0</v>
      </c>
    </row>
    <row r="27" spans="1:24" ht="13.5" hidden="1" thickBot="1">
      <c r="A27" s="756"/>
      <c r="B27" s="825"/>
      <c r="C27" s="38" t="s">
        <v>308</v>
      </c>
      <c r="D27" s="24"/>
      <c r="E27" s="24"/>
      <c r="F27" s="24"/>
      <c r="G27" s="24"/>
      <c r="H27" s="52"/>
      <c r="I27" s="52"/>
      <c r="J27" s="24"/>
      <c r="K27" s="24"/>
      <c r="L27" s="24"/>
      <c r="M27" s="180"/>
      <c r="N27" s="24"/>
      <c r="O27" s="24"/>
      <c r="P27" s="180"/>
      <c r="Q27" s="180"/>
      <c r="R27" s="24"/>
      <c r="S27" s="24"/>
      <c r="T27" s="24"/>
      <c r="U27" s="24"/>
      <c r="V27" s="39"/>
      <c r="W27" s="101">
        <f t="shared" si="1"/>
        <v>0</v>
      </c>
      <c r="X27" s="127">
        <f t="shared" si="0"/>
        <v>0</v>
      </c>
    </row>
    <row r="28" spans="1:24" ht="13.5" hidden="1" thickBot="1">
      <c r="A28" s="756"/>
      <c r="B28" s="825"/>
      <c r="C28" s="38" t="s">
        <v>189</v>
      </c>
      <c r="D28" s="24"/>
      <c r="E28" s="24"/>
      <c r="F28" s="24"/>
      <c r="G28" s="24"/>
      <c r="H28" s="52"/>
      <c r="I28" s="52"/>
      <c r="J28" s="24"/>
      <c r="K28" s="24"/>
      <c r="L28" s="24"/>
      <c r="M28" s="180"/>
      <c r="N28" s="24"/>
      <c r="O28" s="24"/>
      <c r="P28" s="180"/>
      <c r="Q28" s="180"/>
      <c r="R28" s="24"/>
      <c r="S28" s="24"/>
      <c r="T28" s="24"/>
      <c r="U28" s="24"/>
      <c r="V28" s="39"/>
      <c r="W28" s="101">
        <f t="shared" si="1"/>
        <v>0</v>
      </c>
      <c r="X28" s="127">
        <f t="shared" si="0"/>
        <v>0</v>
      </c>
    </row>
    <row r="29" spans="1:24" ht="13.5" hidden="1" thickBot="1">
      <c r="A29" s="757"/>
      <c r="B29" s="826"/>
      <c r="C29" s="128" t="s">
        <v>186</v>
      </c>
      <c r="D29" s="63"/>
      <c r="E29" s="63"/>
      <c r="F29" s="63"/>
      <c r="G29" s="63"/>
      <c r="H29" s="62"/>
      <c r="I29" s="62"/>
      <c r="J29" s="63"/>
      <c r="K29" s="63">
        <v>748471</v>
      </c>
      <c r="L29" s="63"/>
      <c r="M29" s="103">
        <v>11520</v>
      </c>
      <c r="N29" s="63"/>
      <c r="O29" s="63"/>
      <c r="P29" s="103"/>
      <c r="Q29" s="103"/>
      <c r="R29" s="63"/>
      <c r="S29" s="63"/>
      <c r="T29" s="63"/>
      <c r="U29" s="63"/>
      <c r="V29" s="51"/>
      <c r="W29" s="65">
        <f t="shared" si="1"/>
        <v>0</v>
      </c>
      <c r="X29" s="127">
        <f t="shared" si="0"/>
        <v>0</v>
      </c>
    </row>
    <row r="30" spans="1:24" ht="15.75" thickBot="1">
      <c r="A30" s="333" t="s">
        <v>205</v>
      </c>
      <c r="B30" s="707" t="s">
        <v>33</v>
      </c>
      <c r="C30" s="743"/>
      <c r="D30" s="209">
        <v>154053</v>
      </c>
      <c r="E30" s="209">
        <v>194317</v>
      </c>
      <c r="F30" s="209">
        <v>340238</v>
      </c>
      <c r="G30" s="209">
        <v>484191</v>
      </c>
      <c r="H30" s="209">
        <v>181309</v>
      </c>
      <c r="I30" s="121">
        <v>33695</v>
      </c>
      <c r="J30" s="209">
        <v>79908</v>
      </c>
      <c r="K30" s="60">
        <f>SUM(K31:K50)</f>
        <v>0</v>
      </c>
      <c r="L30" s="60">
        <f>SUM(L31:L50)</f>
        <v>75693</v>
      </c>
      <c r="M30" s="189">
        <f>SUM(M31:M46)</f>
        <v>107849.53999999998</v>
      </c>
      <c r="N30" s="60">
        <v>206988.84</v>
      </c>
      <c r="O30" s="60">
        <v>350387.76999999996</v>
      </c>
      <c r="P30" s="189">
        <v>405936.13</v>
      </c>
      <c r="Q30" s="189">
        <v>500251.95999999996</v>
      </c>
      <c r="R30" s="60">
        <v>637934</v>
      </c>
      <c r="S30" s="60">
        <v>149635.12</v>
      </c>
      <c r="T30" s="60">
        <v>446723.64</v>
      </c>
      <c r="U30" s="60">
        <f>SUM(U31:U50)</f>
        <v>1138519</v>
      </c>
      <c r="V30" s="60">
        <f>SUM(V31:V50)</f>
        <v>1186519</v>
      </c>
      <c r="W30" s="189">
        <f>SUM(W31:W50)</f>
        <v>1006208.2300000002</v>
      </c>
      <c r="X30" s="622">
        <f t="shared" si="0"/>
        <v>84.80338115108145</v>
      </c>
    </row>
    <row r="31" spans="1:24" ht="12.75" hidden="1">
      <c r="A31" s="332"/>
      <c r="B31" s="334"/>
      <c r="C31" s="38" t="s">
        <v>320</v>
      </c>
      <c r="D31" s="24"/>
      <c r="E31" s="24"/>
      <c r="F31" s="24"/>
      <c r="G31" s="24"/>
      <c r="H31" s="52"/>
      <c r="I31" s="335"/>
      <c r="J31" s="336"/>
      <c r="K31" s="24"/>
      <c r="L31" s="21">
        <v>23757.12</v>
      </c>
      <c r="M31" s="105"/>
      <c r="N31" s="21"/>
      <c r="O31" s="21"/>
      <c r="P31" s="105"/>
      <c r="Q31" s="105"/>
      <c r="R31" s="21"/>
      <c r="S31" s="21"/>
      <c r="T31" s="21"/>
      <c r="U31" s="21"/>
      <c r="V31" s="51"/>
      <c r="W31" s="65">
        <f t="shared" si="1"/>
        <v>0</v>
      </c>
      <c r="X31" s="127">
        <f t="shared" si="0"/>
        <v>0</v>
      </c>
    </row>
    <row r="32" spans="1:24" ht="12.75" hidden="1">
      <c r="A32" s="332"/>
      <c r="B32" s="334"/>
      <c r="C32" s="38" t="s">
        <v>325</v>
      </c>
      <c r="D32" s="24"/>
      <c r="E32" s="24"/>
      <c r="F32" s="24"/>
      <c r="G32" s="24"/>
      <c r="H32" s="52"/>
      <c r="I32" s="335"/>
      <c r="J32" s="336"/>
      <c r="K32" s="24"/>
      <c r="L32" s="21"/>
      <c r="M32" s="105"/>
      <c r="N32" s="21"/>
      <c r="O32" s="21"/>
      <c r="P32" s="105"/>
      <c r="Q32" s="105"/>
      <c r="R32" s="21"/>
      <c r="S32" s="21"/>
      <c r="T32" s="21"/>
      <c r="U32" s="21"/>
      <c r="V32" s="51"/>
      <c r="W32" s="65">
        <f t="shared" si="1"/>
        <v>0</v>
      </c>
      <c r="X32" s="127">
        <f t="shared" si="0"/>
        <v>0</v>
      </c>
    </row>
    <row r="33" spans="1:24" ht="12.75" hidden="1">
      <c r="A33" s="332"/>
      <c r="B33" s="334"/>
      <c r="C33" s="38" t="s">
        <v>75</v>
      </c>
      <c r="D33" s="24"/>
      <c r="E33" s="24"/>
      <c r="F33" s="24"/>
      <c r="G33" s="24"/>
      <c r="H33" s="52"/>
      <c r="I33" s="335"/>
      <c r="J33" s="336"/>
      <c r="K33" s="24"/>
      <c r="L33" s="21"/>
      <c r="M33" s="105"/>
      <c r="N33" s="21"/>
      <c r="O33" s="21"/>
      <c r="P33" s="105"/>
      <c r="Q33" s="105"/>
      <c r="R33" s="21"/>
      <c r="S33" s="21"/>
      <c r="T33" s="21"/>
      <c r="U33" s="21"/>
      <c r="V33" s="51"/>
      <c r="W33" s="65">
        <f t="shared" si="1"/>
        <v>0</v>
      </c>
      <c r="X33" s="127">
        <f t="shared" si="0"/>
        <v>0</v>
      </c>
    </row>
    <row r="34" spans="1:24" ht="12.75" hidden="1">
      <c r="A34" s="332"/>
      <c r="B34" s="334"/>
      <c r="C34" s="38" t="s">
        <v>76</v>
      </c>
      <c r="D34" s="24"/>
      <c r="E34" s="24"/>
      <c r="F34" s="24"/>
      <c r="G34" s="24"/>
      <c r="H34" s="52"/>
      <c r="I34" s="335"/>
      <c r="J34" s="336"/>
      <c r="K34" s="24"/>
      <c r="L34" s="21"/>
      <c r="M34" s="105"/>
      <c r="N34" s="21"/>
      <c r="O34" s="21"/>
      <c r="P34" s="105"/>
      <c r="Q34" s="105"/>
      <c r="R34" s="21"/>
      <c r="S34" s="21"/>
      <c r="T34" s="21"/>
      <c r="U34" s="21"/>
      <c r="V34" s="51"/>
      <c r="W34" s="65">
        <f t="shared" si="1"/>
        <v>0</v>
      </c>
      <c r="X34" s="127">
        <f t="shared" si="0"/>
        <v>0</v>
      </c>
    </row>
    <row r="35" spans="1:24" ht="12.75" hidden="1">
      <c r="A35" s="332"/>
      <c r="B35" s="334"/>
      <c r="C35" s="38" t="s">
        <v>309</v>
      </c>
      <c r="D35" s="24"/>
      <c r="E35" s="24"/>
      <c r="F35" s="24"/>
      <c r="G35" s="24"/>
      <c r="H35" s="52"/>
      <c r="I35" s="335"/>
      <c r="J35" s="336"/>
      <c r="K35" s="24"/>
      <c r="L35" s="21"/>
      <c r="M35" s="105"/>
      <c r="N35" s="21"/>
      <c r="O35" s="21"/>
      <c r="P35" s="105"/>
      <c r="Q35" s="105"/>
      <c r="R35" s="21"/>
      <c r="S35" s="21"/>
      <c r="T35" s="21"/>
      <c r="U35" s="21"/>
      <c r="V35" s="51"/>
      <c r="W35" s="65">
        <f t="shared" si="1"/>
        <v>0</v>
      </c>
      <c r="X35" s="127">
        <f t="shared" si="0"/>
        <v>0</v>
      </c>
    </row>
    <row r="36" spans="1:24" ht="12.75" hidden="1">
      <c r="A36" s="332"/>
      <c r="B36" s="334"/>
      <c r="C36" s="38" t="s">
        <v>165</v>
      </c>
      <c r="D36" s="24"/>
      <c r="E36" s="24"/>
      <c r="F36" s="24"/>
      <c r="G36" s="24"/>
      <c r="H36" s="52"/>
      <c r="I36" s="335"/>
      <c r="J36" s="336"/>
      <c r="K36" s="24"/>
      <c r="L36" s="21"/>
      <c r="M36" s="105"/>
      <c r="N36" s="21"/>
      <c r="O36" s="21"/>
      <c r="P36" s="105"/>
      <c r="Q36" s="105"/>
      <c r="R36" s="21"/>
      <c r="S36" s="21"/>
      <c r="T36" s="21"/>
      <c r="U36" s="21"/>
      <c r="V36" s="51"/>
      <c r="W36" s="65">
        <f>IF(S36=0,0,V36/S36)</f>
        <v>0</v>
      </c>
      <c r="X36" s="127">
        <f t="shared" si="0"/>
        <v>0</v>
      </c>
    </row>
    <row r="37" spans="1:24" ht="12.75">
      <c r="A37" s="756"/>
      <c r="B37" s="803"/>
      <c r="C37" s="38" t="s">
        <v>350</v>
      </c>
      <c r="D37" s="24"/>
      <c r="E37" s="24"/>
      <c r="F37" s="24"/>
      <c r="G37" s="24"/>
      <c r="H37" s="52"/>
      <c r="I37" s="335"/>
      <c r="J37" s="336"/>
      <c r="K37" s="24"/>
      <c r="L37" s="21"/>
      <c r="M37" s="105"/>
      <c r="N37" s="21"/>
      <c r="O37" s="21"/>
      <c r="P37" s="105"/>
      <c r="Q37" s="105"/>
      <c r="R37" s="21"/>
      <c r="S37" s="21"/>
      <c r="T37" s="21"/>
      <c r="U37" s="21">
        <v>504156</v>
      </c>
      <c r="V37" s="51">
        <v>550156</v>
      </c>
      <c r="W37" s="65">
        <v>549743.99</v>
      </c>
      <c r="X37" s="127">
        <f t="shared" si="0"/>
        <v>99.92511033234209</v>
      </c>
    </row>
    <row r="38" spans="1:24" ht="12.75">
      <c r="A38" s="756"/>
      <c r="B38" s="803"/>
      <c r="C38" s="38" t="s">
        <v>359</v>
      </c>
      <c r="D38" s="24"/>
      <c r="E38" s="24"/>
      <c r="F38" s="24"/>
      <c r="G38" s="24"/>
      <c r="H38" s="52"/>
      <c r="I38" s="335"/>
      <c r="J38" s="336"/>
      <c r="K38" s="24"/>
      <c r="L38" s="21"/>
      <c r="M38" s="105"/>
      <c r="N38" s="21"/>
      <c r="O38" s="21"/>
      <c r="P38" s="105"/>
      <c r="Q38" s="105"/>
      <c r="R38" s="21"/>
      <c r="S38" s="21"/>
      <c r="T38" s="21"/>
      <c r="U38" s="21">
        <v>53000</v>
      </c>
      <c r="V38" s="51">
        <v>0</v>
      </c>
      <c r="W38" s="65"/>
      <c r="X38" s="127">
        <f t="shared" si="0"/>
        <v>0</v>
      </c>
    </row>
    <row r="39" spans="1:24" ht="12.75" customHeight="1">
      <c r="A39" s="756"/>
      <c r="B39" s="803"/>
      <c r="C39" s="38" t="s">
        <v>360</v>
      </c>
      <c r="D39" s="24"/>
      <c r="E39" s="24"/>
      <c r="F39" s="24"/>
      <c r="G39" s="24"/>
      <c r="H39" s="52"/>
      <c r="I39" s="335"/>
      <c r="J39" s="336"/>
      <c r="K39" s="24"/>
      <c r="L39" s="21"/>
      <c r="M39" s="105"/>
      <c r="N39" s="21"/>
      <c r="O39" s="21"/>
      <c r="P39" s="105"/>
      <c r="Q39" s="105"/>
      <c r="R39" s="21"/>
      <c r="S39" s="21"/>
      <c r="T39" s="21"/>
      <c r="U39" s="21">
        <v>137500</v>
      </c>
      <c r="V39" s="51">
        <v>137500</v>
      </c>
      <c r="W39" s="65">
        <v>27355.24</v>
      </c>
      <c r="X39" s="127">
        <f t="shared" si="0"/>
        <v>19.894720000000003</v>
      </c>
    </row>
    <row r="40" spans="1:24" ht="12.75" customHeight="1">
      <c r="A40" s="756"/>
      <c r="B40" s="803"/>
      <c r="C40" s="38" t="s">
        <v>361</v>
      </c>
      <c r="D40" s="24"/>
      <c r="E40" s="24"/>
      <c r="F40" s="24"/>
      <c r="G40" s="24"/>
      <c r="H40" s="52"/>
      <c r="I40" s="335"/>
      <c r="J40" s="336"/>
      <c r="K40" s="24"/>
      <c r="L40" s="21">
        <v>29104.44</v>
      </c>
      <c r="M40" s="105"/>
      <c r="N40" s="21"/>
      <c r="O40" s="21"/>
      <c r="P40" s="105"/>
      <c r="Q40" s="105"/>
      <c r="R40" s="21"/>
      <c r="S40" s="21"/>
      <c r="T40" s="21"/>
      <c r="U40" s="21">
        <v>90000</v>
      </c>
      <c r="V40" s="51">
        <v>90000</v>
      </c>
      <c r="W40" s="65">
        <v>89295.66</v>
      </c>
      <c r="X40" s="127">
        <f t="shared" si="0"/>
        <v>99.2174</v>
      </c>
    </row>
    <row r="41" spans="1:24" ht="12.75" customHeight="1">
      <c r="A41" s="756"/>
      <c r="B41" s="803"/>
      <c r="C41" s="38" t="s">
        <v>378</v>
      </c>
      <c r="D41" s="24"/>
      <c r="E41" s="24"/>
      <c r="F41" s="24"/>
      <c r="G41" s="24"/>
      <c r="H41" s="52"/>
      <c r="I41" s="335"/>
      <c r="J41" s="336"/>
      <c r="K41" s="24"/>
      <c r="L41" s="21"/>
      <c r="M41" s="105">
        <v>35969.53</v>
      </c>
      <c r="N41" s="21"/>
      <c r="O41" s="21"/>
      <c r="P41" s="105"/>
      <c r="Q41" s="105"/>
      <c r="R41" s="21"/>
      <c r="S41" s="21"/>
      <c r="T41" s="21"/>
      <c r="U41" s="21">
        <v>99957</v>
      </c>
      <c r="V41" s="51">
        <v>99957</v>
      </c>
      <c r="W41" s="65">
        <v>99956.92</v>
      </c>
      <c r="X41" s="127">
        <f t="shared" si="0"/>
        <v>99.9999199655852</v>
      </c>
    </row>
    <row r="42" spans="1:24" ht="12.75" customHeight="1">
      <c r="A42" s="756"/>
      <c r="B42" s="803"/>
      <c r="C42" s="38" t="s">
        <v>379</v>
      </c>
      <c r="D42" s="27"/>
      <c r="E42" s="27"/>
      <c r="F42" s="27"/>
      <c r="G42" s="27"/>
      <c r="H42" s="59"/>
      <c r="I42" s="337"/>
      <c r="J42" s="338"/>
      <c r="K42" s="27"/>
      <c r="L42" s="27"/>
      <c r="M42" s="105">
        <v>2200</v>
      </c>
      <c r="N42" s="21"/>
      <c r="O42" s="21"/>
      <c r="P42" s="105"/>
      <c r="Q42" s="105"/>
      <c r="R42" s="21"/>
      <c r="S42" s="21"/>
      <c r="T42" s="21"/>
      <c r="U42" s="21">
        <v>131521</v>
      </c>
      <c r="V42" s="51">
        <v>106521</v>
      </c>
      <c r="W42" s="65">
        <v>106520.55</v>
      </c>
      <c r="X42" s="127">
        <f t="shared" si="0"/>
        <v>99.9995775480891</v>
      </c>
    </row>
    <row r="43" spans="1:24" ht="12.75" customHeight="1">
      <c r="A43" s="756"/>
      <c r="B43" s="803"/>
      <c r="C43" s="38" t="s">
        <v>377</v>
      </c>
      <c r="D43" s="27"/>
      <c r="E43" s="27"/>
      <c r="F43" s="27"/>
      <c r="G43" s="27"/>
      <c r="H43" s="59"/>
      <c r="I43" s="337"/>
      <c r="J43" s="338"/>
      <c r="K43" s="27"/>
      <c r="L43" s="27"/>
      <c r="M43" s="105">
        <v>28928.71</v>
      </c>
      <c r="N43" s="21"/>
      <c r="O43" s="21"/>
      <c r="P43" s="105"/>
      <c r="Q43" s="105"/>
      <c r="R43" s="21"/>
      <c r="S43" s="21"/>
      <c r="T43" s="21"/>
      <c r="U43" s="21">
        <v>122385</v>
      </c>
      <c r="V43" s="51">
        <v>122385</v>
      </c>
      <c r="W43" s="65">
        <v>122384.57</v>
      </c>
      <c r="X43" s="127">
        <f t="shared" si="0"/>
        <v>99.99964864975284</v>
      </c>
    </row>
    <row r="44" spans="1:24" ht="12.75" customHeight="1">
      <c r="A44" s="756"/>
      <c r="B44" s="803"/>
      <c r="C44" s="38" t="s">
        <v>391</v>
      </c>
      <c r="D44" s="27"/>
      <c r="E44" s="27"/>
      <c r="F44" s="27"/>
      <c r="G44" s="27"/>
      <c r="H44" s="59"/>
      <c r="I44" s="337"/>
      <c r="J44" s="338"/>
      <c r="K44" s="27"/>
      <c r="L44" s="27"/>
      <c r="M44" s="180">
        <v>19756.98</v>
      </c>
      <c r="N44" s="21"/>
      <c r="O44" s="21"/>
      <c r="P44" s="105"/>
      <c r="Q44" s="105"/>
      <c r="R44" s="21"/>
      <c r="S44" s="21"/>
      <c r="T44" s="21"/>
      <c r="U44" s="21"/>
      <c r="V44" s="51">
        <v>50000</v>
      </c>
      <c r="W44" s="65"/>
      <c r="X44" s="127">
        <f t="shared" si="0"/>
        <v>0</v>
      </c>
    </row>
    <row r="45" spans="1:24" ht="12.75" customHeight="1" thickBot="1">
      <c r="A45" s="756"/>
      <c r="B45" s="803"/>
      <c r="C45" s="38" t="s">
        <v>394</v>
      </c>
      <c r="D45" s="27"/>
      <c r="E45" s="27"/>
      <c r="F45" s="27"/>
      <c r="G45" s="27"/>
      <c r="H45" s="59"/>
      <c r="I45" s="337"/>
      <c r="J45" s="338"/>
      <c r="K45" s="27"/>
      <c r="L45" s="27"/>
      <c r="M45" s="180">
        <v>20994.32</v>
      </c>
      <c r="N45" s="21"/>
      <c r="O45" s="21"/>
      <c r="P45" s="105"/>
      <c r="Q45" s="105"/>
      <c r="R45" s="21"/>
      <c r="S45" s="21"/>
      <c r="T45" s="21"/>
      <c r="U45" s="21"/>
      <c r="V45" s="51">
        <v>30000</v>
      </c>
      <c r="W45" s="65">
        <v>10951.3</v>
      </c>
      <c r="X45" s="127">
        <f t="shared" si="0"/>
        <v>36.504333333333335</v>
      </c>
    </row>
    <row r="46" spans="1:24" ht="12.75" customHeight="1" hidden="1">
      <c r="A46" s="756"/>
      <c r="B46" s="803"/>
      <c r="C46" s="38"/>
      <c r="D46" s="27"/>
      <c r="E46" s="27"/>
      <c r="F46" s="27"/>
      <c r="G46" s="27"/>
      <c r="H46" s="59"/>
      <c r="I46" s="337"/>
      <c r="J46" s="338"/>
      <c r="K46" s="27"/>
      <c r="L46" s="27">
        <v>22831.440000000002</v>
      </c>
      <c r="M46" s="24">
        <v>0</v>
      </c>
      <c r="N46" s="21"/>
      <c r="O46" s="21"/>
      <c r="P46" s="105"/>
      <c r="Q46" s="105"/>
      <c r="R46" s="21"/>
      <c r="S46" s="21"/>
      <c r="T46" s="21"/>
      <c r="U46" s="21"/>
      <c r="V46" s="51"/>
      <c r="W46" s="65"/>
      <c r="X46" s="127">
        <f t="shared" si="0"/>
        <v>0</v>
      </c>
    </row>
    <row r="47" spans="1:24" ht="12.75" customHeight="1" hidden="1">
      <c r="A47" s="756"/>
      <c r="B47" s="803"/>
      <c r="C47" s="38"/>
      <c r="D47" s="27"/>
      <c r="E47" s="27"/>
      <c r="F47" s="27"/>
      <c r="G47" s="27"/>
      <c r="H47" s="59"/>
      <c r="I47" s="337"/>
      <c r="J47" s="338"/>
      <c r="K47" s="27"/>
      <c r="L47" s="27"/>
      <c r="M47" s="24"/>
      <c r="N47" s="21"/>
      <c r="O47" s="21"/>
      <c r="P47" s="105"/>
      <c r="Q47" s="105"/>
      <c r="R47" s="21"/>
      <c r="S47" s="21"/>
      <c r="T47" s="21"/>
      <c r="U47" s="21"/>
      <c r="V47" s="51"/>
      <c r="W47" s="65"/>
      <c r="X47" s="127">
        <f t="shared" si="0"/>
        <v>0</v>
      </c>
    </row>
    <row r="48" spans="1:24" ht="12.75" customHeight="1" hidden="1">
      <c r="A48" s="756"/>
      <c r="B48" s="803"/>
      <c r="C48" s="38"/>
      <c r="D48" s="27"/>
      <c r="E48" s="27"/>
      <c r="F48" s="27"/>
      <c r="G48" s="27"/>
      <c r="H48" s="59"/>
      <c r="I48" s="337"/>
      <c r="J48" s="338"/>
      <c r="K48" s="27"/>
      <c r="L48" s="27"/>
      <c r="M48" s="27"/>
      <c r="N48" s="24"/>
      <c r="O48" s="39"/>
      <c r="P48" s="65"/>
      <c r="Q48" s="65"/>
      <c r="R48" s="51"/>
      <c r="S48" s="51"/>
      <c r="T48" s="51"/>
      <c r="U48" s="51"/>
      <c r="V48" s="51"/>
      <c r="W48" s="65"/>
      <c r="X48" s="127">
        <f t="shared" si="0"/>
        <v>0</v>
      </c>
    </row>
    <row r="49" spans="1:24" ht="13.5" hidden="1" thickBot="1">
      <c r="A49" s="756"/>
      <c r="B49" s="803"/>
      <c r="C49" s="38"/>
      <c r="D49" s="27"/>
      <c r="E49" s="27"/>
      <c r="F49" s="27"/>
      <c r="G49" s="27"/>
      <c r="H49" s="59"/>
      <c r="I49" s="337"/>
      <c r="J49" s="338"/>
      <c r="K49" s="27"/>
      <c r="L49" s="27"/>
      <c r="M49" s="27"/>
      <c r="N49" s="24"/>
      <c r="O49" s="39"/>
      <c r="P49" s="65"/>
      <c r="Q49" s="65"/>
      <c r="R49" s="51"/>
      <c r="S49" s="51"/>
      <c r="T49" s="51"/>
      <c r="U49" s="51"/>
      <c r="V49" s="51"/>
      <c r="W49" s="65"/>
      <c r="X49" s="127">
        <f t="shared" si="0"/>
        <v>0</v>
      </c>
    </row>
    <row r="50" spans="1:24" ht="13.5" hidden="1" thickBot="1">
      <c r="A50" s="332"/>
      <c r="B50" s="334"/>
      <c r="C50" s="38"/>
      <c r="D50" s="27"/>
      <c r="E50" s="27"/>
      <c r="F50" s="27"/>
      <c r="G50" s="27"/>
      <c r="H50" s="59"/>
      <c r="I50" s="337"/>
      <c r="J50" s="338"/>
      <c r="K50" s="27"/>
      <c r="L50" s="27"/>
      <c r="M50" s="43"/>
      <c r="N50" s="43"/>
      <c r="O50" s="54"/>
      <c r="P50" s="459"/>
      <c r="Q50" s="459"/>
      <c r="R50" s="217"/>
      <c r="S50" s="217"/>
      <c r="T50" s="217"/>
      <c r="U50" s="217"/>
      <c r="V50" s="51"/>
      <c r="W50" s="65"/>
      <c r="X50" s="127">
        <f t="shared" si="0"/>
        <v>0</v>
      </c>
    </row>
    <row r="51" spans="1:24" ht="15.75" thickBot="1">
      <c r="A51" s="339" t="s">
        <v>68</v>
      </c>
      <c r="B51" s="707" t="s">
        <v>34</v>
      </c>
      <c r="C51" s="743"/>
      <c r="D51" s="340">
        <v>80894</v>
      </c>
      <c r="E51" s="209">
        <v>8298</v>
      </c>
      <c r="F51" s="209">
        <v>71666</v>
      </c>
      <c r="G51" s="209">
        <v>1330064</v>
      </c>
      <c r="H51" s="209">
        <v>2147096</v>
      </c>
      <c r="I51" s="121">
        <v>8121</v>
      </c>
      <c r="J51" s="209">
        <v>93729</v>
      </c>
      <c r="K51" s="60">
        <f>SUM(K52:K57)</f>
        <v>28919</v>
      </c>
      <c r="L51" s="60">
        <f>SUM(L52:L57)</f>
        <v>0</v>
      </c>
      <c r="M51" s="189">
        <f>SUM(M52:M57)</f>
        <v>69453.41</v>
      </c>
      <c r="N51" s="60">
        <v>5501</v>
      </c>
      <c r="O51" s="60">
        <v>396374.4</v>
      </c>
      <c r="P51" s="189">
        <v>215644.72</v>
      </c>
      <c r="Q51" s="189">
        <v>36876</v>
      </c>
      <c r="R51" s="60">
        <v>19548</v>
      </c>
      <c r="S51" s="60">
        <v>86260</v>
      </c>
      <c r="T51" s="60"/>
      <c r="U51" s="60">
        <f>SUM(U52:U57)</f>
        <v>0</v>
      </c>
      <c r="V51" s="60">
        <f>SUM(V52:V57)</f>
        <v>46200</v>
      </c>
      <c r="W51" s="189">
        <f>SUM(W52:W57)</f>
        <v>41573.75</v>
      </c>
      <c r="X51" s="622">
        <f t="shared" si="0"/>
        <v>89.98647186147186</v>
      </c>
    </row>
    <row r="52" spans="1:24" ht="12.75">
      <c r="A52" s="341"/>
      <c r="B52" s="342"/>
      <c r="C52" s="36" t="s">
        <v>390</v>
      </c>
      <c r="D52" s="84"/>
      <c r="E52" s="84"/>
      <c r="F52" s="84"/>
      <c r="G52" s="84"/>
      <c r="H52" s="49"/>
      <c r="I52" s="343"/>
      <c r="J52" s="344"/>
      <c r="K52" s="84">
        <v>28919</v>
      </c>
      <c r="L52" s="21"/>
      <c r="M52" s="105"/>
      <c r="N52" s="21"/>
      <c r="O52" s="21"/>
      <c r="P52" s="105"/>
      <c r="Q52" s="105"/>
      <c r="R52" s="21"/>
      <c r="S52" s="21"/>
      <c r="T52" s="21"/>
      <c r="U52" s="21"/>
      <c r="V52" s="51">
        <v>46200</v>
      </c>
      <c r="W52" s="65">
        <v>41573.75</v>
      </c>
      <c r="X52" s="127">
        <f t="shared" si="0"/>
        <v>89.98647186147186</v>
      </c>
    </row>
    <row r="53" spans="1:24" ht="12.75">
      <c r="A53" s="332"/>
      <c r="B53" s="334"/>
      <c r="C53" s="64" t="s">
        <v>35</v>
      </c>
      <c r="D53" s="21"/>
      <c r="E53" s="21"/>
      <c r="F53" s="21"/>
      <c r="G53" s="21"/>
      <c r="H53" s="50"/>
      <c r="I53" s="345"/>
      <c r="J53" s="346"/>
      <c r="K53" s="21"/>
      <c r="L53" s="21"/>
      <c r="M53" s="105">
        <v>69453.41</v>
      </c>
      <c r="N53" s="21"/>
      <c r="O53" s="21"/>
      <c r="P53" s="105"/>
      <c r="Q53" s="105"/>
      <c r="R53" s="21"/>
      <c r="S53" s="21"/>
      <c r="T53" s="21"/>
      <c r="U53" s="21"/>
      <c r="V53" s="51"/>
      <c r="W53" s="65">
        <f aca="true" t="shared" si="2" ref="W53:W59">IF(S53=0,0,V53/S53)</f>
        <v>0</v>
      </c>
      <c r="X53" s="127">
        <f t="shared" si="0"/>
        <v>0</v>
      </c>
    </row>
    <row r="54" spans="1:24" ht="12.75" hidden="1">
      <c r="A54" s="332"/>
      <c r="B54" s="334"/>
      <c r="C54" s="38"/>
      <c r="D54" s="21"/>
      <c r="E54" s="21"/>
      <c r="F54" s="21"/>
      <c r="G54" s="21"/>
      <c r="H54" s="50"/>
      <c r="I54" s="345"/>
      <c r="J54" s="346"/>
      <c r="K54" s="21"/>
      <c r="L54" s="21"/>
      <c r="M54" s="21"/>
      <c r="N54" s="21"/>
      <c r="O54" s="21"/>
      <c r="P54" s="105"/>
      <c r="Q54" s="105"/>
      <c r="R54" s="21"/>
      <c r="S54" s="21"/>
      <c r="T54" s="21"/>
      <c r="U54" s="21"/>
      <c r="V54" s="51"/>
      <c r="W54" s="65">
        <f t="shared" si="2"/>
        <v>0</v>
      </c>
      <c r="X54" s="127">
        <f t="shared" si="0"/>
        <v>0</v>
      </c>
    </row>
    <row r="55" spans="1:24" ht="12.75" hidden="1">
      <c r="A55" s="332"/>
      <c r="B55" s="334"/>
      <c r="C55" s="38"/>
      <c r="D55" s="24"/>
      <c r="E55" s="24"/>
      <c r="F55" s="24"/>
      <c r="G55" s="24"/>
      <c r="H55" s="52"/>
      <c r="I55" s="335"/>
      <c r="J55" s="336"/>
      <c r="K55" s="24"/>
      <c r="L55" s="24"/>
      <c r="M55" s="24"/>
      <c r="N55" s="24"/>
      <c r="O55" s="24"/>
      <c r="P55" s="180"/>
      <c r="Q55" s="180"/>
      <c r="R55" s="24"/>
      <c r="S55" s="24"/>
      <c r="T55" s="24"/>
      <c r="U55" s="24"/>
      <c r="V55" s="39"/>
      <c r="W55" s="101">
        <f t="shared" si="2"/>
        <v>0</v>
      </c>
      <c r="X55" s="119">
        <f t="shared" si="0"/>
        <v>0</v>
      </c>
    </row>
    <row r="56" spans="1:24" ht="12.75" hidden="1">
      <c r="A56" s="332"/>
      <c r="B56" s="334"/>
      <c r="C56" s="38"/>
      <c r="D56" s="24"/>
      <c r="E56" s="24"/>
      <c r="F56" s="24"/>
      <c r="G56" s="24"/>
      <c r="H56" s="52"/>
      <c r="I56" s="335"/>
      <c r="J56" s="336"/>
      <c r="K56" s="24"/>
      <c r="L56" s="24"/>
      <c r="M56" s="24"/>
      <c r="N56" s="24"/>
      <c r="O56" s="24"/>
      <c r="P56" s="180"/>
      <c r="Q56" s="180"/>
      <c r="R56" s="24"/>
      <c r="S56" s="24"/>
      <c r="T56" s="24"/>
      <c r="U56" s="24"/>
      <c r="V56" s="39"/>
      <c r="W56" s="101">
        <f t="shared" si="2"/>
        <v>0</v>
      </c>
      <c r="X56" s="119">
        <f t="shared" si="0"/>
        <v>0</v>
      </c>
    </row>
    <row r="57" spans="1:24" ht="13.5" hidden="1" thickBot="1">
      <c r="A57" s="349"/>
      <c r="B57" s="350"/>
      <c r="C57" s="64"/>
      <c r="D57" s="63"/>
      <c r="E57" s="63"/>
      <c r="F57" s="63"/>
      <c r="G57" s="63"/>
      <c r="H57" s="62"/>
      <c r="I57" s="347"/>
      <c r="J57" s="348"/>
      <c r="K57" s="69"/>
      <c r="L57" s="63"/>
      <c r="M57" s="63"/>
      <c r="N57" s="63"/>
      <c r="O57" s="63"/>
      <c r="P57" s="103"/>
      <c r="Q57" s="103"/>
      <c r="R57" s="63"/>
      <c r="S57" s="63"/>
      <c r="T57" s="63"/>
      <c r="U57" s="63"/>
      <c r="V57" s="217"/>
      <c r="W57" s="459">
        <f t="shared" si="2"/>
        <v>0</v>
      </c>
      <c r="X57" s="623">
        <f t="shared" si="0"/>
        <v>0</v>
      </c>
    </row>
    <row r="58" spans="1:24" ht="15.75" hidden="1" thickBot="1">
      <c r="A58" s="351" t="s">
        <v>216</v>
      </c>
      <c r="B58" s="808" t="s">
        <v>217</v>
      </c>
      <c r="C58" s="808"/>
      <c r="D58" s="352"/>
      <c r="E58" s="352"/>
      <c r="F58" s="352"/>
      <c r="G58" s="352"/>
      <c r="H58" s="353">
        <v>182399</v>
      </c>
      <c r="I58" s="353"/>
      <c r="J58" s="354"/>
      <c r="K58" s="94"/>
      <c r="L58" s="94"/>
      <c r="M58" s="94"/>
      <c r="N58" s="94"/>
      <c r="O58" s="94"/>
      <c r="P58" s="477"/>
      <c r="Q58" s="477"/>
      <c r="R58" s="94"/>
      <c r="S58" s="94"/>
      <c r="T58" s="94"/>
      <c r="U58" s="94"/>
      <c r="V58" s="60"/>
      <c r="W58" s="189">
        <f t="shared" si="2"/>
        <v>0</v>
      </c>
      <c r="X58" s="622">
        <f t="shared" si="0"/>
        <v>0</v>
      </c>
    </row>
    <row r="59" spans="1:24" ht="13.5" thickBot="1">
      <c r="A59" s="332"/>
      <c r="B59" s="334"/>
      <c r="C59" s="62"/>
      <c r="D59" s="63"/>
      <c r="E59" s="63"/>
      <c r="F59" s="63"/>
      <c r="G59" s="63"/>
      <c r="H59" s="62"/>
      <c r="I59" s="347"/>
      <c r="J59" s="348"/>
      <c r="K59" s="63"/>
      <c r="L59" s="63"/>
      <c r="M59" s="63"/>
      <c r="N59" s="63"/>
      <c r="O59" s="63"/>
      <c r="P59" s="103"/>
      <c r="Q59" s="103"/>
      <c r="R59" s="63"/>
      <c r="S59" s="63"/>
      <c r="T59" s="63"/>
      <c r="U59" s="63"/>
      <c r="V59" s="217"/>
      <c r="W59" s="459">
        <f t="shared" si="2"/>
        <v>0</v>
      </c>
      <c r="X59" s="623">
        <f t="shared" si="0"/>
        <v>0</v>
      </c>
    </row>
    <row r="60" spans="1:24" ht="15.75" thickBot="1">
      <c r="A60" s="187" t="s">
        <v>46</v>
      </c>
      <c r="B60" s="707" t="s">
        <v>47</v>
      </c>
      <c r="C60" s="743"/>
      <c r="D60" s="188">
        <v>0</v>
      </c>
      <c r="E60" s="188">
        <v>0</v>
      </c>
      <c r="F60" s="188">
        <v>6639</v>
      </c>
      <c r="G60" s="188">
        <v>113606</v>
      </c>
      <c r="H60" s="188">
        <v>254005</v>
      </c>
      <c r="I60" s="253">
        <v>2699311</v>
      </c>
      <c r="J60" s="188">
        <v>3603230</v>
      </c>
      <c r="K60" s="60">
        <f>SUM(K67:K67)</f>
        <v>1781346</v>
      </c>
      <c r="L60" s="60">
        <f>SUM(L61:L67)</f>
        <v>11891.04</v>
      </c>
      <c r="M60" s="189">
        <f>SUM(M61:M67)</f>
        <v>1099.52</v>
      </c>
      <c r="N60" s="60">
        <v>9688.17</v>
      </c>
      <c r="O60" s="60">
        <v>125008.29000000001</v>
      </c>
      <c r="P60" s="189">
        <v>30038.8</v>
      </c>
      <c r="Q60" s="189">
        <v>3055</v>
      </c>
      <c r="R60" s="61">
        <v>23579</v>
      </c>
      <c r="S60" s="94">
        <v>5554</v>
      </c>
      <c r="T60" s="94"/>
      <c r="U60" s="60">
        <f>SUM(U61:U67)</f>
        <v>60000</v>
      </c>
      <c r="V60" s="60">
        <f>SUM(V61:V67)</f>
        <v>30000</v>
      </c>
      <c r="W60" s="189">
        <f>SUM(W61:W67)</f>
        <v>0</v>
      </c>
      <c r="X60" s="622">
        <f t="shared" si="0"/>
        <v>0</v>
      </c>
    </row>
    <row r="61" spans="1:24" ht="15.75" thickBot="1">
      <c r="A61" s="752"/>
      <c r="B61" s="805"/>
      <c r="C61" s="355" t="s">
        <v>313</v>
      </c>
      <c r="D61" s="356"/>
      <c r="E61" s="356"/>
      <c r="F61" s="356"/>
      <c r="G61" s="356"/>
      <c r="H61" s="355"/>
      <c r="I61" s="357"/>
      <c r="J61" s="358"/>
      <c r="K61" s="280"/>
      <c r="L61" s="77">
        <v>11891.04</v>
      </c>
      <c r="M61" s="359">
        <v>1099.52</v>
      </c>
      <c r="N61" s="359"/>
      <c r="O61" s="359"/>
      <c r="P61" s="359"/>
      <c r="Q61" s="359"/>
      <c r="R61" s="359"/>
      <c r="S61" s="359"/>
      <c r="T61" s="359"/>
      <c r="U61" s="77">
        <v>60000</v>
      </c>
      <c r="V61" s="77">
        <v>30000</v>
      </c>
      <c r="W61" s="359"/>
      <c r="X61" s="658">
        <f t="shared" si="0"/>
        <v>0</v>
      </c>
    </row>
    <row r="62" spans="1:24" ht="15.75" hidden="1" thickBot="1">
      <c r="A62" s="753"/>
      <c r="B62" s="806"/>
      <c r="C62" s="360" t="s">
        <v>310</v>
      </c>
      <c r="D62" s="361"/>
      <c r="E62" s="361"/>
      <c r="F62" s="361"/>
      <c r="G62" s="361"/>
      <c r="H62" s="360"/>
      <c r="I62" s="362"/>
      <c r="J62" s="363"/>
      <c r="K62" s="282"/>
      <c r="L62" s="79"/>
      <c r="M62" s="461"/>
      <c r="N62" s="461"/>
      <c r="O62" s="79"/>
      <c r="P62" s="461"/>
      <c r="Q62" s="461"/>
      <c r="R62" s="79"/>
      <c r="S62" s="79"/>
      <c r="T62" s="79"/>
      <c r="U62" s="79"/>
      <c r="V62" s="79"/>
      <c r="W62" s="461">
        <f aca="true" t="shared" si="3" ref="W62:W67">IF(S62=0,0,V62/S62)</f>
        <v>0</v>
      </c>
      <c r="X62" s="659">
        <f t="shared" si="0"/>
        <v>0</v>
      </c>
    </row>
    <row r="63" spans="1:24" ht="15.75" hidden="1" thickBot="1">
      <c r="A63" s="753"/>
      <c r="B63" s="806"/>
      <c r="C63" s="360" t="s">
        <v>305</v>
      </c>
      <c r="D63" s="361"/>
      <c r="E63" s="361"/>
      <c r="F63" s="361"/>
      <c r="G63" s="361"/>
      <c r="H63" s="360"/>
      <c r="I63" s="362"/>
      <c r="J63" s="363"/>
      <c r="K63" s="282"/>
      <c r="L63" s="282"/>
      <c r="M63" s="364"/>
      <c r="N63" s="79"/>
      <c r="O63" s="364"/>
      <c r="P63" s="460"/>
      <c r="Q63" s="460"/>
      <c r="R63" s="364"/>
      <c r="S63" s="364"/>
      <c r="T63" s="364"/>
      <c r="U63" s="364"/>
      <c r="V63" s="79"/>
      <c r="W63" s="460">
        <f t="shared" si="3"/>
        <v>0</v>
      </c>
      <c r="X63" s="660">
        <f t="shared" si="0"/>
        <v>0</v>
      </c>
    </row>
    <row r="64" spans="1:24" ht="15.75" hidden="1" thickBot="1">
      <c r="A64" s="753"/>
      <c r="B64" s="806"/>
      <c r="C64" s="360" t="s">
        <v>313</v>
      </c>
      <c r="D64" s="361"/>
      <c r="E64" s="361"/>
      <c r="F64" s="361"/>
      <c r="G64" s="361"/>
      <c r="H64" s="360"/>
      <c r="I64" s="362"/>
      <c r="J64" s="363"/>
      <c r="K64" s="282"/>
      <c r="L64" s="282"/>
      <c r="M64" s="282"/>
      <c r="N64" s="500"/>
      <c r="O64" s="79"/>
      <c r="P64" s="461"/>
      <c r="Q64" s="461"/>
      <c r="R64" s="79"/>
      <c r="S64" s="79"/>
      <c r="T64" s="79"/>
      <c r="U64" s="79"/>
      <c r="V64" s="79"/>
      <c r="W64" s="461">
        <f t="shared" si="3"/>
        <v>0</v>
      </c>
      <c r="X64" s="659">
        <f t="shared" si="0"/>
        <v>0</v>
      </c>
    </row>
    <row r="65" spans="1:24" ht="15.75" hidden="1" thickBot="1">
      <c r="A65" s="753"/>
      <c r="B65" s="806"/>
      <c r="C65" s="365" t="s">
        <v>272</v>
      </c>
      <c r="D65" s="366"/>
      <c r="E65" s="366"/>
      <c r="F65" s="366"/>
      <c r="G65" s="366"/>
      <c r="H65" s="365"/>
      <c r="I65" s="367"/>
      <c r="J65" s="368"/>
      <c r="K65" s="369"/>
      <c r="L65" s="369"/>
      <c r="M65" s="369"/>
      <c r="N65" s="369"/>
      <c r="O65" s="369"/>
      <c r="P65" s="570"/>
      <c r="Q65" s="570"/>
      <c r="R65" s="369"/>
      <c r="S65" s="369"/>
      <c r="T65" s="369"/>
      <c r="U65" s="369"/>
      <c r="V65" s="514"/>
      <c r="W65" s="474">
        <f t="shared" si="3"/>
        <v>0</v>
      </c>
      <c r="X65" s="661">
        <f t="shared" si="0"/>
        <v>0</v>
      </c>
    </row>
    <row r="66" spans="1:24" ht="15.75" hidden="1" thickBot="1">
      <c r="A66" s="753"/>
      <c r="B66" s="806"/>
      <c r="C66" s="365" t="s">
        <v>188</v>
      </c>
      <c r="D66" s="366"/>
      <c r="E66" s="366"/>
      <c r="F66" s="366"/>
      <c r="G66" s="366"/>
      <c r="H66" s="365"/>
      <c r="I66" s="367"/>
      <c r="J66" s="368"/>
      <c r="K66" s="369"/>
      <c r="L66" s="369"/>
      <c r="M66" s="369"/>
      <c r="N66" s="369"/>
      <c r="O66" s="369"/>
      <c r="P66" s="570"/>
      <c r="Q66" s="570"/>
      <c r="R66" s="369"/>
      <c r="S66" s="369"/>
      <c r="T66" s="369"/>
      <c r="U66" s="369"/>
      <c r="V66" s="514"/>
      <c r="W66" s="474">
        <f t="shared" si="3"/>
        <v>0</v>
      </c>
      <c r="X66" s="661">
        <f t="shared" si="0"/>
        <v>0</v>
      </c>
    </row>
    <row r="67" spans="1:24" ht="13.5" hidden="1" thickBot="1">
      <c r="A67" s="754"/>
      <c r="B67" s="807"/>
      <c r="C67" s="41" t="s">
        <v>321</v>
      </c>
      <c r="D67" s="43"/>
      <c r="E67" s="43"/>
      <c r="F67" s="43"/>
      <c r="G67" s="43"/>
      <c r="H67" s="53"/>
      <c r="I67" s="370"/>
      <c r="J67" s="371"/>
      <c r="K67" s="43">
        <v>1781346</v>
      </c>
      <c r="L67" s="69"/>
      <c r="M67" s="69"/>
      <c r="N67" s="69"/>
      <c r="O67" s="69"/>
      <c r="P67" s="186"/>
      <c r="Q67" s="186"/>
      <c r="R67" s="69"/>
      <c r="S67" s="69"/>
      <c r="T67" s="69"/>
      <c r="U67" s="69"/>
      <c r="V67" s="185"/>
      <c r="W67" s="305">
        <f t="shared" si="3"/>
        <v>0</v>
      </c>
      <c r="X67" s="662">
        <f t="shared" si="0"/>
        <v>0</v>
      </c>
    </row>
    <row r="68" spans="1:24" ht="15.75" thickBot="1">
      <c r="A68" s="333" t="s">
        <v>300</v>
      </c>
      <c r="B68" s="808" t="s">
        <v>299</v>
      </c>
      <c r="C68" s="808"/>
      <c r="D68" s="209">
        <v>38040</v>
      </c>
      <c r="E68" s="209">
        <v>144792</v>
      </c>
      <c r="F68" s="209">
        <v>36414</v>
      </c>
      <c r="G68" s="209">
        <v>3228</v>
      </c>
      <c r="H68" s="209">
        <v>15058</v>
      </c>
      <c r="I68" s="353"/>
      <c r="J68" s="354"/>
      <c r="K68" s="94">
        <f>SUM(K69:K71)</f>
        <v>5000</v>
      </c>
      <c r="L68" s="94">
        <f>SUM(L69:L71)</f>
        <v>35480.8</v>
      </c>
      <c r="M68" s="477">
        <f>SUM(M69:M71)</f>
        <v>555131.6</v>
      </c>
      <c r="N68" s="94">
        <v>10197.6</v>
      </c>
      <c r="O68" s="94">
        <v>323.6</v>
      </c>
      <c r="P68" s="477">
        <v>16171.269999999999</v>
      </c>
      <c r="Q68" s="477">
        <v>27465.02</v>
      </c>
      <c r="R68" s="94">
        <v>159050</v>
      </c>
      <c r="S68" s="94">
        <v>22014.41</v>
      </c>
      <c r="T68" s="94">
        <v>11409.12</v>
      </c>
      <c r="U68" s="94"/>
      <c r="V68" s="60">
        <f>V69+V70+V71</f>
        <v>14500</v>
      </c>
      <c r="W68" s="189">
        <f>W69+W70+W71</f>
        <v>0</v>
      </c>
      <c r="X68" s="622">
        <f aca="true" t="shared" si="4" ref="X68:X131">IF(V68=0,0,W68/V68)*100</f>
        <v>0</v>
      </c>
    </row>
    <row r="69" spans="1:24" ht="15" thickBot="1">
      <c r="A69" s="752"/>
      <c r="B69" s="813"/>
      <c r="C69" s="36" t="s">
        <v>420</v>
      </c>
      <c r="D69" s="84"/>
      <c r="E69" s="84"/>
      <c r="F69" s="84"/>
      <c r="G69" s="84"/>
      <c r="H69" s="49"/>
      <c r="I69" s="343"/>
      <c r="J69" s="344"/>
      <c r="K69" s="373">
        <v>5000</v>
      </c>
      <c r="L69" s="373">
        <v>20503.12</v>
      </c>
      <c r="M69" s="489"/>
      <c r="N69" s="373"/>
      <c r="O69" s="373"/>
      <c r="P69" s="489"/>
      <c r="Q69" s="489"/>
      <c r="R69" s="373"/>
      <c r="S69" s="373"/>
      <c r="T69" s="373"/>
      <c r="U69" s="373"/>
      <c r="V69" s="37">
        <v>14500</v>
      </c>
      <c r="W69" s="654"/>
      <c r="X69" s="663">
        <f t="shared" si="4"/>
        <v>0</v>
      </c>
    </row>
    <row r="70" spans="1:24" ht="15" hidden="1" thickBot="1">
      <c r="A70" s="753"/>
      <c r="B70" s="814"/>
      <c r="C70" s="64"/>
      <c r="D70" s="63"/>
      <c r="E70" s="63"/>
      <c r="F70" s="63"/>
      <c r="G70" s="63"/>
      <c r="H70" s="62"/>
      <c r="I70" s="347"/>
      <c r="J70" s="348"/>
      <c r="K70" s="488"/>
      <c r="L70" s="506"/>
      <c r="M70" s="507">
        <v>555131.6</v>
      </c>
      <c r="N70" s="506"/>
      <c r="O70" s="506"/>
      <c r="P70" s="506"/>
      <c r="Q70" s="507"/>
      <c r="R70" s="506"/>
      <c r="S70" s="506"/>
      <c r="T70" s="506"/>
      <c r="U70" s="506"/>
      <c r="V70" s="508"/>
      <c r="W70" s="655"/>
      <c r="X70" s="664">
        <f t="shared" si="4"/>
        <v>0</v>
      </c>
    </row>
    <row r="71" spans="1:24" ht="13.5" hidden="1" thickBot="1">
      <c r="A71" s="754"/>
      <c r="B71" s="815"/>
      <c r="C71" s="38"/>
      <c r="D71" s="63"/>
      <c r="E71" s="63"/>
      <c r="F71" s="63"/>
      <c r="G71" s="63"/>
      <c r="H71" s="62"/>
      <c r="I71" s="347"/>
      <c r="J71" s="348"/>
      <c r="K71" s="63"/>
      <c r="L71" s="63">
        <v>14977.68</v>
      </c>
      <c r="M71" s="103"/>
      <c r="N71" s="63"/>
      <c r="O71" s="63"/>
      <c r="P71" s="63"/>
      <c r="Q71" s="103"/>
      <c r="R71" s="63"/>
      <c r="S71" s="63"/>
      <c r="T71" s="63"/>
      <c r="U71" s="63"/>
      <c r="V71" s="217"/>
      <c r="W71" s="459"/>
      <c r="X71" s="623">
        <f t="shared" si="4"/>
        <v>0</v>
      </c>
    </row>
    <row r="72" spans="1:24" ht="15.75" thickBot="1">
      <c r="A72" s="333" t="s">
        <v>58</v>
      </c>
      <c r="B72" s="808" t="s">
        <v>283</v>
      </c>
      <c r="C72" s="808"/>
      <c r="D72" s="209">
        <v>326960</v>
      </c>
      <c r="E72" s="209">
        <v>144858</v>
      </c>
      <c r="F72" s="209">
        <v>123880</v>
      </c>
      <c r="G72" s="209">
        <v>20761</v>
      </c>
      <c r="H72" s="209">
        <v>158221</v>
      </c>
      <c r="I72" s="121">
        <v>92051</v>
      </c>
      <c r="J72" s="209">
        <v>68225</v>
      </c>
      <c r="K72" s="60">
        <f>SUM(K73:K102)</f>
        <v>16198</v>
      </c>
      <c r="L72" s="60">
        <f>SUM(L73:L102)</f>
        <v>1305435.64</v>
      </c>
      <c r="M72" s="189">
        <f>SUM(M73:M102)</f>
        <v>139207.66</v>
      </c>
      <c r="N72" s="60">
        <v>44614.21</v>
      </c>
      <c r="O72" s="189">
        <v>60675.76000000001</v>
      </c>
      <c r="P72" s="189">
        <v>54775.5</v>
      </c>
      <c r="Q72" s="189">
        <v>566821.34</v>
      </c>
      <c r="R72" s="60">
        <v>6378869</v>
      </c>
      <c r="S72" s="60">
        <v>4461136.199999999</v>
      </c>
      <c r="T72" s="60">
        <v>2803985.6499999994</v>
      </c>
      <c r="U72" s="60">
        <f>SUM(U73:U100)</f>
        <v>1682750</v>
      </c>
      <c r="V72" s="60">
        <f>SUM(V73:V100)</f>
        <v>2206528</v>
      </c>
      <c r="W72" s="189">
        <f>SUM(W73:W100)</f>
        <v>1657020.9200000002</v>
      </c>
      <c r="X72" s="622">
        <f t="shared" si="4"/>
        <v>75.09630151985382</v>
      </c>
    </row>
    <row r="73" spans="1:24" ht="12.75" hidden="1">
      <c r="A73" s="755"/>
      <c r="B73" s="809"/>
      <c r="C73" s="374" t="s">
        <v>36</v>
      </c>
      <c r="D73" s="375"/>
      <c r="E73" s="375"/>
      <c r="F73" s="375"/>
      <c r="G73" s="375"/>
      <c r="H73" s="376"/>
      <c r="I73" s="377"/>
      <c r="J73" s="378"/>
      <c r="K73" s="84"/>
      <c r="L73" s="84"/>
      <c r="M73" s="178">
        <v>1289.08</v>
      </c>
      <c r="N73" s="21"/>
      <c r="O73" s="21"/>
      <c r="P73" s="21"/>
      <c r="Q73" s="105"/>
      <c r="R73" s="21"/>
      <c r="S73" s="21"/>
      <c r="T73" s="21"/>
      <c r="U73" s="21"/>
      <c r="V73" s="39"/>
      <c r="W73" s="101">
        <f>IF(S73=0,0,V73/S73)</f>
        <v>0</v>
      </c>
      <c r="X73" s="119">
        <f t="shared" si="4"/>
        <v>0</v>
      </c>
    </row>
    <row r="74" spans="1:24" ht="12.75">
      <c r="A74" s="756"/>
      <c r="B74" s="803"/>
      <c r="C74" s="201" t="s">
        <v>362</v>
      </c>
      <c r="D74" s="379"/>
      <c r="E74" s="379"/>
      <c r="F74" s="379"/>
      <c r="G74" s="379"/>
      <c r="H74" s="380"/>
      <c r="I74" s="381"/>
      <c r="J74" s="262"/>
      <c r="K74" s="24"/>
      <c r="L74" s="21"/>
      <c r="M74" s="105">
        <v>0</v>
      </c>
      <c r="N74" s="21"/>
      <c r="O74" s="21"/>
      <c r="P74" s="21"/>
      <c r="Q74" s="105"/>
      <c r="R74" s="21"/>
      <c r="S74" s="21"/>
      <c r="T74" s="21"/>
      <c r="U74" s="21">
        <v>259552</v>
      </c>
      <c r="V74" s="39">
        <v>420230</v>
      </c>
      <c r="W74" s="101">
        <v>363701.28</v>
      </c>
      <c r="X74" s="119">
        <f t="shared" si="4"/>
        <v>86.54814744306691</v>
      </c>
    </row>
    <row r="75" spans="1:24" ht="12.75">
      <c r="A75" s="756"/>
      <c r="B75" s="803"/>
      <c r="C75" s="201" t="s">
        <v>363</v>
      </c>
      <c r="D75" s="379"/>
      <c r="E75" s="379"/>
      <c r="F75" s="379"/>
      <c r="G75" s="379"/>
      <c r="H75" s="380"/>
      <c r="I75" s="381"/>
      <c r="J75" s="262"/>
      <c r="K75" s="24"/>
      <c r="L75" s="21"/>
      <c r="M75" s="105">
        <v>0</v>
      </c>
      <c r="N75" s="21"/>
      <c r="O75" s="21"/>
      <c r="P75" s="21"/>
      <c r="Q75" s="105"/>
      <c r="R75" s="21"/>
      <c r="S75" s="21"/>
      <c r="T75" s="21"/>
      <c r="U75" s="21">
        <v>392852</v>
      </c>
      <c r="V75" s="39">
        <v>338544</v>
      </c>
      <c r="W75" s="101">
        <v>253119.99</v>
      </c>
      <c r="X75" s="119">
        <f t="shared" si="4"/>
        <v>74.76723557351481</v>
      </c>
    </row>
    <row r="76" spans="1:24" ht="12.75">
      <c r="A76" s="756"/>
      <c r="B76" s="803"/>
      <c r="C76" s="201" t="s">
        <v>364</v>
      </c>
      <c r="D76" s="379"/>
      <c r="E76" s="379"/>
      <c r="F76" s="379"/>
      <c r="G76" s="379"/>
      <c r="H76" s="380"/>
      <c r="I76" s="381"/>
      <c r="J76" s="262"/>
      <c r="K76" s="24"/>
      <c r="L76" s="21"/>
      <c r="M76" s="105">
        <v>0</v>
      </c>
      <c r="N76" s="21"/>
      <c r="O76" s="21"/>
      <c r="P76" s="21"/>
      <c r="Q76" s="105"/>
      <c r="R76" s="21"/>
      <c r="S76" s="21"/>
      <c r="T76" s="21"/>
      <c r="U76" s="21">
        <v>145000</v>
      </c>
      <c r="V76" s="39">
        <v>147474</v>
      </c>
      <c r="W76" s="101">
        <f>44668.22+19007.75</f>
        <v>63675.97</v>
      </c>
      <c r="X76" s="119">
        <f t="shared" si="4"/>
        <v>43.17776014755144</v>
      </c>
    </row>
    <row r="77" spans="1:24" ht="12.75">
      <c r="A77" s="756"/>
      <c r="B77" s="803"/>
      <c r="C77" s="201" t="s">
        <v>365</v>
      </c>
      <c r="D77" s="379"/>
      <c r="E77" s="379"/>
      <c r="F77" s="379"/>
      <c r="G77" s="379"/>
      <c r="H77" s="380"/>
      <c r="I77" s="381"/>
      <c r="J77" s="262"/>
      <c r="K77" s="24"/>
      <c r="L77" s="21"/>
      <c r="M77" s="105">
        <v>0</v>
      </c>
      <c r="N77" s="24"/>
      <c r="O77" s="39"/>
      <c r="P77" s="39"/>
      <c r="Q77" s="101"/>
      <c r="R77" s="39"/>
      <c r="S77" s="39"/>
      <c r="T77" s="39"/>
      <c r="U77" s="39">
        <v>10200</v>
      </c>
      <c r="V77" s="39">
        <v>10200</v>
      </c>
      <c r="W77" s="101">
        <v>10200</v>
      </c>
      <c r="X77" s="119">
        <f t="shared" si="4"/>
        <v>100</v>
      </c>
    </row>
    <row r="78" spans="1:24" ht="12.75">
      <c r="A78" s="756"/>
      <c r="B78" s="803"/>
      <c r="C78" s="382" t="s">
        <v>366</v>
      </c>
      <c r="D78" s="383"/>
      <c r="E78" s="383"/>
      <c r="F78" s="383"/>
      <c r="G78" s="383"/>
      <c r="H78" s="384"/>
      <c r="I78" s="385"/>
      <c r="J78" s="386"/>
      <c r="K78" s="27"/>
      <c r="L78" s="63"/>
      <c r="M78" s="103">
        <v>0</v>
      </c>
      <c r="N78" s="24"/>
      <c r="O78" s="39"/>
      <c r="P78" s="39"/>
      <c r="Q78" s="101"/>
      <c r="R78" s="39"/>
      <c r="S78" s="39"/>
      <c r="T78" s="39"/>
      <c r="U78" s="39">
        <v>20000</v>
      </c>
      <c r="V78" s="39">
        <v>20000</v>
      </c>
      <c r="W78" s="101">
        <v>3795</v>
      </c>
      <c r="X78" s="119">
        <f t="shared" si="4"/>
        <v>18.975</v>
      </c>
    </row>
    <row r="79" spans="1:30" ht="12.75">
      <c r="A79" s="756"/>
      <c r="B79" s="803"/>
      <c r="C79" s="382" t="s">
        <v>371</v>
      </c>
      <c r="D79" s="388"/>
      <c r="E79" s="388"/>
      <c r="F79" s="388"/>
      <c r="G79" s="388"/>
      <c r="H79" s="389"/>
      <c r="I79" s="390"/>
      <c r="J79" s="391"/>
      <c r="K79" s="27"/>
      <c r="L79" s="63"/>
      <c r="M79" s="103">
        <v>0</v>
      </c>
      <c r="N79" s="24"/>
      <c r="O79" s="39"/>
      <c r="P79" s="39"/>
      <c r="Q79" s="101"/>
      <c r="R79" s="39"/>
      <c r="S79" s="39"/>
      <c r="T79" s="39"/>
      <c r="U79" s="39">
        <v>2262</v>
      </c>
      <c r="V79" s="39">
        <v>2262</v>
      </c>
      <c r="W79" s="101"/>
      <c r="X79" s="119">
        <f t="shared" si="4"/>
        <v>0</v>
      </c>
      <c r="AA79" s="2"/>
      <c r="AD79" s="2"/>
    </row>
    <row r="80" spans="1:27" ht="12.75">
      <c r="A80" s="756"/>
      <c r="B80" s="803"/>
      <c r="C80" s="382" t="s">
        <v>405</v>
      </c>
      <c r="D80" s="388"/>
      <c r="E80" s="388"/>
      <c r="F80" s="388"/>
      <c r="G80" s="388"/>
      <c r="H80" s="389"/>
      <c r="I80" s="390"/>
      <c r="J80" s="391"/>
      <c r="K80" s="27"/>
      <c r="L80" s="63"/>
      <c r="M80" s="103"/>
      <c r="N80" s="24"/>
      <c r="O80" s="39"/>
      <c r="P80" s="39"/>
      <c r="Q80" s="101"/>
      <c r="R80" s="39"/>
      <c r="S80" s="39"/>
      <c r="T80" s="39"/>
      <c r="U80" s="39"/>
      <c r="V80" s="39">
        <v>19800</v>
      </c>
      <c r="W80" s="101"/>
      <c r="X80" s="119">
        <f t="shared" si="4"/>
        <v>0</v>
      </c>
      <c r="AA80" s="2"/>
    </row>
    <row r="81" spans="1:27" ht="12.75">
      <c r="A81" s="756"/>
      <c r="B81" s="803"/>
      <c r="C81" s="382" t="s">
        <v>406</v>
      </c>
      <c r="D81" s="388"/>
      <c r="E81" s="388"/>
      <c r="F81" s="388"/>
      <c r="G81" s="388"/>
      <c r="H81" s="389"/>
      <c r="I81" s="390"/>
      <c r="J81" s="391"/>
      <c r="K81" s="27"/>
      <c r="L81" s="63"/>
      <c r="M81" s="103"/>
      <c r="N81" s="24"/>
      <c r="O81" s="39"/>
      <c r="P81" s="39"/>
      <c r="Q81" s="101"/>
      <c r="R81" s="39"/>
      <c r="S81" s="39"/>
      <c r="T81" s="39"/>
      <c r="U81" s="39"/>
      <c r="V81" s="39">
        <v>17900</v>
      </c>
      <c r="W81" s="101"/>
      <c r="X81" s="119">
        <f t="shared" si="4"/>
        <v>0</v>
      </c>
      <c r="AA81" s="2"/>
    </row>
    <row r="82" spans="1:27" ht="12.75">
      <c r="A82" s="756"/>
      <c r="B82" s="803"/>
      <c r="C82" s="382" t="s">
        <v>273</v>
      </c>
      <c r="D82" s="388"/>
      <c r="E82" s="388"/>
      <c r="F82" s="388"/>
      <c r="G82" s="388"/>
      <c r="H82" s="389"/>
      <c r="I82" s="390"/>
      <c r="J82" s="391"/>
      <c r="K82" s="27"/>
      <c r="L82" s="63"/>
      <c r="M82" s="103"/>
      <c r="N82" s="24"/>
      <c r="O82" s="39"/>
      <c r="P82" s="39"/>
      <c r="Q82" s="101"/>
      <c r="R82" s="39"/>
      <c r="S82" s="39"/>
      <c r="T82" s="39"/>
      <c r="U82" s="39"/>
      <c r="V82" s="39">
        <v>51834</v>
      </c>
      <c r="W82" s="101"/>
      <c r="X82" s="119">
        <f t="shared" si="4"/>
        <v>0</v>
      </c>
      <c r="AA82" s="2"/>
    </row>
    <row r="83" spans="1:27" ht="12.75">
      <c r="A83" s="756"/>
      <c r="B83" s="803"/>
      <c r="C83" s="382" t="s">
        <v>399</v>
      </c>
      <c r="D83" s="388"/>
      <c r="E83" s="388"/>
      <c r="F83" s="388"/>
      <c r="G83" s="388"/>
      <c r="H83" s="389"/>
      <c r="I83" s="390"/>
      <c r="J83" s="391"/>
      <c r="K83" s="27"/>
      <c r="L83" s="63"/>
      <c r="M83" s="103"/>
      <c r="N83" s="24"/>
      <c r="O83" s="39"/>
      <c r="P83" s="39"/>
      <c r="Q83" s="101"/>
      <c r="R83" s="39"/>
      <c r="S83" s="39"/>
      <c r="T83" s="39"/>
      <c r="U83" s="39"/>
      <c r="V83" s="39">
        <v>35000</v>
      </c>
      <c r="W83" s="101"/>
      <c r="X83" s="119">
        <f t="shared" si="4"/>
        <v>0</v>
      </c>
      <c r="Y83" s="2"/>
      <c r="AA83" s="2"/>
    </row>
    <row r="84" spans="1:27" ht="12.75">
      <c r="A84" s="756"/>
      <c r="B84" s="803"/>
      <c r="C84" s="382" t="s">
        <v>400</v>
      </c>
      <c r="D84" s="388"/>
      <c r="E84" s="388"/>
      <c r="F84" s="388"/>
      <c r="G84" s="388"/>
      <c r="H84" s="389"/>
      <c r="I84" s="390"/>
      <c r="J84" s="391"/>
      <c r="K84" s="27"/>
      <c r="L84" s="63"/>
      <c r="M84" s="103"/>
      <c r="N84" s="24"/>
      <c r="O84" s="39"/>
      <c r="P84" s="39"/>
      <c r="Q84" s="101"/>
      <c r="R84" s="39"/>
      <c r="S84" s="39"/>
      <c r="T84" s="39"/>
      <c r="U84" s="39"/>
      <c r="V84" s="39">
        <v>24000</v>
      </c>
      <c r="W84" s="101"/>
      <c r="X84" s="119">
        <f t="shared" si="4"/>
        <v>0</v>
      </c>
      <c r="Y84" s="2"/>
      <c r="AA84" s="2"/>
    </row>
    <row r="85" spans="1:27" ht="12.75" customHeight="1">
      <c r="A85" s="756"/>
      <c r="B85" s="803"/>
      <c r="C85" s="201" t="s">
        <v>368</v>
      </c>
      <c r="D85" s="388"/>
      <c r="E85" s="388"/>
      <c r="F85" s="388"/>
      <c r="G85" s="388"/>
      <c r="H85" s="389"/>
      <c r="I85" s="390"/>
      <c r="J85" s="391"/>
      <c r="K85" s="27"/>
      <c r="L85" s="63"/>
      <c r="M85" s="103">
        <v>0</v>
      </c>
      <c r="N85" s="24"/>
      <c r="O85" s="39"/>
      <c r="P85" s="39"/>
      <c r="Q85" s="101"/>
      <c r="R85" s="39"/>
      <c r="S85" s="39"/>
      <c r="T85" s="39"/>
      <c r="U85" s="39">
        <v>8000</v>
      </c>
      <c r="V85" s="39">
        <v>8000</v>
      </c>
      <c r="W85" s="101">
        <v>5850</v>
      </c>
      <c r="X85" s="119">
        <f t="shared" si="4"/>
        <v>73.125</v>
      </c>
      <c r="AA85" s="2"/>
    </row>
    <row r="86" spans="1:24" ht="12.75" customHeight="1">
      <c r="A86" s="756"/>
      <c r="B86" s="803"/>
      <c r="C86" s="201" t="s">
        <v>367</v>
      </c>
      <c r="D86" s="24"/>
      <c r="E86" s="24"/>
      <c r="F86" s="24"/>
      <c r="G86" s="24"/>
      <c r="H86" s="52"/>
      <c r="I86" s="335"/>
      <c r="J86" s="336"/>
      <c r="K86" s="24"/>
      <c r="L86" s="24"/>
      <c r="M86" s="180">
        <v>0</v>
      </c>
      <c r="N86" s="24"/>
      <c r="O86" s="39"/>
      <c r="P86" s="39"/>
      <c r="Q86" s="101"/>
      <c r="R86" s="39"/>
      <c r="S86" s="39"/>
      <c r="T86" s="39"/>
      <c r="U86" s="39">
        <v>432884</v>
      </c>
      <c r="V86" s="39">
        <v>492884</v>
      </c>
      <c r="W86" s="101">
        <v>479632.05</v>
      </c>
      <c r="X86" s="119">
        <f t="shared" si="4"/>
        <v>97.3113450629357</v>
      </c>
    </row>
    <row r="87" spans="1:24" ht="12.75" customHeight="1">
      <c r="A87" s="756"/>
      <c r="B87" s="803"/>
      <c r="C87" s="38" t="s">
        <v>369</v>
      </c>
      <c r="D87" s="24"/>
      <c r="E87" s="24"/>
      <c r="F87" s="24"/>
      <c r="G87" s="24"/>
      <c r="H87" s="52"/>
      <c r="I87" s="335"/>
      <c r="J87" s="336"/>
      <c r="K87" s="24">
        <v>7632</v>
      </c>
      <c r="L87" s="24"/>
      <c r="M87" s="180">
        <v>0</v>
      </c>
      <c r="N87" s="24"/>
      <c r="O87" s="39"/>
      <c r="P87" s="39"/>
      <c r="Q87" s="101"/>
      <c r="R87" s="39"/>
      <c r="S87" s="39"/>
      <c r="T87" s="39"/>
      <c r="U87" s="39">
        <v>402000</v>
      </c>
      <c r="V87" s="39">
        <v>402000</v>
      </c>
      <c r="W87" s="101">
        <v>387793.74</v>
      </c>
      <c r="X87" s="119">
        <f t="shared" si="4"/>
        <v>96.46610447761194</v>
      </c>
    </row>
    <row r="88" spans="1:24" ht="12.75" customHeight="1">
      <c r="A88" s="756"/>
      <c r="B88" s="803"/>
      <c r="C88" s="38" t="s">
        <v>425</v>
      </c>
      <c r="D88" s="24"/>
      <c r="E88" s="24"/>
      <c r="F88" s="24"/>
      <c r="G88" s="24"/>
      <c r="H88" s="52"/>
      <c r="I88" s="335"/>
      <c r="J88" s="336"/>
      <c r="K88" s="24"/>
      <c r="L88" s="24"/>
      <c r="M88" s="180"/>
      <c r="N88" s="24"/>
      <c r="O88" s="39"/>
      <c r="P88" s="39"/>
      <c r="Q88" s="101"/>
      <c r="R88" s="39"/>
      <c r="S88" s="39"/>
      <c r="T88" s="39"/>
      <c r="U88" s="39"/>
      <c r="V88" s="39">
        <v>10000</v>
      </c>
      <c r="W88" s="101">
        <v>8924.54</v>
      </c>
      <c r="X88" s="119">
        <f t="shared" si="4"/>
        <v>89.2454</v>
      </c>
    </row>
    <row r="89" spans="1:24" ht="12.75">
      <c r="A89" s="756"/>
      <c r="B89" s="803"/>
      <c r="C89" s="38" t="s">
        <v>37</v>
      </c>
      <c r="D89" s="24"/>
      <c r="E89" s="24"/>
      <c r="F89" s="24"/>
      <c r="G89" s="24"/>
      <c r="H89" s="52"/>
      <c r="I89" s="335"/>
      <c r="J89" s="336"/>
      <c r="K89" s="24"/>
      <c r="L89" s="24"/>
      <c r="M89" s="180">
        <v>0</v>
      </c>
      <c r="N89" s="24"/>
      <c r="O89" s="39"/>
      <c r="P89" s="39"/>
      <c r="Q89" s="101"/>
      <c r="R89" s="39"/>
      <c r="S89" s="39"/>
      <c r="T89" s="39"/>
      <c r="U89" s="39">
        <v>10000</v>
      </c>
      <c r="V89" s="39">
        <v>10000</v>
      </c>
      <c r="W89" s="101">
        <f>959.11+1</f>
        <v>960.11</v>
      </c>
      <c r="X89" s="119">
        <f t="shared" si="4"/>
        <v>9.6011</v>
      </c>
    </row>
    <row r="90" spans="1:24" ht="12.75">
      <c r="A90" s="756"/>
      <c r="B90" s="803"/>
      <c r="C90" s="38" t="s">
        <v>421</v>
      </c>
      <c r="D90" s="24"/>
      <c r="E90" s="24"/>
      <c r="F90" s="24"/>
      <c r="G90" s="24"/>
      <c r="H90" s="52"/>
      <c r="I90" s="335"/>
      <c r="J90" s="336"/>
      <c r="K90" s="24"/>
      <c r="L90" s="24"/>
      <c r="M90" s="180"/>
      <c r="N90" s="24"/>
      <c r="O90" s="24"/>
      <c r="P90" s="24"/>
      <c r="Q90" s="180"/>
      <c r="R90" s="24"/>
      <c r="S90" s="24"/>
      <c r="T90" s="24"/>
      <c r="U90" s="24"/>
      <c r="V90" s="39">
        <v>23000</v>
      </c>
      <c r="W90" s="101"/>
      <c r="X90" s="119">
        <f t="shared" si="4"/>
        <v>0</v>
      </c>
    </row>
    <row r="91" spans="1:24" ht="12.75">
      <c r="A91" s="756"/>
      <c r="B91" s="803"/>
      <c r="C91" s="38" t="s">
        <v>439</v>
      </c>
      <c r="D91" s="24"/>
      <c r="E91" s="24"/>
      <c r="F91" s="24"/>
      <c r="G91" s="24"/>
      <c r="H91" s="52"/>
      <c r="I91" s="335"/>
      <c r="J91" s="336"/>
      <c r="K91" s="24"/>
      <c r="L91" s="24"/>
      <c r="M91" s="180"/>
      <c r="N91" s="24"/>
      <c r="O91" s="24"/>
      <c r="P91" s="24"/>
      <c r="Q91" s="180"/>
      <c r="R91" s="24"/>
      <c r="S91" s="24"/>
      <c r="T91" s="24"/>
      <c r="U91" s="24"/>
      <c r="V91" s="39">
        <v>48400</v>
      </c>
      <c r="W91" s="101"/>
      <c r="X91" s="119">
        <f t="shared" si="4"/>
        <v>0</v>
      </c>
    </row>
    <row r="92" spans="1:27" ht="12.75" customHeight="1">
      <c r="A92" s="756"/>
      <c r="B92" s="803"/>
      <c r="C92" s="38" t="s">
        <v>381</v>
      </c>
      <c r="D92" s="24"/>
      <c r="E92" s="24"/>
      <c r="F92" s="24"/>
      <c r="G92" s="24"/>
      <c r="H92" s="52"/>
      <c r="I92" s="335"/>
      <c r="J92" s="336"/>
      <c r="K92" s="24">
        <v>0</v>
      </c>
      <c r="L92" s="24"/>
      <c r="M92" s="180">
        <v>0</v>
      </c>
      <c r="N92" s="24"/>
      <c r="O92" s="24"/>
      <c r="P92" s="24"/>
      <c r="Q92" s="180"/>
      <c r="R92" s="24"/>
      <c r="S92" s="24"/>
      <c r="T92" s="24"/>
      <c r="U92" s="24"/>
      <c r="V92" s="39">
        <v>90000</v>
      </c>
      <c r="W92" s="101">
        <v>79368.24</v>
      </c>
      <c r="X92" s="119">
        <f t="shared" si="4"/>
        <v>88.18693333333334</v>
      </c>
      <c r="AA92" s="410"/>
    </row>
    <row r="93" spans="1:24" ht="13.5" thickBot="1">
      <c r="A93" s="756"/>
      <c r="B93" s="803"/>
      <c r="C93" s="38" t="s">
        <v>398</v>
      </c>
      <c r="D93" s="24"/>
      <c r="E93" s="24"/>
      <c r="F93" s="24"/>
      <c r="G93" s="24"/>
      <c r="H93" s="52"/>
      <c r="I93" s="335"/>
      <c r="J93" s="336"/>
      <c r="K93" s="24">
        <v>0</v>
      </c>
      <c r="L93" s="24">
        <v>1302435.64</v>
      </c>
      <c r="M93" s="180">
        <v>95467.84</v>
      </c>
      <c r="N93" s="24"/>
      <c r="O93" s="24"/>
      <c r="P93" s="24"/>
      <c r="Q93" s="180"/>
      <c r="R93" s="24"/>
      <c r="S93" s="24"/>
      <c r="T93" s="24"/>
      <c r="U93" s="24"/>
      <c r="V93" s="39">
        <v>35000</v>
      </c>
      <c r="W93" s="101"/>
      <c r="X93" s="119">
        <f t="shared" si="4"/>
        <v>0</v>
      </c>
    </row>
    <row r="94" spans="1:24" ht="13.5" hidden="1" thickBot="1">
      <c r="A94" s="756"/>
      <c r="B94" s="803"/>
      <c r="C94" s="38"/>
      <c r="D94" s="24"/>
      <c r="E94" s="24"/>
      <c r="F94" s="24"/>
      <c r="G94" s="24"/>
      <c r="H94" s="52"/>
      <c r="I94" s="335"/>
      <c r="J94" s="336"/>
      <c r="K94" s="24"/>
      <c r="L94" s="24"/>
      <c r="M94" s="180">
        <v>38905.74</v>
      </c>
      <c r="N94" s="24"/>
      <c r="O94" s="24"/>
      <c r="P94" s="24"/>
      <c r="Q94" s="180"/>
      <c r="R94" s="24"/>
      <c r="S94" s="24"/>
      <c r="T94" s="24"/>
      <c r="U94" s="24"/>
      <c r="V94" s="39"/>
      <c r="W94" s="101"/>
      <c r="X94" s="119">
        <f t="shared" si="4"/>
        <v>0</v>
      </c>
    </row>
    <row r="95" spans="1:24" ht="12.75" customHeight="1" hidden="1">
      <c r="A95" s="756"/>
      <c r="B95" s="803"/>
      <c r="C95" s="38"/>
      <c r="D95" s="24"/>
      <c r="E95" s="24"/>
      <c r="F95" s="24"/>
      <c r="G95" s="24"/>
      <c r="H95" s="52"/>
      <c r="I95" s="335"/>
      <c r="J95" s="336"/>
      <c r="K95" s="24"/>
      <c r="L95" s="24"/>
      <c r="M95" s="180">
        <v>0</v>
      </c>
      <c r="N95" s="24"/>
      <c r="O95" s="24"/>
      <c r="P95" s="24"/>
      <c r="Q95" s="180"/>
      <c r="R95" s="24"/>
      <c r="S95" s="24"/>
      <c r="T95" s="24"/>
      <c r="U95" s="24"/>
      <c r="V95" s="39"/>
      <c r="W95" s="101"/>
      <c r="X95" s="119">
        <f t="shared" si="4"/>
        <v>0</v>
      </c>
    </row>
    <row r="96" spans="1:24" ht="12.75" customHeight="1" hidden="1">
      <c r="A96" s="756"/>
      <c r="B96" s="803"/>
      <c r="C96" s="38"/>
      <c r="D96" s="24"/>
      <c r="E96" s="24"/>
      <c r="F96" s="24"/>
      <c r="G96" s="24"/>
      <c r="H96" s="52"/>
      <c r="I96" s="335"/>
      <c r="J96" s="336"/>
      <c r="K96" s="24"/>
      <c r="L96" s="24"/>
      <c r="M96" s="180">
        <v>0</v>
      </c>
      <c r="N96" s="24"/>
      <c r="O96" s="24"/>
      <c r="P96" s="24"/>
      <c r="Q96" s="180"/>
      <c r="R96" s="24"/>
      <c r="S96" s="24"/>
      <c r="T96" s="24"/>
      <c r="U96" s="24"/>
      <c r="V96" s="39"/>
      <c r="W96" s="101"/>
      <c r="X96" s="119">
        <f t="shared" si="4"/>
        <v>0</v>
      </c>
    </row>
    <row r="97" spans="1:24" ht="12.75" customHeight="1" hidden="1">
      <c r="A97" s="756"/>
      <c r="B97" s="803"/>
      <c r="C97" s="38"/>
      <c r="D97" s="24"/>
      <c r="E97" s="24"/>
      <c r="F97" s="24"/>
      <c r="G97" s="24"/>
      <c r="H97" s="52"/>
      <c r="I97" s="335"/>
      <c r="J97" s="336"/>
      <c r="K97" s="24">
        <v>8090</v>
      </c>
      <c r="L97" s="24"/>
      <c r="M97" s="180">
        <v>0</v>
      </c>
      <c r="N97" s="24"/>
      <c r="O97" s="24"/>
      <c r="P97" s="24"/>
      <c r="Q97" s="180"/>
      <c r="R97" s="24"/>
      <c r="S97" s="24"/>
      <c r="T97" s="24"/>
      <c r="U97" s="24"/>
      <c r="V97" s="39"/>
      <c r="W97" s="101"/>
      <c r="X97" s="119">
        <f t="shared" si="4"/>
        <v>0</v>
      </c>
    </row>
    <row r="98" spans="1:24" ht="13.5" hidden="1" thickBot="1">
      <c r="A98" s="756"/>
      <c r="B98" s="803"/>
      <c r="C98" s="38"/>
      <c r="D98" s="24"/>
      <c r="E98" s="24"/>
      <c r="F98" s="24"/>
      <c r="G98" s="24"/>
      <c r="H98" s="52"/>
      <c r="I98" s="335"/>
      <c r="J98" s="336"/>
      <c r="K98" s="24"/>
      <c r="L98" s="24"/>
      <c r="M98" s="180"/>
      <c r="N98" s="24"/>
      <c r="O98" s="24"/>
      <c r="P98" s="24"/>
      <c r="Q98" s="180"/>
      <c r="R98" s="24"/>
      <c r="S98" s="24"/>
      <c r="T98" s="24"/>
      <c r="U98" s="24"/>
      <c r="V98" s="39"/>
      <c r="W98" s="101"/>
      <c r="X98" s="119">
        <f t="shared" si="4"/>
        <v>0</v>
      </c>
    </row>
    <row r="99" spans="1:24" ht="13.5" hidden="1" thickBot="1">
      <c r="A99" s="756"/>
      <c r="B99" s="803"/>
      <c r="C99" s="38"/>
      <c r="D99" s="27"/>
      <c r="E99" s="27"/>
      <c r="F99" s="27"/>
      <c r="G99" s="27"/>
      <c r="H99" s="59"/>
      <c r="I99" s="337"/>
      <c r="J99" s="338"/>
      <c r="K99" s="27"/>
      <c r="L99" s="27"/>
      <c r="M99" s="198"/>
      <c r="N99" s="27"/>
      <c r="O99" s="27"/>
      <c r="P99" s="27"/>
      <c r="Q99" s="198"/>
      <c r="R99" s="27"/>
      <c r="S99" s="27"/>
      <c r="T99" s="27"/>
      <c r="U99" s="27"/>
      <c r="V99" s="39"/>
      <c r="W99" s="101"/>
      <c r="X99" s="119">
        <f t="shared" si="4"/>
        <v>0</v>
      </c>
    </row>
    <row r="100" spans="1:24" ht="0.75" customHeight="1" hidden="1" thickBot="1">
      <c r="A100" s="757"/>
      <c r="B100" s="804"/>
      <c r="C100" s="128"/>
      <c r="D100" s="27"/>
      <c r="E100" s="27"/>
      <c r="F100" s="27"/>
      <c r="G100" s="27"/>
      <c r="H100" s="59"/>
      <c r="I100" s="337"/>
      <c r="J100" s="338"/>
      <c r="K100" s="27"/>
      <c r="L100" s="27"/>
      <c r="M100" s="198"/>
      <c r="N100" s="27"/>
      <c r="O100" s="27"/>
      <c r="P100" s="27"/>
      <c r="Q100" s="198"/>
      <c r="R100" s="27"/>
      <c r="S100" s="27"/>
      <c r="T100" s="27"/>
      <c r="U100" s="27"/>
      <c r="V100" s="66"/>
      <c r="W100" s="101">
        <f aca="true" t="shared" si="5" ref="W100:W106">IF(S100=0,0,V100/S100)</f>
        <v>0</v>
      </c>
      <c r="X100" s="621">
        <f t="shared" si="4"/>
        <v>0</v>
      </c>
    </row>
    <row r="101" spans="1:26" s="515" customFormat="1" ht="15.75" hidden="1" thickBot="1">
      <c r="A101" s="266" t="s">
        <v>334</v>
      </c>
      <c r="B101" s="819" t="s">
        <v>335</v>
      </c>
      <c r="C101" s="759"/>
      <c r="D101" s="553"/>
      <c r="E101" s="553"/>
      <c r="F101" s="553"/>
      <c r="G101" s="553"/>
      <c r="H101" s="554"/>
      <c r="I101" s="555"/>
      <c r="J101" s="556"/>
      <c r="K101" s="553"/>
      <c r="L101" s="553"/>
      <c r="M101" s="557"/>
      <c r="N101" s="94"/>
      <c r="O101" s="94"/>
      <c r="P101" s="477">
        <v>5880</v>
      </c>
      <c r="Q101" s="477">
        <v>44123.79</v>
      </c>
      <c r="R101" s="94"/>
      <c r="S101" s="94"/>
      <c r="T101" s="94"/>
      <c r="U101" s="94"/>
      <c r="V101" s="60">
        <f>V102</f>
        <v>0</v>
      </c>
      <c r="W101" s="189">
        <f t="shared" si="5"/>
        <v>0</v>
      </c>
      <c r="X101" s="622">
        <f t="shared" si="4"/>
        <v>0</v>
      </c>
      <c r="Z101" s="558"/>
    </row>
    <row r="102" spans="1:24" ht="13.5" hidden="1" thickBot="1">
      <c r="A102" s="349"/>
      <c r="B102" s="350"/>
      <c r="C102" s="102" t="s">
        <v>336</v>
      </c>
      <c r="D102" s="43"/>
      <c r="E102" s="43"/>
      <c r="F102" s="43"/>
      <c r="G102" s="43"/>
      <c r="H102" s="53"/>
      <c r="I102" s="370"/>
      <c r="J102" s="371"/>
      <c r="K102" s="43">
        <v>476</v>
      </c>
      <c r="L102" s="43">
        <v>3000</v>
      </c>
      <c r="M102" s="230">
        <v>3545</v>
      </c>
      <c r="N102" s="12"/>
      <c r="O102" s="12"/>
      <c r="P102" s="12"/>
      <c r="Q102" s="221"/>
      <c r="R102" s="217"/>
      <c r="S102" s="217"/>
      <c r="T102" s="217"/>
      <c r="U102" s="217"/>
      <c r="V102" s="217"/>
      <c r="W102" s="459">
        <f t="shared" si="5"/>
        <v>0</v>
      </c>
      <c r="X102" s="623">
        <f t="shared" si="4"/>
        <v>0</v>
      </c>
    </row>
    <row r="103" spans="1:24" ht="15.75" hidden="1" thickBot="1">
      <c r="A103" s="266" t="s">
        <v>38</v>
      </c>
      <c r="B103" s="729" t="s">
        <v>0</v>
      </c>
      <c r="C103" s="730"/>
      <c r="D103" s="392"/>
      <c r="E103" s="392"/>
      <c r="F103" s="392"/>
      <c r="G103" s="392"/>
      <c r="H103" s="243"/>
      <c r="I103" s="393"/>
      <c r="J103" s="394"/>
      <c r="K103" s="372"/>
      <c r="L103" s="372"/>
      <c r="M103" s="372"/>
      <c r="N103" s="372"/>
      <c r="O103" s="372"/>
      <c r="P103" s="372"/>
      <c r="Q103" s="544"/>
      <c r="R103" s="372"/>
      <c r="S103" s="372"/>
      <c r="T103" s="372"/>
      <c r="U103" s="372"/>
      <c r="V103" s="60"/>
      <c r="W103" s="189">
        <f t="shared" si="5"/>
        <v>0</v>
      </c>
      <c r="X103" s="622">
        <f t="shared" si="4"/>
        <v>0</v>
      </c>
    </row>
    <row r="104" spans="1:24" ht="13.5" hidden="1" thickBot="1">
      <c r="A104" s="332"/>
      <c r="B104" s="334"/>
      <c r="C104" s="38"/>
      <c r="D104" s="24"/>
      <c r="E104" s="24"/>
      <c r="F104" s="24"/>
      <c r="G104" s="24"/>
      <c r="H104" s="52"/>
      <c r="I104" s="335"/>
      <c r="J104" s="336"/>
      <c r="K104" s="24"/>
      <c r="L104" s="24"/>
      <c r="M104" s="24"/>
      <c r="N104" s="24"/>
      <c r="O104" s="24"/>
      <c r="P104" s="24"/>
      <c r="Q104" s="180"/>
      <c r="R104" s="24"/>
      <c r="S104" s="24"/>
      <c r="T104" s="24"/>
      <c r="U104" s="24"/>
      <c r="V104" s="39"/>
      <c r="W104" s="101">
        <f t="shared" si="5"/>
        <v>0</v>
      </c>
      <c r="X104" s="119">
        <f t="shared" si="4"/>
        <v>0</v>
      </c>
    </row>
    <row r="105" spans="1:24" ht="13.5" hidden="1" thickBot="1">
      <c r="A105" s="332"/>
      <c r="B105" s="334"/>
      <c r="C105" s="38"/>
      <c r="D105" s="24"/>
      <c r="E105" s="24"/>
      <c r="F105" s="24"/>
      <c r="G105" s="24"/>
      <c r="H105" s="52"/>
      <c r="I105" s="335"/>
      <c r="J105" s="336"/>
      <c r="K105" s="24"/>
      <c r="L105" s="24"/>
      <c r="M105" s="24"/>
      <c r="N105" s="24"/>
      <c r="O105" s="24"/>
      <c r="P105" s="24"/>
      <c r="Q105" s="180"/>
      <c r="R105" s="24"/>
      <c r="S105" s="24"/>
      <c r="T105" s="24"/>
      <c r="U105" s="24"/>
      <c r="V105" s="39"/>
      <c r="W105" s="101">
        <f t="shared" si="5"/>
        <v>0</v>
      </c>
      <c r="X105" s="119">
        <f t="shared" si="4"/>
        <v>0</v>
      </c>
    </row>
    <row r="106" spans="1:24" ht="13.5" hidden="1" thickBot="1">
      <c r="A106" s="332"/>
      <c r="B106" s="334"/>
      <c r="C106" s="42"/>
      <c r="D106" s="27"/>
      <c r="E106" s="27"/>
      <c r="F106" s="27"/>
      <c r="G106" s="27"/>
      <c r="H106" s="59"/>
      <c r="I106" s="337"/>
      <c r="J106" s="338"/>
      <c r="K106" s="27"/>
      <c r="L106" s="27"/>
      <c r="M106" s="27"/>
      <c r="N106" s="27"/>
      <c r="O106" s="27"/>
      <c r="P106" s="27"/>
      <c r="Q106" s="198"/>
      <c r="R106" s="27"/>
      <c r="S106" s="27"/>
      <c r="T106" s="27"/>
      <c r="U106" s="27"/>
      <c r="V106" s="66"/>
      <c r="W106" s="229">
        <f t="shared" si="5"/>
        <v>0</v>
      </c>
      <c r="X106" s="621">
        <f t="shared" si="4"/>
        <v>0</v>
      </c>
    </row>
    <row r="107" spans="1:24" ht="15.75" thickBot="1">
      <c r="A107" s="333" t="s">
        <v>214</v>
      </c>
      <c r="B107" s="808" t="s">
        <v>215</v>
      </c>
      <c r="C107" s="808"/>
      <c r="D107" s="209">
        <v>8298</v>
      </c>
      <c r="E107" s="209">
        <v>3983</v>
      </c>
      <c r="F107" s="209">
        <v>175065</v>
      </c>
      <c r="G107" s="209">
        <v>138049</v>
      </c>
      <c r="H107" s="209">
        <v>127764</v>
      </c>
      <c r="I107" s="121">
        <v>149292</v>
      </c>
      <c r="J107" s="209">
        <v>3000</v>
      </c>
      <c r="K107" s="60">
        <f>SUM(K112:K114)</f>
        <v>6455</v>
      </c>
      <c r="L107" s="60">
        <f>SUM(L108:L114)</f>
        <v>131475.39</v>
      </c>
      <c r="M107" s="189">
        <f>SUM(M108:M114)</f>
        <v>1775474.1500000001</v>
      </c>
      <c r="N107" s="60">
        <v>12967.75</v>
      </c>
      <c r="O107" s="189">
        <v>2000</v>
      </c>
      <c r="P107" s="189">
        <v>138793.75</v>
      </c>
      <c r="Q107" s="189">
        <v>36288</v>
      </c>
      <c r="R107" s="60">
        <v>84304</v>
      </c>
      <c r="S107" s="60"/>
      <c r="T107" s="60"/>
      <c r="U107" s="60">
        <f>SUM(U108:U114)</f>
        <v>0</v>
      </c>
      <c r="V107" s="60">
        <f>SUM(V108:V114)</f>
        <v>174000</v>
      </c>
      <c r="W107" s="189">
        <f>SUM(W108:W114)</f>
        <v>14000</v>
      </c>
      <c r="X107" s="622">
        <f t="shared" si="4"/>
        <v>8.045977011494253</v>
      </c>
    </row>
    <row r="108" spans="1:29" ht="12.75">
      <c r="A108" s="752"/>
      <c r="B108" s="805"/>
      <c r="C108" s="355" t="s">
        <v>392</v>
      </c>
      <c r="D108" s="395"/>
      <c r="E108" s="395"/>
      <c r="F108" s="395"/>
      <c r="G108" s="395"/>
      <c r="H108" s="396"/>
      <c r="I108" s="397"/>
      <c r="J108" s="398"/>
      <c r="K108" s="126"/>
      <c r="L108" s="126">
        <v>123141.28</v>
      </c>
      <c r="M108" s="192">
        <v>1602434.8900000001</v>
      </c>
      <c r="N108" s="126"/>
      <c r="O108" s="126"/>
      <c r="P108" s="126"/>
      <c r="Q108" s="192"/>
      <c r="R108" s="126"/>
      <c r="S108" s="126"/>
      <c r="T108" s="126"/>
      <c r="U108" s="126"/>
      <c r="V108" s="77">
        <v>160000</v>
      </c>
      <c r="W108" s="359"/>
      <c r="X108" s="665">
        <f t="shared" si="4"/>
        <v>0</v>
      </c>
      <c r="AC108" s="410"/>
    </row>
    <row r="109" spans="1:24" ht="13.5" thickBot="1">
      <c r="A109" s="753"/>
      <c r="B109" s="806"/>
      <c r="C109" s="360" t="s">
        <v>403</v>
      </c>
      <c r="D109" s="399"/>
      <c r="E109" s="399"/>
      <c r="F109" s="399"/>
      <c r="G109" s="399"/>
      <c r="H109" s="400"/>
      <c r="I109" s="401"/>
      <c r="J109" s="402"/>
      <c r="K109" s="20"/>
      <c r="L109" s="20"/>
      <c r="M109" s="115">
        <v>18092.39</v>
      </c>
      <c r="N109" s="20"/>
      <c r="O109" s="20"/>
      <c r="P109" s="20"/>
      <c r="Q109" s="115"/>
      <c r="R109" s="20"/>
      <c r="S109" s="20"/>
      <c r="T109" s="20"/>
      <c r="U109" s="20"/>
      <c r="V109" s="79">
        <v>14000</v>
      </c>
      <c r="W109" s="461">
        <v>14000</v>
      </c>
      <c r="X109" s="666">
        <f t="shared" si="4"/>
        <v>100</v>
      </c>
    </row>
    <row r="110" spans="1:24" ht="13.5" hidden="1" thickBot="1">
      <c r="A110" s="753"/>
      <c r="B110" s="806"/>
      <c r="C110" s="360"/>
      <c r="D110" s="399"/>
      <c r="E110" s="399"/>
      <c r="F110" s="399"/>
      <c r="G110" s="399"/>
      <c r="H110" s="400"/>
      <c r="I110" s="401"/>
      <c r="J110" s="402"/>
      <c r="K110" s="20"/>
      <c r="L110" s="20"/>
      <c r="M110" s="115">
        <v>16624.5</v>
      </c>
      <c r="N110" s="20"/>
      <c r="O110" s="20"/>
      <c r="P110" s="20"/>
      <c r="Q110" s="115"/>
      <c r="R110" s="20"/>
      <c r="S110" s="20"/>
      <c r="T110" s="20"/>
      <c r="U110" s="20"/>
      <c r="V110" s="79"/>
      <c r="W110" s="461"/>
      <c r="X110" s="666">
        <f t="shared" si="4"/>
        <v>0</v>
      </c>
    </row>
    <row r="111" spans="1:24" ht="13.5" hidden="1" thickBot="1">
      <c r="A111" s="753"/>
      <c r="B111" s="806"/>
      <c r="C111" s="360"/>
      <c r="D111" s="399"/>
      <c r="E111" s="399"/>
      <c r="F111" s="399"/>
      <c r="G111" s="399"/>
      <c r="H111" s="400"/>
      <c r="I111" s="401"/>
      <c r="J111" s="402"/>
      <c r="K111" s="20"/>
      <c r="L111" s="20"/>
      <c r="M111" s="115">
        <v>120000</v>
      </c>
      <c r="N111" s="20"/>
      <c r="O111" s="20"/>
      <c r="P111" s="20"/>
      <c r="Q111" s="115"/>
      <c r="R111" s="20"/>
      <c r="S111" s="20"/>
      <c r="T111" s="20"/>
      <c r="U111" s="20"/>
      <c r="V111" s="79"/>
      <c r="W111" s="461"/>
      <c r="X111" s="666">
        <f t="shared" si="4"/>
        <v>0</v>
      </c>
    </row>
    <row r="112" spans="1:24" ht="13.5" hidden="1" thickBot="1">
      <c r="A112" s="753"/>
      <c r="B112" s="806"/>
      <c r="C112" s="64"/>
      <c r="D112" s="21"/>
      <c r="E112" s="21"/>
      <c r="F112" s="21"/>
      <c r="G112" s="21"/>
      <c r="H112" s="50"/>
      <c r="I112" s="345"/>
      <c r="J112" s="346"/>
      <c r="K112" s="21">
        <v>6455</v>
      </c>
      <c r="L112" s="21"/>
      <c r="M112" s="105">
        <v>14992.37</v>
      </c>
      <c r="N112" s="21"/>
      <c r="O112" s="21"/>
      <c r="P112" s="21"/>
      <c r="Q112" s="105"/>
      <c r="R112" s="21"/>
      <c r="S112" s="21"/>
      <c r="T112" s="21"/>
      <c r="U112" s="21"/>
      <c r="V112" s="51"/>
      <c r="W112" s="65"/>
      <c r="X112" s="127">
        <f t="shared" si="4"/>
        <v>0</v>
      </c>
    </row>
    <row r="113" spans="1:24" ht="13.5" hidden="1" thickBot="1">
      <c r="A113" s="753"/>
      <c r="B113" s="806"/>
      <c r="C113" s="128"/>
      <c r="D113" s="63"/>
      <c r="E113" s="63"/>
      <c r="F113" s="63"/>
      <c r="G113" s="63"/>
      <c r="H113" s="62"/>
      <c r="I113" s="347"/>
      <c r="J113" s="348"/>
      <c r="K113" s="63"/>
      <c r="L113" s="39"/>
      <c r="M113" s="180"/>
      <c r="N113" s="21"/>
      <c r="O113" s="21"/>
      <c r="P113" s="21"/>
      <c r="Q113" s="105"/>
      <c r="R113" s="21"/>
      <c r="S113" s="21"/>
      <c r="T113" s="21"/>
      <c r="U113" s="21"/>
      <c r="V113" s="51"/>
      <c r="W113" s="65"/>
      <c r="X113" s="127">
        <f t="shared" si="4"/>
        <v>0</v>
      </c>
    </row>
    <row r="114" spans="1:24" ht="13.5" hidden="1" thickBot="1">
      <c r="A114" s="754"/>
      <c r="B114" s="807"/>
      <c r="C114" s="41"/>
      <c r="D114" s="43"/>
      <c r="E114" s="43"/>
      <c r="F114" s="43"/>
      <c r="G114" s="43"/>
      <c r="H114" s="53"/>
      <c r="I114" s="370"/>
      <c r="J114" s="371"/>
      <c r="K114" s="43"/>
      <c r="L114" s="69">
        <v>8334.11</v>
      </c>
      <c r="M114" s="186">
        <v>3330</v>
      </c>
      <c r="N114" s="69"/>
      <c r="O114" s="69"/>
      <c r="P114" s="69"/>
      <c r="Q114" s="186"/>
      <c r="R114" s="69"/>
      <c r="S114" s="69"/>
      <c r="T114" s="69"/>
      <c r="U114" s="69"/>
      <c r="V114" s="185"/>
      <c r="W114" s="305"/>
      <c r="X114" s="662">
        <f t="shared" si="4"/>
        <v>0</v>
      </c>
    </row>
    <row r="115" spans="1:24" ht="15.75" thickBot="1">
      <c r="A115" s="333" t="s">
        <v>53</v>
      </c>
      <c r="B115" s="808" t="s">
        <v>73</v>
      </c>
      <c r="C115" s="808"/>
      <c r="D115" s="209"/>
      <c r="E115" s="209">
        <v>22472</v>
      </c>
      <c r="F115" s="209">
        <v>20713</v>
      </c>
      <c r="G115" s="209">
        <v>11074</v>
      </c>
      <c r="H115" s="209">
        <v>15914</v>
      </c>
      <c r="I115" s="121">
        <v>116842</v>
      </c>
      <c r="J115" s="209">
        <v>38905</v>
      </c>
      <c r="K115" s="60">
        <f>SUM(K116:K120)</f>
        <v>15848</v>
      </c>
      <c r="L115" s="60">
        <f>SUM(L116:L120)</f>
        <v>26915.190000000002</v>
      </c>
      <c r="M115" s="189">
        <f>SUM(M116:M120)</f>
        <v>9771.24</v>
      </c>
      <c r="N115" s="60">
        <v>62531.63</v>
      </c>
      <c r="O115" s="189">
        <v>193266.02</v>
      </c>
      <c r="P115" s="189">
        <v>3920.81</v>
      </c>
      <c r="Q115" s="189"/>
      <c r="R115" s="60"/>
      <c r="S115" s="60"/>
      <c r="T115" s="60">
        <v>12820.31</v>
      </c>
      <c r="U115" s="60">
        <f>SUM(U116:U120)</f>
        <v>0</v>
      </c>
      <c r="V115" s="60">
        <f>SUM(V116:V120)</f>
        <v>5245</v>
      </c>
      <c r="W115" s="189">
        <f>SUM(W116:W120)</f>
        <v>5244.1</v>
      </c>
      <c r="X115" s="622">
        <f t="shared" si="4"/>
        <v>99.98284080076265</v>
      </c>
    </row>
    <row r="116" spans="1:29" ht="13.5" thickBot="1">
      <c r="A116" s="756"/>
      <c r="B116" s="803"/>
      <c r="C116" s="38" t="s">
        <v>404</v>
      </c>
      <c r="D116" s="24"/>
      <c r="E116" s="24"/>
      <c r="F116" s="24"/>
      <c r="G116" s="24"/>
      <c r="H116" s="52"/>
      <c r="I116" s="335"/>
      <c r="J116" s="336"/>
      <c r="K116" s="24">
        <v>7000</v>
      </c>
      <c r="L116" s="24">
        <v>16662.2</v>
      </c>
      <c r="M116" s="180"/>
      <c r="N116" s="24"/>
      <c r="O116" s="24"/>
      <c r="P116" s="21"/>
      <c r="Q116" s="105"/>
      <c r="R116" s="21"/>
      <c r="S116" s="21"/>
      <c r="T116" s="12"/>
      <c r="U116" s="12"/>
      <c r="V116" s="74">
        <v>5245</v>
      </c>
      <c r="W116" s="221">
        <v>5244.1</v>
      </c>
      <c r="X116" s="667">
        <f t="shared" si="4"/>
        <v>99.98284080076265</v>
      </c>
      <c r="AC116" s="2"/>
    </row>
    <row r="117" spans="1:24" ht="13.5" hidden="1" thickBot="1">
      <c r="A117" s="756"/>
      <c r="B117" s="803"/>
      <c r="C117" s="38"/>
      <c r="D117" s="24"/>
      <c r="E117" s="24"/>
      <c r="F117" s="24"/>
      <c r="G117" s="24"/>
      <c r="H117" s="52"/>
      <c r="I117" s="335"/>
      <c r="J117" s="336"/>
      <c r="K117" s="24"/>
      <c r="L117" s="24"/>
      <c r="M117" s="180"/>
      <c r="N117" s="24"/>
      <c r="O117" s="24"/>
      <c r="P117" s="24"/>
      <c r="Q117" s="180"/>
      <c r="R117" s="24"/>
      <c r="S117" s="24"/>
      <c r="T117" s="21"/>
      <c r="U117" s="21"/>
      <c r="V117" s="51"/>
      <c r="W117" s="65"/>
      <c r="X117" s="127">
        <f t="shared" si="4"/>
        <v>0</v>
      </c>
    </row>
    <row r="118" spans="1:24" ht="13.5" hidden="1" thickBot="1">
      <c r="A118" s="756"/>
      <c r="B118" s="803"/>
      <c r="C118" s="38"/>
      <c r="D118" s="24"/>
      <c r="E118" s="24"/>
      <c r="F118" s="24"/>
      <c r="G118" s="24"/>
      <c r="H118" s="52"/>
      <c r="I118" s="335"/>
      <c r="J118" s="336"/>
      <c r="K118" s="24"/>
      <c r="L118" s="24"/>
      <c r="M118" s="180"/>
      <c r="N118" s="24"/>
      <c r="O118" s="24"/>
      <c r="P118" s="24"/>
      <c r="Q118" s="180"/>
      <c r="R118" s="24"/>
      <c r="S118" s="24"/>
      <c r="T118" s="24"/>
      <c r="U118" s="24"/>
      <c r="V118" s="39"/>
      <c r="W118" s="101"/>
      <c r="X118" s="119">
        <f t="shared" si="4"/>
        <v>0</v>
      </c>
    </row>
    <row r="119" spans="1:24" ht="13.5" hidden="1" thickBot="1">
      <c r="A119" s="756"/>
      <c r="B119" s="803"/>
      <c r="C119" s="41"/>
      <c r="D119" s="43"/>
      <c r="E119" s="43"/>
      <c r="F119" s="43"/>
      <c r="G119" s="43"/>
      <c r="H119" s="53"/>
      <c r="I119" s="370"/>
      <c r="J119" s="371"/>
      <c r="K119" s="43"/>
      <c r="L119" s="43"/>
      <c r="M119" s="230">
        <v>9771.24</v>
      </c>
      <c r="N119" s="43"/>
      <c r="O119" s="43"/>
      <c r="P119" s="43"/>
      <c r="Q119" s="230"/>
      <c r="R119" s="43"/>
      <c r="S119" s="43"/>
      <c r="T119" s="43"/>
      <c r="U119" s="43"/>
      <c r="V119" s="251"/>
      <c r="W119" s="656"/>
      <c r="X119" s="668">
        <f t="shared" si="4"/>
        <v>0</v>
      </c>
    </row>
    <row r="120" spans="1:24" ht="13.5" hidden="1" thickBot="1">
      <c r="A120" s="757"/>
      <c r="B120" s="804"/>
      <c r="C120" s="102" t="s">
        <v>39</v>
      </c>
      <c r="D120" s="69"/>
      <c r="E120" s="69"/>
      <c r="F120" s="69"/>
      <c r="G120" s="69"/>
      <c r="H120" s="68"/>
      <c r="I120" s="522"/>
      <c r="J120" s="523"/>
      <c r="K120" s="69">
        <v>8848</v>
      </c>
      <c r="L120" s="69">
        <v>10252.99</v>
      </c>
      <c r="M120" s="186"/>
      <c r="N120" s="69"/>
      <c r="O120" s="69"/>
      <c r="P120" s="69"/>
      <c r="Q120" s="186"/>
      <c r="R120" s="69"/>
      <c r="S120" s="69"/>
      <c r="T120" s="69"/>
      <c r="U120" s="69"/>
      <c r="V120" s="185"/>
      <c r="W120" s="305">
        <f aca="true" t="shared" si="6" ref="W120:W131">IF(S120=0,0,V120/S120)</f>
        <v>0</v>
      </c>
      <c r="X120" s="662">
        <f t="shared" si="4"/>
        <v>0</v>
      </c>
    </row>
    <row r="121" spans="1:24" ht="17.25" customHeight="1" thickBot="1">
      <c r="A121" s="351" t="s">
        <v>40</v>
      </c>
      <c r="B121" s="707" t="s">
        <v>2</v>
      </c>
      <c r="C121" s="743"/>
      <c r="D121" s="392"/>
      <c r="E121" s="392"/>
      <c r="F121" s="392"/>
      <c r="G121" s="392"/>
      <c r="H121" s="243"/>
      <c r="I121" s="393"/>
      <c r="J121" s="394"/>
      <c r="K121" s="372">
        <v>5500</v>
      </c>
      <c r="L121" s="372"/>
      <c r="M121" s="372">
        <f>M122</f>
        <v>0</v>
      </c>
      <c r="N121" s="372"/>
      <c r="O121" s="544">
        <v>10000</v>
      </c>
      <c r="P121" s="544">
        <v>2238</v>
      </c>
      <c r="Q121" s="544">
        <v>21924.4</v>
      </c>
      <c r="R121" s="372">
        <v>1080</v>
      </c>
      <c r="S121" s="372"/>
      <c r="T121" s="372">
        <v>84299</v>
      </c>
      <c r="U121" s="70">
        <f>U122</f>
        <v>0</v>
      </c>
      <c r="V121" s="70">
        <f>V122</f>
        <v>147364</v>
      </c>
      <c r="W121" s="71">
        <f>W122</f>
        <v>118797.45</v>
      </c>
      <c r="X121" s="669">
        <f t="shared" si="4"/>
        <v>80.61497380635704</v>
      </c>
    </row>
    <row r="122" spans="1:29" ht="17.25" customHeight="1" thickBot="1">
      <c r="A122" s="332"/>
      <c r="B122" s="334"/>
      <c r="C122" s="102" t="s">
        <v>35</v>
      </c>
      <c r="D122" s="63"/>
      <c r="E122" s="63"/>
      <c r="F122" s="63"/>
      <c r="G122" s="63"/>
      <c r="H122" s="62"/>
      <c r="I122" s="347"/>
      <c r="J122" s="348"/>
      <c r="K122" s="63">
        <v>5500</v>
      </c>
      <c r="L122" s="63"/>
      <c r="M122" s="63"/>
      <c r="N122" s="63"/>
      <c r="O122" s="103"/>
      <c r="P122" s="103"/>
      <c r="Q122" s="103"/>
      <c r="R122" s="63"/>
      <c r="S122" s="63"/>
      <c r="T122" s="63"/>
      <c r="U122" s="63"/>
      <c r="V122" s="39">
        <v>147364</v>
      </c>
      <c r="W122" s="101">
        <v>118797.45</v>
      </c>
      <c r="X122" s="119">
        <f t="shared" si="4"/>
        <v>80.61497380635704</v>
      </c>
      <c r="AC122" s="2"/>
    </row>
    <row r="123" spans="1:24" ht="17.25" customHeight="1" thickBot="1">
      <c r="A123" s="403" t="s">
        <v>6</v>
      </c>
      <c r="B123" s="818" t="s">
        <v>7</v>
      </c>
      <c r="C123" s="818"/>
      <c r="D123" s="209">
        <v>666567</v>
      </c>
      <c r="E123" s="209">
        <v>223164</v>
      </c>
      <c r="F123" s="209">
        <v>527019</v>
      </c>
      <c r="G123" s="209">
        <v>279677</v>
      </c>
      <c r="H123" s="209">
        <v>1160065</v>
      </c>
      <c r="I123" s="404">
        <v>2097438</v>
      </c>
      <c r="J123" s="209">
        <v>344577</v>
      </c>
      <c r="K123" s="60">
        <f>SUM(K124:K138)</f>
        <v>11076</v>
      </c>
      <c r="L123" s="60">
        <f>SUM(L124:L138)</f>
        <v>22611.84</v>
      </c>
      <c r="M123" s="189">
        <f>SUM(M124:M138)</f>
        <v>52135.36</v>
      </c>
      <c r="N123" s="60">
        <v>60359.19</v>
      </c>
      <c r="O123" s="189">
        <v>319793.29</v>
      </c>
      <c r="P123" s="189">
        <v>478985.9</v>
      </c>
      <c r="Q123" s="189">
        <v>204385.99</v>
      </c>
      <c r="R123" s="60">
        <v>195114</v>
      </c>
      <c r="S123" s="60">
        <v>196595</v>
      </c>
      <c r="T123" s="60">
        <v>410130.78</v>
      </c>
      <c r="U123" s="60">
        <f>SUM(U124:U138)</f>
        <v>13777</v>
      </c>
      <c r="V123" s="60">
        <f>SUM(V124:V138)</f>
        <v>27822</v>
      </c>
      <c r="W123" s="189">
        <f>SUM(W124:W138)</f>
        <v>18544.73</v>
      </c>
      <c r="X123" s="622">
        <f t="shared" si="4"/>
        <v>66.65491337790237</v>
      </c>
    </row>
    <row r="124" spans="1:24" ht="12.75" hidden="1">
      <c r="A124" s="755"/>
      <c r="B124" s="809"/>
      <c r="C124" s="38"/>
      <c r="D124" s="52"/>
      <c r="E124" s="52"/>
      <c r="F124" s="52"/>
      <c r="G124" s="52"/>
      <c r="H124" s="52"/>
      <c r="I124" s="335"/>
      <c r="J124" s="336"/>
      <c r="K124" s="24">
        <v>11076</v>
      </c>
      <c r="L124" s="21"/>
      <c r="M124" s="21"/>
      <c r="N124" s="21"/>
      <c r="O124" s="21"/>
      <c r="P124" s="21"/>
      <c r="Q124" s="105"/>
      <c r="R124" s="21"/>
      <c r="S124" s="21"/>
      <c r="T124" s="21"/>
      <c r="U124" s="21"/>
      <c r="V124" s="51"/>
      <c r="W124" s="65">
        <f t="shared" si="6"/>
        <v>0</v>
      </c>
      <c r="X124" s="127">
        <f t="shared" si="4"/>
        <v>0</v>
      </c>
    </row>
    <row r="125" spans="1:24" ht="12.75" hidden="1">
      <c r="A125" s="756"/>
      <c r="B125" s="803"/>
      <c r="C125" s="38"/>
      <c r="D125" s="52"/>
      <c r="E125" s="52"/>
      <c r="F125" s="52"/>
      <c r="G125" s="52"/>
      <c r="H125" s="52"/>
      <c r="I125" s="335"/>
      <c r="J125" s="336"/>
      <c r="K125" s="24"/>
      <c r="L125" s="21"/>
      <c r="M125" s="21"/>
      <c r="N125" s="21"/>
      <c r="O125" s="21"/>
      <c r="P125" s="21"/>
      <c r="Q125" s="105"/>
      <c r="R125" s="21"/>
      <c r="S125" s="21"/>
      <c r="T125" s="21"/>
      <c r="U125" s="21"/>
      <c r="V125" s="51"/>
      <c r="W125" s="65">
        <f t="shared" si="6"/>
        <v>0</v>
      </c>
      <c r="X125" s="127">
        <f t="shared" si="4"/>
        <v>0</v>
      </c>
    </row>
    <row r="126" spans="1:24" ht="12.75" hidden="1">
      <c r="A126" s="756"/>
      <c r="B126" s="803"/>
      <c r="C126" s="38" t="s">
        <v>333</v>
      </c>
      <c r="D126" s="52"/>
      <c r="E126" s="52"/>
      <c r="F126" s="52"/>
      <c r="G126" s="52"/>
      <c r="H126" s="52"/>
      <c r="I126" s="335"/>
      <c r="J126" s="336"/>
      <c r="K126" s="24"/>
      <c r="L126" s="21"/>
      <c r="M126" s="21"/>
      <c r="N126" s="21"/>
      <c r="O126" s="21"/>
      <c r="P126" s="21"/>
      <c r="Q126" s="105"/>
      <c r="R126" s="21"/>
      <c r="S126" s="21"/>
      <c r="T126" s="21"/>
      <c r="U126" s="21"/>
      <c r="V126" s="51"/>
      <c r="W126" s="65">
        <f t="shared" si="6"/>
        <v>0</v>
      </c>
      <c r="X126" s="127">
        <f t="shared" si="4"/>
        <v>0</v>
      </c>
    </row>
    <row r="127" spans="1:24" ht="12.75" hidden="1">
      <c r="A127" s="756"/>
      <c r="B127" s="803"/>
      <c r="C127" s="38" t="s">
        <v>322</v>
      </c>
      <c r="D127" s="52"/>
      <c r="E127" s="52"/>
      <c r="F127" s="52"/>
      <c r="G127" s="52"/>
      <c r="H127" s="52"/>
      <c r="I127" s="335"/>
      <c r="J127" s="336"/>
      <c r="K127" s="24"/>
      <c r="L127" s="21"/>
      <c r="M127" s="21"/>
      <c r="N127" s="21"/>
      <c r="O127" s="21"/>
      <c r="P127" s="21"/>
      <c r="Q127" s="105"/>
      <c r="R127" s="21"/>
      <c r="S127" s="21"/>
      <c r="T127" s="21"/>
      <c r="U127" s="21"/>
      <c r="V127" s="51"/>
      <c r="W127" s="65">
        <f t="shared" si="6"/>
        <v>0</v>
      </c>
      <c r="X127" s="127">
        <f t="shared" si="4"/>
        <v>0</v>
      </c>
    </row>
    <row r="128" spans="1:24" ht="12.75" hidden="1">
      <c r="A128" s="756"/>
      <c r="B128" s="803"/>
      <c r="C128" s="38" t="s">
        <v>307</v>
      </c>
      <c r="D128" s="52"/>
      <c r="E128" s="52"/>
      <c r="F128" s="52"/>
      <c r="G128" s="52"/>
      <c r="H128" s="52"/>
      <c r="I128" s="335"/>
      <c r="J128" s="336"/>
      <c r="K128" s="24"/>
      <c r="L128" s="21"/>
      <c r="M128" s="21"/>
      <c r="N128" s="21"/>
      <c r="O128" s="21"/>
      <c r="P128" s="21"/>
      <c r="Q128" s="105"/>
      <c r="R128" s="21"/>
      <c r="S128" s="21"/>
      <c r="T128" s="21"/>
      <c r="U128" s="21"/>
      <c r="V128" s="51"/>
      <c r="W128" s="65">
        <f t="shared" si="6"/>
        <v>0</v>
      </c>
      <c r="X128" s="127">
        <f t="shared" si="4"/>
        <v>0</v>
      </c>
    </row>
    <row r="129" spans="1:24" ht="12.75" hidden="1">
      <c r="A129" s="756"/>
      <c r="B129" s="803"/>
      <c r="C129" s="38"/>
      <c r="D129" s="52"/>
      <c r="E129" s="52"/>
      <c r="F129" s="52"/>
      <c r="G129" s="52"/>
      <c r="H129" s="52"/>
      <c r="I129" s="335"/>
      <c r="J129" s="336"/>
      <c r="K129" s="24"/>
      <c r="L129" s="21"/>
      <c r="M129" s="21"/>
      <c r="N129" s="21"/>
      <c r="O129" s="21"/>
      <c r="P129" s="21"/>
      <c r="Q129" s="105"/>
      <c r="R129" s="21"/>
      <c r="S129" s="21"/>
      <c r="T129" s="21"/>
      <c r="U129" s="21"/>
      <c r="V129" s="51"/>
      <c r="W129" s="65">
        <f t="shared" si="6"/>
        <v>0</v>
      </c>
      <c r="X129" s="127">
        <f t="shared" si="4"/>
        <v>0</v>
      </c>
    </row>
    <row r="130" spans="1:24" ht="12.75" hidden="1">
      <c r="A130" s="756"/>
      <c r="B130" s="803"/>
      <c r="C130" s="38"/>
      <c r="D130" s="52"/>
      <c r="E130" s="52"/>
      <c r="F130" s="52"/>
      <c r="G130" s="52"/>
      <c r="H130" s="52"/>
      <c r="I130" s="335"/>
      <c r="J130" s="336"/>
      <c r="K130" s="24"/>
      <c r="L130" s="21"/>
      <c r="M130" s="21"/>
      <c r="N130" s="21"/>
      <c r="O130" s="21"/>
      <c r="P130" s="21"/>
      <c r="Q130" s="105"/>
      <c r="R130" s="21"/>
      <c r="S130" s="21"/>
      <c r="T130" s="21"/>
      <c r="U130" s="21"/>
      <c r="V130" s="51"/>
      <c r="W130" s="65">
        <f t="shared" si="6"/>
        <v>0</v>
      </c>
      <c r="X130" s="127">
        <f t="shared" si="4"/>
        <v>0</v>
      </c>
    </row>
    <row r="131" spans="1:24" ht="12.75" hidden="1">
      <c r="A131" s="756"/>
      <c r="B131" s="803"/>
      <c r="C131" s="38"/>
      <c r="D131" s="52"/>
      <c r="E131" s="52"/>
      <c r="F131" s="52"/>
      <c r="G131" s="52"/>
      <c r="H131" s="52"/>
      <c r="I131" s="335"/>
      <c r="J131" s="336"/>
      <c r="K131" s="24"/>
      <c r="L131" s="21">
        <v>22611.84</v>
      </c>
      <c r="M131" s="105"/>
      <c r="N131" s="21"/>
      <c r="O131" s="21"/>
      <c r="P131" s="21"/>
      <c r="Q131" s="105"/>
      <c r="R131" s="21"/>
      <c r="S131" s="21"/>
      <c r="T131" s="21"/>
      <c r="U131" s="21"/>
      <c r="V131" s="51"/>
      <c r="W131" s="65">
        <f t="shared" si="6"/>
        <v>0</v>
      </c>
      <c r="X131" s="127">
        <f t="shared" si="4"/>
        <v>0</v>
      </c>
    </row>
    <row r="132" spans="1:24" ht="12.75">
      <c r="A132" s="756"/>
      <c r="B132" s="803"/>
      <c r="C132" s="38" t="s">
        <v>307</v>
      </c>
      <c r="D132" s="52"/>
      <c r="E132" s="52"/>
      <c r="F132" s="52"/>
      <c r="G132" s="52"/>
      <c r="H132" s="52"/>
      <c r="I132" s="335"/>
      <c r="J132" s="336"/>
      <c r="K132" s="24"/>
      <c r="L132" s="21"/>
      <c r="M132" s="105">
        <v>31200</v>
      </c>
      <c r="N132" s="21"/>
      <c r="O132" s="21"/>
      <c r="P132" s="21"/>
      <c r="Q132" s="105"/>
      <c r="R132" s="21"/>
      <c r="S132" s="21"/>
      <c r="T132" s="21"/>
      <c r="U132" s="21">
        <v>13777</v>
      </c>
      <c r="V132" s="51">
        <v>13777</v>
      </c>
      <c r="W132" s="65">
        <v>13136.73</v>
      </c>
      <c r="X132" s="127">
        <f aca="true" t="shared" si="7" ref="X132:X146">IF(V132=0,0,W132/V132)*100</f>
        <v>95.35261667997386</v>
      </c>
    </row>
    <row r="133" spans="1:24" ht="12.75">
      <c r="A133" s="756"/>
      <c r="B133" s="803"/>
      <c r="C133" s="38" t="s">
        <v>419</v>
      </c>
      <c r="D133" s="52"/>
      <c r="E133" s="52"/>
      <c r="F133" s="52"/>
      <c r="G133" s="52"/>
      <c r="H133" s="52"/>
      <c r="I133" s="335"/>
      <c r="J133" s="336"/>
      <c r="K133" s="24"/>
      <c r="L133" s="21"/>
      <c r="M133" s="105"/>
      <c r="N133" s="21"/>
      <c r="O133" s="21"/>
      <c r="P133" s="21"/>
      <c r="Q133" s="105"/>
      <c r="R133" s="21"/>
      <c r="S133" s="21"/>
      <c r="T133" s="21"/>
      <c r="U133" s="21"/>
      <c r="V133" s="51">
        <v>3000</v>
      </c>
      <c r="W133" s="65">
        <v>2900</v>
      </c>
      <c r="X133" s="127">
        <f t="shared" si="7"/>
        <v>96.66666666666667</v>
      </c>
    </row>
    <row r="134" spans="1:24" ht="12.75">
      <c r="A134" s="756"/>
      <c r="B134" s="803"/>
      <c r="C134" s="38" t="s">
        <v>428</v>
      </c>
      <c r="D134" s="52"/>
      <c r="E134" s="52"/>
      <c r="F134" s="52"/>
      <c r="G134" s="52"/>
      <c r="H134" s="52"/>
      <c r="I134" s="335"/>
      <c r="J134" s="336"/>
      <c r="K134" s="24"/>
      <c r="L134" s="21"/>
      <c r="M134" s="105">
        <v>12085.36</v>
      </c>
      <c r="N134" s="21"/>
      <c r="O134" s="21"/>
      <c r="P134" s="21"/>
      <c r="Q134" s="105"/>
      <c r="R134" s="21"/>
      <c r="S134" s="21"/>
      <c r="T134" s="21"/>
      <c r="U134" s="21"/>
      <c r="V134" s="51">
        <v>2508</v>
      </c>
      <c r="W134" s="65">
        <v>2508</v>
      </c>
      <c r="X134" s="127">
        <f t="shared" si="7"/>
        <v>100</v>
      </c>
    </row>
    <row r="135" spans="1:24" ht="13.5" thickBot="1">
      <c r="A135" s="756"/>
      <c r="B135" s="803"/>
      <c r="C135" s="38" t="s">
        <v>430</v>
      </c>
      <c r="D135" s="59"/>
      <c r="E135" s="59"/>
      <c r="F135" s="59"/>
      <c r="G135" s="59"/>
      <c r="H135" s="59"/>
      <c r="I135" s="337"/>
      <c r="J135" s="338"/>
      <c r="K135" s="27"/>
      <c r="L135" s="21"/>
      <c r="M135" s="105"/>
      <c r="N135" s="21"/>
      <c r="O135" s="21"/>
      <c r="P135" s="21"/>
      <c r="Q135" s="105"/>
      <c r="R135" s="21"/>
      <c r="S135" s="21"/>
      <c r="T135" s="21"/>
      <c r="U135" s="21"/>
      <c r="V135" s="51">
        <v>8537</v>
      </c>
      <c r="W135" s="65"/>
      <c r="X135" s="127">
        <f t="shared" si="7"/>
        <v>0</v>
      </c>
    </row>
    <row r="136" spans="1:24" ht="13.5" hidden="1" thickBot="1">
      <c r="A136" s="756"/>
      <c r="B136" s="803"/>
      <c r="C136" s="38"/>
      <c r="D136" s="59"/>
      <c r="E136" s="59"/>
      <c r="F136" s="59"/>
      <c r="G136" s="59"/>
      <c r="H136" s="59"/>
      <c r="I136" s="337"/>
      <c r="J136" s="338"/>
      <c r="K136" s="27"/>
      <c r="L136" s="24"/>
      <c r="M136" s="180">
        <v>8850</v>
      </c>
      <c r="N136" s="39"/>
      <c r="O136" s="51"/>
      <c r="P136" s="51"/>
      <c r="Q136" s="65"/>
      <c r="R136" s="51"/>
      <c r="S136" s="51"/>
      <c r="T136" s="51"/>
      <c r="U136" s="51"/>
      <c r="V136" s="51"/>
      <c r="W136" s="65"/>
      <c r="X136" s="127">
        <f t="shared" si="7"/>
        <v>0</v>
      </c>
    </row>
    <row r="137" spans="1:24" ht="13.5" hidden="1" thickBot="1">
      <c r="A137" s="756"/>
      <c r="B137" s="803"/>
      <c r="C137" s="42"/>
      <c r="D137" s="59"/>
      <c r="E137" s="59"/>
      <c r="F137" s="59"/>
      <c r="G137" s="59"/>
      <c r="H137" s="59"/>
      <c r="I137" s="337"/>
      <c r="J137" s="338"/>
      <c r="K137" s="27"/>
      <c r="L137" s="63"/>
      <c r="M137" s="103"/>
      <c r="N137" s="63"/>
      <c r="O137" s="63"/>
      <c r="P137" s="63"/>
      <c r="Q137" s="103"/>
      <c r="R137" s="63"/>
      <c r="S137" s="63"/>
      <c r="T137" s="63"/>
      <c r="U137" s="63"/>
      <c r="V137" s="51"/>
      <c r="W137" s="65"/>
      <c r="X137" s="127">
        <f t="shared" si="7"/>
        <v>0</v>
      </c>
    </row>
    <row r="138" spans="1:24" ht="13.5" hidden="1" thickBot="1">
      <c r="A138" s="757"/>
      <c r="B138" s="804"/>
      <c r="C138" s="42"/>
      <c r="D138" s="59"/>
      <c r="E138" s="59"/>
      <c r="F138" s="59"/>
      <c r="G138" s="59"/>
      <c r="H138" s="59"/>
      <c r="I138" s="337"/>
      <c r="J138" s="338"/>
      <c r="K138" s="27"/>
      <c r="L138" s="27"/>
      <c r="M138" s="198"/>
      <c r="N138" s="27"/>
      <c r="O138" s="27"/>
      <c r="P138" s="27"/>
      <c r="Q138" s="198"/>
      <c r="R138" s="27"/>
      <c r="S138" s="27"/>
      <c r="T138" s="27"/>
      <c r="U138" s="27"/>
      <c r="V138" s="39"/>
      <c r="W138" s="101"/>
      <c r="X138" s="119">
        <f t="shared" si="7"/>
        <v>0</v>
      </c>
    </row>
    <row r="139" spans="1:24" ht="15.75" thickBot="1">
      <c r="A139" s="187" t="s">
        <v>15</v>
      </c>
      <c r="B139" s="707" t="s">
        <v>16</v>
      </c>
      <c r="C139" s="743"/>
      <c r="D139" s="6"/>
      <c r="E139" s="6"/>
      <c r="F139" s="6"/>
      <c r="G139" s="6"/>
      <c r="H139" s="6"/>
      <c r="I139" s="253">
        <v>104542</v>
      </c>
      <c r="J139" s="188">
        <v>66000</v>
      </c>
      <c r="K139" s="60">
        <f>K140+K143</f>
        <v>0</v>
      </c>
      <c r="L139" s="94"/>
      <c r="M139" s="94"/>
      <c r="N139" s="94"/>
      <c r="O139" s="94"/>
      <c r="P139" s="94">
        <v>35641.19</v>
      </c>
      <c r="Q139" s="477">
        <v>17</v>
      </c>
      <c r="R139" s="94"/>
      <c r="S139" s="94"/>
      <c r="T139" s="94"/>
      <c r="U139" s="94"/>
      <c r="V139" s="60">
        <f>V140</f>
        <v>16500</v>
      </c>
      <c r="W139" s="189">
        <f>W140</f>
        <v>8612.4</v>
      </c>
      <c r="X139" s="622">
        <f t="shared" si="7"/>
        <v>52.19636363636363</v>
      </c>
    </row>
    <row r="140" spans="1:24" ht="13.5" thickBot="1">
      <c r="A140" s="405"/>
      <c r="B140" s="495"/>
      <c r="C140" s="495" t="s">
        <v>393</v>
      </c>
      <c r="D140" s="406"/>
      <c r="E140" s="406"/>
      <c r="F140" s="406"/>
      <c r="G140" s="406"/>
      <c r="H140" s="406"/>
      <c r="I140" s="406"/>
      <c r="J140" s="406"/>
      <c r="K140" s="406"/>
      <c r="L140" s="496"/>
      <c r="M140" s="495"/>
      <c r="N140" s="497"/>
      <c r="O140" s="497"/>
      <c r="P140" s="497"/>
      <c r="Q140" s="498"/>
      <c r="R140" s="495"/>
      <c r="S140" s="495"/>
      <c r="T140" s="495"/>
      <c r="U140" s="495"/>
      <c r="V140" s="495">
        <v>16500</v>
      </c>
      <c r="W140" s="498">
        <v>8612.4</v>
      </c>
      <c r="X140" s="670">
        <f t="shared" si="7"/>
        <v>52.19636363636363</v>
      </c>
    </row>
    <row r="141" spans="1:24" ht="15.75" hidden="1" thickBot="1">
      <c r="A141" s="403" t="s">
        <v>21</v>
      </c>
      <c r="B141" s="762" t="s">
        <v>51</v>
      </c>
      <c r="C141" s="730"/>
      <c r="D141" s="406"/>
      <c r="E141" s="406"/>
      <c r="F141" s="406"/>
      <c r="G141" s="406"/>
      <c r="H141" s="406"/>
      <c r="I141" s="406"/>
      <c r="J141" s="406"/>
      <c r="K141" s="406"/>
      <c r="L141" s="467"/>
      <c r="M141" s="117"/>
      <c r="N141" s="406"/>
      <c r="O141" s="406"/>
      <c r="P141" s="495"/>
      <c r="Q141" s="498">
        <v>1550</v>
      </c>
      <c r="R141" s="497"/>
      <c r="S141" s="495"/>
      <c r="T141" s="497"/>
      <c r="U141" s="497"/>
      <c r="V141" s="450">
        <f>V142</f>
        <v>0</v>
      </c>
      <c r="W141" s="638">
        <f>IF(S141=0,0,V141/S141)</f>
        <v>0</v>
      </c>
      <c r="X141" s="670">
        <f t="shared" si="7"/>
        <v>0</v>
      </c>
    </row>
    <row r="142" spans="1:24" ht="13.5" hidden="1" thickBot="1">
      <c r="A142" s="405"/>
      <c r="B142" s="406"/>
      <c r="C142" s="116" t="s">
        <v>343</v>
      </c>
      <c r="D142" s="406"/>
      <c r="E142" s="406"/>
      <c r="F142" s="406"/>
      <c r="G142" s="406"/>
      <c r="H142" s="406"/>
      <c r="I142" s="406"/>
      <c r="J142" s="406"/>
      <c r="K142" s="406"/>
      <c r="L142" s="467"/>
      <c r="M142" s="117"/>
      <c r="N142" s="406"/>
      <c r="O142" s="406"/>
      <c r="P142" s="406"/>
      <c r="Q142" s="571"/>
      <c r="R142" s="116"/>
      <c r="S142" s="116"/>
      <c r="T142" s="116"/>
      <c r="U142" s="116"/>
      <c r="V142" s="116"/>
      <c r="W142" s="462">
        <f>IF(S142=0,0,V142/S142)</f>
        <v>0</v>
      </c>
      <c r="X142" s="671">
        <f t="shared" si="7"/>
        <v>0</v>
      </c>
    </row>
    <row r="143" spans="1:24" ht="13.5" hidden="1" thickBot="1">
      <c r="A143" s="332"/>
      <c r="B143" s="334"/>
      <c r="C143" s="128"/>
      <c r="D143" s="62"/>
      <c r="E143" s="62"/>
      <c r="F143" s="62"/>
      <c r="G143" s="62"/>
      <c r="H143" s="62"/>
      <c r="I143" s="62"/>
      <c r="J143" s="62"/>
      <c r="K143" s="63"/>
      <c r="L143" s="63"/>
      <c r="M143" s="63"/>
      <c r="N143" s="63"/>
      <c r="O143" s="63"/>
      <c r="P143" s="63"/>
      <c r="Q143" s="305"/>
      <c r="R143" s="217"/>
      <c r="S143" s="217"/>
      <c r="T143" s="217"/>
      <c r="U143" s="217"/>
      <c r="V143" s="217"/>
      <c r="W143" s="459">
        <f>IF(S143=0,0,V143/S143)</f>
        <v>0</v>
      </c>
      <c r="X143" s="623">
        <f t="shared" si="7"/>
        <v>0</v>
      </c>
    </row>
    <row r="144" spans="1:24" ht="13.5" hidden="1" thickBot="1">
      <c r="A144" s="407" t="s">
        <v>41</v>
      </c>
      <c r="B144" s="820" t="s">
        <v>23</v>
      </c>
      <c r="C144" s="821"/>
      <c r="D144" s="408"/>
      <c r="E144" s="408"/>
      <c r="F144" s="408"/>
      <c r="G144" s="408"/>
      <c r="H144" s="408"/>
      <c r="I144" s="113">
        <f>I145</f>
        <v>0</v>
      </c>
      <c r="J144" s="113">
        <f>J145</f>
        <v>0</v>
      </c>
      <c r="K144" s="113">
        <f>K145</f>
        <v>0</v>
      </c>
      <c r="L144" s="113">
        <f>L145</f>
        <v>82887.77</v>
      </c>
      <c r="M144" s="487">
        <v>7399.64</v>
      </c>
      <c r="N144" s="448">
        <v>0</v>
      </c>
      <c r="O144" s="448">
        <f>O145</f>
        <v>0</v>
      </c>
      <c r="P144" s="448"/>
      <c r="Q144" s="298"/>
      <c r="R144" s="448"/>
      <c r="S144" s="448"/>
      <c r="T144" s="448"/>
      <c r="U144" s="448"/>
      <c r="V144" s="448">
        <f>V145</f>
        <v>0</v>
      </c>
      <c r="W144" s="298">
        <f>IF(S144=0,0,V144/S144)</f>
        <v>0</v>
      </c>
      <c r="X144" s="618">
        <f t="shared" si="7"/>
        <v>0</v>
      </c>
    </row>
    <row r="145" spans="1:24" ht="13.5" hidden="1" thickBot="1">
      <c r="A145" s="332"/>
      <c r="B145" s="334"/>
      <c r="C145" s="406" t="s">
        <v>185</v>
      </c>
      <c r="D145" s="406"/>
      <c r="E145" s="406"/>
      <c r="F145" s="406"/>
      <c r="G145" s="406"/>
      <c r="H145" s="406"/>
      <c r="I145" s="62"/>
      <c r="J145" s="62"/>
      <c r="K145" s="63"/>
      <c r="L145" s="63">
        <v>82887.77</v>
      </c>
      <c r="M145" s="103">
        <v>7399.64</v>
      </c>
      <c r="N145" s="63"/>
      <c r="O145" s="63"/>
      <c r="P145" s="63"/>
      <c r="Q145" s="103"/>
      <c r="R145" s="63"/>
      <c r="S145" s="63"/>
      <c r="T145" s="63"/>
      <c r="U145" s="63"/>
      <c r="V145" s="217"/>
      <c r="W145" s="459">
        <f>IF(S145=0,0,V145/S145)</f>
        <v>0</v>
      </c>
      <c r="X145" s="623">
        <f t="shared" si="7"/>
        <v>0</v>
      </c>
    </row>
    <row r="146" spans="1:24" ht="17.25" thickBot="1" thickTop="1">
      <c r="A146" s="816" t="s">
        <v>42</v>
      </c>
      <c r="B146" s="817"/>
      <c r="C146" s="817"/>
      <c r="D146" s="90">
        <v>2988050</v>
      </c>
      <c r="E146" s="90">
        <v>1793069</v>
      </c>
      <c r="F146" s="90">
        <v>2942409</v>
      </c>
      <c r="G146" s="90">
        <v>4880528</v>
      </c>
      <c r="H146" s="90">
        <f aca="true" t="shared" si="8" ref="H146:O146">H123+H107+H115+H103+H72+H68+H60+H58+H51+H30+H12+H9+H4+H121+H139+H144</f>
        <v>5977301</v>
      </c>
      <c r="I146" s="90">
        <f t="shared" si="8"/>
        <v>5818483</v>
      </c>
      <c r="J146" s="90">
        <f t="shared" si="8"/>
        <v>4719096</v>
      </c>
      <c r="K146" s="90">
        <f t="shared" si="8"/>
        <v>3939694</v>
      </c>
      <c r="L146" s="90">
        <f t="shared" si="8"/>
        <v>1800938.79</v>
      </c>
      <c r="M146" s="329">
        <f t="shared" si="8"/>
        <v>2904600.1800000006</v>
      </c>
      <c r="N146" s="90">
        <f t="shared" si="8"/>
        <v>1348818.6500000001</v>
      </c>
      <c r="O146" s="329">
        <f t="shared" si="8"/>
        <v>1900647.68</v>
      </c>
      <c r="P146" s="90">
        <f>P123+P107+P115+P103+P72+P68+P60+P58+P51+P30+P12+P9+P4+P121+P139+P144+P101</f>
        <v>2329182.13</v>
      </c>
      <c r="Q146" s="329">
        <f>Q123+Q107+Q115+Q103+Q72+Q68+Q60+Q58+Q51+Q30+Q12+Q9+Q4+Q121+Q139+Q144+Q101+Q141</f>
        <v>2649518.4899999998</v>
      </c>
      <c r="R146" s="90">
        <f>R123+R107+R115+R103+R72+R68+R60+R58+R51+R30+R12+R9+R4+R121+R139+R144+R101+R141</f>
        <v>9465463</v>
      </c>
      <c r="S146" s="90">
        <v>6260788.56</v>
      </c>
      <c r="T146" s="90">
        <v>3770750.1299999994</v>
      </c>
      <c r="U146" s="90">
        <f>U123+U107+U115+U103+U72+U68+U60+U58+U51+U30+U12+U9+U4+U121+U139+U144+U101+U141</f>
        <v>3000046</v>
      </c>
      <c r="V146" s="90">
        <f>V123+V107+V115+V103+V72+V68+V60+V58+V51+V30+V12+V9+V4+V121+V139+V144+V101+V141</f>
        <v>4267887</v>
      </c>
      <c r="W146" s="329">
        <f>W123+W107+W115+W103+W72+W68+W60+W58+W51+W30+W12+W9+W4+W121+W139+W144+W101+W141</f>
        <v>3231552.74</v>
      </c>
      <c r="X146" s="644">
        <f t="shared" si="7"/>
        <v>75.71786085245463</v>
      </c>
    </row>
    <row r="147" ht="13.5" thickTop="1"/>
    <row r="149" ht="12.75">
      <c r="W149" s="410"/>
    </row>
  </sheetData>
  <sheetProtection/>
  <mergeCells count="63">
    <mergeCell ref="A61:A67"/>
    <mergeCell ref="G2:G3"/>
    <mergeCell ref="B5:B8"/>
    <mergeCell ref="B10:B11"/>
    <mergeCell ref="B9:C9"/>
    <mergeCell ref="B60:C60"/>
    <mergeCell ref="A5:A8"/>
    <mergeCell ref="A37:A49"/>
    <mergeCell ref="A13:A29"/>
    <mergeCell ref="B13:B29"/>
    <mergeCell ref="B61:B67"/>
    <mergeCell ref="B68:C68"/>
    <mergeCell ref="B51:C51"/>
    <mergeCell ref="B58:C58"/>
    <mergeCell ref="T2:T3"/>
    <mergeCell ref="S2:S3"/>
    <mergeCell ref="L2:L3"/>
    <mergeCell ref="B37:B49"/>
    <mergeCell ref="K2:K3"/>
    <mergeCell ref="M2:M3"/>
    <mergeCell ref="A1:J1"/>
    <mergeCell ref="I2:I3"/>
    <mergeCell ref="J2:J3"/>
    <mergeCell ref="H2:H3"/>
    <mergeCell ref="F2:F3"/>
    <mergeCell ref="A2:A3"/>
    <mergeCell ref="B2:B3"/>
    <mergeCell ref="A146:C146"/>
    <mergeCell ref="B121:C121"/>
    <mergeCell ref="B123:C123"/>
    <mergeCell ref="A124:A138"/>
    <mergeCell ref="B124:B138"/>
    <mergeCell ref="B101:C101"/>
    <mergeCell ref="B115:C115"/>
    <mergeCell ref="B139:C139"/>
    <mergeCell ref="B144:C144"/>
    <mergeCell ref="B103:C103"/>
    <mergeCell ref="B69:B71"/>
    <mergeCell ref="B12:C12"/>
    <mergeCell ref="X2:X3"/>
    <mergeCell ref="Q2:Q3"/>
    <mergeCell ref="V2:V3"/>
    <mergeCell ref="P2:P3"/>
    <mergeCell ref="R2:R3"/>
    <mergeCell ref="O2:O3"/>
    <mergeCell ref="W2:W3"/>
    <mergeCell ref="U2:U3"/>
    <mergeCell ref="N2:N3"/>
    <mergeCell ref="B4:C4"/>
    <mergeCell ref="D2:D3"/>
    <mergeCell ref="E2:E3"/>
    <mergeCell ref="B30:C30"/>
    <mergeCell ref="C2:C3"/>
    <mergeCell ref="B141:C141"/>
    <mergeCell ref="A69:A71"/>
    <mergeCell ref="A116:A120"/>
    <mergeCell ref="B116:B120"/>
    <mergeCell ref="A108:A114"/>
    <mergeCell ref="B108:B114"/>
    <mergeCell ref="B72:C72"/>
    <mergeCell ref="B107:C107"/>
    <mergeCell ref="A73:A100"/>
    <mergeCell ref="B73:B100"/>
  </mergeCells>
  <printOptions/>
  <pageMargins left="0" right="0" top="0.1968503937007874" bottom="0.984251968503937" header="0.5118110236220472" footer="0.5118110236220472"/>
  <pageSetup orientation="portrait" paperSize="9" scale="88" r:id="rId1"/>
  <ignoredErrors>
    <ignoredError sqref="V6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AD34"/>
  <sheetViews>
    <sheetView zoomScalePageLayoutView="0" workbookViewId="0" topLeftCell="A1">
      <selection activeCell="W25" sqref="W25"/>
    </sheetView>
  </sheetViews>
  <sheetFormatPr defaultColWidth="9.140625" defaultRowHeight="12.75"/>
  <cols>
    <col min="2" max="2" width="7.8515625" style="0" customWidth="1"/>
    <col min="3" max="3" width="39.28125" style="0" customWidth="1"/>
    <col min="4" max="10" width="11.7109375" style="0" hidden="1" customWidth="1"/>
    <col min="11" max="11" width="10.57421875" style="0" hidden="1" customWidth="1"/>
    <col min="12" max="12" width="13.7109375" style="0" hidden="1" customWidth="1"/>
    <col min="13" max="19" width="13.57421875" style="0" hidden="1" customWidth="1"/>
    <col min="20" max="20" width="13.421875" style="0" customWidth="1"/>
    <col min="21" max="21" width="12.7109375" style="0" customWidth="1"/>
    <col min="22" max="22" width="12.00390625" style="0" customWidth="1"/>
    <col min="23" max="23" width="12.57421875" style="0" customWidth="1"/>
    <col min="24" max="24" width="8.7109375" style="0" customWidth="1"/>
    <col min="27" max="27" width="10.140625" style="0" bestFit="1" customWidth="1"/>
  </cols>
  <sheetData>
    <row r="1" ht="15">
      <c r="A1" s="579" t="s">
        <v>387</v>
      </c>
    </row>
    <row r="2" spans="1:10" ht="15.75" thickBot="1">
      <c r="A2" s="579" t="s">
        <v>388</v>
      </c>
      <c r="B2" s="578"/>
      <c r="C2" s="578"/>
      <c r="D2" s="578"/>
      <c r="E2" s="578"/>
      <c r="F2" s="578"/>
      <c r="G2" s="578"/>
      <c r="H2" s="578"/>
      <c r="I2" s="578"/>
      <c r="J2" s="578"/>
    </row>
    <row r="3" spans="1:24" ht="14.25" customHeight="1" thickTop="1">
      <c r="A3" s="723" t="s">
        <v>77</v>
      </c>
      <c r="B3" s="739" t="s">
        <v>78</v>
      </c>
      <c r="C3" s="712" t="s">
        <v>79</v>
      </c>
      <c r="D3" s="712" t="s">
        <v>169</v>
      </c>
      <c r="E3" s="712" t="s">
        <v>170</v>
      </c>
      <c r="F3" s="712" t="s">
        <v>171</v>
      </c>
      <c r="G3" s="712" t="s">
        <v>172</v>
      </c>
      <c r="H3" s="712" t="s">
        <v>173</v>
      </c>
      <c r="I3" s="712" t="s">
        <v>85</v>
      </c>
      <c r="J3" s="712" t="s">
        <v>86</v>
      </c>
      <c r="K3" s="712" t="s">
        <v>87</v>
      </c>
      <c r="L3" s="712" t="s">
        <v>88</v>
      </c>
      <c r="M3" s="712" t="s">
        <v>303</v>
      </c>
      <c r="N3" s="712" t="s">
        <v>316</v>
      </c>
      <c r="O3" s="712" t="s">
        <v>332</v>
      </c>
      <c r="P3" s="712" t="s">
        <v>337</v>
      </c>
      <c r="Q3" s="712" t="s">
        <v>347</v>
      </c>
      <c r="R3" s="712" t="s">
        <v>353</v>
      </c>
      <c r="S3" s="712" t="s">
        <v>354</v>
      </c>
      <c r="T3" s="712" t="s">
        <v>426</v>
      </c>
      <c r="U3" s="712" t="s">
        <v>447</v>
      </c>
      <c r="V3" s="725" t="s">
        <v>444</v>
      </c>
      <c r="W3" s="725" t="s">
        <v>445</v>
      </c>
      <c r="X3" s="727" t="s">
        <v>446</v>
      </c>
    </row>
    <row r="4" spans="1:24" ht="27.75" customHeight="1" thickBot="1">
      <c r="A4" s="724"/>
      <c r="B4" s="740"/>
      <c r="C4" s="713"/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  <c r="O4" s="713"/>
      <c r="P4" s="713"/>
      <c r="Q4" s="713"/>
      <c r="R4" s="713"/>
      <c r="S4" s="713"/>
      <c r="T4" s="713"/>
      <c r="U4" s="713"/>
      <c r="V4" s="726"/>
      <c r="W4" s="726"/>
      <c r="X4" s="728"/>
    </row>
    <row r="5" spans="1:24" ht="14.25" thickBot="1" thickTop="1">
      <c r="A5" s="34">
        <v>519</v>
      </c>
      <c r="B5" s="832" t="s">
        <v>52</v>
      </c>
      <c r="C5" s="833"/>
      <c r="D5" s="16">
        <f aca="true" t="shared" si="0" ref="D5:M5">SUM(D6:D11)</f>
        <v>0</v>
      </c>
      <c r="E5" s="16">
        <f t="shared" si="0"/>
        <v>0</v>
      </c>
      <c r="F5" s="16">
        <f t="shared" si="0"/>
        <v>806731</v>
      </c>
      <c r="G5" s="16">
        <f t="shared" si="0"/>
        <v>1932030</v>
      </c>
      <c r="H5" s="16">
        <f t="shared" si="0"/>
        <v>1218758</v>
      </c>
      <c r="I5" s="16">
        <f t="shared" si="0"/>
        <v>1712805</v>
      </c>
      <c r="J5" s="16">
        <f t="shared" si="0"/>
        <v>796126</v>
      </c>
      <c r="K5" s="16">
        <f t="shared" si="0"/>
        <v>889265</v>
      </c>
      <c r="L5" s="132">
        <f t="shared" si="0"/>
        <v>1041848.1</v>
      </c>
      <c r="M5" s="132">
        <f t="shared" si="0"/>
        <v>1842801.75</v>
      </c>
      <c r="N5" s="16">
        <f aca="true" t="shared" si="1" ref="N5:V5">SUM(N6:N11)</f>
        <v>1578149.94</v>
      </c>
      <c r="O5" s="132">
        <f t="shared" si="1"/>
        <v>597135.82</v>
      </c>
      <c r="P5" s="16">
        <f t="shared" si="1"/>
        <v>61339.119999999995</v>
      </c>
      <c r="Q5" s="132">
        <f t="shared" si="1"/>
        <v>493589.98</v>
      </c>
      <c r="R5" s="16">
        <f t="shared" si="1"/>
        <v>6345941</v>
      </c>
      <c r="S5" s="16">
        <v>5473933.26</v>
      </c>
      <c r="T5" s="132">
        <v>3663651.06</v>
      </c>
      <c r="U5" s="16">
        <f t="shared" si="1"/>
        <v>1561585</v>
      </c>
      <c r="V5" s="16">
        <f t="shared" si="1"/>
        <v>592884</v>
      </c>
      <c r="W5" s="132">
        <f>SUM(W6:W11)</f>
        <v>406724.39</v>
      </c>
      <c r="X5" s="617">
        <f aca="true" t="shared" si="2" ref="X5:X23">IF(V5=0,0,W5/V5)*100</f>
        <v>68.60100626766787</v>
      </c>
    </row>
    <row r="6" spans="1:24" ht="12.75">
      <c r="A6" s="701"/>
      <c r="B6" s="133"/>
      <c r="C6" s="36" t="s">
        <v>222</v>
      </c>
      <c r="D6" s="36"/>
      <c r="E6" s="36"/>
      <c r="F6" s="36"/>
      <c r="G6" s="36">
        <v>186636</v>
      </c>
      <c r="H6" s="36">
        <v>1102901</v>
      </c>
      <c r="I6" s="36">
        <v>1052724</v>
      </c>
      <c r="J6" s="37">
        <v>232649</v>
      </c>
      <c r="K6" s="37">
        <v>638944</v>
      </c>
      <c r="L6" s="134">
        <v>96973.2</v>
      </c>
      <c r="M6" s="134">
        <v>633655.25</v>
      </c>
      <c r="N6" s="37">
        <v>1495900</v>
      </c>
      <c r="O6" s="134">
        <v>363308.49</v>
      </c>
      <c r="P6" s="134">
        <v>47962.56</v>
      </c>
      <c r="Q6" s="134">
        <v>347415</v>
      </c>
      <c r="R6" s="37">
        <v>3158344</v>
      </c>
      <c r="S6" s="37"/>
      <c r="T6" s="134">
        <v>74.89</v>
      </c>
      <c r="U6" s="37">
        <v>1128701</v>
      </c>
      <c r="V6" s="37">
        <v>0</v>
      </c>
      <c r="W6" s="134"/>
      <c r="X6" s="657">
        <f t="shared" si="2"/>
        <v>0</v>
      </c>
    </row>
    <row r="7" spans="1:24" ht="12.75">
      <c r="A7" s="702"/>
      <c r="B7" s="573"/>
      <c r="C7" s="38" t="s">
        <v>395</v>
      </c>
      <c r="D7" s="38"/>
      <c r="E7" s="38"/>
      <c r="F7" s="38"/>
      <c r="G7" s="38"/>
      <c r="H7" s="38"/>
      <c r="I7" s="38"/>
      <c r="J7" s="39"/>
      <c r="K7" s="39"/>
      <c r="L7" s="101"/>
      <c r="M7" s="101"/>
      <c r="N7" s="39"/>
      <c r="O7" s="101"/>
      <c r="P7" s="101"/>
      <c r="Q7" s="101"/>
      <c r="R7" s="39"/>
      <c r="S7" s="39"/>
      <c r="T7" s="101"/>
      <c r="U7" s="39"/>
      <c r="V7" s="39">
        <v>160000</v>
      </c>
      <c r="W7" s="101"/>
      <c r="X7" s="119">
        <f t="shared" si="2"/>
        <v>0</v>
      </c>
    </row>
    <row r="8" spans="1:24" ht="12.75">
      <c r="A8" s="702"/>
      <c r="B8" s="573"/>
      <c r="C8" s="38" t="s">
        <v>349</v>
      </c>
      <c r="D8" s="38"/>
      <c r="E8" s="38"/>
      <c r="F8" s="38"/>
      <c r="G8" s="38"/>
      <c r="H8" s="38"/>
      <c r="I8" s="38"/>
      <c r="J8" s="39"/>
      <c r="K8" s="39"/>
      <c r="L8" s="101"/>
      <c r="M8" s="101"/>
      <c r="N8" s="39"/>
      <c r="O8" s="101"/>
      <c r="P8" s="101"/>
      <c r="Q8" s="101"/>
      <c r="R8" s="39"/>
      <c r="S8" s="39"/>
      <c r="T8" s="101"/>
      <c r="U8" s="39"/>
      <c r="V8" s="39">
        <v>0</v>
      </c>
      <c r="W8" s="101"/>
      <c r="X8" s="119">
        <f t="shared" si="2"/>
        <v>0</v>
      </c>
    </row>
    <row r="9" spans="1:24" ht="12.75">
      <c r="A9" s="702"/>
      <c r="B9" s="573"/>
      <c r="C9" s="38" t="s">
        <v>348</v>
      </c>
      <c r="D9" s="38"/>
      <c r="E9" s="38"/>
      <c r="F9" s="38"/>
      <c r="G9" s="38"/>
      <c r="H9" s="38"/>
      <c r="I9" s="38"/>
      <c r="J9" s="39"/>
      <c r="K9" s="39"/>
      <c r="L9" s="101"/>
      <c r="M9" s="101"/>
      <c r="N9" s="39"/>
      <c r="O9" s="101"/>
      <c r="P9" s="101"/>
      <c r="Q9" s="101"/>
      <c r="R9" s="39"/>
      <c r="S9" s="39"/>
      <c r="T9" s="101"/>
      <c r="U9" s="39"/>
      <c r="V9" s="39">
        <v>0</v>
      </c>
      <c r="W9" s="101"/>
      <c r="X9" s="119">
        <f t="shared" si="2"/>
        <v>0</v>
      </c>
    </row>
    <row r="10" spans="1:24" ht="12.75">
      <c r="A10" s="702"/>
      <c r="B10" s="573"/>
      <c r="C10" s="38" t="s">
        <v>415</v>
      </c>
      <c r="D10" s="38"/>
      <c r="E10" s="38"/>
      <c r="F10" s="38"/>
      <c r="G10" s="38"/>
      <c r="H10" s="38"/>
      <c r="I10" s="38"/>
      <c r="J10" s="39"/>
      <c r="K10" s="39"/>
      <c r="L10" s="101"/>
      <c r="M10" s="101"/>
      <c r="N10" s="39"/>
      <c r="O10" s="101"/>
      <c r="P10" s="101"/>
      <c r="Q10" s="101"/>
      <c r="R10" s="39"/>
      <c r="S10" s="39"/>
      <c r="T10" s="101">
        <v>3663576.17</v>
      </c>
      <c r="U10" s="39"/>
      <c r="V10" s="39">
        <v>0</v>
      </c>
      <c r="W10" s="101"/>
      <c r="X10" s="119">
        <f t="shared" si="2"/>
        <v>0</v>
      </c>
    </row>
    <row r="11" spans="1:24" ht="13.5" thickBot="1">
      <c r="A11" s="703"/>
      <c r="B11" s="135"/>
      <c r="C11" s="564" t="s">
        <v>380</v>
      </c>
      <c r="D11" s="41"/>
      <c r="E11" s="41"/>
      <c r="F11" s="41">
        <v>806731</v>
      </c>
      <c r="G11" s="41">
        <v>1745394</v>
      </c>
      <c r="H11" s="41">
        <v>115857</v>
      </c>
      <c r="I11" s="41">
        <v>660081</v>
      </c>
      <c r="J11" s="54">
        <v>563477</v>
      </c>
      <c r="K11" s="136">
        <v>250321</v>
      </c>
      <c r="L11" s="137">
        <v>944874.9</v>
      </c>
      <c r="M11" s="137">
        <v>1209146.5</v>
      </c>
      <c r="N11" s="136">
        <v>82249.94</v>
      </c>
      <c r="O11" s="137">
        <v>233827.33</v>
      </c>
      <c r="P11" s="137">
        <v>13376.56</v>
      </c>
      <c r="Q11" s="137">
        <v>146174.98</v>
      </c>
      <c r="R11" s="136">
        <v>3187597</v>
      </c>
      <c r="S11" s="136"/>
      <c r="T11" s="137"/>
      <c r="U11" s="136">
        <v>432884</v>
      </c>
      <c r="V11" s="54">
        <v>432884</v>
      </c>
      <c r="W11" s="277">
        <v>406724.39</v>
      </c>
      <c r="X11" s="672">
        <f t="shared" si="2"/>
        <v>93.95690069395035</v>
      </c>
    </row>
    <row r="12" spans="1:24" ht="13.5" thickBot="1">
      <c r="A12" s="17">
        <v>450</v>
      </c>
      <c r="B12" s="831" t="s">
        <v>135</v>
      </c>
      <c r="C12" s="766"/>
      <c r="D12" s="58">
        <f>SUM(D13:D22)</f>
        <v>499436</v>
      </c>
      <c r="E12" s="58">
        <v>313085</v>
      </c>
      <c r="F12" s="58">
        <v>834018</v>
      </c>
      <c r="G12" s="58">
        <f aca="true" t="shared" si="3" ref="G12:M12">SUM(G13:G22)</f>
        <v>822908</v>
      </c>
      <c r="H12" s="58">
        <f t="shared" si="3"/>
        <v>3260676</v>
      </c>
      <c r="I12" s="58">
        <f t="shared" si="3"/>
        <v>553863</v>
      </c>
      <c r="J12" s="58">
        <f t="shared" si="3"/>
        <v>509280</v>
      </c>
      <c r="K12" s="58">
        <f t="shared" si="3"/>
        <v>620269</v>
      </c>
      <c r="L12" s="138">
        <f t="shared" si="3"/>
        <v>259121.03000000003</v>
      </c>
      <c r="M12" s="138">
        <f t="shared" si="3"/>
        <v>923759.61</v>
      </c>
      <c r="N12" s="58">
        <f aca="true" t="shared" si="4" ref="N12:V12">SUM(N13:N22)</f>
        <v>913983.99</v>
      </c>
      <c r="O12" s="138">
        <f t="shared" si="4"/>
        <v>670041.3</v>
      </c>
      <c r="P12" s="58">
        <f t="shared" si="4"/>
        <v>1328239.53</v>
      </c>
      <c r="Q12" s="138">
        <f t="shared" si="4"/>
        <v>1106855.59</v>
      </c>
      <c r="R12" s="58">
        <f t="shared" si="4"/>
        <v>1237073</v>
      </c>
      <c r="S12" s="58">
        <v>2002013.71</v>
      </c>
      <c r="T12" s="138">
        <v>3964102.07</v>
      </c>
      <c r="U12" s="58">
        <f t="shared" si="4"/>
        <v>1663513</v>
      </c>
      <c r="V12" s="58">
        <f t="shared" si="4"/>
        <v>3885134</v>
      </c>
      <c r="W12" s="138">
        <f>SUM(W13:W22)</f>
        <v>2955825.56</v>
      </c>
      <c r="X12" s="125">
        <f t="shared" si="2"/>
        <v>76.08040186001307</v>
      </c>
    </row>
    <row r="13" spans="1:24" ht="12.75">
      <c r="A13" s="701"/>
      <c r="B13" s="133"/>
      <c r="C13" s="139" t="s">
        <v>54</v>
      </c>
      <c r="D13" s="139">
        <v>190367</v>
      </c>
      <c r="E13" s="139"/>
      <c r="F13" s="139"/>
      <c r="G13" s="37">
        <f>265551+398</f>
        <v>265949</v>
      </c>
      <c r="H13" s="139">
        <v>1534133</v>
      </c>
      <c r="I13" s="139">
        <v>43800</v>
      </c>
      <c r="J13" s="140"/>
      <c r="K13" s="141">
        <v>9775</v>
      </c>
      <c r="L13" s="142">
        <v>16185.64</v>
      </c>
      <c r="M13" s="142"/>
      <c r="N13" s="141">
        <v>191699.89</v>
      </c>
      <c r="O13" s="142"/>
      <c r="P13" s="142">
        <v>0</v>
      </c>
      <c r="Q13" s="142"/>
      <c r="R13" s="141"/>
      <c r="S13" s="141"/>
      <c r="T13" s="142">
        <v>187220.19</v>
      </c>
      <c r="U13" s="141"/>
      <c r="V13" s="37">
        <v>0</v>
      </c>
      <c r="W13" s="134"/>
      <c r="X13" s="657">
        <f t="shared" si="2"/>
        <v>0</v>
      </c>
    </row>
    <row r="14" spans="1:24" ht="12.75">
      <c r="A14" s="702"/>
      <c r="B14" s="143"/>
      <c r="C14" s="144" t="s">
        <v>374</v>
      </c>
      <c r="D14" s="144"/>
      <c r="E14" s="144"/>
      <c r="F14" s="144"/>
      <c r="G14" s="51"/>
      <c r="H14" s="144"/>
      <c r="I14" s="144"/>
      <c r="J14" s="145"/>
      <c r="K14" s="146"/>
      <c r="L14" s="147"/>
      <c r="M14" s="147"/>
      <c r="N14" s="146"/>
      <c r="O14" s="147"/>
      <c r="P14" s="147"/>
      <c r="Q14" s="147"/>
      <c r="R14" s="146"/>
      <c r="S14" s="146"/>
      <c r="T14" s="147">
        <v>900947.68</v>
      </c>
      <c r="U14" s="146"/>
      <c r="V14" s="51">
        <v>1205923</v>
      </c>
      <c r="W14" s="65">
        <f>634247.53+12518.83+81176.71</f>
        <v>727943.07</v>
      </c>
      <c r="X14" s="127">
        <f t="shared" si="2"/>
        <v>60.36397597524883</v>
      </c>
    </row>
    <row r="15" spans="1:27" ht="12.75">
      <c r="A15" s="702"/>
      <c r="B15" s="143"/>
      <c r="C15" s="144" t="s">
        <v>375</v>
      </c>
      <c r="D15" s="144"/>
      <c r="E15" s="144"/>
      <c r="F15" s="144"/>
      <c r="G15" s="51"/>
      <c r="H15" s="144"/>
      <c r="I15" s="144"/>
      <c r="J15" s="145"/>
      <c r="K15" s="146"/>
      <c r="L15" s="147"/>
      <c r="M15" s="147"/>
      <c r="N15" s="146"/>
      <c r="O15" s="147"/>
      <c r="P15" s="147"/>
      <c r="Q15" s="147"/>
      <c r="R15" s="146"/>
      <c r="S15" s="146"/>
      <c r="T15" s="147">
        <v>2018383.84</v>
      </c>
      <c r="U15" s="146">
        <v>548863</v>
      </c>
      <c r="V15" s="51">
        <v>548863</v>
      </c>
      <c r="W15" s="65">
        <v>589242.13</v>
      </c>
      <c r="X15" s="127">
        <f t="shared" si="2"/>
        <v>107.3568686539264</v>
      </c>
      <c r="AA15" s="410"/>
    </row>
    <row r="16" spans="1:24" ht="12.75">
      <c r="A16" s="702"/>
      <c r="B16" s="143"/>
      <c r="C16" s="144" t="s">
        <v>55</v>
      </c>
      <c r="D16" s="144"/>
      <c r="E16" s="144"/>
      <c r="F16" s="144"/>
      <c r="G16" s="51"/>
      <c r="H16" s="144">
        <v>921499</v>
      </c>
      <c r="I16" s="144">
        <v>220604</v>
      </c>
      <c r="J16" s="145">
        <v>192501</v>
      </c>
      <c r="K16" s="146">
        <v>494</v>
      </c>
      <c r="L16" s="147">
        <v>208144.39</v>
      </c>
      <c r="M16" s="147">
        <v>907789.61</v>
      </c>
      <c r="N16" s="146">
        <v>686557.48</v>
      </c>
      <c r="O16" s="147">
        <v>142213.04</v>
      </c>
      <c r="P16" s="147">
        <v>663985.27</v>
      </c>
      <c r="Q16" s="147">
        <v>756524.1</v>
      </c>
      <c r="R16" s="146">
        <v>1033501</v>
      </c>
      <c r="S16" s="146"/>
      <c r="T16" s="147"/>
      <c r="U16" s="146">
        <v>392852</v>
      </c>
      <c r="V16" s="51">
        <v>882346</v>
      </c>
      <c r="W16" s="65">
        <f>801169.15-2532.1</f>
        <v>798637.05</v>
      </c>
      <c r="X16" s="127">
        <f t="shared" si="2"/>
        <v>90.51291103490014</v>
      </c>
    </row>
    <row r="17" spans="1:24" ht="12.75">
      <c r="A17" s="702"/>
      <c r="B17" s="143"/>
      <c r="C17" s="144" t="s">
        <v>56</v>
      </c>
      <c r="D17" s="144"/>
      <c r="E17" s="144"/>
      <c r="F17" s="144"/>
      <c r="G17" s="51">
        <v>545044</v>
      </c>
      <c r="H17" s="144">
        <v>545044</v>
      </c>
      <c r="I17" s="144"/>
      <c r="J17" s="145"/>
      <c r="K17" s="146"/>
      <c r="L17" s="147"/>
      <c r="M17" s="147">
        <v>12870</v>
      </c>
      <c r="N17" s="146">
        <v>1275.2</v>
      </c>
      <c r="O17" s="147">
        <v>132643.71</v>
      </c>
      <c r="P17" s="147">
        <v>34091.29</v>
      </c>
      <c r="Q17" s="147"/>
      <c r="R17" s="146">
        <v>17000</v>
      </c>
      <c r="S17" s="146"/>
      <c r="T17" s="147">
        <v>847550.36</v>
      </c>
      <c r="U17" s="146"/>
      <c r="V17" s="51">
        <v>0</v>
      </c>
      <c r="W17" s="65"/>
      <c r="X17" s="127">
        <f t="shared" si="2"/>
        <v>0</v>
      </c>
    </row>
    <row r="18" spans="1:30" ht="12.75">
      <c r="A18" s="702"/>
      <c r="B18" s="143"/>
      <c r="C18" s="144" t="s">
        <v>323</v>
      </c>
      <c r="D18" s="144"/>
      <c r="E18" s="144"/>
      <c r="F18" s="144"/>
      <c r="G18" s="51"/>
      <c r="H18" s="144"/>
      <c r="I18" s="144"/>
      <c r="J18" s="145"/>
      <c r="K18" s="146"/>
      <c r="L18" s="147"/>
      <c r="M18" s="147"/>
      <c r="N18" s="146">
        <v>34451.42</v>
      </c>
      <c r="O18" s="147"/>
      <c r="P18" s="147">
        <v>38214.90000000001</v>
      </c>
      <c r="Q18" s="147">
        <v>92167.17</v>
      </c>
      <c r="R18" s="146">
        <v>0</v>
      </c>
      <c r="S18" s="146"/>
      <c r="T18" s="147"/>
      <c r="U18" s="146"/>
      <c r="V18" s="51">
        <v>0</v>
      </c>
      <c r="W18" s="65">
        <v>16030.7</v>
      </c>
      <c r="X18" s="127">
        <f t="shared" si="2"/>
        <v>0</v>
      </c>
      <c r="AD18" s="2"/>
    </row>
    <row r="19" spans="1:28" ht="12.75">
      <c r="A19" s="702"/>
      <c r="B19" s="143"/>
      <c r="C19" s="144" t="s">
        <v>57</v>
      </c>
      <c r="D19" s="144">
        <v>309069</v>
      </c>
      <c r="E19" s="144"/>
      <c r="F19" s="144"/>
      <c r="G19" s="51"/>
      <c r="H19" s="144">
        <v>260000</v>
      </c>
      <c r="I19" s="144">
        <v>277803</v>
      </c>
      <c r="J19" s="145">
        <v>316779</v>
      </c>
      <c r="K19" s="146">
        <v>610000</v>
      </c>
      <c r="L19" s="147">
        <v>34791</v>
      </c>
      <c r="M19" s="147">
        <v>3100</v>
      </c>
      <c r="N19" s="146"/>
      <c r="O19" s="147">
        <v>365184.55000000005</v>
      </c>
      <c r="P19" s="147">
        <v>591948.07</v>
      </c>
      <c r="Q19" s="147">
        <v>258164.32</v>
      </c>
      <c r="R19" s="146">
        <v>186572</v>
      </c>
      <c r="S19" s="146"/>
      <c r="T19" s="147">
        <v>9999.999999999993</v>
      </c>
      <c r="U19" s="146">
        <v>252942</v>
      </c>
      <c r="V19" s="51">
        <v>741002</v>
      </c>
      <c r="W19" s="65">
        <v>490698.61</v>
      </c>
      <c r="X19" s="127">
        <f t="shared" si="2"/>
        <v>66.22095621874165</v>
      </c>
      <c r="Z19" s="2"/>
      <c r="AB19" s="2"/>
    </row>
    <row r="20" spans="1:24" ht="12.75">
      <c r="A20" s="702"/>
      <c r="B20" s="143"/>
      <c r="C20" s="144" t="s">
        <v>373</v>
      </c>
      <c r="D20" s="144"/>
      <c r="E20" s="144"/>
      <c r="F20" s="144"/>
      <c r="G20" s="144">
        <v>11915</v>
      </c>
      <c r="H20" s="144"/>
      <c r="I20" s="144">
        <v>11656</v>
      </c>
      <c r="J20" s="145"/>
      <c r="K20" s="51"/>
      <c r="L20" s="65"/>
      <c r="M20" s="65">
        <v>0</v>
      </c>
      <c r="N20" s="51"/>
      <c r="O20" s="65">
        <v>30000</v>
      </c>
      <c r="P20" s="65">
        <v>0</v>
      </c>
      <c r="Q20" s="65"/>
      <c r="R20" s="51"/>
      <c r="S20" s="51"/>
      <c r="T20" s="51"/>
      <c r="U20" s="51">
        <v>468856</v>
      </c>
      <c r="V20" s="51">
        <v>507000</v>
      </c>
      <c r="W20" s="65">
        <v>333274</v>
      </c>
      <c r="X20" s="127">
        <f t="shared" si="2"/>
        <v>65.734516765286</v>
      </c>
    </row>
    <row r="21" spans="1:24" ht="12.75">
      <c r="A21" s="702"/>
      <c r="B21" s="148"/>
      <c r="C21" s="149"/>
      <c r="D21" s="149"/>
      <c r="E21" s="149"/>
      <c r="F21" s="149"/>
      <c r="G21" s="149"/>
      <c r="H21" s="149"/>
      <c r="I21" s="149"/>
      <c r="J21" s="149"/>
      <c r="K21" s="39"/>
      <c r="L21" s="101"/>
      <c r="M21" s="101"/>
      <c r="N21" s="39"/>
      <c r="O21" s="101"/>
      <c r="P21" s="101">
        <v>0</v>
      </c>
      <c r="Q21" s="101"/>
      <c r="R21" s="39"/>
      <c r="S21" s="39"/>
      <c r="T21" s="39"/>
      <c r="U21" s="39"/>
      <c r="V21" s="39">
        <v>0</v>
      </c>
      <c r="W21" s="101"/>
      <c r="X21" s="119">
        <f t="shared" si="2"/>
        <v>0</v>
      </c>
    </row>
    <row r="22" spans="1:24" ht="13.5" thickBot="1">
      <c r="A22" s="747"/>
      <c r="B22" s="148"/>
      <c r="C22" s="149"/>
      <c r="D22" s="149"/>
      <c r="E22" s="149"/>
      <c r="F22" s="149"/>
      <c r="G22" s="149"/>
      <c r="H22" s="149"/>
      <c r="I22" s="149"/>
      <c r="J22" s="149"/>
      <c r="K22" s="39"/>
      <c r="L22" s="101"/>
      <c r="M22" s="101"/>
      <c r="N22" s="39"/>
      <c r="O22" s="101"/>
      <c r="P22" s="101">
        <v>0</v>
      </c>
      <c r="Q22" s="101"/>
      <c r="R22" s="39"/>
      <c r="S22" s="39"/>
      <c r="T22" s="39"/>
      <c r="U22" s="39"/>
      <c r="V22" s="39">
        <v>0</v>
      </c>
      <c r="W22" s="101"/>
      <c r="X22" s="119">
        <f t="shared" si="2"/>
        <v>0</v>
      </c>
    </row>
    <row r="23" spans="1:24" ht="14.25" thickBot="1" thickTop="1">
      <c r="A23" s="827" t="s">
        <v>223</v>
      </c>
      <c r="B23" s="828"/>
      <c r="C23" s="829"/>
      <c r="D23" s="150">
        <f aca="true" t="shared" si="5" ref="D23:M23">D12+D5</f>
        <v>499436</v>
      </c>
      <c r="E23" s="150">
        <f t="shared" si="5"/>
        <v>313085</v>
      </c>
      <c r="F23" s="150">
        <f t="shared" si="5"/>
        <v>1640749</v>
      </c>
      <c r="G23" s="150">
        <f t="shared" si="5"/>
        <v>2754938</v>
      </c>
      <c r="H23" s="150">
        <f t="shared" si="5"/>
        <v>4479434</v>
      </c>
      <c r="I23" s="150">
        <f t="shared" si="5"/>
        <v>2266668</v>
      </c>
      <c r="J23" s="150">
        <f t="shared" si="5"/>
        <v>1305406</v>
      </c>
      <c r="K23" s="150">
        <f t="shared" si="5"/>
        <v>1509534</v>
      </c>
      <c r="L23" s="151">
        <f t="shared" si="5"/>
        <v>1300969.13</v>
      </c>
      <c r="M23" s="151">
        <f t="shared" si="5"/>
        <v>2766561.36</v>
      </c>
      <c r="N23" s="150">
        <f aca="true" t="shared" si="6" ref="N23:T23">N12+N5</f>
        <v>2492133.9299999997</v>
      </c>
      <c r="O23" s="151">
        <f t="shared" si="6"/>
        <v>1267177.12</v>
      </c>
      <c r="P23" s="150">
        <f t="shared" si="6"/>
        <v>1389578.65</v>
      </c>
      <c r="Q23" s="151">
        <f t="shared" si="6"/>
        <v>1600445.57</v>
      </c>
      <c r="R23" s="150">
        <f t="shared" si="6"/>
        <v>7583014</v>
      </c>
      <c r="S23" s="150">
        <f t="shared" si="6"/>
        <v>7475946.97</v>
      </c>
      <c r="T23" s="151">
        <f t="shared" si="6"/>
        <v>7627753.13</v>
      </c>
      <c r="U23" s="150">
        <f>U12+U5</f>
        <v>3225098</v>
      </c>
      <c r="V23" s="150">
        <f>V12+V5</f>
        <v>4478018</v>
      </c>
      <c r="W23" s="151">
        <f>W12+W5</f>
        <v>3362549.95</v>
      </c>
      <c r="X23" s="673">
        <f t="shared" si="2"/>
        <v>75.09013920890895</v>
      </c>
    </row>
    <row r="24" spans="1:22" ht="13.5" thickTop="1">
      <c r="A24" s="830"/>
      <c r="B24" s="830"/>
      <c r="C24" s="830"/>
      <c r="D24" s="830"/>
      <c r="E24" s="830"/>
      <c r="F24" s="830"/>
      <c r="G24" s="830"/>
      <c r="H24" s="830"/>
      <c r="I24" s="830"/>
      <c r="J24" s="830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3"/>
    </row>
    <row r="25" ht="12.75">
      <c r="V25" s="2"/>
    </row>
    <row r="29" ht="12.75">
      <c r="P29">
        <v>201116.24</v>
      </c>
    </row>
    <row r="30" ht="12.75">
      <c r="P30">
        <v>35159.37</v>
      </c>
    </row>
    <row r="31" spans="16:18" ht="12.75">
      <c r="P31">
        <f>SUM(P29:P30)</f>
        <v>236275.61</v>
      </c>
      <c r="R31">
        <v>643000</v>
      </c>
    </row>
    <row r="34" ht="12.75">
      <c r="S34">
        <f>R31-P31</f>
        <v>406724.39</v>
      </c>
    </row>
  </sheetData>
  <sheetProtection/>
  <mergeCells count="30">
    <mergeCell ref="U3:U4"/>
    <mergeCell ref="W3:W4"/>
    <mergeCell ref="T3:T4"/>
    <mergeCell ref="S3:S4"/>
    <mergeCell ref="X3:X4"/>
    <mergeCell ref="G3:G4"/>
    <mergeCell ref="H3:H4"/>
    <mergeCell ref="K3:K4"/>
    <mergeCell ref="V3:V4"/>
    <mergeCell ref="O3:O4"/>
    <mergeCell ref="Q3:Q4"/>
    <mergeCell ref="R3:R4"/>
    <mergeCell ref="A23:C23"/>
    <mergeCell ref="A24:J24"/>
    <mergeCell ref="B12:C12"/>
    <mergeCell ref="A13:A22"/>
    <mergeCell ref="F3:F4"/>
    <mergeCell ref="A6:A11"/>
    <mergeCell ref="B5:C5"/>
    <mergeCell ref="I3:I4"/>
    <mergeCell ref="J3:J4"/>
    <mergeCell ref="A3:A4"/>
    <mergeCell ref="P3:P4"/>
    <mergeCell ref="B3:B4"/>
    <mergeCell ref="C3:C4"/>
    <mergeCell ref="D3:D4"/>
    <mergeCell ref="N3:N4"/>
    <mergeCell ref="L3:L4"/>
    <mergeCell ref="M3:M4"/>
    <mergeCell ref="E3:E4"/>
  </mergeCells>
  <printOptions/>
  <pageMargins left="0.15748031496062992" right="0.7480314960629921" top="0.3937007874015748" bottom="0.984251968503937" header="0.5118110236220472" footer="0.5118110236220472"/>
  <pageSetup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X14"/>
  <sheetViews>
    <sheetView zoomScalePageLayoutView="0" workbookViewId="0" topLeftCell="A1">
      <selection activeCell="W12" sqref="W12"/>
    </sheetView>
  </sheetViews>
  <sheetFormatPr defaultColWidth="9.140625" defaultRowHeight="12.75"/>
  <cols>
    <col min="2" max="2" width="8.8515625" style="0" customWidth="1"/>
    <col min="3" max="3" width="35.140625" style="0" customWidth="1"/>
    <col min="4" max="10" width="9.140625" style="0" hidden="1" customWidth="1"/>
    <col min="11" max="11" width="0" style="0" hidden="1" customWidth="1"/>
    <col min="12" max="19" width="11.7109375" style="0" hidden="1" customWidth="1"/>
    <col min="20" max="21" width="11.421875" style="0" customWidth="1"/>
    <col min="22" max="22" width="10.57421875" style="0" customWidth="1"/>
    <col min="23" max="23" width="10.421875" style="0" customWidth="1"/>
    <col min="24" max="24" width="8.7109375" style="0" customWidth="1"/>
  </cols>
  <sheetData>
    <row r="1" spans="1:23" ht="13.5" thickBot="1">
      <c r="A1" s="822" t="s">
        <v>224</v>
      </c>
      <c r="B1" s="822"/>
      <c r="C1" s="822"/>
      <c r="D1" s="822"/>
      <c r="E1" s="822"/>
      <c r="F1" s="822"/>
      <c r="G1" s="822"/>
      <c r="H1" s="822"/>
      <c r="I1" s="822"/>
      <c r="J1" s="822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3"/>
      <c r="W1" s="153"/>
    </row>
    <row r="2" spans="1:24" ht="14.25" customHeight="1" thickTop="1">
      <c r="A2" s="837" t="s">
        <v>43</v>
      </c>
      <c r="B2" s="823" t="s">
        <v>78</v>
      </c>
      <c r="C2" s="763" t="s">
        <v>44</v>
      </c>
      <c r="D2" s="712" t="s">
        <v>169</v>
      </c>
      <c r="E2" s="712" t="s">
        <v>170</v>
      </c>
      <c r="F2" s="712" t="s">
        <v>171</v>
      </c>
      <c r="G2" s="712" t="s">
        <v>172</v>
      </c>
      <c r="H2" s="712" t="s">
        <v>173</v>
      </c>
      <c r="I2" s="712" t="s">
        <v>85</v>
      </c>
      <c r="J2" s="712" t="s">
        <v>86</v>
      </c>
      <c r="K2" s="712" t="s">
        <v>87</v>
      </c>
      <c r="L2" s="712" t="s">
        <v>88</v>
      </c>
      <c r="M2" s="712" t="s">
        <v>303</v>
      </c>
      <c r="N2" s="712" t="s">
        <v>316</v>
      </c>
      <c r="O2" s="712" t="s">
        <v>332</v>
      </c>
      <c r="P2" s="712" t="s">
        <v>337</v>
      </c>
      <c r="Q2" s="712" t="s">
        <v>347</v>
      </c>
      <c r="R2" s="712" t="s">
        <v>353</v>
      </c>
      <c r="S2" s="712" t="s">
        <v>354</v>
      </c>
      <c r="T2" s="712" t="s">
        <v>426</v>
      </c>
      <c r="U2" s="712" t="s">
        <v>447</v>
      </c>
      <c r="V2" s="725" t="s">
        <v>444</v>
      </c>
      <c r="W2" s="725" t="s">
        <v>445</v>
      </c>
      <c r="X2" s="727" t="s">
        <v>446</v>
      </c>
    </row>
    <row r="3" spans="1:24" ht="25.5" customHeight="1" thickBot="1">
      <c r="A3" s="838"/>
      <c r="B3" s="824"/>
      <c r="C3" s="764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  <c r="R3" s="713"/>
      <c r="S3" s="713"/>
      <c r="T3" s="713"/>
      <c r="U3" s="713"/>
      <c r="V3" s="726"/>
      <c r="W3" s="726"/>
      <c r="X3" s="728"/>
    </row>
    <row r="4" spans="1:24" ht="14.25" thickBot="1" thickTop="1">
      <c r="A4" s="155" t="s">
        <v>59</v>
      </c>
      <c r="B4" s="832" t="s">
        <v>52</v>
      </c>
      <c r="C4" s="833"/>
      <c r="D4" s="156">
        <f aca="true" t="shared" si="0" ref="D4:W4">SUM(D5:D11)</f>
        <v>477793</v>
      </c>
      <c r="E4" s="156">
        <f t="shared" si="0"/>
        <v>470856</v>
      </c>
      <c r="F4" s="156">
        <f t="shared" si="0"/>
        <v>334085</v>
      </c>
      <c r="G4" s="156">
        <f t="shared" si="0"/>
        <v>1303204</v>
      </c>
      <c r="H4" s="156">
        <f t="shared" si="0"/>
        <v>978096</v>
      </c>
      <c r="I4" s="156">
        <f t="shared" si="0"/>
        <v>1356608</v>
      </c>
      <c r="J4" s="156">
        <f t="shared" si="0"/>
        <v>1191263</v>
      </c>
      <c r="K4" s="156">
        <f t="shared" si="0"/>
        <v>977990</v>
      </c>
      <c r="L4" s="157">
        <f t="shared" si="0"/>
        <v>439019.94999999995</v>
      </c>
      <c r="M4" s="157">
        <f t="shared" si="0"/>
        <v>540080.3</v>
      </c>
      <c r="N4" s="550">
        <f>SUM(N5:N11)</f>
        <v>2548753.6599999997</v>
      </c>
      <c r="O4" s="550">
        <f>SUM(O5:O11)</f>
        <v>484835.82</v>
      </c>
      <c r="P4" s="549">
        <f>SUM(P5:P11)</f>
        <v>849215.54</v>
      </c>
      <c r="Q4" s="550">
        <f>SUM(Q5:Q11)</f>
        <v>553837.26</v>
      </c>
      <c r="R4" s="549">
        <f t="shared" si="0"/>
        <v>919778</v>
      </c>
      <c r="S4" s="549">
        <f>SUM(S5:S11)</f>
        <v>614297.92</v>
      </c>
      <c r="T4" s="550">
        <v>5533098.83</v>
      </c>
      <c r="U4" s="549">
        <f t="shared" si="0"/>
        <v>520439</v>
      </c>
      <c r="V4" s="549">
        <f t="shared" si="0"/>
        <v>916163</v>
      </c>
      <c r="W4" s="550">
        <f t="shared" si="0"/>
        <v>974810.43</v>
      </c>
      <c r="X4" s="674">
        <f aca="true" t="shared" si="1" ref="X4:X12">IF(V4=0,0,W4/V4)*100</f>
        <v>106.40141874317126</v>
      </c>
    </row>
    <row r="5" spans="1:24" ht="12.75">
      <c r="A5" s="834"/>
      <c r="B5" s="158"/>
      <c r="C5" s="158" t="s">
        <v>226</v>
      </c>
      <c r="D5" s="158">
        <v>307741</v>
      </c>
      <c r="E5" s="158">
        <v>188873</v>
      </c>
      <c r="F5" s="158">
        <v>209516</v>
      </c>
      <c r="G5" s="158">
        <v>326854</v>
      </c>
      <c r="H5" s="158">
        <v>199897</v>
      </c>
      <c r="I5" s="158">
        <v>22394</v>
      </c>
      <c r="J5" s="159">
        <v>122620</v>
      </c>
      <c r="K5" s="160">
        <v>207083</v>
      </c>
      <c r="L5" s="161">
        <v>173080.99</v>
      </c>
      <c r="M5" s="161">
        <v>233161.19</v>
      </c>
      <c r="N5" s="545">
        <v>1839260.43</v>
      </c>
      <c r="O5" s="545">
        <v>338571.97</v>
      </c>
      <c r="P5" s="545">
        <v>367612.56</v>
      </c>
      <c r="Q5" s="545">
        <v>378931.96</v>
      </c>
      <c r="R5" s="490">
        <v>428301</v>
      </c>
      <c r="S5" s="490">
        <v>444893.33</v>
      </c>
      <c r="T5" s="545"/>
      <c r="U5" s="490">
        <v>343548</v>
      </c>
      <c r="V5" s="463">
        <f>159432+184116</f>
        <v>343548</v>
      </c>
      <c r="W5" s="680">
        <f>49596+109836+184116</f>
        <v>343548</v>
      </c>
      <c r="X5" s="675">
        <f t="shared" si="1"/>
        <v>100</v>
      </c>
    </row>
    <row r="6" spans="1:24" ht="12.75">
      <c r="A6" s="835"/>
      <c r="B6" s="162"/>
      <c r="C6" s="163" t="s">
        <v>227</v>
      </c>
      <c r="D6" s="163"/>
      <c r="E6" s="163"/>
      <c r="F6" s="163"/>
      <c r="G6" s="163"/>
      <c r="H6" s="163">
        <v>490783</v>
      </c>
      <c r="I6" s="163">
        <v>1098574</v>
      </c>
      <c r="J6" s="164">
        <v>733308</v>
      </c>
      <c r="K6" s="165">
        <v>631012</v>
      </c>
      <c r="L6" s="166">
        <v>171789.61</v>
      </c>
      <c r="M6" s="166">
        <v>233027.7</v>
      </c>
      <c r="N6" s="546">
        <v>497600.75</v>
      </c>
      <c r="O6" s="546"/>
      <c r="P6" s="546">
        <v>363308.49</v>
      </c>
      <c r="Q6" s="546"/>
      <c r="R6" s="491">
        <v>400000</v>
      </c>
      <c r="S6" s="491">
        <v>18960</v>
      </c>
      <c r="T6" s="546">
        <v>74.39</v>
      </c>
      <c r="U6" s="491"/>
      <c r="V6" s="85">
        <v>415724</v>
      </c>
      <c r="W6" s="681">
        <f>179278.7+236444.98</f>
        <v>415723.68000000005</v>
      </c>
      <c r="X6" s="676">
        <f t="shared" si="1"/>
        <v>99.9999230258537</v>
      </c>
    </row>
    <row r="7" spans="1:24" ht="12.75">
      <c r="A7" s="835"/>
      <c r="B7" s="167"/>
      <c r="C7" s="106" t="s">
        <v>228</v>
      </c>
      <c r="D7" s="106"/>
      <c r="E7" s="106"/>
      <c r="F7" s="106"/>
      <c r="G7" s="106"/>
      <c r="H7" s="106">
        <v>52527</v>
      </c>
      <c r="I7" s="106">
        <v>53214</v>
      </c>
      <c r="J7" s="85">
        <v>53736</v>
      </c>
      <c r="K7" s="165">
        <v>54692</v>
      </c>
      <c r="L7" s="166">
        <v>59829.25</v>
      </c>
      <c r="M7" s="166">
        <v>73891.41</v>
      </c>
      <c r="N7" s="546">
        <v>74759.43</v>
      </c>
      <c r="O7" s="546">
        <v>75808.05</v>
      </c>
      <c r="P7" s="546">
        <v>76653.59</v>
      </c>
      <c r="Q7" s="546">
        <v>77863.88</v>
      </c>
      <c r="R7" s="491">
        <v>91477</v>
      </c>
      <c r="S7" s="491">
        <v>133280.82</v>
      </c>
      <c r="T7" s="546">
        <v>134390.62</v>
      </c>
      <c r="U7" s="491">
        <v>156891</v>
      </c>
      <c r="V7" s="165">
        <v>156891</v>
      </c>
      <c r="W7" s="682">
        <v>135524.54</v>
      </c>
      <c r="X7" s="677">
        <f t="shared" si="1"/>
        <v>86.38133481206698</v>
      </c>
    </row>
    <row r="8" spans="1:24" ht="12.75">
      <c r="A8" s="835"/>
      <c r="B8" s="168"/>
      <c r="C8" s="163" t="s">
        <v>227</v>
      </c>
      <c r="D8" s="169">
        <v>2622</v>
      </c>
      <c r="E8" s="169">
        <v>6805</v>
      </c>
      <c r="F8" s="169">
        <v>5206</v>
      </c>
      <c r="G8" s="169">
        <v>73230</v>
      </c>
      <c r="H8" s="169">
        <v>22330</v>
      </c>
      <c r="I8" s="169">
        <v>7462</v>
      </c>
      <c r="J8" s="170"/>
      <c r="K8" s="85"/>
      <c r="L8" s="171"/>
      <c r="M8" s="171"/>
      <c r="N8" s="536">
        <v>114400.25</v>
      </c>
      <c r="O8" s="536"/>
      <c r="P8" s="536"/>
      <c r="Q8" s="536">
        <v>44078.86</v>
      </c>
      <c r="R8" s="86"/>
      <c r="S8" s="86"/>
      <c r="T8" s="536">
        <v>1671513.3</v>
      </c>
      <c r="U8" s="86"/>
      <c r="V8" s="85"/>
      <c r="W8" s="681"/>
      <c r="X8" s="676">
        <f t="shared" si="1"/>
        <v>0</v>
      </c>
    </row>
    <row r="9" spans="1:24" ht="12.75">
      <c r="A9" s="835"/>
      <c r="B9" s="168"/>
      <c r="C9" s="163" t="s">
        <v>227</v>
      </c>
      <c r="D9" s="169"/>
      <c r="E9" s="169"/>
      <c r="F9" s="169"/>
      <c r="G9" s="169"/>
      <c r="H9" s="169"/>
      <c r="I9" s="169"/>
      <c r="J9" s="170"/>
      <c r="K9" s="85"/>
      <c r="L9" s="171"/>
      <c r="M9" s="171"/>
      <c r="N9" s="536">
        <v>11332.8</v>
      </c>
      <c r="O9" s="536"/>
      <c r="P9" s="536">
        <v>14992.5</v>
      </c>
      <c r="Q9" s="536"/>
      <c r="R9" s="86"/>
      <c r="S9" s="86"/>
      <c r="T9" s="536">
        <v>3717120.52</v>
      </c>
      <c r="U9" s="86"/>
      <c r="V9" s="85"/>
      <c r="W9" s="681"/>
      <c r="X9" s="676">
        <f t="shared" si="1"/>
        <v>0</v>
      </c>
    </row>
    <row r="10" spans="1:24" ht="12.75">
      <c r="A10" s="835"/>
      <c r="B10" s="167"/>
      <c r="C10" s="167" t="s">
        <v>376</v>
      </c>
      <c r="D10" s="167"/>
      <c r="E10" s="167">
        <v>275178</v>
      </c>
      <c r="F10" s="167"/>
      <c r="G10" s="167">
        <v>903120</v>
      </c>
      <c r="H10" s="167">
        <v>212559</v>
      </c>
      <c r="I10" s="167">
        <v>174964</v>
      </c>
      <c r="J10" s="172">
        <v>281599</v>
      </c>
      <c r="K10" s="172">
        <v>85203</v>
      </c>
      <c r="L10" s="173">
        <v>34320.1</v>
      </c>
      <c r="M10" s="173">
        <v>0</v>
      </c>
      <c r="N10" s="547"/>
      <c r="O10" s="547">
        <v>70455.80000000005</v>
      </c>
      <c r="P10" s="547"/>
      <c r="Q10" s="547">
        <v>47962.56</v>
      </c>
      <c r="R10" s="492"/>
      <c r="S10" s="492"/>
      <c r="T10" s="547"/>
      <c r="U10" s="492">
        <v>20000</v>
      </c>
      <c r="V10" s="172">
        <v>0</v>
      </c>
      <c r="W10" s="683"/>
      <c r="X10" s="678">
        <f t="shared" si="1"/>
        <v>0</v>
      </c>
    </row>
    <row r="11" spans="1:24" ht="13.5" thickBot="1">
      <c r="A11" s="836"/>
      <c r="B11" s="174"/>
      <c r="C11" s="167" t="s">
        <v>323</v>
      </c>
      <c r="D11" s="174">
        <v>167430</v>
      </c>
      <c r="E11" s="174">
        <v>0</v>
      </c>
      <c r="F11" s="174">
        <v>119363</v>
      </c>
      <c r="G11" s="174"/>
      <c r="H11" s="174"/>
      <c r="I11" s="174"/>
      <c r="J11" s="175"/>
      <c r="K11" s="175"/>
      <c r="L11" s="176"/>
      <c r="M11" s="176">
        <v>0</v>
      </c>
      <c r="N11" s="548">
        <v>11400</v>
      </c>
      <c r="O11" s="548"/>
      <c r="P11" s="548">
        <v>26648.4</v>
      </c>
      <c r="Q11" s="548">
        <v>5000</v>
      </c>
      <c r="R11" s="493"/>
      <c r="S11" s="493">
        <v>17163.77</v>
      </c>
      <c r="T11" s="548">
        <v>10000</v>
      </c>
      <c r="U11" s="493"/>
      <c r="V11" s="175">
        <v>0</v>
      </c>
      <c r="W11" s="684">
        <f>64342.38+5671.83+10000</f>
        <v>80014.20999999999</v>
      </c>
      <c r="X11" s="679">
        <f t="shared" si="1"/>
        <v>0</v>
      </c>
    </row>
    <row r="12" spans="1:24" ht="14.25" thickBot="1" thickTop="1">
      <c r="A12" s="827" t="s">
        <v>223</v>
      </c>
      <c r="B12" s="828"/>
      <c r="C12" s="829"/>
      <c r="D12" s="150">
        <f aca="true" t="shared" si="2" ref="D12:W12">D4</f>
        <v>477793</v>
      </c>
      <c r="E12" s="150">
        <f t="shared" si="2"/>
        <v>470856</v>
      </c>
      <c r="F12" s="150">
        <f t="shared" si="2"/>
        <v>334085</v>
      </c>
      <c r="G12" s="150">
        <f t="shared" si="2"/>
        <v>1303204</v>
      </c>
      <c r="H12" s="150">
        <f t="shared" si="2"/>
        <v>978096</v>
      </c>
      <c r="I12" s="150">
        <f t="shared" si="2"/>
        <v>1356608</v>
      </c>
      <c r="J12" s="150">
        <f t="shared" si="2"/>
        <v>1191263</v>
      </c>
      <c r="K12" s="150">
        <f t="shared" si="2"/>
        <v>977990</v>
      </c>
      <c r="L12" s="151">
        <f t="shared" si="2"/>
        <v>439019.94999999995</v>
      </c>
      <c r="M12" s="151">
        <f t="shared" si="2"/>
        <v>540080.3</v>
      </c>
      <c r="N12" s="552">
        <f t="shared" si="2"/>
        <v>2548753.6599999997</v>
      </c>
      <c r="O12" s="151">
        <f t="shared" si="2"/>
        <v>484835.82</v>
      </c>
      <c r="P12" s="551">
        <f t="shared" si="2"/>
        <v>849215.54</v>
      </c>
      <c r="Q12" s="151">
        <f t="shared" si="2"/>
        <v>553837.26</v>
      </c>
      <c r="R12" s="150">
        <f t="shared" si="2"/>
        <v>919778</v>
      </c>
      <c r="S12" s="150">
        <f t="shared" si="2"/>
        <v>614297.92</v>
      </c>
      <c r="T12" s="151">
        <f t="shared" si="2"/>
        <v>5533098.83</v>
      </c>
      <c r="U12" s="150">
        <f t="shared" si="2"/>
        <v>520439</v>
      </c>
      <c r="V12" s="150">
        <f t="shared" si="2"/>
        <v>916163</v>
      </c>
      <c r="W12" s="151">
        <f t="shared" si="2"/>
        <v>974810.43</v>
      </c>
      <c r="X12" s="673">
        <f t="shared" si="1"/>
        <v>106.40141874317126</v>
      </c>
    </row>
    <row r="13" ht="13.5" thickTop="1"/>
    <row r="14" spans="18:22" ht="12.75">
      <c r="R14" s="2">
        <f>R7+R5</f>
        <v>519778</v>
      </c>
      <c r="S14" s="2"/>
      <c r="T14" s="2"/>
      <c r="U14" s="2"/>
      <c r="V14" s="2"/>
    </row>
  </sheetData>
  <sheetProtection/>
  <mergeCells count="28">
    <mergeCell ref="A12:C12"/>
    <mergeCell ref="B4:C4"/>
    <mergeCell ref="M2:M3"/>
    <mergeCell ref="A2:A3"/>
    <mergeCell ref="B2:B3"/>
    <mergeCell ref="C2:C3"/>
    <mergeCell ref="F2:F3"/>
    <mergeCell ref="D2:D3"/>
    <mergeCell ref="X2:X3"/>
    <mergeCell ref="A5:A11"/>
    <mergeCell ref="G2:G3"/>
    <mergeCell ref="N2:N3"/>
    <mergeCell ref="I2:I3"/>
    <mergeCell ref="P2:P3"/>
    <mergeCell ref="S2:S3"/>
    <mergeCell ref="T2:T3"/>
    <mergeCell ref="U2:U3"/>
    <mergeCell ref="W2:W3"/>
    <mergeCell ref="A1:J1"/>
    <mergeCell ref="H2:H3"/>
    <mergeCell ref="V2:V3"/>
    <mergeCell ref="L2:L3"/>
    <mergeCell ref="J2:J3"/>
    <mergeCell ref="K2:K3"/>
    <mergeCell ref="E2:E3"/>
    <mergeCell ref="O2:O3"/>
    <mergeCell ref="Q2:Q3"/>
    <mergeCell ref="R2:R3"/>
  </mergeCells>
  <printOptions/>
  <pageMargins left="0.75" right="0.75" top="1" bottom="1" header="0.4921259845" footer="0.4921259845"/>
  <pageSetup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F83"/>
  <sheetViews>
    <sheetView tabSelected="1" zoomScalePageLayoutView="0" workbookViewId="0" topLeftCell="A1">
      <selection activeCell="A18" sqref="A18:V19"/>
    </sheetView>
  </sheetViews>
  <sheetFormatPr defaultColWidth="9.140625" defaultRowHeight="12.75"/>
  <cols>
    <col min="1" max="1" width="47.00390625" style="0" customWidth="1"/>
    <col min="2" max="16" width="14.421875" style="0" hidden="1" customWidth="1"/>
    <col min="17" max="18" width="14.421875" style="0" customWidth="1"/>
    <col min="19" max="19" width="13.421875" style="0" customWidth="1"/>
    <col min="20" max="20" width="13.28125" style="0" customWidth="1"/>
    <col min="21" max="21" width="16.57421875" style="0" customWidth="1"/>
    <col min="22" max="22" width="8.28125" style="0" customWidth="1"/>
  </cols>
  <sheetData>
    <row r="1" spans="1:22" ht="15">
      <c r="A1" s="839" t="s">
        <v>289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  <c r="P1" s="839"/>
      <c r="Q1" s="839"/>
      <c r="R1" s="839"/>
      <c r="S1" s="839"/>
      <c r="T1" s="839"/>
      <c r="U1" s="839"/>
      <c r="V1" s="839"/>
    </row>
    <row r="2" spans="1:20" ht="13.5" thickBot="1">
      <c r="A2" s="513"/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152"/>
      <c r="M2" s="152"/>
      <c r="N2" s="152"/>
      <c r="O2" s="152"/>
      <c r="P2" s="152"/>
      <c r="Q2" s="152"/>
      <c r="R2" s="152"/>
      <c r="S2" s="152"/>
      <c r="T2" s="153"/>
    </row>
    <row r="3" spans="1:22" ht="13.5" customHeight="1" thickTop="1">
      <c r="A3" s="841" t="s">
        <v>79</v>
      </c>
      <c r="B3" s="712" t="s">
        <v>169</v>
      </c>
      <c r="C3" s="712" t="s">
        <v>170</v>
      </c>
      <c r="D3" s="712" t="s">
        <v>171</v>
      </c>
      <c r="E3" s="712" t="s">
        <v>172</v>
      </c>
      <c r="F3" s="712" t="s">
        <v>173</v>
      </c>
      <c r="G3" s="712" t="s">
        <v>85</v>
      </c>
      <c r="H3" s="712" t="s">
        <v>86</v>
      </c>
      <c r="I3" s="712" t="s">
        <v>87</v>
      </c>
      <c r="J3" s="712" t="s">
        <v>88</v>
      </c>
      <c r="K3" s="712" t="s">
        <v>303</v>
      </c>
      <c r="L3" s="712" t="s">
        <v>316</v>
      </c>
      <c r="M3" s="712" t="s">
        <v>332</v>
      </c>
      <c r="N3" s="712" t="s">
        <v>337</v>
      </c>
      <c r="O3" s="712" t="s">
        <v>347</v>
      </c>
      <c r="P3" s="712" t="s">
        <v>353</v>
      </c>
      <c r="Q3" s="712" t="s">
        <v>354</v>
      </c>
      <c r="R3" s="712" t="s">
        <v>426</v>
      </c>
      <c r="S3" s="712" t="s">
        <v>447</v>
      </c>
      <c r="T3" s="858" t="s">
        <v>444</v>
      </c>
      <c r="U3" s="712" t="s">
        <v>445</v>
      </c>
      <c r="V3" s="855" t="s">
        <v>448</v>
      </c>
    </row>
    <row r="4" spans="1:22" ht="12.75">
      <c r="A4" s="842"/>
      <c r="B4" s="840"/>
      <c r="C4" s="840"/>
      <c r="D4" s="840"/>
      <c r="E4" s="840"/>
      <c r="F4" s="840"/>
      <c r="G4" s="840"/>
      <c r="H4" s="840"/>
      <c r="I4" s="840"/>
      <c r="J4" s="840"/>
      <c r="K4" s="840"/>
      <c r="L4" s="840"/>
      <c r="M4" s="840"/>
      <c r="N4" s="840"/>
      <c r="O4" s="840"/>
      <c r="P4" s="840"/>
      <c r="Q4" s="840"/>
      <c r="R4" s="840"/>
      <c r="S4" s="840"/>
      <c r="T4" s="859"/>
      <c r="U4" s="840"/>
      <c r="V4" s="856"/>
    </row>
    <row r="5" spans="1:22" ht="13.5" thickBot="1">
      <c r="A5" s="842"/>
      <c r="B5" s="713"/>
      <c r="C5" s="713"/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3"/>
      <c r="O5" s="713"/>
      <c r="P5" s="713"/>
      <c r="Q5" s="713"/>
      <c r="R5" s="713"/>
      <c r="S5" s="713"/>
      <c r="T5" s="860"/>
      <c r="U5" s="713"/>
      <c r="V5" s="857"/>
    </row>
    <row r="6" spans="1:32" ht="13.5" thickTop="1">
      <c r="A6" s="412" t="s">
        <v>290</v>
      </c>
      <c r="B6" s="413">
        <f>'Bežné príjmy'!D123</f>
        <v>7125871</v>
      </c>
      <c r="C6" s="413">
        <f>'Bežné príjmy'!E123</f>
        <v>7561840</v>
      </c>
      <c r="D6" s="413">
        <f>'Bežné príjmy'!F123</f>
        <v>9082354</v>
      </c>
      <c r="E6" s="413">
        <f>'Bežné príjmy'!G123</f>
        <v>9080838</v>
      </c>
      <c r="F6" s="413">
        <f>'Bežné príjmy'!H123</f>
        <v>8537685</v>
      </c>
      <c r="G6" s="413">
        <f>'Bežné príjmy'!I123</f>
        <v>9096722</v>
      </c>
      <c r="H6" s="413">
        <f>'Bežné príjmy'!J123</f>
        <v>9101831</v>
      </c>
      <c r="I6" s="413">
        <f>'Bežné príjmy'!K123</f>
        <v>9711561</v>
      </c>
      <c r="J6" s="413">
        <f>'Bežné príjmy'!L123</f>
        <v>9640328.239999998</v>
      </c>
      <c r="K6" s="451">
        <f>'Bežné príjmy'!M123</f>
        <v>10013437.42</v>
      </c>
      <c r="L6" s="451">
        <f>'Bežné príjmy'!N123</f>
        <v>10746706.560000002</v>
      </c>
      <c r="M6" s="451">
        <f>'Bežné príjmy'!O123</f>
        <v>10947354.260000002</v>
      </c>
      <c r="N6" s="413">
        <f>'Bežné príjmy'!P123</f>
        <v>11835790.83</v>
      </c>
      <c r="O6" s="451">
        <f>'Bežné príjmy'!Q123</f>
        <v>12870365.969999999</v>
      </c>
      <c r="P6" s="451">
        <f>'Bežné príjmy'!R123</f>
        <v>13601928.51</v>
      </c>
      <c r="Q6" s="451">
        <f>'Bežné príjmy'!S123</f>
        <v>14215260.54</v>
      </c>
      <c r="R6" s="451">
        <f>'Bežné príjmy'!T123</f>
        <v>15098744.33</v>
      </c>
      <c r="S6" s="413">
        <f>'Bežné príjmy'!U123</f>
        <v>14782177</v>
      </c>
      <c r="T6" s="413">
        <f>'Bežné príjmy'!V123</f>
        <v>17556651</v>
      </c>
      <c r="U6" s="451">
        <f>'Bežné príjmy'!W123</f>
        <v>17534990.72</v>
      </c>
      <c r="V6" s="685">
        <f>IF(T6=0,0,U6/T6)*100</f>
        <v>99.87662635658701</v>
      </c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3.5" thickBot="1">
      <c r="A7" s="414" t="s">
        <v>291</v>
      </c>
      <c r="B7" s="175">
        <f>'bežné výdavky'!D218</f>
        <v>5867125</v>
      </c>
      <c r="C7" s="175">
        <f>'bežné výdavky'!E218</f>
        <v>6460200</v>
      </c>
      <c r="D7" s="175">
        <f>'bežné výdavky'!F218</f>
        <v>7832271</v>
      </c>
      <c r="E7" s="175">
        <f>'bežné výdavky'!G218</f>
        <v>8716285.43</v>
      </c>
      <c r="F7" s="175">
        <f>'bežné výdavky'!H218</f>
        <v>9309387</v>
      </c>
      <c r="G7" s="175">
        <f>'bežné výdavky'!I218</f>
        <v>8743512.2</v>
      </c>
      <c r="H7" s="175">
        <f>'bežné výdavky'!J218</f>
        <v>8908071</v>
      </c>
      <c r="I7" s="175">
        <f>'bežné výdavky'!K218</f>
        <v>8934542</v>
      </c>
      <c r="J7" s="175">
        <f>'bežné výdavky'!L218</f>
        <v>9572545.38</v>
      </c>
      <c r="K7" s="176">
        <f>'bežné výdavky'!M218</f>
        <v>9554914.799999999</v>
      </c>
      <c r="L7" s="176">
        <f>'bežné výdavky'!N218</f>
        <v>9695081.340000002</v>
      </c>
      <c r="M7" s="176">
        <f>'bežné výdavky'!O218</f>
        <v>10029034.879999999</v>
      </c>
      <c r="N7" s="175">
        <f>'bežné výdavky'!P218</f>
        <v>10815176.44</v>
      </c>
      <c r="O7" s="176">
        <f>'bežné výdavky'!Q218</f>
        <v>12072287.610000001</v>
      </c>
      <c r="P7" s="176">
        <f>'bežné výdavky'!R218</f>
        <v>12278088</v>
      </c>
      <c r="Q7" s="176">
        <f>'bežné výdavky'!S218</f>
        <v>13351433.260000002</v>
      </c>
      <c r="R7" s="176">
        <f>'bežné výdavky'!T218</f>
        <v>14806830.810000002</v>
      </c>
      <c r="S7" s="175">
        <f>'bežné výdavky'!U218</f>
        <v>14836790</v>
      </c>
      <c r="T7" s="175">
        <f>'bežné výdavky'!V218</f>
        <v>17742482</v>
      </c>
      <c r="U7" s="176">
        <f>'bežné výdavky'!W218</f>
        <v>17087777.59</v>
      </c>
      <c r="V7" s="679">
        <f>IF(T7=0,0,U7/T7)*100</f>
        <v>96.30996153751205</v>
      </c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22" ht="15.75" thickBot="1">
      <c r="A8" s="415" t="s">
        <v>292</v>
      </c>
      <c r="B8" s="416">
        <f aca="true" t="shared" si="0" ref="B8:K8">B6-B7</f>
        <v>1258746</v>
      </c>
      <c r="C8" s="416">
        <f t="shared" si="0"/>
        <v>1101640</v>
      </c>
      <c r="D8" s="416">
        <f t="shared" si="0"/>
        <v>1250083</v>
      </c>
      <c r="E8" s="416">
        <f t="shared" si="0"/>
        <v>364552.5700000003</v>
      </c>
      <c r="F8" s="416">
        <f t="shared" si="0"/>
        <v>-771702</v>
      </c>
      <c r="G8" s="416">
        <f t="shared" si="0"/>
        <v>353209.80000000075</v>
      </c>
      <c r="H8" s="416">
        <f t="shared" si="0"/>
        <v>193760</v>
      </c>
      <c r="I8" s="416">
        <f t="shared" si="0"/>
        <v>777019</v>
      </c>
      <c r="J8" s="417">
        <f t="shared" si="0"/>
        <v>67782.85999999754</v>
      </c>
      <c r="K8" s="417">
        <f t="shared" si="0"/>
        <v>458522.62000000104</v>
      </c>
      <c r="L8" s="417">
        <f aca="true" t="shared" si="1" ref="L8:R8">L6-L7</f>
        <v>1051625.2200000007</v>
      </c>
      <c r="M8" s="417">
        <f t="shared" si="1"/>
        <v>918319.3800000027</v>
      </c>
      <c r="N8" s="416">
        <f t="shared" si="1"/>
        <v>1020614.3900000006</v>
      </c>
      <c r="O8" s="417">
        <f t="shared" si="1"/>
        <v>798078.3599999975</v>
      </c>
      <c r="P8" s="417">
        <f t="shared" si="1"/>
        <v>1323840.5099999998</v>
      </c>
      <c r="Q8" s="417">
        <f t="shared" si="1"/>
        <v>863827.2799999975</v>
      </c>
      <c r="R8" s="417">
        <f t="shared" si="1"/>
        <v>291913.5199999977</v>
      </c>
      <c r="S8" s="416">
        <f>S6-S7</f>
        <v>-54613</v>
      </c>
      <c r="T8" s="416">
        <f>T6-T7</f>
        <v>-185831</v>
      </c>
      <c r="U8" s="417">
        <f>U6-U7</f>
        <v>447213.12999999896</v>
      </c>
      <c r="V8" s="686"/>
    </row>
    <row r="9" spans="1:22" ht="14.25" thickBot="1" thickTop="1">
      <c r="A9" s="852"/>
      <c r="B9" s="853"/>
      <c r="C9" s="853"/>
      <c r="D9" s="853"/>
      <c r="E9" s="853"/>
      <c r="F9" s="853"/>
      <c r="G9" s="853"/>
      <c r="H9" s="853"/>
      <c r="I9" s="853"/>
      <c r="J9" s="853"/>
      <c r="K9" s="853"/>
      <c r="L9" s="853"/>
      <c r="M9" s="853"/>
      <c r="N9" s="853"/>
      <c r="O9" s="853"/>
      <c r="P9" s="853"/>
      <c r="Q9" s="853"/>
      <c r="R9" s="853"/>
      <c r="S9" s="853"/>
      <c r="T9" s="853"/>
      <c r="U9" s="853"/>
      <c r="V9" s="854"/>
    </row>
    <row r="10" spans="1:22" ht="13.5" thickTop="1">
      <c r="A10" s="412" t="s">
        <v>293</v>
      </c>
      <c r="B10" s="413">
        <f>'Kapitálové príjmy'!D56</f>
        <v>2113092</v>
      </c>
      <c r="C10" s="413">
        <f>'Kapitálové príjmy'!E56</f>
        <v>1017958</v>
      </c>
      <c r="D10" s="413">
        <f>'Kapitálové príjmy'!F56</f>
        <v>1245369</v>
      </c>
      <c r="E10" s="413">
        <f>'Kapitálové príjmy'!G56</f>
        <v>4391413</v>
      </c>
      <c r="F10" s="413">
        <f>'Kapitálové príjmy'!H56</f>
        <v>3456141</v>
      </c>
      <c r="G10" s="413">
        <f>'Kapitálové príjmy'!I56</f>
        <v>4649713</v>
      </c>
      <c r="H10" s="413">
        <f>'Kapitálové príjmy'!J56</f>
        <v>4502774.06</v>
      </c>
      <c r="I10" s="413">
        <f>'Kapitálové príjmy'!K56</f>
        <v>3678497</v>
      </c>
      <c r="J10" s="413">
        <f>'Kapitálové príjmy'!L56</f>
        <v>1218338.5899999999</v>
      </c>
      <c r="K10" s="451">
        <f>'Kapitálové príjmy'!M56</f>
        <v>752297.52</v>
      </c>
      <c r="L10" s="451">
        <f>'Kapitálové príjmy'!N56</f>
        <v>935536.18</v>
      </c>
      <c r="M10" s="451">
        <f>'Kapitálové príjmy'!O56</f>
        <v>1696241.7999999998</v>
      </c>
      <c r="N10" s="413">
        <f>'Kapitálové príjmy'!P56</f>
        <v>2123247.52</v>
      </c>
      <c r="O10" s="451">
        <f>'Kapitálové príjmy'!Q56</f>
        <v>1526662.64</v>
      </c>
      <c r="P10" s="451">
        <f>'Kapitálové príjmy'!R56</f>
        <v>2638168</v>
      </c>
      <c r="Q10" s="451">
        <f>'Kapitálové príjmy'!S56</f>
        <v>2862309.5</v>
      </c>
      <c r="R10" s="451">
        <f>'Kapitálové príjmy'!T56</f>
        <v>3393484.54</v>
      </c>
      <c r="S10" s="413">
        <f>'Kapitálové príjmy'!U56</f>
        <v>350000</v>
      </c>
      <c r="T10" s="413">
        <f>'Kapitálové príjmy'!V56</f>
        <v>941536</v>
      </c>
      <c r="U10" s="451">
        <f>'Kapitálové príjmy'!W56</f>
        <v>967514.34</v>
      </c>
      <c r="V10" s="685">
        <f>IF(T10=0,0,U10/T10)*100</f>
        <v>102.75914463175067</v>
      </c>
    </row>
    <row r="11" spans="1:22" ht="13.5" thickBot="1">
      <c r="A11" s="414" t="s">
        <v>294</v>
      </c>
      <c r="B11" s="175">
        <f>'Kapitálové výdavky'!D146</f>
        <v>2988050</v>
      </c>
      <c r="C11" s="175">
        <f>'Kapitálové výdavky'!E146</f>
        <v>1793069</v>
      </c>
      <c r="D11" s="175">
        <f>'Kapitálové výdavky'!F146</f>
        <v>2942409</v>
      </c>
      <c r="E11" s="175">
        <f>'Kapitálové výdavky'!G146</f>
        <v>4880528</v>
      </c>
      <c r="F11" s="175">
        <f>'Kapitálové výdavky'!H146</f>
        <v>5977301</v>
      </c>
      <c r="G11" s="175">
        <f>'Kapitálové výdavky'!I146</f>
        <v>5818483</v>
      </c>
      <c r="H11" s="175">
        <f>'Kapitálové výdavky'!J146</f>
        <v>4719096</v>
      </c>
      <c r="I11" s="175">
        <f>'Kapitálové výdavky'!K146</f>
        <v>3939694</v>
      </c>
      <c r="J11" s="175">
        <f>'Kapitálové výdavky'!L146</f>
        <v>1800938.79</v>
      </c>
      <c r="K11" s="176">
        <f>'Kapitálové výdavky'!M146</f>
        <v>2904600.1800000006</v>
      </c>
      <c r="L11" s="176">
        <f>'Kapitálové výdavky'!N146</f>
        <v>1348818.6500000001</v>
      </c>
      <c r="M11" s="176">
        <f>'Kapitálové výdavky'!O146</f>
        <v>1900647.68</v>
      </c>
      <c r="N11" s="175">
        <f>'Kapitálové výdavky'!P146</f>
        <v>2329182.13</v>
      </c>
      <c r="O11" s="176">
        <f>'Kapitálové výdavky'!Q146</f>
        <v>2649518.4899999998</v>
      </c>
      <c r="P11" s="176">
        <f>'Kapitálové výdavky'!R146</f>
        <v>9465463</v>
      </c>
      <c r="Q11" s="176">
        <f>'Kapitálové výdavky'!S146</f>
        <v>6260788.56</v>
      </c>
      <c r="R11" s="176">
        <f>'Kapitálové výdavky'!T146</f>
        <v>3770750.1299999994</v>
      </c>
      <c r="S11" s="175">
        <f>'Kapitálové výdavky'!U146</f>
        <v>3000046</v>
      </c>
      <c r="T11" s="175">
        <f>'Kapitálové výdavky'!V146</f>
        <v>4267887</v>
      </c>
      <c r="U11" s="176">
        <f>'Kapitálové výdavky'!W146</f>
        <v>3231552.74</v>
      </c>
      <c r="V11" s="679">
        <f>IF(T11=0,0,U11/T11)*100</f>
        <v>75.71786085245463</v>
      </c>
    </row>
    <row r="12" spans="1:22" ht="15.75" thickBot="1">
      <c r="A12" s="418" t="s">
        <v>295</v>
      </c>
      <c r="B12" s="419">
        <f aca="true" t="shared" si="2" ref="B12:K12">B10-B11</f>
        <v>-874958</v>
      </c>
      <c r="C12" s="419">
        <f t="shared" si="2"/>
        <v>-775111</v>
      </c>
      <c r="D12" s="419">
        <f t="shared" si="2"/>
        <v>-1697040</v>
      </c>
      <c r="E12" s="419">
        <f t="shared" si="2"/>
        <v>-489115</v>
      </c>
      <c r="F12" s="419">
        <f t="shared" si="2"/>
        <v>-2521160</v>
      </c>
      <c r="G12" s="419">
        <f t="shared" si="2"/>
        <v>-1168770</v>
      </c>
      <c r="H12" s="419">
        <f t="shared" si="2"/>
        <v>-216321.9400000004</v>
      </c>
      <c r="I12" s="419">
        <f t="shared" si="2"/>
        <v>-261197</v>
      </c>
      <c r="J12" s="420">
        <f t="shared" si="2"/>
        <v>-582600.2000000002</v>
      </c>
      <c r="K12" s="420">
        <f t="shared" si="2"/>
        <v>-2152302.6600000006</v>
      </c>
      <c r="L12" s="420">
        <f aca="true" t="shared" si="3" ref="L12:R12">L10-L11</f>
        <v>-413282.4700000001</v>
      </c>
      <c r="M12" s="420">
        <f t="shared" si="3"/>
        <v>-204405.88000000012</v>
      </c>
      <c r="N12" s="419">
        <f t="shared" si="3"/>
        <v>-205934.60999999987</v>
      </c>
      <c r="O12" s="420">
        <f t="shared" si="3"/>
        <v>-1122855.8499999999</v>
      </c>
      <c r="P12" s="420">
        <f t="shared" si="3"/>
        <v>-6827295</v>
      </c>
      <c r="Q12" s="420">
        <f t="shared" si="3"/>
        <v>-3398479.0599999996</v>
      </c>
      <c r="R12" s="420">
        <f t="shared" si="3"/>
        <v>-377265.5899999994</v>
      </c>
      <c r="S12" s="419">
        <f>S10-S11</f>
        <v>-2650046</v>
      </c>
      <c r="T12" s="419">
        <f>T10-T11</f>
        <v>-3326351</v>
      </c>
      <c r="U12" s="420">
        <f>U10-U11</f>
        <v>-2264038.4000000004</v>
      </c>
      <c r="V12" s="687"/>
    </row>
    <row r="13" spans="1:22" ht="14.25" thickBot="1" thickTop="1">
      <c r="A13" s="852"/>
      <c r="B13" s="853"/>
      <c r="C13" s="853"/>
      <c r="D13" s="853"/>
      <c r="E13" s="853"/>
      <c r="F13" s="853"/>
      <c r="G13" s="853"/>
      <c r="H13" s="853"/>
      <c r="I13" s="853"/>
      <c r="J13" s="853"/>
      <c r="K13" s="853"/>
      <c r="L13" s="853"/>
      <c r="M13" s="853"/>
      <c r="N13" s="853"/>
      <c r="O13" s="853"/>
      <c r="P13" s="853"/>
      <c r="Q13" s="853"/>
      <c r="R13" s="853"/>
      <c r="S13" s="853"/>
      <c r="T13" s="853"/>
      <c r="U13" s="853"/>
      <c r="V13" s="854"/>
    </row>
    <row r="14" spans="1:22" ht="13.5" thickTop="1">
      <c r="A14" s="412" t="s">
        <v>296</v>
      </c>
      <c r="B14" s="413">
        <f>'Fin operácie - príjmy'!D23</f>
        <v>499436</v>
      </c>
      <c r="C14" s="413">
        <f>'Fin operácie - príjmy'!E23</f>
        <v>313085</v>
      </c>
      <c r="D14" s="413">
        <f>'Fin operácie - príjmy'!F23</f>
        <v>1640749</v>
      </c>
      <c r="E14" s="413">
        <f>'Fin operácie - príjmy'!G23</f>
        <v>2754938</v>
      </c>
      <c r="F14" s="413">
        <f>'Fin operácie - príjmy'!H23</f>
        <v>4479434</v>
      </c>
      <c r="G14" s="413">
        <f>'Fin operácie - príjmy'!I23</f>
        <v>2266668</v>
      </c>
      <c r="H14" s="413">
        <f>'Fin operácie - príjmy'!J23</f>
        <v>1305406</v>
      </c>
      <c r="I14" s="413">
        <f>'Fin operácie - príjmy'!K23</f>
        <v>1509534</v>
      </c>
      <c r="J14" s="413">
        <f>'Fin operácie - príjmy'!L23</f>
        <v>1300969.13</v>
      </c>
      <c r="K14" s="451">
        <f>'Fin operácie - príjmy'!M23</f>
        <v>2766561.36</v>
      </c>
      <c r="L14" s="451">
        <f>'Fin operácie - príjmy'!N23</f>
        <v>2492133.9299999997</v>
      </c>
      <c r="M14" s="451">
        <f>'Fin operácie - príjmy'!O23</f>
        <v>1267177.12</v>
      </c>
      <c r="N14" s="413">
        <f>'Fin operácie - príjmy'!P23</f>
        <v>1389578.65</v>
      </c>
      <c r="O14" s="451">
        <f>'Fin operácie - príjmy'!Q23</f>
        <v>1600445.57</v>
      </c>
      <c r="P14" s="451">
        <f>'Fin operácie - príjmy'!R23</f>
        <v>7583014</v>
      </c>
      <c r="Q14" s="451">
        <f>'Fin operácie - príjmy'!S23</f>
        <v>7475946.97</v>
      </c>
      <c r="R14" s="451">
        <f>'Fin operácie - príjmy'!T23</f>
        <v>7627753.13</v>
      </c>
      <c r="S14" s="413">
        <f>'Fin operácie - príjmy'!U23</f>
        <v>3225098</v>
      </c>
      <c r="T14" s="413">
        <f>'Fin operácie - príjmy'!V23</f>
        <v>4478018</v>
      </c>
      <c r="U14" s="451">
        <f>'Fin operácie - príjmy'!W23</f>
        <v>3362549.95</v>
      </c>
      <c r="V14" s="685">
        <f>IF(T14=0,0,U14/T14)*100</f>
        <v>75.09013920890895</v>
      </c>
    </row>
    <row r="15" spans="1:22" ht="13.5" thickBot="1">
      <c r="A15" s="414" t="s">
        <v>297</v>
      </c>
      <c r="B15" s="175">
        <f>'Finančné operácie - výdavky'!D12</f>
        <v>477793</v>
      </c>
      <c r="C15" s="175">
        <f>'Finančné operácie - výdavky'!E12</f>
        <v>470856</v>
      </c>
      <c r="D15" s="175">
        <f>'Finančné operácie - výdavky'!F12</f>
        <v>334085</v>
      </c>
      <c r="E15" s="175">
        <f>'Finančné operácie - výdavky'!G12</f>
        <v>1303204</v>
      </c>
      <c r="F15" s="175">
        <f>'Finančné operácie - výdavky'!H12</f>
        <v>978096</v>
      </c>
      <c r="G15" s="175">
        <f>'Finančné operácie - výdavky'!I12</f>
        <v>1356608</v>
      </c>
      <c r="H15" s="175">
        <f>'Finančné operácie - výdavky'!J12</f>
        <v>1191263</v>
      </c>
      <c r="I15" s="175">
        <f>'Finančné operácie - výdavky'!K12</f>
        <v>977990</v>
      </c>
      <c r="J15" s="175">
        <f>'Finančné operácie - výdavky'!L12</f>
        <v>439019.94999999995</v>
      </c>
      <c r="K15" s="176">
        <f>'Finančné operácie - výdavky'!M12</f>
        <v>540080.3</v>
      </c>
      <c r="L15" s="176">
        <f>'Finančné operácie - výdavky'!N12</f>
        <v>2548753.6599999997</v>
      </c>
      <c r="M15" s="176">
        <f>'Finančné operácie - výdavky'!O12</f>
        <v>484835.82</v>
      </c>
      <c r="N15" s="175">
        <f>'Finančné operácie - výdavky'!P12</f>
        <v>849215.54</v>
      </c>
      <c r="O15" s="176">
        <f>'Finančné operácie - výdavky'!Q12</f>
        <v>553837.26</v>
      </c>
      <c r="P15" s="176">
        <f>'Finančné operácie - výdavky'!R12</f>
        <v>919778</v>
      </c>
      <c r="Q15" s="176">
        <f>'Finančné operácie - výdavky'!S12</f>
        <v>614297.92</v>
      </c>
      <c r="R15" s="176">
        <f>'Finančné operácie - výdavky'!T12</f>
        <v>5533098.83</v>
      </c>
      <c r="S15" s="175">
        <f>'Finančné operácie - výdavky'!U12</f>
        <v>520439</v>
      </c>
      <c r="T15" s="175">
        <f>'Finančné operácie - výdavky'!V12</f>
        <v>916163</v>
      </c>
      <c r="U15" s="176">
        <f>'Finančné operácie - výdavky'!W12</f>
        <v>974810.43</v>
      </c>
      <c r="V15" s="679">
        <f>IF(T15=0,0,U15/T15)*100</f>
        <v>106.40141874317126</v>
      </c>
    </row>
    <row r="16" spans="1:22" ht="15.75" thickBot="1">
      <c r="A16" s="418" t="s">
        <v>209</v>
      </c>
      <c r="B16" s="419">
        <f aca="true" t="shared" si="4" ref="B16:K16">B14-B15</f>
        <v>21643</v>
      </c>
      <c r="C16" s="419">
        <f t="shared" si="4"/>
        <v>-157771</v>
      </c>
      <c r="D16" s="419">
        <f t="shared" si="4"/>
        <v>1306664</v>
      </c>
      <c r="E16" s="419">
        <f t="shared" si="4"/>
        <v>1451734</v>
      </c>
      <c r="F16" s="419">
        <f t="shared" si="4"/>
        <v>3501338</v>
      </c>
      <c r="G16" s="419">
        <f t="shared" si="4"/>
        <v>910060</v>
      </c>
      <c r="H16" s="419">
        <f t="shared" si="4"/>
        <v>114143</v>
      </c>
      <c r="I16" s="419">
        <f t="shared" si="4"/>
        <v>531544</v>
      </c>
      <c r="J16" s="420">
        <f t="shared" si="4"/>
        <v>861949.1799999999</v>
      </c>
      <c r="K16" s="420">
        <f t="shared" si="4"/>
        <v>2226481.0599999996</v>
      </c>
      <c r="L16" s="420">
        <f aca="true" t="shared" si="5" ref="L16:U16">L14-L15</f>
        <v>-56619.72999999998</v>
      </c>
      <c r="M16" s="420">
        <f t="shared" si="5"/>
        <v>782341.3</v>
      </c>
      <c r="N16" s="419">
        <f t="shared" si="5"/>
        <v>540363.1099999999</v>
      </c>
      <c r="O16" s="420">
        <f t="shared" si="5"/>
        <v>1046608.31</v>
      </c>
      <c r="P16" s="420">
        <f t="shared" si="5"/>
        <v>6663236</v>
      </c>
      <c r="Q16" s="420">
        <f t="shared" si="5"/>
        <v>6861649.05</v>
      </c>
      <c r="R16" s="420">
        <f t="shared" si="5"/>
        <v>2094654.2999999998</v>
      </c>
      <c r="S16" s="419">
        <f t="shared" si="5"/>
        <v>2704659</v>
      </c>
      <c r="T16" s="419">
        <f t="shared" si="5"/>
        <v>3561855</v>
      </c>
      <c r="U16" s="420">
        <f t="shared" si="5"/>
        <v>2387739.52</v>
      </c>
      <c r="V16" s="687"/>
    </row>
    <row r="17" spans="1:22" ht="14.25" thickBot="1" thickTop="1">
      <c r="A17" s="849"/>
      <c r="B17" s="850"/>
      <c r="C17" s="850"/>
      <c r="D17" s="850"/>
      <c r="E17" s="850"/>
      <c r="F17" s="850"/>
      <c r="G17" s="850"/>
      <c r="H17" s="850"/>
      <c r="I17" s="850"/>
      <c r="J17" s="850"/>
      <c r="K17" s="850"/>
      <c r="L17" s="850"/>
      <c r="M17" s="850"/>
      <c r="N17" s="850"/>
      <c r="O17" s="850"/>
      <c r="P17" s="850"/>
      <c r="Q17" s="850"/>
      <c r="R17" s="850"/>
      <c r="S17" s="850"/>
      <c r="T17" s="850"/>
      <c r="U17" s="850"/>
      <c r="V17" s="851"/>
    </row>
    <row r="18" spans="1:22" ht="16.5" customHeight="1" thickTop="1">
      <c r="A18" s="843" t="s">
        <v>210</v>
      </c>
      <c r="B18" s="844"/>
      <c r="C18" s="844"/>
      <c r="D18" s="844"/>
      <c r="E18" s="844"/>
      <c r="F18" s="844"/>
      <c r="G18" s="844"/>
      <c r="H18" s="844"/>
      <c r="I18" s="844"/>
      <c r="J18" s="844"/>
      <c r="K18" s="844"/>
      <c r="L18" s="844"/>
      <c r="M18" s="844"/>
      <c r="N18" s="844"/>
      <c r="O18" s="844"/>
      <c r="P18" s="844"/>
      <c r="Q18" s="844"/>
      <c r="R18" s="844"/>
      <c r="S18" s="844"/>
      <c r="T18" s="844"/>
      <c r="U18" s="844"/>
      <c r="V18" s="845"/>
    </row>
    <row r="19" spans="1:22" ht="13.5" thickBot="1">
      <c r="A19" s="846"/>
      <c r="B19" s="847"/>
      <c r="C19" s="847"/>
      <c r="D19" s="847"/>
      <c r="E19" s="847"/>
      <c r="F19" s="847"/>
      <c r="G19" s="847"/>
      <c r="H19" s="847"/>
      <c r="I19" s="847"/>
      <c r="J19" s="847"/>
      <c r="K19" s="847"/>
      <c r="L19" s="847"/>
      <c r="M19" s="847"/>
      <c r="N19" s="847"/>
      <c r="O19" s="847"/>
      <c r="P19" s="847"/>
      <c r="Q19" s="847"/>
      <c r="R19" s="847"/>
      <c r="S19" s="847"/>
      <c r="T19" s="847"/>
      <c r="U19" s="847"/>
      <c r="V19" s="848"/>
    </row>
    <row r="20" spans="1:22" ht="17.25" thickBot="1" thickTop="1">
      <c r="A20" s="421" t="s">
        <v>211</v>
      </c>
      <c r="B20" s="422">
        <f aca="true" t="shared" si="6" ref="B20:J20">B8+B12+B16</f>
        <v>405431</v>
      </c>
      <c r="C20" s="422">
        <f t="shared" si="6"/>
        <v>168758</v>
      </c>
      <c r="D20" s="422">
        <f t="shared" si="6"/>
        <v>859707</v>
      </c>
      <c r="E20" s="422">
        <f t="shared" si="6"/>
        <v>1327171.5700000003</v>
      </c>
      <c r="F20" s="422">
        <f t="shared" si="6"/>
        <v>208476</v>
      </c>
      <c r="G20" s="422">
        <f t="shared" si="6"/>
        <v>94499.80000000075</v>
      </c>
      <c r="H20" s="422">
        <f t="shared" si="6"/>
        <v>91581.05999999959</v>
      </c>
      <c r="I20" s="422">
        <f t="shared" si="6"/>
        <v>1047366</v>
      </c>
      <c r="J20" s="423">
        <f t="shared" si="6"/>
        <v>347131.8399999973</v>
      </c>
      <c r="K20" s="423">
        <f aca="true" t="shared" si="7" ref="K20:Q20">K8+K12+K16</f>
        <v>532701.02</v>
      </c>
      <c r="L20" s="423">
        <f t="shared" si="7"/>
        <v>581723.0200000006</v>
      </c>
      <c r="M20" s="423">
        <f t="shared" si="7"/>
        <v>1496254.8000000026</v>
      </c>
      <c r="N20" s="422">
        <f t="shared" si="7"/>
        <v>1355042.8900000006</v>
      </c>
      <c r="O20" s="423">
        <f t="shared" si="7"/>
        <v>721830.8199999977</v>
      </c>
      <c r="P20" s="422">
        <f t="shared" si="7"/>
        <v>1159781.5099999998</v>
      </c>
      <c r="Q20" s="422">
        <f t="shared" si="7"/>
        <v>4326997.269999998</v>
      </c>
      <c r="R20" s="422">
        <f>R8+R12+R16</f>
        <v>2009302.2299999981</v>
      </c>
      <c r="S20" s="465">
        <f>S16+S12+S8</f>
        <v>0</v>
      </c>
      <c r="T20" s="422">
        <f>T16+T12+T8</f>
        <v>49673</v>
      </c>
      <c r="U20" s="609">
        <f>U16+U12+U8</f>
        <v>570914.2499999986</v>
      </c>
      <c r="V20" s="464">
        <f>V16+V12+V8</f>
        <v>0</v>
      </c>
    </row>
    <row r="21" spans="1:22" ht="16.5" thickTop="1">
      <c r="A21" s="582"/>
      <c r="B21" s="583"/>
      <c r="C21" s="583"/>
      <c r="D21" s="583"/>
      <c r="E21" s="583"/>
      <c r="F21" s="583"/>
      <c r="G21" s="583"/>
      <c r="H21" s="583"/>
      <c r="I21" s="583"/>
      <c r="J21" s="584"/>
      <c r="K21" s="584"/>
      <c r="L21" s="584"/>
      <c r="M21" s="584"/>
      <c r="N21" s="583"/>
      <c r="O21" s="584"/>
      <c r="P21" s="583"/>
      <c r="Q21" s="583"/>
      <c r="R21" s="583"/>
      <c r="S21" s="583"/>
      <c r="T21" s="583"/>
      <c r="U21" s="585"/>
      <c r="V21" s="583"/>
    </row>
    <row r="22" ht="24.75" customHeight="1">
      <c r="U22" s="410"/>
    </row>
    <row r="23" spans="20:22" ht="12.75">
      <c r="T23" s="2"/>
      <c r="U23" s="2"/>
      <c r="V23" s="2"/>
    </row>
    <row r="24" spans="20:22" ht="17.25" customHeight="1">
      <c r="T24" s="503"/>
      <c r="U24" s="688"/>
      <c r="V24" s="503"/>
    </row>
    <row r="25" spans="20:22" ht="15.75" customHeight="1">
      <c r="T25" s="574"/>
      <c r="U25" s="574"/>
      <c r="V25" s="574"/>
    </row>
    <row r="26" spans="11:22" ht="15.75">
      <c r="K26" s="2"/>
      <c r="M26" s="2"/>
      <c r="N26" s="2"/>
      <c r="O26" s="2"/>
      <c r="P26" s="2"/>
      <c r="Q26" s="2"/>
      <c r="R26" s="2"/>
      <c r="S26" s="2"/>
      <c r="T26" s="2"/>
      <c r="U26" s="688"/>
      <c r="V26" s="503"/>
    </row>
    <row r="27" spans="21:22" ht="15.75">
      <c r="U27" s="688"/>
      <c r="V27" s="503"/>
    </row>
    <row r="28" spans="21:22" ht="12.75">
      <c r="U28" s="603"/>
      <c r="V28" s="2"/>
    </row>
    <row r="29" spans="20:22" ht="12.75">
      <c r="T29" s="2"/>
      <c r="U29" s="602"/>
      <c r="V29" s="2"/>
    </row>
    <row r="30" spans="20:22" ht="12.75">
      <c r="T30" s="2"/>
      <c r="U30" s="2"/>
      <c r="V30" s="2"/>
    </row>
    <row r="31" ht="12.75">
      <c r="V31" s="2"/>
    </row>
    <row r="32" spans="10:22" ht="13.5" customHeight="1">
      <c r="J32" s="501"/>
      <c r="T32" s="2"/>
      <c r="U32" s="2"/>
      <c r="V32" s="2"/>
    </row>
    <row r="33" spans="20:22" ht="12.75">
      <c r="T33" s="2"/>
      <c r="U33" s="2"/>
      <c r="V33" s="2"/>
    </row>
    <row r="34" ht="12.75">
      <c r="V34" s="2"/>
    </row>
    <row r="35" ht="12.75">
      <c r="J35" s="2"/>
    </row>
    <row r="36" ht="12.75">
      <c r="V36" s="525"/>
    </row>
    <row r="39" spans="20:22" ht="12.75">
      <c r="T39" s="2"/>
      <c r="U39" s="2"/>
      <c r="V39" s="2"/>
    </row>
    <row r="41" ht="12.75">
      <c r="V41" s="2"/>
    </row>
    <row r="42" ht="12.75">
      <c r="V42" s="2"/>
    </row>
    <row r="44" ht="12.75">
      <c r="V44" s="2"/>
    </row>
    <row r="48" spans="20:22" ht="12.75">
      <c r="T48" s="2"/>
      <c r="U48" s="2"/>
      <c r="V48" s="2"/>
    </row>
    <row r="63" spans="20:21" ht="12.75">
      <c r="T63" s="2"/>
      <c r="U63" s="2"/>
    </row>
    <row r="64" spans="20:21" ht="12.75">
      <c r="T64" s="2"/>
      <c r="U64" s="2"/>
    </row>
    <row r="70" ht="12.75">
      <c r="J70">
        <f>SUM(J56:J69)</f>
        <v>0</v>
      </c>
    </row>
    <row r="71" spans="20:21" ht="12.75">
      <c r="T71" s="2"/>
      <c r="U71" s="2"/>
    </row>
    <row r="72" spans="20:21" ht="12.75">
      <c r="T72" s="2"/>
      <c r="U72" s="2"/>
    </row>
    <row r="74" spans="1:10" ht="12.75">
      <c r="A74" s="499"/>
      <c r="J74">
        <v>12000</v>
      </c>
    </row>
    <row r="75" ht="12.75">
      <c r="J75">
        <v>5000</v>
      </c>
    </row>
    <row r="76" ht="12.75">
      <c r="J76">
        <v>5000</v>
      </c>
    </row>
    <row r="77" ht="12.75">
      <c r="J77">
        <v>7000</v>
      </c>
    </row>
    <row r="83" ht="12.75">
      <c r="J83">
        <f>SUM(J74:J82)</f>
        <v>29000</v>
      </c>
    </row>
  </sheetData>
  <sheetProtection/>
  <mergeCells count="27">
    <mergeCell ref="D3:D5"/>
    <mergeCell ref="C3:C5"/>
    <mergeCell ref="J3:J5"/>
    <mergeCell ref="K3:K5"/>
    <mergeCell ref="M3:M5"/>
    <mergeCell ref="F3:F5"/>
    <mergeCell ref="G3:G5"/>
    <mergeCell ref="E3:E5"/>
    <mergeCell ref="V3:V5"/>
    <mergeCell ref="L3:L5"/>
    <mergeCell ref="T3:T5"/>
    <mergeCell ref="N3:N5"/>
    <mergeCell ref="P3:P5"/>
    <mergeCell ref="Q3:Q5"/>
    <mergeCell ref="R3:R5"/>
    <mergeCell ref="S3:S5"/>
    <mergeCell ref="U3:U5"/>
    <mergeCell ref="A1:V1"/>
    <mergeCell ref="I3:I5"/>
    <mergeCell ref="H3:H5"/>
    <mergeCell ref="A3:A5"/>
    <mergeCell ref="B3:B5"/>
    <mergeCell ref="A18:V19"/>
    <mergeCell ref="A17:V17"/>
    <mergeCell ref="A9:V9"/>
    <mergeCell ref="A13:V13"/>
    <mergeCell ref="O3:O5"/>
  </mergeCells>
  <printOptions/>
  <pageMargins left="0.75" right="0.75" top="1" bottom="1" header="0.4921259845" footer="0.4921259845"/>
  <pageSetup orientation="landscape" paperSize="9" scale="94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 Kamenicky</dc:creator>
  <cp:keywords/>
  <dc:description/>
  <cp:lastModifiedBy>spisakova</cp:lastModifiedBy>
  <cp:lastPrinted>2024-04-19T06:50:37Z</cp:lastPrinted>
  <dcterms:created xsi:type="dcterms:W3CDTF">2009-12-28T11:25:53Z</dcterms:created>
  <dcterms:modified xsi:type="dcterms:W3CDTF">2024-04-19T06:51:48Z</dcterms:modified>
  <cp:category/>
  <cp:version/>
  <cp:contentType/>
  <cp:contentStatus/>
</cp:coreProperties>
</file>