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65" yWindow="525" windowWidth="13080" windowHeight="11760" activeTab="0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Použitie IF" sheetId="9" r:id="rId9"/>
    <sheet name="Použitie RF a IF" sheetId="10" r:id="rId10"/>
  </sheets>
  <definedNames/>
  <calcPr fullCalcOnLoad="1"/>
</workbook>
</file>

<file path=xl/sharedStrings.xml><?xml version="1.0" encoding="utf-8"?>
<sst xmlns="http://schemas.openxmlformats.org/spreadsheetml/2006/main" count="813" uniqueCount="465">
  <si>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</si>
  <si>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</si>
  <si>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</si>
  <si>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</si>
  <si>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</si>
  <si>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</si>
  <si>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</si>
  <si>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</si>
  <si>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</si>
  <si>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</si>
  <si>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</si>
  <si>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</si>
  <si>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</si>
  <si>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</si>
  <si>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</si>
  <si>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</si>
  <si>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</si>
  <si>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</si>
  <si>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</si>
  <si>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</si>
  <si>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</si>
  <si>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</si>
  <si>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</si>
  <si>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</si>
  <si>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</si>
  <si>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</si>
  <si>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</si>
  <si>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</si>
  <si>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</si>
  <si>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</si>
  <si>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</si>
  <si>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</si>
  <si>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</si>
  <si>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</si>
  <si>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</si>
  <si>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</si>
  <si>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</si>
  <si>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MPV - ostatné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</si>
  <si>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</si>
  <si>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</si>
  <si>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</si>
  <si>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</si>
  <si>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</si>
  <si>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</si>
  <si>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</si>
  <si>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</si>
  <si>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</si>
  <si>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</si>
  <si>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</si>
  <si>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Spolu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</si>
  <si>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</si>
  <si>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</si>
  <si>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</si>
  <si>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</si>
  <si>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</si>
  <si>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</si>
  <si>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Príjmy z prevodov peňaž. Fondov obcí FRB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</si>
  <si>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</si>
  <si>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</si>
  <si>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</si>
  <si>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</si>
  <si>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</si>
  <si>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</si>
  <si>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</si>
  <si>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</si>
  <si>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</si>
  <si>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</si>
  <si>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</si>
  <si>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</si>
  <si>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</si>
  <si>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</si>
  <si>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</si>
  <si>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</si>
  <si>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</si>
  <si>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</si>
  <si>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</si>
  <si>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</si>
  <si>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Zdroje krytia</t>
  </si>
  <si>
    <t>prebytok BR</t>
  </si>
  <si>
    <t>kapitálové príjmy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</si>
  <si>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</si>
  <si>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</si>
  <si>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</si>
  <si>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</si>
  <si>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</si>
  <si>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</si>
  <si>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</si>
  <si>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</si>
  <si>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</si>
  <si>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</si>
  <si>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</si>
  <si>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</si>
  <si>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</si>
  <si>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</si>
  <si>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</si>
  <si>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</si>
  <si>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</si>
  <si>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</si>
  <si>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</si>
  <si>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</si>
  <si>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</si>
  <si>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</si>
  <si>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</si>
  <si>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</si>
  <si>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</si>
  <si>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</si>
  <si>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</si>
  <si>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</si>
  <si>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</si>
  <si>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</si>
  <si>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</si>
  <si>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</si>
  <si>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</si>
  <si>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</si>
  <si>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</si>
  <si>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</si>
  <si>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</si>
  <si>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</si>
  <si>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</si>
  <si>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</si>
  <si>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</si>
  <si>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</si>
  <si>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</si>
  <si>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</si>
  <si>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</si>
  <si>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</si>
  <si>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</si>
  <si>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</si>
  <si>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</si>
  <si>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</si>
  <si>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</si>
  <si>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Obce TKO</t>
  </si>
  <si>
    <t>Za stravné v Jedálni-šek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</si>
  <si>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</si>
  <si>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</si>
  <si>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</si>
  <si>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</si>
  <si>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</si>
  <si>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</si>
  <si>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</si>
  <si>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</si>
  <si>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</si>
  <si>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</si>
  <si>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</si>
  <si>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</si>
  <si>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</si>
  <si>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</si>
  <si>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</si>
  <si>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</si>
  <si>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</si>
  <si>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</si>
  <si>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</si>
  <si>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</si>
  <si>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</si>
  <si>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</si>
  <si>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</si>
  <si>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</si>
  <si>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</si>
  <si>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</si>
  <si>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</si>
  <si>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</si>
  <si>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</si>
  <si>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</si>
  <si>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</si>
  <si>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Kostol sv. Jakuba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</si>
  <si>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</si>
  <si>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</si>
  <si>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</si>
  <si>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</si>
  <si>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</si>
  <si>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</si>
  <si>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</si>
  <si>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</si>
  <si>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</si>
  <si>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</si>
  <si>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</si>
  <si>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</si>
  <si>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</si>
  <si>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</si>
  <si>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</si>
  <si>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</si>
  <si>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</si>
  <si>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</si>
  <si>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</si>
  <si>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</si>
  <si>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</si>
  <si>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</si>
  <si>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</si>
  <si>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</si>
  <si>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</si>
  <si>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</si>
  <si>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</si>
  <si>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</si>
  <si>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</si>
  <si>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</si>
  <si>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</si>
  <si>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</si>
  <si>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</si>
  <si>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</si>
  <si>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</si>
  <si>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</si>
  <si>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</si>
  <si>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</si>
  <si>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</si>
  <si>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</si>
  <si>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</si>
  <si>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</si>
  <si>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</si>
  <si>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</si>
  <si>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</si>
  <si>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</si>
  <si>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</si>
  <si>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</si>
  <si>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</si>
  <si>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</si>
  <si>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</si>
  <si>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</si>
  <si>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</si>
  <si>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</si>
  <si>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</si>
  <si>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</si>
  <si>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</si>
  <si>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</si>
  <si>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</si>
  <si>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</si>
  <si>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</si>
  <si>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</si>
  <si>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</si>
  <si>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</si>
  <si>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</si>
  <si>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</si>
  <si>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</si>
  <si>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</si>
  <si>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</si>
  <si>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</si>
  <si>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</si>
  <si>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</si>
  <si>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</si>
  <si>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</si>
  <si>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</si>
  <si>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</si>
  <si>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</si>
  <si>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</si>
  <si>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</si>
  <si>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</si>
  <si>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</si>
  <si>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</si>
  <si>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</si>
  <si>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</si>
  <si>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</si>
  <si>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</si>
  <si>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</si>
  <si>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</si>
  <si>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</si>
  <si>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</si>
  <si>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</si>
  <si>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</si>
  <si>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</si>
  <si>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</si>
  <si>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</si>
  <si>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</si>
  <si>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</si>
  <si>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</si>
  <si>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</si>
  <si>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</si>
  <si>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</si>
  <si>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</si>
  <si>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</si>
  <si>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</si>
  <si>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</si>
  <si>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</si>
  <si>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04.9.0</t>
  </si>
  <si>
    <t>Chránená dielňa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</si>
  <si>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</si>
  <si>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</si>
  <si>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</si>
  <si>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</si>
  <si>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</si>
  <si>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</si>
  <si>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</si>
  <si>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</si>
  <si>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</si>
  <si>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</si>
  <si>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</si>
  <si>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</si>
  <si>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</si>
  <si>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</si>
  <si>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</si>
  <si>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</si>
  <si>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</si>
  <si>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</si>
  <si>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</si>
  <si>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</si>
  <si>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</si>
  <si>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</si>
  <si>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</si>
  <si>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</si>
  <si>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</si>
  <si>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</si>
  <si>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</si>
  <si>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</si>
  <si>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</si>
  <si>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</si>
  <si>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</si>
  <si>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</si>
  <si>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</si>
  <si>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</si>
  <si>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</si>
  <si>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</si>
  <si>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</si>
  <si>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</si>
  <si>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</si>
  <si>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</si>
  <si>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</si>
  <si>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</si>
  <si>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</si>
  <si>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</si>
  <si>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</si>
  <si>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</si>
  <si>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</si>
  <si>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</si>
  <si>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</si>
  <si>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</si>
  <si>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</si>
  <si>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Čerpanie rozpočtu 2016</t>
  </si>
  <si>
    <t>projekty</t>
  </si>
  <si>
    <t>Oprava VO</t>
  </si>
  <si>
    <t>Časť 1.2.2. Výdavky kapitálového rozpočtu</t>
  </si>
  <si>
    <t>Cesta ul. Okružná</t>
  </si>
  <si>
    <t>MPV Plantáže</t>
  </si>
  <si>
    <t>ZŠ G. Haina</t>
  </si>
  <si>
    <t>zábezpeky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</si>
  <si>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</si>
  <si>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</si>
  <si>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</si>
  <si>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</si>
  <si>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</si>
  <si>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</si>
  <si>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</si>
  <si>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</si>
  <si>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</si>
  <si>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</si>
  <si>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</si>
  <si>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</si>
  <si>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</si>
  <si>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</si>
  <si>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</si>
  <si>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</si>
  <si>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</si>
  <si>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</si>
  <si>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</si>
  <si>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 xml:space="preserve">ZUŠ Levoča </t>
  </si>
  <si>
    <t>Rekonštrukcia - spolufinancovanie</t>
  </si>
  <si>
    <t>fondové účty</t>
  </si>
  <si>
    <t>Akčný plán</t>
  </si>
  <si>
    <t>Meštiansky dom, NMP 51</t>
  </si>
  <si>
    <t>krátkodobý úver</t>
  </si>
  <si>
    <t>OZ Levočan</t>
  </si>
  <si>
    <t xml:space="preserve">Transfer pre TS </t>
  </si>
  <si>
    <t>Čerpanie rozpočtu 2019</t>
  </si>
  <si>
    <t>ZŠ Kluberta</t>
  </si>
  <si>
    <t>Návrh rozpočtu 2023</t>
  </si>
  <si>
    <t>Úver ŠFRB</t>
  </si>
  <si>
    <t>žabia cesta</t>
  </si>
  <si>
    <t>MRK Lev. Lúky - komunikácia, osvetlenie</t>
  </si>
  <si>
    <t>Meštiansky dom, NMP 43</t>
  </si>
  <si>
    <t>NMP č.43,51</t>
  </si>
  <si>
    <t>Čerpanie rozpočtu 2020</t>
  </si>
  <si>
    <t>Čerpanie rozpočtu 2021</t>
  </si>
  <si>
    <t>Predpoklad 2022</t>
  </si>
  <si>
    <t>transfery</t>
  </si>
  <si>
    <t>podnikateľská činnosť</t>
  </si>
  <si>
    <t>Ochrana, podpora a rozvoj ver.zdravia</t>
  </si>
  <si>
    <t>Covid - výdavky</t>
  </si>
  <si>
    <t>Prepojovací chodník IBV Krupný jarok</t>
  </si>
  <si>
    <t>Rek. I. etapa Ružová ul.</t>
  </si>
  <si>
    <t>spevnené plochy sídl. Rozvoj</t>
  </si>
  <si>
    <t xml:space="preserve">Radnica NMP 2 </t>
  </si>
  <si>
    <t>Radnica NMP 2 I. etapa</t>
  </si>
  <si>
    <t>Radnica NMP 2 reštaurátorské práce</t>
  </si>
  <si>
    <t>Radnica NMP 2 - autorský dozor</t>
  </si>
  <si>
    <t>Radnica NMP 2 I. etapa - schodolez</t>
  </si>
  <si>
    <t>Rekonštrukcia Špitálska ul.</t>
  </si>
  <si>
    <t>Rekonštrukcia Špitálska ul. - stavebný dozor</t>
  </si>
  <si>
    <t>Regenerácia vnútrobloku sídlisko Západ v Levoči</t>
  </si>
  <si>
    <t>Fond nevyčerp. dot.</t>
  </si>
  <si>
    <t>úver dlhodobý 2022</t>
  </si>
  <si>
    <t>Podnikateľska činnosť</t>
  </si>
  <si>
    <t>NMP 2 Radnica otvorená komunitám</t>
  </si>
  <si>
    <t>Príjem - úemný plán</t>
  </si>
  <si>
    <t>Prevod rezervný fond</t>
  </si>
  <si>
    <t>spolufinancovanie projektov</t>
  </si>
  <si>
    <t>Spolufinancovanie projektov</t>
  </si>
  <si>
    <t>Prevod - krátkodobé úvery</t>
  </si>
  <si>
    <t xml:space="preserve">Prevod - dlhodobé úvery </t>
  </si>
  <si>
    <t>služobné auto</t>
  </si>
  <si>
    <t>Rek.chodníka Gerlachovská ul.</t>
  </si>
  <si>
    <t>Rek. ul. M.R. Štefánika - chodník</t>
  </si>
  <si>
    <t>Rek. ul. Za sédriou - chodník</t>
  </si>
  <si>
    <t>Účel</t>
  </si>
  <si>
    <t>Investičný fond - príspevok pre TS</t>
  </si>
  <si>
    <t>Rezervný fond - príspevok pre TS</t>
  </si>
  <si>
    <t>Dlhodobé úvery rok 2022</t>
  </si>
  <si>
    <t>zmena č.1</t>
  </si>
  <si>
    <t>Upravený rozpočet</t>
  </si>
  <si>
    <t>Rozpočet 2023</t>
  </si>
  <si>
    <t xml:space="preserve">schválené použitie </t>
  </si>
  <si>
    <t>po zmene</t>
  </si>
  <si>
    <t>Revitalizácia amfiteátra v Levoči PD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</si>
  <si>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</si>
  <si>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</si>
  <si>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</si>
  <si>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</si>
  <si>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</si>
  <si>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</si>
  <si>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</si>
  <si>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Kapitálový rozpočet - zdroje krytia</t>
  </si>
  <si>
    <t>el. rozvody ŠJ ZŠ G. Haina</t>
  </si>
  <si>
    <t>zmena č.2</t>
  </si>
  <si>
    <t>Výstavba stojísk zberných nádob</t>
  </si>
  <si>
    <t>Rekonštrukcia Sirotinskej ul.</t>
  </si>
  <si>
    <t>Fotovoltické zariadenie - zimný štadión</t>
  </si>
  <si>
    <t>konvektomat - jedáleň pre dôchodcov</t>
  </si>
  <si>
    <t>Rekonštrukcia cesty - Predmestie</t>
  </si>
  <si>
    <t>Investičný fond - bežné výdavky mesta</t>
  </si>
  <si>
    <t>Ing. Miroslav Vilkovský , MBA</t>
  </si>
  <si>
    <t>primátor mesta</t>
  </si>
  <si>
    <t>Rezervný fond  - bežné výdavky mesta</t>
  </si>
  <si>
    <t>úver z Environmentálneho fondu</t>
  </si>
  <si>
    <t>zmena č.3</t>
  </si>
  <si>
    <t>Dotácia - Ukrajina</t>
  </si>
  <si>
    <t>Oprava asfaltového povrchu NMP</t>
  </si>
  <si>
    <t>Terénne úpravy a dopadové plochy sídl. Hrad</t>
  </si>
  <si>
    <t xml:space="preserve">Námestie Štefana Kluberta č.6 </t>
  </si>
  <si>
    <t>Dom meštiansky na NMP č.28 PD</t>
  </si>
  <si>
    <t xml:space="preserve">Reštaurátorské práce radnica v Levoči </t>
  </si>
  <si>
    <t>Dom meštiansky, NMP č.43</t>
  </si>
  <si>
    <t>Príspevok pre TS - futbalový štadión</t>
  </si>
  <si>
    <t>Príspevok pre MsKS</t>
  </si>
  <si>
    <t>NMP 2 Radnica - interaktívna appka</t>
  </si>
  <si>
    <t>NMP 2 Radnica -technické vybavenie</t>
  </si>
  <si>
    <t>Dotácia - cirkev</t>
  </si>
  <si>
    <t>zmena č.4</t>
  </si>
  <si>
    <t>energie ŠR</t>
  </si>
  <si>
    <t>školy - projekty</t>
  </si>
  <si>
    <t>školy - potraviny</t>
  </si>
  <si>
    <t>referendum</t>
  </si>
  <si>
    <t>610</t>
  </si>
  <si>
    <t>620</t>
  </si>
  <si>
    <t>ukrajina - ubytovanie</t>
  </si>
  <si>
    <t>úver - refinancovanie</t>
  </si>
  <si>
    <t>Radnica</t>
  </si>
  <si>
    <t>Zlepšenie kľúčových kompetencií</t>
  </si>
  <si>
    <t>Stojiská</t>
  </si>
  <si>
    <t>MŠ Predmestie - vybavenie ŠJ</t>
  </si>
  <si>
    <t>VO Staničná ulica</t>
  </si>
  <si>
    <t>oporný múr - ul. Za Sedriou</t>
  </si>
  <si>
    <t>zmena č.5</t>
  </si>
  <si>
    <t>voľby</t>
  </si>
  <si>
    <t>Žabia cesta</t>
  </si>
  <si>
    <t>Radnica - Nórsky mechanizmus</t>
  </si>
  <si>
    <t xml:space="preserve">Centrum pre podporu reg. </t>
  </si>
  <si>
    <t>Odvodnenie spevnených plôch sídliska Západ</t>
  </si>
  <si>
    <t>Zvesené:</t>
  </si>
  <si>
    <t>Vyvesené: 14.11.2023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</si>
</sst>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7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555555"/>
      <name val="Arial"/>
      <family val="2"/>
    </font>
    <font>
      <sz val="10"/>
      <color rgb="FFFF0000"/>
      <name val="Arial CE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double"/>
      <top style="double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/>
      <right style="double"/>
      <top style="double"/>
      <bottom style="double"/>
    </border>
    <border>
      <left style="double"/>
      <right style="medium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medium"/>
      <right style="medium"/>
      <top style="double"/>
      <bottom/>
    </border>
    <border>
      <left style="double"/>
      <right>
        <color indexed="63"/>
      </right>
      <top style="double"/>
      <bottom style="double"/>
    </border>
    <border>
      <left style="double"/>
      <right style="medium"/>
      <top/>
      <bottom style="double"/>
    </border>
    <border>
      <left style="double"/>
      <right style="medium"/>
      <top style="double"/>
      <bottom/>
    </border>
    <border>
      <left style="medium"/>
      <right>
        <color indexed="63"/>
      </right>
      <top style="double"/>
      <bottom/>
    </border>
    <border>
      <left style="medium"/>
      <right>
        <color indexed="63"/>
      </right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/>
      <top style="medium"/>
      <bottom/>
    </border>
    <border>
      <left/>
      <right style="medium"/>
      <top style="double"/>
      <bottom/>
    </border>
    <border>
      <left/>
      <right/>
      <top style="double"/>
      <bottom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8" applyNumberFormat="0" applyAlignment="0" applyProtection="0"/>
    <xf numFmtId="0" fontId="62" fillId="24" borderId="8" applyNumberFormat="0" applyAlignment="0" applyProtection="0"/>
    <xf numFmtId="0" fontId="63" fillId="24" borderId="9" applyNumberFormat="0" applyAlignment="0" applyProtection="0"/>
    <xf numFmtId="0" fontId="64" fillId="0" borderId="0" applyNumberFormat="0" applyFill="0" applyBorder="0" applyAlignment="0" applyProtection="0"/>
    <xf numFmtId="0" fontId="65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94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6" xfId="0" applyNumberFormat="1" applyFont="1" applyFill="1" applyBorder="1" applyAlignment="1">
      <alignment/>
    </xf>
    <xf numFmtId="4" fontId="10" fillId="0" borderId="56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7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6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58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7" xfId="0" applyFont="1" applyFill="1" applyBorder="1" applyAlignment="1">
      <alignment/>
    </xf>
    <xf numFmtId="3" fontId="10" fillId="0" borderId="57" xfId="0" applyNumberFormat="1" applyFont="1" applyFill="1" applyBorder="1" applyAlignment="1">
      <alignment horizontal="right"/>
    </xf>
    <xf numFmtId="0" fontId="10" fillId="0" borderId="56" xfId="0" applyFont="1" applyFill="1" applyBorder="1" applyAlignment="1">
      <alignment/>
    </xf>
    <xf numFmtId="3" fontId="10" fillId="0" borderId="56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7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0" fontId="10" fillId="0" borderId="61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58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7" xfId="0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 horizontal="right"/>
    </xf>
    <xf numFmtId="0" fontId="10" fillId="0" borderId="57" xfId="0" applyFont="1" applyFill="1" applyBorder="1" applyAlignment="1">
      <alignment horizontal="right"/>
    </xf>
    <xf numFmtId="0" fontId="10" fillId="0" borderId="64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left"/>
    </xf>
    <xf numFmtId="3" fontId="10" fillId="0" borderId="64" xfId="0" applyNumberFormat="1" applyFont="1" applyFill="1" applyBorder="1" applyAlignment="1">
      <alignment horizontal="right"/>
    </xf>
    <xf numFmtId="0" fontId="10" fillId="0" borderId="64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5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4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7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 horizontal="center"/>
    </xf>
    <xf numFmtId="49" fontId="10" fillId="0" borderId="57" xfId="0" applyNumberFormat="1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 horizontal="left"/>
    </xf>
    <xf numFmtId="49" fontId="10" fillId="0" borderId="57" xfId="0" applyNumberFormat="1" applyFont="1" applyFill="1" applyBorder="1" applyAlignment="1">
      <alignment horizontal="right"/>
    </xf>
    <xf numFmtId="49" fontId="10" fillId="0" borderId="56" xfId="0" applyNumberFormat="1" applyFont="1" applyFill="1" applyBorder="1" applyAlignment="1">
      <alignment horizontal="left"/>
    </xf>
    <xf numFmtId="3" fontId="10" fillId="0" borderId="56" xfId="0" applyNumberFormat="1" applyFont="1" applyFill="1" applyBorder="1" applyAlignment="1">
      <alignment horizontal="left"/>
    </xf>
    <xf numFmtId="49" fontId="10" fillId="0" borderId="56" xfId="0" applyNumberFormat="1" applyFont="1" applyFill="1" applyBorder="1" applyAlignment="1">
      <alignment horizontal="right"/>
    </xf>
    <xf numFmtId="3" fontId="10" fillId="0" borderId="66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7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58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/>
    </xf>
    <xf numFmtId="49" fontId="7" fillId="0" borderId="57" xfId="0" applyNumberFormat="1" applyFont="1" applyFill="1" applyBorder="1" applyAlignment="1">
      <alignment horizontal="center"/>
    </xf>
    <xf numFmtId="3" fontId="10" fillId="0" borderId="57" xfId="0" applyNumberFormat="1" applyFont="1" applyFill="1" applyBorder="1" applyAlignment="1">
      <alignment/>
    </xf>
    <xf numFmtId="49" fontId="7" fillId="0" borderId="64" xfId="0" applyNumberFormat="1" applyFont="1" applyFill="1" applyBorder="1" applyAlignment="1">
      <alignment horizontal="center"/>
    </xf>
    <xf numFmtId="3" fontId="10" fillId="0" borderId="64" xfId="0" applyNumberFormat="1" applyFont="1" applyFill="1" applyBorder="1" applyAlignment="1">
      <alignment/>
    </xf>
    <xf numFmtId="0" fontId="10" fillId="0" borderId="64" xfId="0" applyFont="1" applyFill="1" applyBorder="1" applyAlignment="1">
      <alignment/>
    </xf>
    <xf numFmtId="49" fontId="7" fillId="0" borderId="56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58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10" fillId="0" borderId="71" xfId="0" applyFont="1" applyFill="1" applyBorder="1" applyAlignment="1">
      <alignment/>
    </xf>
    <xf numFmtId="3" fontId="10" fillId="0" borderId="71" xfId="0" applyNumberFormat="1" applyFont="1" applyFill="1" applyBorder="1" applyAlignment="1">
      <alignment/>
    </xf>
    <xf numFmtId="3" fontId="10" fillId="0" borderId="72" xfId="0" applyNumberFormat="1" applyFont="1" applyFill="1" applyBorder="1" applyAlignment="1">
      <alignment/>
    </xf>
    <xf numFmtId="0" fontId="8" fillId="0" borderId="73" xfId="0" applyFont="1" applyFill="1" applyBorder="1" applyAlignment="1">
      <alignment/>
    </xf>
    <xf numFmtId="0" fontId="8" fillId="0" borderId="74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5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0" fontId="10" fillId="0" borderId="76" xfId="0" applyFont="1" applyFill="1" applyBorder="1" applyAlignment="1">
      <alignment/>
    </xf>
    <xf numFmtId="3" fontId="10" fillId="0" borderId="77" xfId="0" applyNumberFormat="1" applyFont="1" applyFill="1" applyBorder="1" applyAlignment="1">
      <alignment/>
    </xf>
    <xf numFmtId="0" fontId="10" fillId="0" borderId="77" xfId="0" applyFont="1" applyFill="1" applyBorder="1" applyAlignment="1">
      <alignment/>
    </xf>
    <xf numFmtId="0" fontId="10" fillId="0" borderId="77" xfId="0" applyFont="1" applyFill="1" applyBorder="1" applyAlignment="1">
      <alignment horizontal="right"/>
    </xf>
    <xf numFmtId="3" fontId="10" fillId="0" borderId="77" xfId="0" applyNumberFormat="1" applyFont="1" applyFill="1" applyBorder="1" applyAlignment="1">
      <alignment horizontal="right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0" fontId="10" fillId="0" borderId="66" xfId="0" applyFont="1" applyFill="1" applyBorder="1" applyAlignment="1">
      <alignment horizontal="right"/>
    </xf>
    <xf numFmtId="0" fontId="0" fillId="0" borderId="56" xfId="0" applyFont="1" applyFill="1" applyBorder="1" applyAlignment="1">
      <alignment/>
    </xf>
    <xf numFmtId="3" fontId="0" fillId="0" borderId="78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78" xfId="0" applyFont="1" applyFill="1" applyBorder="1" applyAlignment="1">
      <alignment horizontal="right"/>
    </xf>
    <xf numFmtId="3" fontId="0" fillId="0" borderId="78" xfId="0" applyNumberFormat="1" applyFont="1" applyFill="1" applyBorder="1" applyAlignment="1">
      <alignment horizontal="right"/>
    </xf>
    <xf numFmtId="0" fontId="10" fillId="0" borderId="68" xfId="0" applyFont="1" applyFill="1" applyBorder="1" applyAlignment="1">
      <alignment/>
    </xf>
    <xf numFmtId="3" fontId="10" fillId="0" borderId="78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78" xfId="0" applyFont="1" applyFill="1" applyBorder="1" applyAlignment="1">
      <alignment horizontal="right"/>
    </xf>
    <xf numFmtId="3" fontId="10" fillId="0" borderId="78" xfId="0" applyNumberFormat="1" applyFont="1" applyFill="1" applyBorder="1" applyAlignment="1">
      <alignment horizontal="right"/>
    </xf>
    <xf numFmtId="3" fontId="9" fillId="0" borderId="65" xfId="0" applyNumberFormat="1" applyFont="1" applyFill="1" applyBorder="1" applyAlignment="1">
      <alignment horizontal="left"/>
    </xf>
    <xf numFmtId="0" fontId="9" fillId="0" borderId="65" xfId="0" applyFont="1" applyFill="1" applyBorder="1" applyAlignment="1">
      <alignment horizontal="right"/>
    </xf>
    <xf numFmtId="3" fontId="9" fillId="0" borderId="65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79" xfId="0" applyFill="1" applyBorder="1" applyAlignment="1">
      <alignment/>
    </xf>
    <xf numFmtId="3" fontId="0" fillId="0" borderId="80" xfId="0" applyNumberFormat="1" applyFill="1" applyBorder="1" applyAlignment="1">
      <alignment/>
    </xf>
    <xf numFmtId="3" fontId="0" fillId="0" borderId="81" xfId="0" applyNumberFormat="1" applyFill="1" applyBorder="1" applyAlignment="1">
      <alignment/>
    </xf>
    <xf numFmtId="0" fontId="0" fillId="0" borderId="82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3" xfId="0" applyFont="1" applyFill="1" applyBorder="1" applyAlignment="1">
      <alignment vertical="center"/>
    </xf>
    <xf numFmtId="3" fontId="3" fillId="0" borderId="84" xfId="0" applyNumberFormat="1" applyFont="1" applyFill="1" applyBorder="1" applyAlignment="1">
      <alignment vertical="center"/>
    </xf>
    <xf numFmtId="4" fontId="3" fillId="0" borderId="84" xfId="0" applyNumberFormat="1" applyFont="1" applyFill="1" applyBorder="1" applyAlignment="1">
      <alignment vertical="center"/>
    </xf>
    <xf numFmtId="3" fontId="3" fillId="0" borderId="85" xfId="0" applyNumberFormat="1" applyFont="1" applyFill="1" applyBorder="1" applyAlignment="1">
      <alignment vertical="center"/>
    </xf>
    <xf numFmtId="0" fontId="3" fillId="0" borderId="83" xfId="0" applyFont="1" applyFill="1" applyBorder="1" applyAlignment="1">
      <alignment/>
    </xf>
    <xf numFmtId="3" fontId="3" fillId="0" borderId="84" xfId="0" applyNumberFormat="1" applyFont="1" applyFill="1" applyBorder="1" applyAlignment="1">
      <alignment/>
    </xf>
    <xf numFmtId="4" fontId="3" fillId="0" borderId="84" xfId="0" applyNumberFormat="1" applyFont="1" applyFill="1" applyBorder="1" applyAlignment="1">
      <alignment/>
    </xf>
    <xf numFmtId="3" fontId="3" fillId="0" borderId="85" xfId="0" applyNumberFormat="1" applyFont="1" applyFill="1" applyBorder="1" applyAlignment="1">
      <alignment/>
    </xf>
    <xf numFmtId="0" fontId="21" fillId="0" borderId="73" xfId="0" applyFont="1" applyFill="1" applyBorder="1" applyAlignment="1">
      <alignment/>
    </xf>
    <xf numFmtId="3" fontId="21" fillId="0" borderId="48" xfId="0" applyNumberFormat="1" applyFont="1" applyFill="1" applyBorder="1" applyAlignment="1">
      <alignment/>
    </xf>
    <xf numFmtId="4" fontId="21" fillId="0" borderId="48" xfId="0" applyNumberFormat="1" applyFont="1" applyFill="1" applyBorder="1" applyAlignment="1">
      <alignment/>
    </xf>
    <xf numFmtId="3" fontId="8" fillId="0" borderId="86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55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 vertical="center" wrapText="1"/>
    </xf>
    <xf numFmtId="3" fontId="15" fillId="0" borderId="72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87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80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3" fontId="21" fillId="0" borderId="88" xfId="0" applyNumberFormat="1" applyFont="1" applyFill="1" applyBorder="1" applyAlignment="1">
      <alignment/>
    </xf>
    <xf numFmtId="0" fontId="1" fillId="32" borderId="84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6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4" fontId="19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6" fillId="0" borderId="0" xfId="0" applyFont="1" applyAlignment="1">
      <alignment/>
    </xf>
    <xf numFmtId="3" fontId="19" fillId="0" borderId="22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4" xfId="0" applyFont="1" applyFill="1" applyBorder="1" applyAlignment="1">
      <alignment horizontal="center" vertical="center" wrapText="1"/>
    </xf>
    <xf numFmtId="3" fontId="67" fillId="0" borderId="0" xfId="0" applyNumberFormat="1" applyFont="1" applyAlignment="1">
      <alignment/>
    </xf>
    <xf numFmtId="3" fontId="15" fillId="0" borderId="25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6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68" xfId="0" applyNumberFormat="1" applyFont="1" applyFill="1" applyBorder="1" applyAlignment="1">
      <alignment horizontal="left"/>
    </xf>
    <xf numFmtId="3" fontId="10" fillId="0" borderId="68" xfId="0" applyNumberFormat="1" applyFont="1" applyFill="1" applyBorder="1" applyAlignment="1">
      <alignment horizontal="right"/>
    </xf>
    <xf numFmtId="49" fontId="10" fillId="0" borderId="68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89" xfId="0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0" fontId="68" fillId="0" borderId="0" xfId="0" applyFont="1" applyAlignment="1">
      <alignment/>
    </xf>
    <xf numFmtId="4" fontId="7" fillId="0" borderId="45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vertical="center" wrapText="1"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2" xfId="0" applyNumberFormat="1" applyFont="1" applyFill="1" applyBorder="1" applyAlignment="1">
      <alignment/>
    </xf>
    <xf numFmtId="4" fontId="18" fillId="0" borderId="55" xfId="0" applyNumberFormat="1" applyFont="1" applyFill="1" applyBorder="1" applyAlignment="1">
      <alignment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88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3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90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9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3" fontId="69" fillId="0" borderId="29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38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0" fontId="10" fillId="0" borderId="65" xfId="0" applyFont="1" applyFill="1" applyBorder="1" applyAlignment="1">
      <alignment horizontal="center"/>
    </xf>
    <xf numFmtId="3" fontId="70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7" fillId="0" borderId="91" xfId="0" applyFont="1" applyFill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0" fontId="1" fillId="0" borderId="93" xfId="0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 horizontal="right"/>
    </xf>
    <xf numFmtId="3" fontId="0" fillId="0" borderId="56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0" fontId="7" fillId="0" borderId="89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vertical="center" wrapText="1"/>
    </xf>
    <xf numFmtId="0" fontId="0" fillId="0" borderId="79" xfId="0" applyFont="1" applyBorder="1" applyAlignment="1">
      <alignment vertical="center"/>
    </xf>
    <xf numFmtId="3" fontId="0" fillId="0" borderId="94" xfId="0" applyNumberFormat="1" applyFont="1" applyBorder="1" applyAlignment="1">
      <alignment horizontal="right" vertical="center"/>
    </xf>
    <xf numFmtId="0" fontId="0" fillId="0" borderId="95" xfId="0" applyFont="1" applyBorder="1" applyAlignment="1">
      <alignment vertical="center"/>
    </xf>
    <xf numFmtId="3" fontId="0" fillId="0" borderId="96" xfId="0" applyNumberFormat="1" applyFont="1" applyBorder="1" applyAlignment="1">
      <alignment horizontal="right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97" xfId="0" applyFont="1" applyFill="1" applyBorder="1" applyAlignment="1">
      <alignment horizontal="center" vertical="center" wrapText="1"/>
    </xf>
    <xf numFmtId="3" fontId="0" fillId="0" borderId="80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25" fillId="0" borderId="48" xfId="0" applyNumberFormat="1" applyFont="1" applyFill="1" applyBorder="1" applyAlignment="1">
      <alignment vertical="center" wrapText="1"/>
    </xf>
    <xf numFmtId="3" fontId="25" fillId="0" borderId="97" xfId="0" applyNumberFormat="1" applyFont="1" applyFill="1" applyBorder="1" applyAlignment="1">
      <alignment horizontal="right" vertical="center" wrapText="1"/>
    </xf>
    <xf numFmtId="0" fontId="0" fillId="0" borderId="98" xfId="0" applyFont="1" applyBorder="1" applyAlignment="1">
      <alignment vertical="center"/>
    </xf>
    <xf numFmtId="3" fontId="0" fillId="0" borderId="70" xfId="0" applyNumberFormat="1" applyFont="1" applyBorder="1" applyAlignment="1">
      <alignment vertical="center"/>
    </xf>
    <xf numFmtId="3" fontId="0" fillId="0" borderId="99" xfId="0" applyNumberFormat="1" applyFont="1" applyBorder="1" applyAlignment="1">
      <alignment horizontal="right" vertical="center"/>
    </xf>
    <xf numFmtId="0" fontId="0" fillId="0" borderId="90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10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58" fillId="0" borderId="0" xfId="0" applyFont="1" applyAlignment="1">
      <alignment/>
    </xf>
    <xf numFmtId="0" fontId="9" fillId="0" borderId="52" xfId="0" applyFont="1" applyFill="1" applyBorder="1" applyAlignment="1">
      <alignment horizontal="center"/>
    </xf>
    <xf numFmtId="0" fontId="10" fillId="0" borderId="65" xfId="0" applyNumberFormat="1" applyFont="1" applyFill="1" applyBorder="1" applyAlignment="1">
      <alignment horizontal="center"/>
    </xf>
    <xf numFmtId="3" fontId="19" fillId="0" borderId="46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25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  <xf numFmtId="4" fontId="8" fillId="0" borderId="86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11" fillId="0" borderId="39" xfId="0" applyNumberFormat="1" applyFont="1" applyFill="1" applyBorder="1" applyAlignment="1">
      <alignment/>
    </xf>
    <xf numFmtId="0" fontId="26" fillId="0" borderId="0" xfId="0" applyFont="1" applyAlignment="1">
      <alignment/>
    </xf>
    <xf numFmtId="187" fontId="0" fillId="0" borderId="0" xfId="0" applyNumberFormat="1" applyFont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39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3" fontId="0" fillId="0" borderId="39" xfId="0" applyNumberFormat="1" applyFont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49" fontId="9" fillId="0" borderId="35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vertical="center" wrapText="1"/>
    </xf>
    <xf numFmtId="3" fontId="14" fillId="0" borderId="43" xfId="0" applyNumberFormat="1" applyFont="1" applyFill="1" applyBorder="1" applyAlignment="1">
      <alignment vertical="center" wrapText="1"/>
    </xf>
    <xf numFmtId="4" fontId="14" fillId="0" borderId="43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01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left"/>
    </xf>
    <xf numFmtId="0" fontId="8" fillId="0" borderId="88" xfId="0" applyFont="1" applyFill="1" applyBorder="1" applyAlignment="1">
      <alignment horizontal="left"/>
    </xf>
    <xf numFmtId="0" fontId="8" fillId="0" borderId="74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center"/>
    </xf>
    <xf numFmtId="0" fontId="7" fillId="0" borderId="10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10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10" fillId="0" borderId="7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9" fillId="0" borderId="75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7" fillId="0" borderId="75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9" fillId="0" borderId="65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58" fillId="0" borderId="89" xfId="0" applyFont="1" applyBorder="1" applyAlignment="1">
      <alignment horizontal="left"/>
    </xf>
    <xf numFmtId="49" fontId="13" fillId="0" borderId="104" xfId="0" applyNumberFormat="1" applyFont="1" applyFill="1" applyBorder="1" applyAlignment="1">
      <alignment horizontal="center" vertical="center" wrapText="1"/>
    </xf>
    <xf numFmtId="49" fontId="13" fillId="0" borderId="103" xfId="0" applyNumberFormat="1" applyFont="1" applyFill="1" applyBorder="1" applyAlignment="1">
      <alignment horizontal="center" vertical="center" wrapText="1"/>
    </xf>
    <xf numFmtId="16" fontId="7" fillId="0" borderId="110" xfId="0" applyNumberFormat="1" applyFont="1" applyFill="1" applyBorder="1" applyAlignment="1">
      <alignment horizontal="center" vertical="center" wrapText="1"/>
    </xf>
    <xf numFmtId="16" fontId="7" fillId="0" borderId="92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75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5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7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7" fillId="0" borderId="110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16" fontId="7" fillId="0" borderId="89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6" fontId="7" fillId="0" borderId="101" xfId="0" applyNumberFormat="1" applyFont="1" applyFill="1" applyBorder="1" applyAlignment="1">
      <alignment horizontal="center" vertical="center" wrapText="1"/>
    </xf>
    <xf numFmtId="16" fontId="7" fillId="0" borderId="91" xfId="0" applyNumberFormat="1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7" fillId="0" borderId="102" xfId="0" applyFont="1" applyFill="1" applyBorder="1" applyAlignment="1">
      <alignment horizontal="left"/>
    </xf>
    <xf numFmtId="0" fontId="7" fillId="0" borderId="88" xfId="0" applyFont="1" applyFill="1" applyBorder="1" applyAlignment="1">
      <alignment horizontal="left"/>
    </xf>
    <xf numFmtId="0" fontId="7" fillId="0" borderId="74" xfId="0" applyFont="1" applyFill="1" applyBorder="1" applyAlignment="1">
      <alignment horizontal="left"/>
    </xf>
    <xf numFmtId="0" fontId="0" fillId="0" borderId="111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49" fontId="6" fillId="0" borderId="104" xfId="0" applyNumberFormat="1" applyFont="1" applyFill="1" applyBorder="1" applyAlignment="1">
      <alignment horizontal="center" vertical="center" wrapText="1"/>
    </xf>
    <xf numFmtId="49" fontId="6" fillId="0" borderId="103" xfId="0" applyNumberFormat="1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0" fillId="0" borderId="112" xfId="0" applyNumberFormat="1" applyFill="1" applyBorder="1" applyAlignment="1">
      <alignment horizontal="center"/>
    </xf>
    <xf numFmtId="3" fontId="0" fillId="0" borderId="113" xfId="0" applyNumberFormat="1" applyFill="1" applyBorder="1" applyAlignment="1">
      <alignment horizontal="center"/>
    </xf>
    <xf numFmtId="3" fontId="0" fillId="0" borderId="114" xfId="0" applyNumberFormat="1" applyFill="1" applyBorder="1" applyAlignment="1">
      <alignment horizontal="center"/>
    </xf>
    <xf numFmtId="3" fontId="3" fillId="0" borderId="115" xfId="0" applyNumberFormat="1" applyFont="1" applyFill="1" applyBorder="1" applyAlignment="1">
      <alignment horizontal="center" vertical="center"/>
    </xf>
    <xf numFmtId="3" fontId="3" fillId="0" borderId="116" xfId="0" applyNumberFormat="1" applyFont="1" applyFill="1" applyBorder="1" applyAlignment="1">
      <alignment horizontal="center" vertical="center"/>
    </xf>
    <xf numFmtId="3" fontId="3" fillId="0" borderId="117" xfId="0" applyNumberFormat="1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/>
    </xf>
    <xf numFmtId="3" fontId="21" fillId="0" borderId="88" xfId="0" applyNumberFormat="1" applyFont="1" applyFill="1" applyBorder="1" applyAlignment="1">
      <alignment horizontal="center"/>
    </xf>
    <xf numFmtId="3" fontId="21" fillId="0" borderId="74" xfId="0" applyNumberFormat="1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10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1" fillId="0" borderId="118" xfId="0" applyFont="1" applyFill="1" applyBorder="1" applyAlignment="1">
      <alignment horizontal="left" vertical="center"/>
    </xf>
    <xf numFmtId="0" fontId="21" fillId="0" borderId="111" xfId="0" applyFont="1" applyFill="1" applyBorder="1" applyAlignment="1">
      <alignment horizontal="left" vertical="center"/>
    </xf>
    <xf numFmtId="0" fontId="21" fillId="0" borderId="119" xfId="0" applyFont="1" applyFill="1" applyBorder="1" applyAlignment="1">
      <alignment horizontal="left" vertical="center"/>
    </xf>
    <xf numFmtId="0" fontId="21" fillId="0" borderId="120" xfId="0" applyFont="1" applyFill="1" applyBorder="1" applyAlignment="1">
      <alignment horizontal="left" vertical="center"/>
    </xf>
    <xf numFmtId="0" fontId="21" fillId="0" borderId="89" xfId="0" applyFont="1" applyFill="1" applyBorder="1" applyAlignment="1">
      <alignment horizontal="left" vertical="center"/>
    </xf>
    <xf numFmtId="0" fontId="21" fillId="0" borderId="121" xfId="0" applyFont="1" applyFill="1" applyBorder="1" applyAlignment="1">
      <alignment horizontal="left" vertical="center"/>
    </xf>
    <xf numFmtId="0" fontId="0" fillId="0" borderId="102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87" xfId="0" applyFont="1" applyFill="1" applyBorder="1" applyAlignment="1">
      <alignment horizontal="center" vertical="center" wrapText="1"/>
    </xf>
    <xf numFmtId="0" fontId="1" fillId="32" borderId="85" xfId="0" applyFont="1" applyFill="1" applyBorder="1" applyAlignment="1">
      <alignment horizontal="center" vertical="center" wrapText="1"/>
    </xf>
    <xf numFmtId="0" fontId="11" fillId="32" borderId="101" xfId="0" applyFont="1" applyFill="1" applyBorder="1" applyAlignment="1">
      <alignment horizontal="center" vertical="center" wrapText="1"/>
    </xf>
    <xf numFmtId="0" fontId="11" fillId="32" borderId="91" xfId="0" applyFont="1" applyFill="1" applyBorder="1" applyAlignment="1">
      <alignment horizontal="center" vertical="center" wrapText="1"/>
    </xf>
    <xf numFmtId="0" fontId="7" fillId="32" borderId="104" xfId="0" applyFont="1" applyFill="1" applyBorder="1" applyAlignment="1">
      <alignment horizontal="center" vertical="center"/>
    </xf>
    <xf numFmtId="0" fontId="7" fillId="32" borderId="103" xfId="0" applyFont="1" applyFill="1" applyBorder="1" applyAlignment="1">
      <alignment horizontal="center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135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516" customWidth="1"/>
    <col min="3" max="3" width="32.8515625" style="516" customWidth="1"/>
    <col min="4" max="11" width="12.7109375" style="516" hidden="1" customWidth="1"/>
    <col min="12" max="12" width="14.421875" style="516" hidden="1" customWidth="1"/>
    <col min="13" max="13" width="16.00390625" style="516" hidden="1" customWidth="1"/>
    <col min="14" max="14" width="16.140625" style="516" hidden="1" customWidth="1"/>
    <col min="15" max="16" width="17.00390625" style="516" hidden="1" customWidth="1"/>
    <col min="17" max="17" width="15.8515625" style="516" hidden="1" customWidth="1"/>
    <col min="18" max="18" width="16.00390625" style="516" hidden="1" customWidth="1"/>
    <col min="19" max="19" width="16.28125" style="516" hidden="1" customWidth="1"/>
    <col min="20" max="20" width="14.7109375" style="516" customWidth="1"/>
    <col min="21" max="22" width="13.7109375" style="516" customWidth="1"/>
    <col min="23" max="23" width="13.8515625" style="516" customWidth="1"/>
    <col min="24" max="24" width="9.140625" style="516" customWidth="1"/>
    <col min="25" max="25" width="12.421875" style="516" customWidth="1"/>
    <col min="26" max="26" width="7.28125" style="516" customWidth="1"/>
    <col min="27" max="27" width="10.421875" style="516" customWidth="1"/>
    <col min="28" max="16384" width="9.140625" style="516" customWidth="1"/>
  </cols>
  <sheetData>
    <row r="1" spans="1:25" ht="12.75">
      <c r="A1" s="725" t="s">
        <v>409</v>
      </c>
      <c r="B1" s="725"/>
      <c r="Y1" s="1"/>
    </row>
    <row r="2" spans="1:2" ht="13.5" thickBot="1">
      <c r="A2" s="725" t="s">
        <v>410</v>
      </c>
      <c r="B2" s="725"/>
    </row>
    <row r="3" spans="1:23" ht="13.5" thickTop="1">
      <c r="A3" s="792" t="s">
        <v>83</v>
      </c>
      <c r="B3" s="777" t="s">
        <v>84</v>
      </c>
      <c r="C3" s="763" t="s">
        <v>85</v>
      </c>
      <c r="D3" s="763" t="s">
        <v>86</v>
      </c>
      <c r="E3" s="763" t="s">
        <v>87</v>
      </c>
      <c r="F3" s="763" t="s">
        <v>88</v>
      </c>
      <c r="G3" s="763" t="s">
        <v>89</v>
      </c>
      <c r="H3" s="763" t="s">
        <v>90</v>
      </c>
      <c r="I3" s="763" t="s">
        <v>91</v>
      </c>
      <c r="J3" s="763" t="s">
        <v>92</v>
      </c>
      <c r="K3" s="763" t="s">
        <v>93</v>
      </c>
      <c r="L3" s="763" t="s">
        <v>94</v>
      </c>
      <c r="M3" s="763" t="s">
        <v>311</v>
      </c>
      <c r="N3" s="763" t="s">
        <v>324</v>
      </c>
      <c r="O3" s="763" t="s">
        <v>340</v>
      </c>
      <c r="P3" s="763" t="s">
        <v>346</v>
      </c>
      <c r="Q3" s="763" t="s">
        <v>359</v>
      </c>
      <c r="R3" s="763" t="s">
        <v>367</v>
      </c>
      <c r="S3" s="763" t="s">
        <v>368</v>
      </c>
      <c r="T3" s="763" t="s">
        <v>369</v>
      </c>
      <c r="U3" s="794" t="s">
        <v>405</v>
      </c>
      <c r="V3" s="697" t="s">
        <v>457</v>
      </c>
      <c r="W3" s="796" t="s">
        <v>404</v>
      </c>
    </row>
    <row r="4" spans="1:23" ht="19.5" customHeight="1" thickBot="1">
      <c r="A4" s="793"/>
      <c r="B4" s="778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95"/>
      <c r="V4" s="690" t="s">
        <v>96</v>
      </c>
      <c r="W4" s="797"/>
    </row>
    <row r="5" spans="1:27" ht="17.25" thickBot="1" thickTop="1">
      <c r="A5" s="3">
        <v>100</v>
      </c>
      <c r="B5" s="779" t="s">
        <v>97</v>
      </c>
      <c r="C5" s="780"/>
      <c r="D5" s="4">
        <f aca="true" t="shared" si="0" ref="D5:V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543">
        <f t="shared" si="0"/>
        <v>5807550.21</v>
      </c>
      <c r="N5" s="4">
        <f>N6+N12+N17</f>
        <v>6453363.550000001</v>
      </c>
      <c r="O5" s="543">
        <f>O6+O12+O17</f>
        <v>6809462.010000001</v>
      </c>
      <c r="P5" s="543">
        <f>P6+P12+P17</f>
        <v>7281076.170000001</v>
      </c>
      <c r="Q5" s="543">
        <f>Q6+Q12+Q17</f>
        <v>7988329.25</v>
      </c>
      <c r="R5" s="543">
        <f>R6+R12+R17</f>
        <v>8043385.96</v>
      </c>
      <c r="S5" s="459">
        <v>8366279.7</v>
      </c>
      <c r="T5" s="738">
        <v>9161330.97</v>
      </c>
      <c r="U5" s="459">
        <f>U6+U12+U17</f>
        <v>9563566</v>
      </c>
      <c r="V5" s="459">
        <f t="shared" si="0"/>
        <v>58300</v>
      </c>
      <c r="W5" s="503">
        <f>W6+W12+W17</f>
        <v>9621866</v>
      </c>
      <c r="Y5" s="517"/>
      <c r="Z5" s="517"/>
      <c r="AA5" s="687"/>
    </row>
    <row r="6" spans="1:26" ht="15.75" thickBot="1">
      <c r="A6" s="5">
        <v>110</v>
      </c>
      <c r="B6" s="770" t="s">
        <v>98</v>
      </c>
      <c r="C6" s="771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1" ref="I6:V6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544">
        <f t="shared" si="1"/>
        <v>5016805.1</v>
      </c>
      <c r="N6" s="7">
        <f t="shared" si="1"/>
        <v>5542925.66</v>
      </c>
      <c r="O6" s="544">
        <f t="shared" si="1"/>
        <v>5877883.03</v>
      </c>
      <c r="P6" s="544">
        <f t="shared" si="1"/>
        <v>6368965.23</v>
      </c>
      <c r="Q6" s="544">
        <f t="shared" si="1"/>
        <v>7093467.67</v>
      </c>
      <c r="R6" s="544">
        <f t="shared" si="1"/>
        <v>7044253.25</v>
      </c>
      <c r="S6" s="460">
        <v>7229624.83</v>
      </c>
      <c r="T6" s="739">
        <v>7838338.2</v>
      </c>
      <c r="U6" s="460">
        <f>U7</f>
        <v>8251804</v>
      </c>
      <c r="V6" s="460">
        <f t="shared" si="1"/>
        <v>0</v>
      </c>
      <c r="W6" s="506">
        <f>W7</f>
        <v>8251804</v>
      </c>
      <c r="Y6" s="676"/>
      <c r="Z6" s="517"/>
    </row>
    <row r="7" spans="1:27" ht="15" thickBot="1">
      <c r="A7" s="803"/>
      <c r="B7" s="806"/>
      <c r="C7" s="439" t="s">
        <v>99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4">
        <v>5016805.1</v>
      </c>
      <c r="N7" s="12">
        <v>5542925.66</v>
      </c>
      <c r="O7" s="244">
        <v>5877883.03</v>
      </c>
      <c r="P7" s="244">
        <v>6368965.23</v>
      </c>
      <c r="Q7" s="244">
        <v>7093467.67</v>
      </c>
      <c r="R7" s="244">
        <v>7044253.25</v>
      </c>
      <c r="S7" s="12">
        <v>7229624.83</v>
      </c>
      <c r="T7" s="244">
        <v>7838338.2</v>
      </c>
      <c r="U7" s="12">
        <v>8251804</v>
      </c>
      <c r="V7" s="518"/>
      <c r="W7" s="592">
        <f>U7+V7</f>
        <v>8251804</v>
      </c>
      <c r="Y7" s="687"/>
      <c r="Z7" s="517"/>
      <c r="AA7" s="517"/>
    </row>
    <row r="8" spans="1:26" ht="13.5" hidden="1" thickBot="1">
      <c r="A8" s="804"/>
      <c r="B8" s="807"/>
      <c r="C8" s="130" t="s">
        <v>233</v>
      </c>
      <c r="D8" s="130"/>
      <c r="E8" s="130"/>
      <c r="F8" s="130"/>
      <c r="G8" s="130"/>
      <c r="H8" s="130"/>
      <c r="I8" s="86"/>
      <c r="J8" s="86"/>
      <c r="K8" s="143"/>
      <c r="L8" s="143"/>
      <c r="M8" s="200"/>
      <c r="N8" s="93"/>
      <c r="O8" s="93"/>
      <c r="P8" s="93"/>
      <c r="Q8" s="200"/>
      <c r="R8" s="200"/>
      <c r="S8" s="93"/>
      <c r="T8" s="200"/>
      <c r="U8" s="93"/>
      <c r="V8" s="602"/>
      <c r="W8" s="603"/>
      <c r="Z8" s="517"/>
    </row>
    <row r="9" spans="1:26" ht="13.5" hidden="1" thickBot="1">
      <c r="A9" s="804"/>
      <c r="B9" s="807"/>
      <c r="C9" s="24" t="s">
        <v>96</v>
      </c>
      <c r="D9" s="24"/>
      <c r="E9" s="24"/>
      <c r="F9" s="24"/>
      <c r="G9" s="24"/>
      <c r="H9" s="24"/>
      <c r="I9" s="90"/>
      <c r="J9" s="90"/>
      <c r="K9" s="25"/>
      <c r="L9" s="25"/>
      <c r="M9" s="202"/>
      <c r="N9" s="26"/>
      <c r="O9" s="26"/>
      <c r="P9" s="26"/>
      <c r="Q9" s="202"/>
      <c r="R9" s="202"/>
      <c r="S9" s="26"/>
      <c r="T9" s="202"/>
      <c r="U9" s="26"/>
      <c r="V9" s="525"/>
      <c r="W9" s="526"/>
      <c r="X9" s="517"/>
      <c r="Z9" s="517"/>
    </row>
    <row r="10" spans="1:26" ht="13.5" hidden="1" thickBot="1">
      <c r="A10" s="804"/>
      <c r="B10" s="807"/>
      <c r="C10" s="24" t="s">
        <v>237</v>
      </c>
      <c r="D10" s="24"/>
      <c r="E10" s="24"/>
      <c r="F10" s="24"/>
      <c r="G10" s="24"/>
      <c r="H10" s="24"/>
      <c r="I10" s="90"/>
      <c r="J10" s="90"/>
      <c r="K10" s="25"/>
      <c r="L10" s="25"/>
      <c r="M10" s="202"/>
      <c r="N10" s="26"/>
      <c r="O10" s="26"/>
      <c r="P10" s="26"/>
      <c r="Q10" s="202"/>
      <c r="R10" s="202"/>
      <c r="S10" s="26"/>
      <c r="T10" s="202"/>
      <c r="U10" s="26"/>
      <c r="V10" s="525"/>
      <c r="W10" s="526"/>
      <c r="Y10" s="517"/>
      <c r="Z10" s="517"/>
    </row>
    <row r="11" spans="1:26" ht="13.5" hidden="1" thickBot="1">
      <c r="A11" s="805"/>
      <c r="B11" s="808"/>
      <c r="C11" s="28" t="s">
        <v>229</v>
      </c>
      <c r="D11" s="28"/>
      <c r="E11" s="28"/>
      <c r="F11" s="28"/>
      <c r="G11" s="28"/>
      <c r="H11" s="28"/>
      <c r="I11" s="273"/>
      <c r="J11" s="273"/>
      <c r="K11" s="274"/>
      <c r="L11" s="274"/>
      <c r="M11" s="252"/>
      <c r="N11" s="48"/>
      <c r="O11" s="48"/>
      <c r="P11" s="48"/>
      <c r="Q11" s="252"/>
      <c r="R11" s="252"/>
      <c r="S11" s="48"/>
      <c r="T11" s="252"/>
      <c r="U11" s="48"/>
      <c r="V11" s="600"/>
      <c r="W11" s="601"/>
      <c r="Z11" s="517"/>
    </row>
    <row r="12" spans="1:26" ht="15.75" thickBot="1">
      <c r="A12" s="32">
        <v>120</v>
      </c>
      <c r="B12" s="786" t="s">
        <v>100</v>
      </c>
      <c r="C12" s="787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2" ref="I12:W1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246">
        <f t="shared" si="2"/>
        <v>396789.44</v>
      </c>
      <c r="N12" s="14">
        <f t="shared" si="2"/>
        <v>470206.4</v>
      </c>
      <c r="O12" s="246">
        <f t="shared" si="2"/>
        <v>490398.24</v>
      </c>
      <c r="P12" s="246">
        <f t="shared" si="2"/>
        <v>477910.94</v>
      </c>
      <c r="Q12" s="675">
        <f t="shared" si="2"/>
        <v>461578.98</v>
      </c>
      <c r="R12" s="675">
        <f t="shared" si="2"/>
        <v>534837.91</v>
      </c>
      <c r="S12" s="461">
        <v>579640.49</v>
      </c>
      <c r="T12" s="675">
        <v>721952.46</v>
      </c>
      <c r="U12" s="461">
        <f>U13</f>
        <v>665752</v>
      </c>
      <c r="V12" s="461">
        <f t="shared" si="2"/>
        <v>42700</v>
      </c>
      <c r="W12" s="512">
        <f t="shared" si="2"/>
        <v>708452</v>
      </c>
      <c r="Y12" s="517"/>
      <c r="Z12" s="517"/>
    </row>
    <row r="13" spans="1:26" ht="13.5" thickBot="1">
      <c r="A13" s="809"/>
      <c r="B13" s="8">
        <v>121</v>
      </c>
      <c r="C13" s="15" t="s">
        <v>101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3" ref="I13:U13">SUM(I14:I16)</f>
        <v>360438</v>
      </c>
      <c r="J13" s="16">
        <f t="shared" si="3"/>
        <v>460690</v>
      </c>
      <c r="K13" s="16">
        <f t="shared" si="3"/>
        <v>388905</v>
      </c>
      <c r="L13" s="16">
        <f t="shared" si="3"/>
        <v>335641.24</v>
      </c>
      <c r="M13" s="149">
        <f t="shared" si="3"/>
        <v>396789.44</v>
      </c>
      <c r="N13" s="16">
        <f>SUM(N14:N16)</f>
        <v>470206.4</v>
      </c>
      <c r="O13" s="149">
        <f>SUM(O14:O16)</f>
        <v>490398.24</v>
      </c>
      <c r="P13" s="149">
        <f>SUM(P14:P16)</f>
        <v>477910.94</v>
      </c>
      <c r="Q13" s="631">
        <f>SUM(Q14:Q16)</f>
        <v>461578.98</v>
      </c>
      <c r="R13" s="631">
        <f>SUM(R14:R16)</f>
        <v>534837.91</v>
      </c>
      <c r="S13" s="464">
        <v>579640.49</v>
      </c>
      <c r="T13" s="631">
        <v>721952.46</v>
      </c>
      <c r="U13" s="464">
        <f t="shared" si="3"/>
        <v>665752</v>
      </c>
      <c r="V13" s="464">
        <f>SUM(V14:V16)</f>
        <v>42700</v>
      </c>
      <c r="W13" s="17">
        <f>SUM(W14:W16)</f>
        <v>708452</v>
      </c>
      <c r="Z13" s="517"/>
    </row>
    <row r="14" spans="1:29" ht="12.75">
      <c r="A14" s="810"/>
      <c r="B14" s="789"/>
      <c r="C14" s="19" t="s">
        <v>102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18">
        <v>92446.08</v>
      </c>
      <c r="N14" s="22">
        <v>110741.25</v>
      </c>
      <c r="O14" s="118">
        <v>490398.24</v>
      </c>
      <c r="P14" s="118">
        <v>113964.55</v>
      </c>
      <c r="Q14" s="118">
        <v>461578.98</v>
      </c>
      <c r="R14" s="118">
        <v>130151.65</v>
      </c>
      <c r="S14" s="22">
        <v>155493.95</v>
      </c>
      <c r="T14" s="118">
        <v>221848.05</v>
      </c>
      <c r="U14" s="22">
        <v>183352</v>
      </c>
      <c r="V14" s="602">
        <v>11760</v>
      </c>
      <c r="W14" s="603">
        <f>U14+V14</f>
        <v>195112</v>
      </c>
      <c r="Y14" s="517"/>
      <c r="Z14" s="517"/>
      <c r="AA14" s="517"/>
      <c r="AC14" s="517"/>
    </row>
    <row r="15" spans="1:26" ht="12.75">
      <c r="A15" s="810"/>
      <c r="B15" s="790"/>
      <c r="C15" s="24" t="s">
        <v>103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2">
        <v>271513.31</v>
      </c>
      <c r="N15" s="26">
        <v>321276.38</v>
      </c>
      <c r="O15" s="26"/>
      <c r="P15" s="26">
        <v>324799.75</v>
      </c>
      <c r="Q15" s="202"/>
      <c r="R15" s="202">
        <v>360134.97</v>
      </c>
      <c r="S15" s="26">
        <v>378358.31</v>
      </c>
      <c r="T15" s="202">
        <v>453759.85</v>
      </c>
      <c r="U15" s="26">
        <v>426997</v>
      </c>
      <c r="V15" s="525">
        <v>27387</v>
      </c>
      <c r="W15" s="526">
        <f>U15+V15</f>
        <v>454384</v>
      </c>
      <c r="Z15" s="517"/>
    </row>
    <row r="16" spans="1:26" ht="13.5" thickBot="1">
      <c r="A16" s="811"/>
      <c r="B16" s="791"/>
      <c r="C16" s="28" t="s">
        <v>104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0">
        <v>32830.05</v>
      </c>
      <c r="N16" s="30">
        <v>38188.77</v>
      </c>
      <c r="O16" s="30"/>
      <c r="P16" s="30">
        <v>39146.64</v>
      </c>
      <c r="Q16" s="220"/>
      <c r="R16" s="220">
        <v>44551.29</v>
      </c>
      <c r="S16" s="30">
        <v>45788.23</v>
      </c>
      <c r="T16" s="220">
        <v>46344.56</v>
      </c>
      <c r="U16" s="30">
        <v>55403</v>
      </c>
      <c r="V16" s="600">
        <v>3553</v>
      </c>
      <c r="W16" s="601">
        <f>U16+V16</f>
        <v>58956</v>
      </c>
      <c r="Z16" s="517"/>
    </row>
    <row r="17" spans="1:26" ht="15.75" thickBot="1">
      <c r="A17" s="32">
        <v>130</v>
      </c>
      <c r="B17" s="786" t="s">
        <v>105</v>
      </c>
      <c r="C17" s="787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4" ref="I17:W17">I18</f>
        <v>298968</v>
      </c>
      <c r="J17" s="14">
        <f t="shared" si="4"/>
        <v>316219</v>
      </c>
      <c r="K17" s="14">
        <f t="shared" si="4"/>
        <v>432322</v>
      </c>
      <c r="L17" s="14">
        <f t="shared" si="4"/>
        <v>403884.02</v>
      </c>
      <c r="M17" s="246">
        <f t="shared" si="4"/>
        <v>393955.67</v>
      </c>
      <c r="N17" s="14">
        <f t="shared" si="4"/>
        <v>440231.49</v>
      </c>
      <c r="O17" s="246">
        <f t="shared" si="4"/>
        <v>441180.74</v>
      </c>
      <c r="P17" s="461">
        <f t="shared" si="4"/>
        <v>434200</v>
      </c>
      <c r="Q17" s="675">
        <f t="shared" si="4"/>
        <v>433282.6</v>
      </c>
      <c r="R17" s="675">
        <f t="shared" si="4"/>
        <v>464294.8</v>
      </c>
      <c r="S17" s="461">
        <v>557014.38</v>
      </c>
      <c r="T17" s="675">
        <v>601040.31</v>
      </c>
      <c r="U17" s="461">
        <f t="shared" si="4"/>
        <v>646010</v>
      </c>
      <c r="V17" s="461">
        <f t="shared" si="4"/>
        <v>15600</v>
      </c>
      <c r="W17" s="512">
        <f t="shared" si="4"/>
        <v>661610</v>
      </c>
      <c r="Z17" s="517"/>
    </row>
    <row r="18" spans="1:26" ht="13.5" thickBot="1">
      <c r="A18" s="768"/>
      <c r="B18" s="33">
        <v>133</v>
      </c>
      <c r="C18" s="34" t="s">
        <v>106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f aca="true" t="shared" si="5" ref="H18:M18">SUM(H19:H25)</f>
        <v>298666</v>
      </c>
      <c r="I18" s="36">
        <f t="shared" si="5"/>
        <v>298968</v>
      </c>
      <c r="J18" s="37">
        <f t="shared" si="5"/>
        <v>316219</v>
      </c>
      <c r="K18" s="37">
        <f t="shared" si="5"/>
        <v>432322</v>
      </c>
      <c r="L18" s="37">
        <f>SUM(L19:L25)</f>
        <v>403884.02</v>
      </c>
      <c r="M18" s="320">
        <f t="shared" si="5"/>
        <v>393955.67</v>
      </c>
      <c r="N18" s="37">
        <f aca="true" t="shared" si="6" ref="N18:U18">SUM(N19:N25)</f>
        <v>440231.49</v>
      </c>
      <c r="O18" s="320">
        <f t="shared" si="6"/>
        <v>441180.74</v>
      </c>
      <c r="P18" s="129">
        <f t="shared" si="6"/>
        <v>434200</v>
      </c>
      <c r="Q18" s="561">
        <f t="shared" si="6"/>
        <v>433282.6</v>
      </c>
      <c r="R18" s="561">
        <f t="shared" si="6"/>
        <v>464294.8</v>
      </c>
      <c r="S18" s="129">
        <v>557014.38</v>
      </c>
      <c r="T18" s="561">
        <v>601040.31</v>
      </c>
      <c r="U18" s="129">
        <f t="shared" si="6"/>
        <v>646010</v>
      </c>
      <c r="V18" s="129">
        <f>SUM(V19:V25)</f>
        <v>15600</v>
      </c>
      <c r="W18" s="38">
        <f>SUM(W19:W25)</f>
        <v>661610</v>
      </c>
      <c r="Z18" s="517"/>
    </row>
    <row r="19" spans="1:26" ht="12.75">
      <c r="A19" s="772"/>
      <c r="B19" s="783"/>
      <c r="C19" s="41" t="s">
        <v>107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18">
        <v>9228.06</v>
      </c>
      <c r="N19" s="22">
        <v>12166.42</v>
      </c>
      <c r="O19" s="118">
        <v>11448.4</v>
      </c>
      <c r="P19" s="118">
        <v>11685.91</v>
      </c>
      <c r="Q19" s="118">
        <v>11344.54</v>
      </c>
      <c r="R19" s="118">
        <v>11359.16</v>
      </c>
      <c r="S19" s="22">
        <v>13048.94</v>
      </c>
      <c r="T19" s="118">
        <v>12229.68</v>
      </c>
      <c r="U19" s="22">
        <v>11300</v>
      </c>
      <c r="V19" s="602">
        <v>800</v>
      </c>
      <c r="W19" s="603">
        <f aca="true" t="shared" si="7" ref="W19:W25">U19+V19</f>
        <v>12100</v>
      </c>
      <c r="X19" s="517"/>
      <c r="Z19" s="517"/>
    </row>
    <row r="20" spans="1:26" ht="12.75">
      <c r="A20" s="772"/>
      <c r="B20" s="784"/>
      <c r="C20" s="43" t="s">
        <v>108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2">
        <v>300</v>
      </c>
      <c r="N20" s="26">
        <v>632</v>
      </c>
      <c r="O20" s="202">
        <v>398.66</v>
      </c>
      <c r="P20" s="202">
        <v>332</v>
      </c>
      <c r="Q20" s="202">
        <v>332</v>
      </c>
      <c r="R20" s="202">
        <v>332</v>
      </c>
      <c r="S20" s="26">
        <v>332</v>
      </c>
      <c r="T20" s="202">
        <v>332</v>
      </c>
      <c r="U20" s="26">
        <v>300</v>
      </c>
      <c r="V20" s="525">
        <v>100</v>
      </c>
      <c r="W20" s="526">
        <f t="shared" si="7"/>
        <v>400</v>
      </c>
      <c r="Z20" s="517"/>
    </row>
    <row r="21" spans="1:26" ht="12.75">
      <c r="A21" s="772"/>
      <c r="B21" s="784"/>
      <c r="C21" s="43" t="s">
        <v>109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2">
        <v>679.15</v>
      </c>
      <c r="N21" s="26">
        <v>691.66</v>
      </c>
      <c r="O21" s="202">
        <v>875</v>
      </c>
      <c r="P21" s="202">
        <v>1190</v>
      </c>
      <c r="Q21" s="202">
        <v>1148.33</v>
      </c>
      <c r="R21" s="202">
        <v>1090</v>
      </c>
      <c r="S21" s="26">
        <v>1094.16</v>
      </c>
      <c r="T21" s="202">
        <v>1155.81</v>
      </c>
      <c r="U21" s="26">
        <v>1000</v>
      </c>
      <c r="V21" s="525"/>
      <c r="W21" s="526">
        <f t="shared" si="7"/>
        <v>1000</v>
      </c>
      <c r="Z21" s="517"/>
    </row>
    <row r="22" spans="1:26" ht="12.75">
      <c r="A22" s="772"/>
      <c r="B22" s="784"/>
      <c r="C22" s="43" t="s">
        <v>110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2">
        <v>13052</v>
      </c>
      <c r="N22" s="26">
        <v>12555.5</v>
      </c>
      <c r="O22" s="202">
        <v>12857.5</v>
      </c>
      <c r="P22" s="202">
        <v>13737</v>
      </c>
      <c r="Q22" s="202">
        <v>16975</v>
      </c>
      <c r="R22" s="202">
        <v>9612</v>
      </c>
      <c r="S22" s="26">
        <v>6977.5</v>
      </c>
      <c r="T22" s="202">
        <v>10097</v>
      </c>
      <c r="U22" s="26">
        <v>7500</v>
      </c>
      <c r="V22" s="525">
        <v>8900</v>
      </c>
      <c r="W22" s="526">
        <f t="shared" si="7"/>
        <v>16400</v>
      </c>
      <c r="Z22" s="517"/>
    </row>
    <row r="23" spans="1:26" ht="12.75">
      <c r="A23" s="772"/>
      <c r="B23" s="784"/>
      <c r="C23" s="43" t="s">
        <v>111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2">
        <v>29179.68</v>
      </c>
      <c r="N23" s="26">
        <v>32177.92</v>
      </c>
      <c r="O23" s="202">
        <v>25859.559999999998</v>
      </c>
      <c r="P23" s="202">
        <v>30880.28</v>
      </c>
      <c r="Q23" s="202">
        <v>32198.11</v>
      </c>
      <c r="R23" s="202">
        <v>7144.4</v>
      </c>
      <c r="S23" s="26">
        <v>11213.12</v>
      </c>
      <c r="T23" s="202">
        <v>6262.94</v>
      </c>
      <c r="U23" s="26">
        <v>10910</v>
      </c>
      <c r="V23" s="525">
        <v>5800</v>
      </c>
      <c r="W23" s="526">
        <f t="shared" si="7"/>
        <v>16710</v>
      </c>
      <c r="Z23" s="517"/>
    </row>
    <row r="24" spans="1:26" ht="12.75">
      <c r="A24" s="772"/>
      <c r="B24" s="784"/>
      <c r="C24" s="43" t="s">
        <v>112</v>
      </c>
      <c r="D24" s="43"/>
      <c r="E24" s="43"/>
      <c r="F24" s="43"/>
      <c r="G24" s="43"/>
      <c r="H24" s="43">
        <v>162034</v>
      </c>
      <c r="I24" s="44">
        <f>159378+2395</f>
        <v>161773</v>
      </c>
      <c r="J24" s="26">
        <v>174176</v>
      </c>
      <c r="K24" s="26">
        <f>265321+3376</f>
        <v>268697</v>
      </c>
      <c r="L24" s="26">
        <v>243006.26</v>
      </c>
      <c r="M24" s="202">
        <v>240323.78</v>
      </c>
      <c r="N24" s="26">
        <v>255051.03999999998</v>
      </c>
      <c r="O24" s="202">
        <v>252038.01</v>
      </c>
      <c r="P24" s="202">
        <v>235688.58</v>
      </c>
      <c r="Q24" s="202">
        <v>223667.02000000002</v>
      </c>
      <c r="R24" s="202">
        <v>261473.29</v>
      </c>
      <c r="S24" s="26">
        <v>302847.66</v>
      </c>
      <c r="T24" s="202">
        <v>358669.78</v>
      </c>
      <c r="U24" s="26">
        <v>405000</v>
      </c>
      <c r="V24" s="525"/>
      <c r="W24" s="526">
        <f t="shared" si="7"/>
        <v>405000</v>
      </c>
      <c r="Z24" s="517"/>
    </row>
    <row r="25" spans="1:26" ht="13.5" thickBot="1">
      <c r="A25" s="788"/>
      <c r="B25" s="785"/>
      <c r="C25" s="46" t="s">
        <v>113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2">
        <v>101193</v>
      </c>
      <c r="N25" s="48">
        <v>126956.95</v>
      </c>
      <c r="O25" s="252">
        <v>137703.61</v>
      </c>
      <c r="P25" s="252">
        <v>140686.23</v>
      </c>
      <c r="Q25" s="252">
        <v>147617.6</v>
      </c>
      <c r="R25" s="252">
        <v>173283.95</v>
      </c>
      <c r="S25" s="48">
        <v>221501</v>
      </c>
      <c r="T25" s="252">
        <v>212293.1</v>
      </c>
      <c r="U25" s="48">
        <v>210000</v>
      </c>
      <c r="V25" s="600"/>
      <c r="W25" s="601">
        <f t="shared" si="7"/>
        <v>210000</v>
      </c>
      <c r="Z25" s="517"/>
    </row>
    <row r="26" spans="1:26" ht="16.5" thickBot="1">
      <c r="A26" s="50">
        <v>200</v>
      </c>
      <c r="B26" s="801" t="s">
        <v>114</v>
      </c>
      <c r="C26" s="802"/>
      <c r="D26" s="51">
        <f>D27+D40+D60+D62</f>
        <v>1277767</v>
      </c>
      <c r="E26" s="51">
        <f>E27+E40+E60+E62</f>
        <v>1153090</v>
      </c>
      <c r="F26" s="51">
        <f>F27+F40+F60+F62</f>
        <v>1821583</v>
      </c>
      <c r="G26" s="51">
        <f>G27+G40+G60+G62</f>
        <v>1266222</v>
      </c>
      <c r="H26" s="51">
        <v>1215651</v>
      </c>
      <c r="I26" s="51">
        <f aca="true" t="shared" si="8" ref="I26:U26">I27+I40+I60+I62</f>
        <v>1492638</v>
      </c>
      <c r="J26" s="51">
        <f t="shared" si="8"/>
        <v>1090799</v>
      </c>
      <c r="K26" s="51">
        <f t="shared" si="8"/>
        <v>1258962</v>
      </c>
      <c r="L26" s="51">
        <f t="shared" si="8"/>
        <v>1049268.01</v>
      </c>
      <c r="M26" s="545">
        <f t="shared" si="8"/>
        <v>1119583.28</v>
      </c>
      <c r="N26" s="51">
        <f t="shared" si="8"/>
        <v>1113252.36</v>
      </c>
      <c r="O26" s="51">
        <f t="shared" si="8"/>
        <v>1054445.69</v>
      </c>
      <c r="P26" s="51">
        <f>P27+P40+P60+P62</f>
        <v>1433521.3099999998</v>
      </c>
      <c r="Q26" s="545">
        <f>Q27+Q40+Q60+Q62</f>
        <v>1469960.26</v>
      </c>
      <c r="R26" s="545">
        <f>R27+R40+R60+R62</f>
        <v>1173149.8099999998</v>
      </c>
      <c r="S26" s="462">
        <v>1313525.2</v>
      </c>
      <c r="T26" s="740">
        <v>1559614.43</v>
      </c>
      <c r="U26" s="462">
        <f t="shared" si="8"/>
        <v>1682749</v>
      </c>
      <c r="V26" s="462">
        <f>V27+V40+V60+V62</f>
        <v>4182</v>
      </c>
      <c r="W26" s="513">
        <f>W27+W40+W60+W62</f>
        <v>1686931</v>
      </c>
      <c r="Y26" s="517"/>
      <c r="Z26" s="744"/>
    </row>
    <row r="27" spans="1:26" ht="15.75" thickBot="1">
      <c r="A27" s="52">
        <v>210</v>
      </c>
      <c r="B27" s="770" t="s">
        <v>115</v>
      </c>
      <c r="C27" s="800"/>
      <c r="D27" s="53">
        <f>D28+D32</f>
        <v>873233</v>
      </c>
      <c r="E27" s="53">
        <f>E28+E32</f>
        <v>794430</v>
      </c>
      <c r="F27" s="53">
        <f>F28+F32</f>
        <v>1059517</v>
      </c>
      <c r="G27" s="53">
        <f>G28+G32</f>
        <v>810580</v>
      </c>
      <c r="H27" s="53">
        <v>598394</v>
      </c>
      <c r="I27" s="53">
        <f aca="true" t="shared" si="9" ref="I27:R27">I28+I32</f>
        <v>741364</v>
      </c>
      <c r="J27" s="53">
        <f t="shared" si="9"/>
        <v>560834</v>
      </c>
      <c r="K27" s="53">
        <f t="shared" si="9"/>
        <v>650004</v>
      </c>
      <c r="L27" s="53">
        <f t="shared" si="9"/>
        <v>379467.55</v>
      </c>
      <c r="M27" s="546">
        <f t="shared" si="9"/>
        <v>418308.61</v>
      </c>
      <c r="N27" s="53">
        <f t="shared" si="9"/>
        <v>461210.13</v>
      </c>
      <c r="O27" s="546">
        <f t="shared" si="9"/>
        <v>442510.63</v>
      </c>
      <c r="P27" s="53">
        <f t="shared" si="9"/>
        <v>507429.88</v>
      </c>
      <c r="Q27" s="546">
        <f t="shared" si="9"/>
        <v>529407.6</v>
      </c>
      <c r="R27" s="546">
        <f t="shared" si="9"/>
        <v>467813.66</v>
      </c>
      <c r="S27" s="463">
        <v>532496.97</v>
      </c>
      <c r="T27" s="741">
        <v>560824.78</v>
      </c>
      <c r="U27" s="463">
        <f>U28+U32</f>
        <v>607179</v>
      </c>
      <c r="V27" s="463">
        <f>V28+V32</f>
        <v>-10818</v>
      </c>
      <c r="W27" s="514">
        <f>W28+W32</f>
        <v>596361</v>
      </c>
      <c r="Y27" s="517"/>
      <c r="Z27" s="517"/>
    </row>
    <row r="28" spans="1:23" ht="13.5" thickBot="1">
      <c r="A28" s="768" t="s">
        <v>116</v>
      </c>
      <c r="B28" s="8">
        <v>211</v>
      </c>
      <c r="C28" s="54" t="s">
        <v>115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f aca="true" t="shared" si="10" ref="I28:V28">SUM(I29:I31)</f>
        <v>29084</v>
      </c>
      <c r="J28" s="37">
        <f t="shared" si="10"/>
        <v>47000</v>
      </c>
      <c r="K28" s="37">
        <f t="shared" si="10"/>
        <v>58181</v>
      </c>
      <c r="L28" s="37">
        <f>SUM(L29:L31)</f>
        <v>20000</v>
      </c>
      <c r="M28" s="37">
        <f t="shared" si="10"/>
        <v>15000</v>
      </c>
      <c r="N28" s="37">
        <f t="shared" si="10"/>
        <v>24000</v>
      </c>
      <c r="O28" s="320">
        <f>SUM(O29:O31)</f>
        <v>11000</v>
      </c>
      <c r="P28" s="37">
        <f>SUM(P29:P31)</f>
        <v>12500</v>
      </c>
      <c r="Q28" s="320">
        <f>SUM(Q29:Q31)</f>
        <v>14371.43</v>
      </c>
      <c r="R28" s="320">
        <f>SUM(R29:R31)</f>
        <v>13122.45</v>
      </c>
      <c r="S28" s="129">
        <v>11873.47</v>
      </c>
      <c r="T28" s="561">
        <v>16244.9</v>
      </c>
      <c r="U28" s="129">
        <f t="shared" si="10"/>
        <v>20000</v>
      </c>
      <c r="V28" s="129">
        <f t="shared" si="10"/>
        <v>-10000</v>
      </c>
      <c r="W28" s="38">
        <f>SUM(W29:W31)</f>
        <v>10000</v>
      </c>
    </row>
    <row r="29" spans="1:23" ht="12.75" hidden="1">
      <c r="A29" s="772"/>
      <c r="B29" s="789"/>
      <c r="C29" s="55" t="s">
        <v>117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18"/>
      <c r="P29" s="22"/>
      <c r="Q29" s="118"/>
      <c r="R29" s="118"/>
      <c r="S29" s="22"/>
      <c r="T29" s="118">
        <v>6244.9</v>
      </c>
      <c r="U29" s="22"/>
      <c r="V29" s="520"/>
      <c r="W29" s="521"/>
    </row>
    <row r="30" spans="1:23" ht="12.75" hidden="1">
      <c r="A30" s="772"/>
      <c r="B30" s="790"/>
      <c r="C30" s="58" t="s">
        <v>118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2"/>
      <c r="P30" s="26"/>
      <c r="Q30" s="202"/>
      <c r="R30" s="202"/>
      <c r="S30" s="26"/>
      <c r="T30" s="202"/>
      <c r="U30" s="26"/>
      <c r="V30" s="522"/>
      <c r="W30" s="523"/>
    </row>
    <row r="31" spans="1:23" ht="13.5" thickBot="1">
      <c r="A31" s="772"/>
      <c r="B31" s="791"/>
      <c r="C31" s="59" t="s">
        <v>119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0">
        <v>11000</v>
      </c>
      <c r="P31" s="30">
        <v>12500</v>
      </c>
      <c r="Q31" s="220">
        <v>14371.43</v>
      </c>
      <c r="R31" s="684">
        <v>13122.45</v>
      </c>
      <c r="S31" s="30">
        <v>11873.47</v>
      </c>
      <c r="T31" s="220">
        <v>10000</v>
      </c>
      <c r="U31" s="30">
        <v>20000</v>
      </c>
      <c r="V31" s="600">
        <v>-10000</v>
      </c>
      <c r="W31" s="601">
        <f>U31+V31</f>
        <v>10000</v>
      </c>
    </row>
    <row r="32" spans="1:23" ht="13.5" thickBot="1">
      <c r="A32" s="772"/>
      <c r="B32" s="61">
        <v>212</v>
      </c>
      <c r="C32" s="62" t="s">
        <v>120</v>
      </c>
      <c r="D32" s="63">
        <f>SUM(D33:D39)</f>
        <v>779991</v>
      </c>
      <c r="E32" s="63">
        <f>SUM(E33:E39)</f>
        <v>770729</v>
      </c>
      <c r="F32" s="63">
        <f>SUM(F33:F39)</f>
        <v>1008166</v>
      </c>
      <c r="G32" s="63">
        <f>SUM(G33:G39)</f>
        <v>771758</v>
      </c>
      <c r="H32" s="63">
        <v>532342</v>
      </c>
      <c r="I32" s="63">
        <f aca="true" t="shared" si="11" ref="I32:V32">SUM(I33:I39)</f>
        <v>712280</v>
      </c>
      <c r="J32" s="63">
        <f t="shared" si="11"/>
        <v>513834</v>
      </c>
      <c r="K32" s="64">
        <f t="shared" si="11"/>
        <v>591823</v>
      </c>
      <c r="L32" s="64">
        <f t="shared" si="11"/>
        <v>359467.55</v>
      </c>
      <c r="M32" s="155">
        <f t="shared" si="11"/>
        <v>403308.61</v>
      </c>
      <c r="N32" s="64">
        <f t="shared" si="11"/>
        <v>437210.13</v>
      </c>
      <c r="O32" s="155">
        <f t="shared" si="11"/>
        <v>431510.63</v>
      </c>
      <c r="P32" s="64">
        <f>SUM(P33:P39)</f>
        <v>494929.88</v>
      </c>
      <c r="Q32" s="155">
        <f t="shared" si="11"/>
        <v>515036.17</v>
      </c>
      <c r="R32" s="155">
        <f t="shared" si="11"/>
        <v>454691.20999999996</v>
      </c>
      <c r="S32" s="98">
        <v>520623.49999999994</v>
      </c>
      <c r="T32" s="141">
        <v>544579.88</v>
      </c>
      <c r="U32" s="98">
        <f t="shared" si="11"/>
        <v>587179</v>
      </c>
      <c r="V32" s="98">
        <f t="shared" si="11"/>
        <v>-818</v>
      </c>
      <c r="W32" s="65">
        <f>SUM(W33:W39)</f>
        <v>586361</v>
      </c>
    </row>
    <row r="33" spans="1:23" ht="12.75">
      <c r="A33" s="772"/>
      <c r="B33" s="783"/>
      <c r="C33" s="55" t="s">
        <v>121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18">
        <v>134183.87</v>
      </c>
      <c r="N33" s="22">
        <v>87968.33</v>
      </c>
      <c r="O33" s="118">
        <v>71077.13</v>
      </c>
      <c r="P33" s="118">
        <v>118150.37</v>
      </c>
      <c r="Q33" s="118">
        <v>136782.65000000002</v>
      </c>
      <c r="R33" s="118">
        <f>76522.04+638.85+18322.63+1974</f>
        <v>97457.52</v>
      </c>
      <c r="S33" s="22">
        <v>176432.81</v>
      </c>
      <c r="T33" s="118">
        <v>83167.5</v>
      </c>
      <c r="U33" s="22">
        <v>113000</v>
      </c>
      <c r="V33" s="22">
        <f>-818</f>
        <v>-818</v>
      </c>
      <c r="W33" s="23">
        <f aca="true" t="shared" si="12" ref="W33:W39">U33+V33</f>
        <v>112182</v>
      </c>
    </row>
    <row r="34" spans="1:23" ht="12.75">
      <c r="A34" s="772"/>
      <c r="B34" s="784"/>
      <c r="C34" s="58" t="s">
        <v>122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2">
        <v>8075.84</v>
      </c>
      <c r="N34" s="26">
        <v>8856.86</v>
      </c>
      <c r="O34" s="202">
        <v>10889.6</v>
      </c>
      <c r="P34" s="202">
        <v>15581.52</v>
      </c>
      <c r="Q34" s="202">
        <v>12642.68</v>
      </c>
      <c r="R34" s="202">
        <v>14524.55</v>
      </c>
      <c r="S34" s="26">
        <v>21756.42</v>
      </c>
      <c r="T34" s="202">
        <v>14328.14</v>
      </c>
      <c r="U34" s="26">
        <v>18000</v>
      </c>
      <c r="V34" s="26"/>
      <c r="W34" s="27">
        <f t="shared" si="12"/>
        <v>18000</v>
      </c>
    </row>
    <row r="35" spans="1:23" ht="12.75">
      <c r="A35" s="772"/>
      <c r="B35" s="784"/>
      <c r="C35" s="66" t="s">
        <v>123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0">
        <v>46671.58</v>
      </c>
      <c r="N35" s="30">
        <v>82406.4</v>
      </c>
      <c r="O35" s="220">
        <v>98976.09</v>
      </c>
      <c r="P35" s="220">
        <v>127041.24</v>
      </c>
      <c r="Q35" s="220">
        <v>128092.23</v>
      </c>
      <c r="R35" s="220">
        <v>119686.05</v>
      </c>
      <c r="S35" s="681">
        <v>95546.52</v>
      </c>
      <c r="T35" s="220">
        <v>156307.41</v>
      </c>
      <c r="U35" s="30">
        <v>103834</v>
      </c>
      <c r="V35" s="30"/>
      <c r="W35" s="31">
        <f t="shared" si="12"/>
        <v>103834</v>
      </c>
    </row>
    <row r="36" spans="1:23" ht="12.75">
      <c r="A36" s="772"/>
      <c r="B36" s="784"/>
      <c r="C36" s="66" t="s">
        <v>209</v>
      </c>
      <c r="D36" s="66"/>
      <c r="E36" s="66"/>
      <c r="F36" s="66"/>
      <c r="G36" s="66"/>
      <c r="H36" s="66"/>
      <c r="I36" s="66"/>
      <c r="J36" s="66"/>
      <c r="K36" s="30"/>
      <c r="L36" s="30"/>
      <c r="M36" s="220"/>
      <c r="N36" s="30">
        <v>19383.83</v>
      </c>
      <c r="O36" s="220">
        <v>32459.84</v>
      </c>
      <c r="P36" s="220">
        <v>37761.7</v>
      </c>
      <c r="Q36" s="220">
        <v>19905.54</v>
      </c>
      <c r="R36" s="220">
        <v>32052.66</v>
      </c>
      <c r="S36" s="30">
        <v>41775.34</v>
      </c>
      <c r="T36" s="220">
        <v>36674.35</v>
      </c>
      <c r="U36" s="30">
        <v>40727</v>
      </c>
      <c r="V36" s="30"/>
      <c r="W36" s="31">
        <f t="shared" si="12"/>
        <v>40727</v>
      </c>
    </row>
    <row r="37" spans="1:23" ht="12.75" hidden="1">
      <c r="A37" s="772"/>
      <c r="B37" s="784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0"/>
      <c r="N37" s="30">
        <v>10094.75</v>
      </c>
      <c r="O37" s="220">
        <v>3927.1</v>
      </c>
      <c r="P37" s="220"/>
      <c r="Q37" s="220">
        <v>1302</v>
      </c>
      <c r="R37" s="220"/>
      <c r="S37" s="30"/>
      <c r="T37" s="220"/>
      <c r="U37" s="30">
        <v>0</v>
      </c>
      <c r="V37" s="30"/>
      <c r="W37" s="31">
        <f t="shared" si="12"/>
        <v>0</v>
      </c>
    </row>
    <row r="38" spans="1:23" ht="12.75">
      <c r="A38" s="772"/>
      <c r="B38" s="784"/>
      <c r="C38" s="66" t="s">
        <v>210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f>77287+178+128</f>
        <v>77593</v>
      </c>
      <c r="L38" s="30">
        <v>80654.7</v>
      </c>
      <c r="M38" s="220">
        <v>77194.39</v>
      </c>
      <c r="N38" s="30">
        <v>75486.59</v>
      </c>
      <c r="O38" s="220">
        <v>75089.34</v>
      </c>
      <c r="P38" s="220">
        <v>58412.39</v>
      </c>
      <c r="Q38" s="220">
        <v>63233.32</v>
      </c>
      <c r="R38" s="220">
        <f>51267.54+14.35+20.65</f>
        <v>51302.54</v>
      </c>
      <c r="S38" s="30">
        <v>45884.3</v>
      </c>
      <c r="T38" s="220">
        <v>44307.25</v>
      </c>
      <c r="U38" s="30">
        <v>43033</v>
      </c>
      <c r="V38" s="30"/>
      <c r="W38" s="31">
        <f t="shared" si="12"/>
        <v>43033</v>
      </c>
    </row>
    <row r="39" spans="1:23" ht="13.5" thickBot="1">
      <c r="A39" s="788"/>
      <c r="B39" s="785"/>
      <c r="C39" s="59" t="s">
        <v>124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0">
        <v>137182.93</v>
      </c>
      <c r="N39" s="30">
        <v>153013.37000000002</v>
      </c>
      <c r="O39" s="220">
        <v>139091.53</v>
      </c>
      <c r="P39" s="220">
        <v>137982.66</v>
      </c>
      <c r="Q39" s="220">
        <v>153077.75</v>
      </c>
      <c r="R39" s="220">
        <v>139667.89</v>
      </c>
      <c r="S39" s="30">
        <v>139228.11</v>
      </c>
      <c r="T39" s="220">
        <v>209795.23</v>
      </c>
      <c r="U39" s="30">
        <v>268585</v>
      </c>
      <c r="V39" s="30"/>
      <c r="W39" s="31">
        <f t="shared" si="12"/>
        <v>268585</v>
      </c>
    </row>
    <row r="40" spans="1:23" ht="15.75" thickBot="1">
      <c r="A40" s="32">
        <v>220</v>
      </c>
      <c r="B40" s="770" t="s">
        <v>125</v>
      </c>
      <c r="C40" s="800"/>
      <c r="D40" s="67">
        <f aca="true" t="shared" si="13" ref="D40:U40">D41+D45+D58</f>
        <v>320786</v>
      </c>
      <c r="E40" s="67">
        <f t="shared" si="13"/>
        <v>327192</v>
      </c>
      <c r="F40" s="67">
        <f t="shared" si="13"/>
        <v>429297</v>
      </c>
      <c r="G40" s="67">
        <f t="shared" si="13"/>
        <v>326610</v>
      </c>
      <c r="H40" s="67">
        <f t="shared" si="13"/>
        <v>550895</v>
      </c>
      <c r="I40" s="67">
        <f t="shared" si="13"/>
        <v>581281</v>
      </c>
      <c r="J40" s="67">
        <f t="shared" si="13"/>
        <v>471458</v>
      </c>
      <c r="K40" s="67">
        <f t="shared" si="13"/>
        <v>514547</v>
      </c>
      <c r="L40" s="67">
        <f t="shared" si="13"/>
        <v>595361.4199999999</v>
      </c>
      <c r="M40" s="211">
        <f t="shared" si="13"/>
        <v>603358.3099999999</v>
      </c>
      <c r="N40" s="107">
        <f t="shared" si="13"/>
        <v>575655.29</v>
      </c>
      <c r="O40" s="107">
        <f t="shared" si="13"/>
        <v>565224.0499999999</v>
      </c>
      <c r="P40" s="107">
        <f>P41+P45+P58</f>
        <v>868065.2699999999</v>
      </c>
      <c r="Q40" s="551">
        <f>Q41+Q45+Q58</f>
        <v>885296.9500000001</v>
      </c>
      <c r="R40" s="551">
        <f>R41+R45+R58</f>
        <v>680941.51</v>
      </c>
      <c r="S40" s="107">
        <v>755581.21</v>
      </c>
      <c r="T40" s="551">
        <v>979625.87</v>
      </c>
      <c r="U40" s="107">
        <f t="shared" si="13"/>
        <v>1034310</v>
      </c>
      <c r="V40" s="107">
        <f>V41+V45+V58</f>
        <v>15000</v>
      </c>
      <c r="W40" s="68">
        <f>W41+W45+W58</f>
        <v>1049310</v>
      </c>
    </row>
    <row r="41" spans="1:23" ht="13.5" thickBot="1">
      <c r="A41" s="768"/>
      <c r="B41" s="61">
        <v>221</v>
      </c>
      <c r="C41" s="62" t="s">
        <v>126</v>
      </c>
      <c r="D41" s="64">
        <f aca="true" t="shared" si="14" ref="D41:U41">SUM(D42:D44)</f>
        <v>108312</v>
      </c>
      <c r="E41" s="64">
        <f t="shared" si="14"/>
        <v>99747</v>
      </c>
      <c r="F41" s="64">
        <f t="shared" si="14"/>
        <v>156211</v>
      </c>
      <c r="G41" s="64">
        <f t="shared" si="14"/>
        <v>110441</v>
      </c>
      <c r="H41" s="64">
        <f t="shared" si="14"/>
        <v>116883</v>
      </c>
      <c r="I41" s="64">
        <f t="shared" si="14"/>
        <v>93914</v>
      </c>
      <c r="J41" s="64">
        <f t="shared" si="14"/>
        <v>69092</v>
      </c>
      <c r="K41" s="64">
        <f t="shared" si="14"/>
        <v>77127</v>
      </c>
      <c r="L41" s="64">
        <f>SUM(L42:L44)</f>
        <v>85540.68</v>
      </c>
      <c r="M41" s="155">
        <f t="shared" si="14"/>
        <v>81456.3</v>
      </c>
      <c r="N41" s="98">
        <f>SUM(N42:N44)</f>
        <v>65885.95</v>
      </c>
      <c r="O41" s="141">
        <f>SUM(O42:O44)</f>
        <v>60850.59</v>
      </c>
      <c r="P41" s="98">
        <f>SUM(P42:P44)</f>
        <v>136156.94</v>
      </c>
      <c r="Q41" s="141">
        <f>SUM(Q42:Q44)</f>
        <v>137781.35</v>
      </c>
      <c r="R41" s="141">
        <f>SUM(R42:R44)</f>
        <v>109704.02</v>
      </c>
      <c r="S41" s="98">
        <v>92738.48000000001</v>
      </c>
      <c r="T41" s="141">
        <v>108400.26</v>
      </c>
      <c r="U41" s="98">
        <f t="shared" si="14"/>
        <v>103000</v>
      </c>
      <c r="V41" s="98">
        <f>SUM(V42:V44)</f>
        <v>0</v>
      </c>
      <c r="W41" s="65">
        <f>SUM(W42:W44)</f>
        <v>103000</v>
      </c>
    </row>
    <row r="42" spans="1:23" ht="12.75">
      <c r="A42" s="781"/>
      <c r="B42" s="783"/>
      <c r="C42" s="41" t="s">
        <v>127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18">
        <v>53025.13</v>
      </c>
      <c r="N42" s="22">
        <v>35320.42</v>
      </c>
      <c r="O42" s="118">
        <v>33711.95</v>
      </c>
      <c r="P42" s="118">
        <v>102428.79</v>
      </c>
      <c r="Q42" s="118">
        <v>113739.53</v>
      </c>
      <c r="R42" s="118">
        <f>84588.08-728.49</f>
        <v>83859.59</v>
      </c>
      <c r="S42" s="22">
        <v>74189.63</v>
      </c>
      <c r="T42" s="118">
        <v>83579.39</v>
      </c>
      <c r="U42" s="22">
        <v>83000</v>
      </c>
      <c r="V42" s="22"/>
      <c r="W42" s="23">
        <f>U42+V42</f>
        <v>83000</v>
      </c>
    </row>
    <row r="43" spans="1:23" ht="12.75">
      <c r="A43" s="781"/>
      <c r="B43" s="784"/>
      <c r="C43" s="56" t="s">
        <v>128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6">
        <v>1339.48</v>
      </c>
      <c r="N43" s="70">
        <v>1870.76</v>
      </c>
      <c r="O43" s="116"/>
      <c r="P43" s="116">
        <v>1404.5</v>
      </c>
      <c r="Q43" s="116"/>
      <c r="R43" s="202">
        <v>728.49</v>
      </c>
      <c r="S43" s="70"/>
      <c r="T43" s="116"/>
      <c r="U43" s="70">
        <v>0</v>
      </c>
      <c r="V43" s="70">
        <f>U43</f>
        <v>0</v>
      </c>
      <c r="W43" s="71">
        <f>U43+V43</f>
        <v>0</v>
      </c>
    </row>
    <row r="44" spans="1:23" ht="13.5" thickBot="1">
      <c r="A44" s="781"/>
      <c r="B44" s="785"/>
      <c r="C44" s="59" t="s">
        <v>208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0">
        <v>27091.69</v>
      </c>
      <c r="N44" s="30">
        <v>28694.77</v>
      </c>
      <c r="O44" s="220">
        <v>27138.64</v>
      </c>
      <c r="P44" s="220">
        <v>32323.65</v>
      </c>
      <c r="Q44" s="220">
        <v>24041.82</v>
      </c>
      <c r="R44" s="116">
        <v>25115.94</v>
      </c>
      <c r="S44" s="30">
        <v>18548.85</v>
      </c>
      <c r="T44" s="220">
        <v>24820.87</v>
      </c>
      <c r="U44" s="30">
        <v>20000</v>
      </c>
      <c r="V44" s="30"/>
      <c r="W44" s="31">
        <f>U44+V44</f>
        <v>20000</v>
      </c>
    </row>
    <row r="45" spans="1:23" ht="13.5" thickBot="1">
      <c r="A45" s="781"/>
      <c r="B45" s="61">
        <v>223</v>
      </c>
      <c r="C45" s="61" t="s">
        <v>129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f aca="true" t="shared" si="15" ref="I45:R45">SUM(I46:I57)</f>
        <v>484992</v>
      </c>
      <c r="J45" s="64">
        <f t="shared" si="15"/>
        <v>400298</v>
      </c>
      <c r="K45" s="64">
        <f t="shared" si="15"/>
        <v>434944</v>
      </c>
      <c r="L45" s="64">
        <f t="shared" si="15"/>
        <v>507780.69999999995</v>
      </c>
      <c r="M45" s="155">
        <f t="shared" si="15"/>
        <v>519757.4199999999</v>
      </c>
      <c r="N45" s="98">
        <f t="shared" si="15"/>
        <v>507767.17</v>
      </c>
      <c r="O45" s="141">
        <f t="shared" si="15"/>
        <v>502305.62</v>
      </c>
      <c r="P45" s="98">
        <f t="shared" si="15"/>
        <v>730285.49</v>
      </c>
      <c r="Q45" s="141">
        <f t="shared" si="15"/>
        <v>745927.6000000001</v>
      </c>
      <c r="R45" s="141">
        <f t="shared" si="15"/>
        <v>569937.49</v>
      </c>
      <c r="S45" s="98">
        <v>661509.73</v>
      </c>
      <c r="T45" s="141">
        <v>869835.61</v>
      </c>
      <c r="U45" s="98">
        <f>SUM(U46:U57)</f>
        <v>931310</v>
      </c>
      <c r="V45" s="98">
        <f>SUM(V46:V57)</f>
        <v>15000</v>
      </c>
      <c r="W45" s="65">
        <f>SUM(W46:W57)</f>
        <v>946310</v>
      </c>
    </row>
    <row r="46" spans="1:23" ht="12.75">
      <c r="A46" s="781"/>
      <c r="B46" s="783"/>
      <c r="C46" s="55" t="s">
        <v>130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18">
        <v>20532.33</v>
      </c>
      <c r="N46" s="22">
        <v>37975.43</v>
      </c>
      <c r="O46" s="118">
        <v>42651.54</v>
      </c>
      <c r="P46" s="118">
        <v>57271.2</v>
      </c>
      <c r="Q46" s="118">
        <v>57023.05</v>
      </c>
      <c r="R46" s="118">
        <v>60354.27</v>
      </c>
      <c r="S46" s="22">
        <v>50032.78</v>
      </c>
      <c r="T46" s="118">
        <v>48356.9</v>
      </c>
      <c r="U46" s="22">
        <v>55000</v>
      </c>
      <c r="V46" s="22">
        <v>-7000</v>
      </c>
      <c r="W46" s="23">
        <f aca="true" t="shared" si="16" ref="W46:W57">U46+V46</f>
        <v>48000</v>
      </c>
    </row>
    <row r="47" spans="1:23" ht="12.75">
      <c r="A47" s="781"/>
      <c r="B47" s="784"/>
      <c r="C47" s="56" t="s">
        <v>389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18">
        <v>15650</v>
      </c>
      <c r="N47" s="22">
        <v>19753</v>
      </c>
      <c r="O47" s="118">
        <v>8510</v>
      </c>
      <c r="P47" s="118">
        <v>8950</v>
      </c>
      <c r="Q47" s="118">
        <v>8118.5</v>
      </c>
      <c r="R47" s="118"/>
      <c r="S47" s="22">
        <v>39962.45</v>
      </c>
      <c r="T47" s="118">
        <v>32106.35</v>
      </c>
      <c r="U47" s="22">
        <v>30000</v>
      </c>
      <c r="V47" s="22"/>
      <c r="W47" s="23">
        <f t="shared" si="16"/>
        <v>30000</v>
      </c>
    </row>
    <row r="48" spans="1:23" ht="12.75" hidden="1">
      <c r="A48" s="781"/>
      <c r="B48" s="784"/>
      <c r="C48" s="56" t="s">
        <v>131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18"/>
      <c r="N48" s="22"/>
      <c r="O48" s="118"/>
      <c r="P48" s="118"/>
      <c r="Q48" s="118"/>
      <c r="R48" s="118"/>
      <c r="S48" s="22"/>
      <c r="T48" s="118"/>
      <c r="U48" s="22">
        <v>0</v>
      </c>
      <c r="V48" s="22"/>
      <c r="W48" s="23">
        <f t="shared" si="16"/>
        <v>0</v>
      </c>
    </row>
    <row r="49" spans="1:23" ht="12.75">
      <c r="A49" s="781"/>
      <c r="B49" s="784"/>
      <c r="C49" s="58" t="s">
        <v>132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f>18432+1749</f>
        <v>20181</v>
      </c>
      <c r="L49" s="26">
        <v>31759</v>
      </c>
      <c r="M49" s="202">
        <v>31403.35</v>
      </c>
      <c r="N49" s="26">
        <v>35343</v>
      </c>
      <c r="O49" s="202">
        <v>34322.05</v>
      </c>
      <c r="P49" s="202">
        <v>45533.12</v>
      </c>
      <c r="Q49" s="202">
        <v>43614.7</v>
      </c>
      <c r="R49" s="202">
        <v>44982.3</v>
      </c>
      <c r="S49" s="26">
        <v>48179</v>
      </c>
      <c r="T49" s="202">
        <v>44026.75</v>
      </c>
      <c r="U49" s="26">
        <v>45000</v>
      </c>
      <c r="V49" s="26"/>
      <c r="W49" s="27">
        <f t="shared" si="16"/>
        <v>45000</v>
      </c>
    </row>
    <row r="50" spans="1:23" ht="12.75">
      <c r="A50" s="781"/>
      <c r="B50" s="784"/>
      <c r="C50" s="58" t="s">
        <v>338</v>
      </c>
      <c r="D50" s="58"/>
      <c r="E50" s="58"/>
      <c r="F50" s="58"/>
      <c r="G50" s="58"/>
      <c r="H50" s="58"/>
      <c r="I50" s="44"/>
      <c r="J50" s="44"/>
      <c r="K50" s="26"/>
      <c r="L50" s="26"/>
      <c r="M50" s="202"/>
      <c r="N50" s="26"/>
      <c r="O50" s="202"/>
      <c r="P50" s="202">
        <v>34986.25</v>
      </c>
      <c r="Q50" s="202">
        <v>40439.35</v>
      </c>
      <c r="R50" s="202">
        <v>44734.7</v>
      </c>
      <c r="S50" s="26">
        <v>44248.25</v>
      </c>
      <c r="T50" s="202">
        <v>69815</v>
      </c>
      <c r="U50" s="26">
        <v>44000</v>
      </c>
      <c r="V50" s="26">
        <v>22000</v>
      </c>
      <c r="W50" s="27">
        <f t="shared" si="16"/>
        <v>66000</v>
      </c>
    </row>
    <row r="51" spans="1:25" ht="12.75">
      <c r="A51" s="781"/>
      <c r="B51" s="784"/>
      <c r="C51" s="58" t="s">
        <v>339</v>
      </c>
      <c r="D51" s="58"/>
      <c r="E51" s="58"/>
      <c r="F51" s="58"/>
      <c r="G51" s="58"/>
      <c r="H51" s="58"/>
      <c r="I51" s="44"/>
      <c r="J51" s="44"/>
      <c r="K51" s="26"/>
      <c r="L51" s="26"/>
      <c r="M51" s="202"/>
      <c r="N51" s="26"/>
      <c r="O51" s="202">
        <v>2410.4</v>
      </c>
      <c r="P51" s="202">
        <v>202930</v>
      </c>
      <c r="Q51" s="202"/>
      <c r="R51" s="202">
        <v>72958.35</v>
      </c>
      <c r="S51" s="26">
        <v>155816.63</v>
      </c>
      <c r="T51" s="202">
        <v>253900.71999999997</v>
      </c>
      <c r="U51" s="26">
        <v>253900</v>
      </c>
      <c r="V51" s="26"/>
      <c r="W51" s="27">
        <f t="shared" si="16"/>
        <v>253900</v>
      </c>
      <c r="Y51" s="1"/>
    </row>
    <row r="52" spans="1:25" ht="12.75">
      <c r="A52" s="781"/>
      <c r="B52" s="784"/>
      <c r="C52" s="58" t="s">
        <v>387</v>
      </c>
      <c r="D52" s="58"/>
      <c r="E52" s="58"/>
      <c r="F52" s="58"/>
      <c r="G52" s="58"/>
      <c r="H52" s="58"/>
      <c r="I52" s="44">
        <f>25266+1975-2735</f>
        <v>24506</v>
      </c>
      <c r="J52" s="44">
        <v>29035</v>
      </c>
      <c r="K52" s="26">
        <v>28418</v>
      </c>
      <c r="L52" s="26">
        <v>20267.02</v>
      </c>
      <c r="M52" s="202">
        <v>19677.18</v>
      </c>
      <c r="N52" s="26">
        <v>14953.06</v>
      </c>
      <c r="O52" s="202">
        <v>28154.6</v>
      </c>
      <c r="P52" s="202"/>
      <c r="Q52" s="202"/>
      <c r="R52" s="202"/>
      <c r="S52" s="26"/>
      <c r="T52" s="202"/>
      <c r="U52" s="26">
        <v>34000</v>
      </c>
      <c r="V52" s="26"/>
      <c r="W52" s="27">
        <f t="shared" si="16"/>
        <v>34000</v>
      </c>
      <c r="Y52" s="1"/>
    </row>
    <row r="53" spans="1:26" ht="12.75">
      <c r="A53" s="781"/>
      <c r="B53" s="784"/>
      <c r="C53" s="58" t="s">
        <v>198</v>
      </c>
      <c r="D53" s="58"/>
      <c r="E53" s="58"/>
      <c r="F53" s="58"/>
      <c r="G53" s="58"/>
      <c r="H53" s="58"/>
      <c r="I53" s="44">
        <f>19469+134+18</f>
        <v>19621</v>
      </c>
      <c r="J53" s="44">
        <v>15462</v>
      </c>
      <c r="K53" s="26">
        <v>15205</v>
      </c>
      <c r="L53" s="26">
        <v>17827.7</v>
      </c>
      <c r="M53" s="202">
        <v>16873.9</v>
      </c>
      <c r="N53" s="26">
        <v>18524.4</v>
      </c>
      <c r="O53" s="202">
        <v>107327.38</v>
      </c>
      <c r="P53" s="202">
        <v>20421</v>
      </c>
      <c r="Q53" s="202">
        <v>18800</v>
      </c>
      <c r="R53" s="202">
        <v>8510</v>
      </c>
      <c r="S53" s="26">
        <v>9530</v>
      </c>
      <c r="T53" s="202">
        <v>26030</v>
      </c>
      <c r="U53" s="26">
        <v>17410</v>
      </c>
      <c r="V53" s="26"/>
      <c r="W53" s="27">
        <f t="shared" si="16"/>
        <v>17410</v>
      </c>
      <c r="Y53" s="517"/>
      <c r="Z53" s="517"/>
    </row>
    <row r="54" spans="1:23" ht="12.75">
      <c r="A54" s="781"/>
      <c r="B54" s="784"/>
      <c r="C54" s="66" t="s">
        <v>133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f>149434+40</f>
        <v>149474</v>
      </c>
      <c r="L54" s="26">
        <v>154903.56</v>
      </c>
      <c r="M54" s="220">
        <v>163189.57</v>
      </c>
      <c r="N54" s="30">
        <v>121087.25</v>
      </c>
      <c r="O54" s="220">
        <v>49349.66</v>
      </c>
      <c r="P54" s="220">
        <v>100448.22</v>
      </c>
      <c r="Q54" s="220">
        <v>102354.74</v>
      </c>
      <c r="R54" s="220">
        <v>106757.63</v>
      </c>
      <c r="S54" s="30">
        <v>101964.37</v>
      </c>
      <c r="T54" s="220">
        <v>156939.26</v>
      </c>
      <c r="U54" s="30">
        <v>182000</v>
      </c>
      <c r="V54" s="30"/>
      <c r="W54" s="31">
        <f t="shared" si="16"/>
        <v>182000</v>
      </c>
    </row>
    <row r="55" spans="1:23" ht="12.75">
      <c r="A55" s="781"/>
      <c r="B55" s="784"/>
      <c r="C55" s="66" t="s">
        <v>134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0">
        <v>49002.82</v>
      </c>
      <c r="N55" s="30">
        <v>48758.66</v>
      </c>
      <c r="O55" s="220">
        <v>11897.8</v>
      </c>
      <c r="P55" s="220">
        <v>48198.72</v>
      </c>
      <c r="Q55" s="220">
        <v>41209.34</v>
      </c>
      <c r="R55" s="220">
        <v>46014.91</v>
      </c>
      <c r="S55" s="30">
        <v>31969.12</v>
      </c>
      <c r="T55" s="220">
        <v>41710.4</v>
      </c>
      <c r="U55" s="30">
        <v>72600</v>
      </c>
      <c r="V55" s="30"/>
      <c r="W55" s="31">
        <f t="shared" si="16"/>
        <v>72600</v>
      </c>
    </row>
    <row r="56" spans="1:23" ht="12.75">
      <c r="A56" s="781"/>
      <c r="B56" s="784"/>
      <c r="C56" s="66" t="s">
        <v>135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0"/>
      <c r="N56" s="30">
        <v>3813</v>
      </c>
      <c r="O56" s="220">
        <v>6856.9</v>
      </c>
      <c r="P56" s="220">
        <v>669.9000000000001</v>
      </c>
      <c r="Q56" s="220">
        <v>38311.520000000004</v>
      </c>
      <c r="R56" s="220">
        <v>29991.24</v>
      </c>
      <c r="S56" s="30">
        <v>9841.25</v>
      </c>
      <c r="T56" s="220"/>
      <c r="U56" s="30">
        <v>15000</v>
      </c>
      <c r="V56" s="30"/>
      <c r="W56" s="31">
        <f t="shared" si="16"/>
        <v>15000</v>
      </c>
    </row>
    <row r="57" spans="1:23" ht="13.5" thickBot="1">
      <c r="A57" s="781"/>
      <c r="B57" s="784"/>
      <c r="C57" s="66" t="s">
        <v>136</v>
      </c>
      <c r="D57" s="66"/>
      <c r="E57" s="66"/>
      <c r="F57" s="66"/>
      <c r="G57" s="66"/>
      <c r="H57" s="66"/>
      <c r="I57" s="74">
        <f>111+179602</f>
        <v>179713</v>
      </c>
      <c r="J57" s="44">
        <f>91+133410</f>
        <v>133501</v>
      </c>
      <c r="K57" s="26">
        <f>60+137299+3496</f>
        <v>140855</v>
      </c>
      <c r="L57" s="26">
        <v>208009.77</v>
      </c>
      <c r="M57" s="220">
        <v>203428.27</v>
      </c>
      <c r="N57" s="30">
        <v>207559.37</v>
      </c>
      <c r="O57" s="220">
        <v>210825.28999999998</v>
      </c>
      <c r="P57" s="220">
        <f>413807.08-202930</f>
        <v>210877.08000000002</v>
      </c>
      <c r="Q57" s="220">
        <v>396056.39999999997</v>
      </c>
      <c r="R57" s="220">
        <v>155634.09</v>
      </c>
      <c r="S57" s="30">
        <v>169965.88</v>
      </c>
      <c r="T57" s="220">
        <v>196950.23</v>
      </c>
      <c r="U57" s="30">
        <v>182400</v>
      </c>
      <c r="V57" s="30"/>
      <c r="W57" s="31">
        <f t="shared" si="16"/>
        <v>182400</v>
      </c>
    </row>
    <row r="58" spans="1:23" ht="13.5" thickBot="1">
      <c r="A58" s="781"/>
      <c r="B58" s="61">
        <v>229</v>
      </c>
      <c r="C58" s="61" t="s">
        <v>137</v>
      </c>
      <c r="D58" s="63">
        <f>D59</f>
        <v>3054</v>
      </c>
      <c r="E58" s="63">
        <f>E59</f>
        <v>2722</v>
      </c>
      <c r="F58" s="63">
        <f>F59</f>
        <v>2921</v>
      </c>
      <c r="G58" s="63">
        <f>G59</f>
        <v>2475</v>
      </c>
      <c r="H58" s="63">
        <f>H59</f>
        <v>2568</v>
      </c>
      <c r="I58" s="63">
        <f aca="true" t="shared" si="17" ref="I58:W58">I59</f>
        <v>2375</v>
      </c>
      <c r="J58" s="63">
        <f t="shared" si="17"/>
        <v>2068</v>
      </c>
      <c r="K58" s="64">
        <f t="shared" si="17"/>
        <v>2476</v>
      </c>
      <c r="L58" s="64">
        <f t="shared" si="17"/>
        <v>2040.04</v>
      </c>
      <c r="M58" s="64">
        <f t="shared" si="17"/>
        <v>2144.59</v>
      </c>
      <c r="N58" s="98">
        <f t="shared" si="17"/>
        <v>2002.17</v>
      </c>
      <c r="O58" s="98">
        <f t="shared" si="17"/>
        <v>2067.84</v>
      </c>
      <c r="P58" s="98">
        <f t="shared" si="17"/>
        <v>1622.84</v>
      </c>
      <c r="Q58" s="141">
        <f t="shared" si="17"/>
        <v>1588</v>
      </c>
      <c r="R58" s="141">
        <f t="shared" si="17"/>
        <v>1300</v>
      </c>
      <c r="S58" s="98">
        <v>1333</v>
      </c>
      <c r="T58" s="98">
        <v>1390</v>
      </c>
      <c r="U58" s="98">
        <f t="shared" si="17"/>
        <v>0</v>
      </c>
      <c r="V58" s="98">
        <f t="shared" si="17"/>
        <v>0</v>
      </c>
      <c r="W58" s="65">
        <f t="shared" si="17"/>
        <v>0</v>
      </c>
    </row>
    <row r="59" spans="1:23" ht="13.5" thickBot="1">
      <c r="A59" s="782"/>
      <c r="B59" s="75"/>
      <c r="C59" s="75" t="s">
        <v>138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08">
        <v>2144.59</v>
      </c>
      <c r="N59" s="77">
        <v>2002.17</v>
      </c>
      <c r="O59" s="208">
        <v>2067.84</v>
      </c>
      <c r="P59" s="77">
        <v>1622.84</v>
      </c>
      <c r="Q59" s="208">
        <v>1588</v>
      </c>
      <c r="R59" s="208">
        <v>1300</v>
      </c>
      <c r="S59" s="77">
        <v>1333</v>
      </c>
      <c r="T59" s="77">
        <v>1390</v>
      </c>
      <c r="U59" s="77"/>
      <c r="V59" s="77"/>
      <c r="W59" s="629">
        <f>U59+V59</f>
        <v>0</v>
      </c>
    </row>
    <row r="60" spans="1:23" ht="15.75" thickBot="1">
      <c r="A60" s="13">
        <v>240</v>
      </c>
      <c r="B60" s="798" t="s">
        <v>139</v>
      </c>
      <c r="C60" s="799"/>
      <c r="D60" s="79">
        <f aca="true" t="shared" si="18" ref="D60:U60">SUM(D61:D61)</f>
        <v>27352</v>
      </c>
      <c r="E60" s="79">
        <f t="shared" si="18"/>
        <v>10390</v>
      </c>
      <c r="F60" s="79">
        <f t="shared" si="18"/>
        <v>16730</v>
      </c>
      <c r="G60" s="79">
        <f t="shared" si="18"/>
        <v>5867</v>
      </c>
      <c r="H60" s="79">
        <f t="shared" si="18"/>
        <v>6403</v>
      </c>
      <c r="I60" s="79">
        <f t="shared" si="18"/>
        <v>3943</v>
      </c>
      <c r="J60" s="79">
        <f t="shared" si="18"/>
        <v>3352</v>
      </c>
      <c r="K60" s="79">
        <f t="shared" si="18"/>
        <v>1988</v>
      </c>
      <c r="L60" s="80">
        <f t="shared" si="18"/>
        <v>1226.92</v>
      </c>
      <c r="M60" s="79">
        <f t="shared" si="18"/>
        <v>445.87</v>
      </c>
      <c r="N60" s="398">
        <f t="shared" si="18"/>
        <v>2584.38</v>
      </c>
      <c r="O60" s="398">
        <f t="shared" si="18"/>
        <v>1160.94</v>
      </c>
      <c r="P60" s="398">
        <f t="shared" si="18"/>
        <v>1818.95</v>
      </c>
      <c r="Q60" s="649">
        <f t="shared" si="18"/>
        <v>1244.15</v>
      </c>
      <c r="R60" s="649">
        <f t="shared" si="18"/>
        <v>0</v>
      </c>
      <c r="S60" s="398">
        <v>0</v>
      </c>
      <c r="T60" s="398">
        <v>580</v>
      </c>
      <c r="U60" s="398">
        <f t="shared" si="18"/>
        <v>0</v>
      </c>
      <c r="V60" s="524"/>
      <c r="W60" s="519">
        <f>U60+V60</f>
        <v>0</v>
      </c>
    </row>
    <row r="61" spans="1:23" ht="15.75" thickBot="1">
      <c r="A61" s="52"/>
      <c r="B61" s="81"/>
      <c r="C61" s="82" t="s">
        <v>140</v>
      </c>
      <c r="D61" s="82">
        <v>27352</v>
      </c>
      <c r="E61" s="82">
        <v>10390</v>
      </c>
      <c r="F61" s="82">
        <v>16730</v>
      </c>
      <c r="G61" s="82">
        <v>5867</v>
      </c>
      <c r="H61" s="82">
        <v>6403</v>
      </c>
      <c r="I61" s="82">
        <v>3943</v>
      </c>
      <c r="J61" s="82">
        <v>3352</v>
      </c>
      <c r="K61" s="83">
        <v>1988</v>
      </c>
      <c r="L61" s="83">
        <v>1226.92</v>
      </c>
      <c r="M61" s="263">
        <v>445.87</v>
      </c>
      <c r="N61" s="84">
        <v>2584.38</v>
      </c>
      <c r="O61" s="263">
        <v>1160.94</v>
      </c>
      <c r="P61" s="84">
        <v>1818.95</v>
      </c>
      <c r="Q61" s="263">
        <v>1244.15</v>
      </c>
      <c r="R61" s="263"/>
      <c r="S61" s="84"/>
      <c r="T61" s="84">
        <v>580</v>
      </c>
      <c r="U61" s="84"/>
      <c r="V61" s="524"/>
      <c r="W61" s="519"/>
    </row>
    <row r="62" spans="1:23" ht="15.75" thickBot="1">
      <c r="A62" s="727">
        <v>290</v>
      </c>
      <c r="B62" s="786" t="s">
        <v>141</v>
      </c>
      <c r="C62" s="787"/>
      <c r="D62" s="14">
        <f>D63</f>
        <v>56396</v>
      </c>
      <c r="E62" s="14">
        <f>E63</f>
        <v>21078</v>
      </c>
      <c r="F62" s="14">
        <f>F63</f>
        <v>316039</v>
      </c>
      <c r="G62" s="14">
        <f>G63</f>
        <v>123165</v>
      </c>
      <c r="H62" s="14">
        <v>59959</v>
      </c>
      <c r="I62" s="14">
        <f aca="true" t="shared" si="19" ref="I62:U62">I63</f>
        <v>166050</v>
      </c>
      <c r="J62" s="14">
        <f t="shared" si="19"/>
        <v>55155</v>
      </c>
      <c r="K62" s="14">
        <f t="shared" si="19"/>
        <v>92423</v>
      </c>
      <c r="L62" s="14">
        <f t="shared" si="19"/>
        <v>73212.12000000001</v>
      </c>
      <c r="M62" s="246">
        <f t="shared" si="19"/>
        <v>97470.49</v>
      </c>
      <c r="N62" s="461">
        <f t="shared" si="19"/>
        <v>73802.55999999998</v>
      </c>
      <c r="O62" s="675">
        <f t="shared" si="19"/>
        <v>45550.07000000001</v>
      </c>
      <c r="P62" s="461">
        <f t="shared" si="19"/>
        <v>56207.21</v>
      </c>
      <c r="Q62" s="675">
        <f t="shared" si="19"/>
        <v>54011.56</v>
      </c>
      <c r="R62" s="675">
        <f t="shared" si="19"/>
        <v>24394.64</v>
      </c>
      <c r="S62" s="461">
        <v>25447.02</v>
      </c>
      <c r="T62" s="461">
        <v>18583.78</v>
      </c>
      <c r="U62" s="461">
        <f t="shared" si="19"/>
        <v>41260</v>
      </c>
      <c r="V62" s="461">
        <f>V63</f>
        <v>0</v>
      </c>
      <c r="W62" s="512">
        <f>W63</f>
        <v>41260</v>
      </c>
    </row>
    <row r="63" spans="1:23" ht="13.5" thickBot="1">
      <c r="A63" s="768"/>
      <c r="B63" s="62">
        <v>292</v>
      </c>
      <c r="C63" s="62" t="s">
        <v>141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f aca="true" t="shared" si="20" ref="I63:U63">SUM(I64:I68)</f>
        <v>166050</v>
      </c>
      <c r="J63" s="64">
        <f t="shared" si="20"/>
        <v>55155</v>
      </c>
      <c r="K63" s="64">
        <f t="shared" si="20"/>
        <v>92423</v>
      </c>
      <c r="L63" s="64">
        <f t="shared" si="20"/>
        <v>73212.12000000001</v>
      </c>
      <c r="M63" s="155">
        <f t="shared" si="20"/>
        <v>97470.49</v>
      </c>
      <c r="N63" s="98">
        <f t="shared" si="20"/>
        <v>73802.55999999998</v>
      </c>
      <c r="O63" s="141">
        <f t="shared" si="20"/>
        <v>45550.07000000001</v>
      </c>
      <c r="P63" s="141">
        <f t="shared" si="20"/>
        <v>56207.21</v>
      </c>
      <c r="Q63" s="141">
        <f t="shared" si="20"/>
        <v>54011.56</v>
      </c>
      <c r="R63" s="141">
        <f t="shared" si="20"/>
        <v>24394.64</v>
      </c>
      <c r="S63" s="98">
        <v>25447.02</v>
      </c>
      <c r="T63" s="98">
        <v>18583.78</v>
      </c>
      <c r="U63" s="98">
        <f t="shared" si="20"/>
        <v>41260</v>
      </c>
      <c r="V63" s="98">
        <f>SUM(V64:V68)</f>
        <v>0</v>
      </c>
      <c r="W63" s="65">
        <f>SUM(W64:W68)</f>
        <v>41260</v>
      </c>
    </row>
    <row r="64" spans="1:23" ht="12.75">
      <c r="A64" s="772"/>
      <c r="B64" s="789"/>
      <c r="C64" s="85" t="s">
        <v>142</v>
      </c>
      <c r="D64" s="85"/>
      <c r="E64" s="85"/>
      <c r="F64" s="85"/>
      <c r="G64" s="85"/>
      <c r="H64" s="85"/>
      <c r="I64" s="86">
        <v>19700</v>
      </c>
      <c r="J64" s="86">
        <v>19300</v>
      </c>
      <c r="K64" s="26">
        <v>29700</v>
      </c>
      <c r="L64" s="26">
        <v>27700</v>
      </c>
      <c r="M64" s="118">
        <v>46500</v>
      </c>
      <c r="N64" s="22">
        <v>35700</v>
      </c>
      <c r="O64" s="118">
        <v>7205</v>
      </c>
      <c r="P64" s="118"/>
      <c r="Q64" s="118"/>
      <c r="R64" s="118"/>
      <c r="S64" s="22"/>
      <c r="T64" s="22">
        <v>0</v>
      </c>
      <c r="U64" s="22">
        <v>0</v>
      </c>
      <c r="V64" s="22"/>
      <c r="W64" s="23">
        <f>U64+V64</f>
        <v>0</v>
      </c>
    </row>
    <row r="65" spans="1:23" ht="12.75">
      <c r="A65" s="772"/>
      <c r="B65" s="790"/>
      <c r="C65" s="87" t="s">
        <v>143</v>
      </c>
      <c r="D65" s="87"/>
      <c r="E65" s="87"/>
      <c r="F65" s="87"/>
      <c r="G65" s="87"/>
      <c r="H65" s="87"/>
      <c r="I65" s="88">
        <v>37534</v>
      </c>
      <c r="J65" s="88">
        <v>14000</v>
      </c>
      <c r="K65" s="26">
        <v>2888</v>
      </c>
      <c r="L65" s="26">
        <v>313.32</v>
      </c>
      <c r="M65" s="118">
        <v>6641.91</v>
      </c>
      <c r="N65" s="22">
        <v>434.45</v>
      </c>
      <c r="O65" s="118">
        <v>5635.97</v>
      </c>
      <c r="P65" s="118"/>
      <c r="Q65" s="118">
        <v>3297.08</v>
      </c>
      <c r="R65" s="118"/>
      <c r="S65" s="22"/>
      <c r="T65" s="22">
        <v>0</v>
      </c>
      <c r="U65" s="22">
        <v>0</v>
      </c>
      <c r="V65" s="22"/>
      <c r="W65" s="23">
        <f>U65+V65</f>
        <v>0</v>
      </c>
    </row>
    <row r="66" spans="1:23" ht="12.75">
      <c r="A66" s="772"/>
      <c r="B66" s="790"/>
      <c r="C66" s="87" t="s">
        <v>141</v>
      </c>
      <c r="D66" s="87"/>
      <c r="E66" s="87"/>
      <c r="F66" s="87"/>
      <c r="G66" s="87"/>
      <c r="H66" s="87"/>
      <c r="I66" s="88">
        <v>106407</v>
      </c>
      <c r="J66" s="88">
        <v>19147</v>
      </c>
      <c r="K66" s="26">
        <f>16091+34106+2444+185+641+2733+114-32+43+286+668</f>
        <v>57279</v>
      </c>
      <c r="L66" s="26">
        <v>42730.56</v>
      </c>
      <c r="M66" s="118">
        <v>42300.64</v>
      </c>
      <c r="N66" s="22">
        <v>35668.57</v>
      </c>
      <c r="O66" s="118">
        <v>30698.190000000002</v>
      </c>
      <c r="P66" s="118">
        <v>54103.22</v>
      </c>
      <c r="Q66" s="118">
        <v>47647.969999999994</v>
      </c>
      <c r="R66" s="118">
        <v>22776.37</v>
      </c>
      <c r="S66" s="22">
        <v>25273.420000000002</v>
      </c>
      <c r="T66" s="22">
        <v>18551.71</v>
      </c>
      <c r="U66" s="22">
        <v>41260</v>
      </c>
      <c r="V66" s="22"/>
      <c r="W66" s="23">
        <f>U66+V66</f>
        <v>41260</v>
      </c>
    </row>
    <row r="67" spans="1:23" ht="13.5" thickBot="1">
      <c r="A67" s="772"/>
      <c r="B67" s="790"/>
      <c r="C67" s="89" t="s">
        <v>144</v>
      </c>
      <c r="D67" s="89"/>
      <c r="E67" s="89"/>
      <c r="F67" s="89"/>
      <c r="G67" s="89"/>
      <c r="H67" s="89"/>
      <c r="I67" s="90">
        <v>2409</v>
      </c>
      <c r="J67" s="90">
        <v>2708</v>
      </c>
      <c r="K67" s="26">
        <v>2556</v>
      </c>
      <c r="L67" s="26">
        <v>2468.24</v>
      </c>
      <c r="M67" s="134">
        <v>2027.94</v>
      </c>
      <c r="N67" s="25">
        <v>1999.54</v>
      </c>
      <c r="O67" s="134">
        <v>2010.91</v>
      </c>
      <c r="P67" s="134">
        <v>2103.99</v>
      </c>
      <c r="Q67" s="134">
        <v>3066.51</v>
      </c>
      <c r="R67" s="134">
        <v>1618.27</v>
      </c>
      <c r="S67" s="25">
        <v>173.6</v>
      </c>
      <c r="T67" s="25">
        <v>32.07</v>
      </c>
      <c r="U67" s="25"/>
      <c r="V67" s="25"/>
      <c r="W67" s="515">
        <f>U67+V67</f>
        <v>0</v>
      </c>
    </row>
    <row r="68" spans="1:23" ht="13.5" hidden="1" thickBot="1">
      <c r="A68" s="788"/>
      <c r="B68" s="791"/>
      <c r="C68" s="611" t="s">
        <v>145</v>
      </c>
      <c r="D68" s="611"/>
      <c r="E68" s="611"/>
      <c r="F68" s="611"/>
      <c r="G68" s="611"/>
      <c r="H68" s="611"/>
      <c r="I68" s="611"/>
      <c r="J68" s="611"/>
      <c r="K68" s="273"/>
      <c r="L68" s="274"/>
      <c r="M68" s="274"/>
      <c r="N68" s="274"/>
      <c r="O68" s="274"/>
      <c r="P68" s="274"/>
      <c r="Q68" s="552"/>
      <c r="R68" s="552"/>
      <c r="S68" s="274"/>
      <c r="T68" s="274"/>
      <c r="U68" s="274"/>
      <c r="V68" s="612"/>
      <c r="W68" s="613"/>
    </row>
    <row r="69" spans="1:23" ht="16.5" thickBot="1">
      <c r="A69" s="50">
        <v>300</v>
      </c>
      <c r="B69" s="775" t="s">
        <v>146</v>
      </c>
      <c r="C69" s="776"/>
      <c r="D69" s="614">
        <f aca="true" t="shared" si="21" ref="D69:W69">D70+D111</f>
        <v>1842129</v>
      </c>
      <c r="E69" s="614">
        <f t="shared" si="21"/>
        <v>1999701</v>
      </c>
      <c r="F69" s="614">
        <f t="shared" si="21"/>
        <v>2077242</v>
      </c>
      <c r="G69" s="614">
        <f t="shared" si="21"/>
        <v>2645110</v>
      </c>
      <c r="H69" s="614">
        <f t="shared" si="21"/>
        <v>2979865</v>
      </c>
      <c r="I69" s="614">
        <f t="shared" si="21"/>
        <v>2749519</v>
      </c>
      <c r="J69" s="614">
        <f t="shared" si="21"/>
        <v>2801991</v>
      </c>
      <c r="K69" s="614">
        <f t="shared" si="21"/>
        <v>3455588</v>
      </c>
      <c r="L69" s="614">
        <f t="shared" si="21"/>
        <v>3450076.55</v>
      </c>
      <c r="M69" s="615">
        <f t="shared" si="21"/>
        <v>3086303.93</v>
      </c>
      <c r="N69" s="616">
        <f t="shared" si="21"/>
        <v>3180090.650000001</v>
      </c>
      <c r="O69" s="616">
        <f t="shared" si="21"/>
        <v>3083446.5600000005</v>
      </c>
      <c r="P69" s="668">
        <f t="shared" si="21"/>
        <v>3121193.3499999996</v>
      </c>
      <c r="Q69" s="668">
        <f t="shared" si="21"/>
        <v>3412076.46</v>
      </c>
      <c r="R69" s="668">
        <f t="shared" si="21"/>
        <v>4385392.74</v>
      </c>
      <c r="S69" s="616">
        <f t="shared" si="21"/>
        <v>4535455.64</v>
      </c>
      <c r="T69" s="616">
        <f t="shared" si="21"/>
        <v>4377798.93</v>
      </c>
      <c r="U69" s="616">
        <f t="shared" si="21"/>
        <v>5074338.47</v>
      </c>
      <c r="V69" s="616">
        <f t="shared" si="21"/>
        <v>73218.3</v>
      </c>
      <c r="W69" s="617">
        <f t="shared" si="21"/>
        <v>5147556.77</v>
      </c>
    </row>
    <row r="70" spans="1:23" ht="15.75" thickBot="1">
      <c r="A70" s="32">
        <v>310</v>
      </c>
      <c r="B70" s="770" t="s">
        <v>147</v>
      </c>
      <c r="C70" s="771"/>
      <c r="D70" s="67">
        <f aca="true" t="shared" si="22" ref="D70:U70">D71+D73</f>
        <v>1842129</v>
      </c>
      <c r="E70" s="67">
        <f t="shared" si="22"/>
        <v>1999701</v>
      </c>
      <c r="F70" s="67">
        <f t="shared" si="22"/>
        <v>2077242</v>
      </c>
      <c r="G70" s="67">
        <f t="shared" si="22"/>
        <v>2645110</v>
      </c>
      <c r="H70" s="67">
        <f t="shared" si="22"/>
        <v>2958818</v>
      </c>
      <c r="I70" s="67">
        <f t="shared" si="22"/>
        <v>2721164</v>
      </c>
      <c r="J70" s="67">
        <f t="shared" si="22"/>
        <v>2762933</v>
      </c>
      <c r="K70" s="67">
        <f t="shared" si="22"/>
        <v>3446072</v>
      </c>
      <c r="L70" s="67">
        <f>L71+L73</f>
        <v>3450076.55</v>
      </c>
      <c r="M70" s="211">
        <f t="shared" si="22"/>
        <v>3086303.93</v>
      </c>
      <c r="N70" s="107">
        <f aca="true" t="shared" si="23" ref="N70:S70">N71+N73</f>
        <v>3180090.650000001</v>
      </c>
      <c r="O70" s="107">
        <f t="shared" si="23"/>
        <v>3083446.5600000005</v>
      </c>
      <c r="P70" s="551">
        <f t="shared" si="23"/>
        <v>3121193.3499999996</v>
      </c>
      <c r="Q70" s="551">
        <f t="shared" si="23"/>
        <v>3412076.46</v>
      </c>
      <c r="R70" s="551">
        <f t="shared" si="23"/>
        <v>4385392.74</v>
      </c>
      <c r="S70" s="107">
        <f t="shared" si="23"/>
        <v>4535455.64</v>
      </c>
      <c r="T70" s="107">
        <f>T71+T73</f>
        <v>4377798.93</v>
      </c>
      <c r="U70" s="107">
        <f t="shared" si="22"/>
        <v>5074338.47</v>
      </c>
      <c r="V70" s="107">
        <f>V71+V73</f>
        <v>73218.3</v>
      </c>
      <c r="W70" s="68">
        <f>W71+W73</f>
        <v>5147556.77</v>
      </c>
    </row>
    <row r="71" spans="1:23" ht="13.5" thickBot="1">
      <c r="A71" s="768"/>
      <c r="B71" s="91">
        <v>311</v>
      </c>
      <c r="C71" s="61" t="s">
        <v>148</v>
      </c>
      <c r="D71" s="92">
        <f aca="true" t="shared" si="24" ref="D71:M71">SUM(D72:D72)</f>
        <v>0</v>
      </c>
      <c r="E71" s="92">
        <f t="shared" si="24"/>
        <v>23003</v>
      </c>
      <c r="F71" s="92">
        <f t="shared" si="24"/>
        <v>14107</v>
      </c>
      <c r="G71" s="92">
        <f t="shared" si="24"/>
        <v>9307</v>
      </c>
      <c r="H71" s="92">
        <f t="shared" si="24"/>
        <v>19495</v>
      </c>
      <c r="I71" s="92">
        <f t="shared" si="24"/>
        <v>11396</v>
      </c>
      <c r="J71" s="92">
        <f t="shared" si="24"/>
        <v>19287</v>
      </c>
      <c r="K71" s="64">
        <f t="shared" si="24"/>
        <v>18260</v>
      </c>
      <c r="L71" s="64">
        <f t="shared" si="24"/>
        <v>700</v>
      </c>
      <c r="M71" s="155">
        <f t="shared" si="24"/>
        <v>4100</v>
      </c>
      <c r="N71" s="464">
        <f aca="true" t="shared" si="25" ref="N71:U71">N72</f>
        <v>4000</v>
      </c>
      <c r="O71" s="631">
        <f t="shared" si="25"/>
        <v>3010</v>
      </c>
      <c r="P71" s="631">
        <f t="shared" si="25"/>
        <v>5900</v>
      </c>
      <c r="Q71" s="631">
        <f t="shared" si="25"/>
        <v>1900</v>
      </c>
      <c r="R71" s="631">
        <f t="shared" si="25"/>
        <v>0</v>
      </c>
      <c r="S71" s="631">
        <f t="shared" si="25"/>
        <v>0</v>
      </c>
      <c r="T71" s="631">
        <f t="shared" si="25"/>
        <v>0</v>
      </c>
      <c r="U71" s="631">
        <f t="shared" si="25"/>
        <v>0</v>
      </c>
      <c r="V71" s="464">
        <f>V72</f>
        <v>0</v>
      </c>
      <c r="W71" s="17">
        <f>W72</f>
        <v>0</v>
      </c>
    </row>
    <row r="72" spans="1:23" ht="13.5" thickBot="1">
      <c r="A72" s="772"/>
      <c r="B72" s="40"/>
      <c r="C72" s="41" t="s">
        <v>149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18">
        <v>4100</v>
      </c>
      <c r="N72" s="22">
        <v>4000</v>
      </c>
      <c r="O72" s="118">
        <v>3010</v>
      </c>
      <c r="P72" s="118">
        <v>5900</v>
      </c>
      <c r="Q72" s="118">
        <v>1900</v>
      </c>
      <c r="R72" s="118"/>
      <c r="S72" s="22"/>
      <c r="T72" s="22"/>
      <c r="U72" s="22"/>
      <c r="V72" s="22"/>
      <c r="W72" s="23"/>
    </row>
    <row r="73" spans="1:26" ht="13.5" thickBot="1">
      <c r="A73" s="772"/>
      <c r="B73" s="8">
        <v>312</v>
      </c>
      <c r="C73" s="8" t="s">
        <v>150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f>SUM(I74:I110)</f>
        <v>2709768</v>
      </c>
      <c r="J73" s="37">
        <f>SUM(J74:J110)</f>
        <v>2743646</v>
      </c>
      <c r="K73" s="37">
        <f>SUM(K74:K110)</f>
        <v>3427812</v>
      </c>
      <c r="L73" s="37">
        <v>3449376.55</v>
      </c>
      <c r="M73" s="320">
        <f aca="true" t="shared" si="26" ref="M73:W73">SUM(M74:M110)</f>
        <v>3082203.93</v>
      </c>
      <c r="N73" s="129">
        <f t="shared" si="26"/>
        <v>3176090.650000001</v>
      </c>
      <c r="O73" s="561">
        <f t="shared" si="26"/>
        <v>3080436.5600000005</v>
      </c>
      <c r="P73" s="561">
        <f t="shared" si="26"/>
        <v>3115293.3499999996</v>
      </c>
      <c r="Q73" s="561">
        <f t="shared" si="26"/>
        <v>3410176.46</v>
      </c>
      <c r="R73" s="561">
        <f t="shared" si="26"/>
        <v>4385392.74</v>
      </c>
      <c r="S73" s="129">
        <f t="shared" si="26"/>
        <v>4535455.64</v>
      </c>
      <c r="T73" s="129">
        <f t="shared" si="26"/>
        <v>4377798.93</v>
      </c>
      <c r="U73" s="129">
        <f t="shared" si="26"/>
        <v>5074338.47</v>
      </c>
      <c r="V73" s="129">
        <f t="shared" si="26"/>
        <v>73218.3</v>
      </c>
      <c r="W73" s="38">
        <f t="shared" si="26"/>
        <v>5147556.77</v>
      </c>
      <c r="Y73" s="676"/>
      <c r="Z73" s="517"/>
    </row>
    <row r="74" spans="1:23" ht="12.75">
      <c r="A74" s="772"/>
      <c r="B74" s="773"/>
      <c r="C74" s="41" t="s">
        <v>151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1">
        <v>11477.1</v>
      </c>
      <c r="N74" s="93">
        <v>11818.38</v>
      </c>
      <c r="O74" s="200">
        <v>12154.95</v>
      </c>
      <c r="P74" s="200">
        <v>13029.32</v>
      </c>
      <c r="Q74" s="200">
        <v>15209.34</v>
      </c>
      <c r="R74" s="200">
        <v>16905.95</v>
      </c>
      <c r="S74" s="93">
        <v>17572.16</v>
      </c>
      <c r="T74" s="93">
        <v>17305.09</v>
      </c>
      <c r="U74" s="93">
        <v>16630</v>
      </c>
      <c r="V74" s="602">
        <v>1787</v>
      </c>
      <c r="W74" s="603">
        <f aca="true" t="shared" si="27" ref="W74:W110">U74+V74</f>
        <v>18417</v>
      </c>
    </row>
    <row r="75" spans="1:26" ht="12.75">
      <c r="A75" s="772"/>
      <c r="B75" s="774"/>
      <c r="C75" s="43" t="s">
        <v>152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4">
        <v>2385302.7</v>
      </c>
      <c r="N75" s="26">
        <v>2378880.87</v>
      </c>
      <c r="O75" s="202">
        <v>2380478.2</v>
      </c>
      <c r="P75" s="202">
        <v>2366109.5</v>
      </c>
      <c r="Q75" s="202">
        <v>2545153.69</v>
      </c>
      <c r="R75" s="202">
        <v>2781805.12</v>
      </c>
      <c r="S75" s="26">
        <v>2869915</v>
      </c>
      <c r="T75" s="26">
        <v>3118128.2</v>
      </c>
      <c r="U75" s="26">
        <v>3270706</v>
      </c>
      <c r="V75" s="602"/>
      <c r="W75" s="603">
        <f t="shared" si="27"/>
        <v>3270706</v>
      </c>
      <c r="Z75" s="517"/>
    </row>
    <row r="76" spans="1:26" ht="12.75">
      <c r="A76" s="772"/>
      <c r="B76" s="774"/>
      <c r="C76" s="43" t="s">
        <v>153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4">
        <v>18041.07</v>
      </c>
      <c r="N76" s="26">
        <v>17962.95</v>
      </c>
      <c r="O76" s="202">
        <v>17965.74</v>
      </c>
      <c r="P76" s="202">
        <v>21444.09</v>
      </c>
      <c r="Q76" s="202">
        <v>25241.06</v>
      </c>
      <c r="R76" s="202">
        <v>28158.54</v>
      </c>
      <c r="S76" s="26">
        <v>24931.2</v>
      </c>
      <c r="T76" s="26">
        <v>24830.29</v>
      </c>
      <c r="U76" s="26">
        <v>28159</v>
      </c>
      <c r="V76" s="602">
        <v>272</v>
      </c>
      <c r="W76" s="603">
        <f t="shared" si="27"/>
        <v>28431</v>
      </c>
      <c r="Y76" s="517"/>
      <c r="Z76" s="517"/>
    </row>
    <row r="77" spans="1:25" ht="12.75">
      <c r="A77" s="772"/>
      <c r="B77" s="774"/>
      <c r="C77" s="43" t="s">
        <v>154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4">
        <v>26310</v>
      </c>
      <c r="N77" s="26">
        <v>27303</v>
      </c>
      <c r="O77" s="202">
        <v>28388</v>
      </c>
      <c r="P77" s="202">
        <v>29368</v>
      </c>
      <c r="Q77" s="202">
        <v>32106</v>
      </c>
      <c r="R77" s="202">
        <v>35166</v>
      </c>
      <c r="S77" s="26">
        <v>36089</v>
      </c>
      <c r="T77" s="26">
        <v>18535</v>
      </c>
      <c r="U77" s="26">
        <v>32000</v>
      </c>
      <c r="V77" s="602">
        <v>7868</v>
      </c>
      <c r="W77" s="603">
        <f t="shared" si="27"/>
        <v>39868</v>
      </c>
      <c r="Y77" s="517"/>
    </row>
    <row r="78" spans="1:25" ht="12.75">
      <c r="A78" s="772"/>
      <c r="B78" s="774"/>
      <c r="C78" s="43" t="s">
        <v>155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4">
        <v>7157.02</v>
      </c>
      <c r="N78" s="26">
        <v>7145.67</v>
      </c>
      <c r="O78" s="202">
        <v>7146.74</v>
      </c>
      <c r="P78" s="202">
        <v>7180.34</v>
      </c>
      <c r="Q78" s="202">
        <v>7204.95</v>
      </c>
      <c r="R78" s="202">
        <v>7210.94</v>
      </c>
      <c r="S78" s="26">
        <v>7213.51</v>
      </c>
      <c r="T78" s="26">
        <v>7218.22</v>
      </c>
      <c r="U78" s="26">
        <v>7218</v>
      </c>
      <c r="V78" s="602">
        <v>-129</v>
      </c>
      <c r="W78" s="603">
        <f t="shared" si="27"/>
        <v>7089</v>
      </c>
      <c r="Y78" s="517"/>
    </row>
    <row r="79" spans="1:23" ht="12.75">
      <c r="A79" s="772"/>
      <c r="B79" s="774"/>
      <c r="C79" s="43" t="s">
        <v>156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4">
        <v>4327.68</v>
      </c>
      <c r="N79" s="26">
        <v>3104.64</v>
      </c>
      <c r="O79" s="202">
        <v>3575.04</v>
      </c>
      <c r="P79" s="202">
        <v>3928.96</v>
      </c>
      <c r="Q79" s="202">
        <v>5163.84</v>
      </c>
      <c r="R79" s="202">
        <v>4480.02</v>
      </c>
      <c r="S79" s="26">
        <v>2417</v>
      </c>
      <c r="T79" s="26">
        <v>3205.42</v>
      </c>
      <c r="U79" s="26">
        <v>4480</v>
      </c>
      <c r="V79" s="602"/>
      <c r="W79" s="603">
        <f t="shared" si="27"/>
        <v>4480</v>
      </c>
    </row>
    <row r="80" spans="1:23" ht="12.75">
      <c r="A80" s="772"/>
      <c r="B80" s="774"/>
      <c r="C80" s="43" t="s">
        <v>157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4">
        <v>58497.09</v>
      </c>
      <c r="N80" s="26">
        <v>43283.74</v>
      </c>
      <c r="O80" s="202">
        <v>37015.03</v>
      </c>
      <c r="P80" s="202">
        <v>30847.5</v>
      </c>
      <c r="Q80" s="202">
        <v>180888.6</v>
      </c>
      <c r="R80" s="202">
        <v>3685.2</v>
      </c>
      <c r="S80" s="26">
        <v>3353.2</v>
      </c>
      <c r="T80" s="26">
        <v>3270.2</v>
      </c>
      <c r="U80" s="26">
        <v>3500</v>
      </c>
      <c r="V80" s="602"/>
      <c r="W80" s="603">
        <f t="shared" si="27"/>
        <v>3500</v>
      </c>
    </row>
    <row r="81" spans="1:29" ht="12.75">
      <c r="A81" s="772"/>
      <c r="B81" s="774"/>
      <c r="C81" s="43" t="s">
        <v>158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f>1699+18018</f>
        <v>19717</v>
      </c>
      <c r="L81" s="26">
        <v>29033.54</v>
      </c>
      <c r="M81" s="114">
        <v>25989.77</v>
      </c>
      <c r="N81" s="26">
        <v>45874.89000000001</v>
      </c>
      <c r="O81" s="202">
        <v>32060.63</v>
      </c>
      <c r="P81" s="202">
        <v>23435.9</v>
      </c>
      <c r="Q81" s="202">
        <v>11750.66</v>
      </c>
      <c r="R81" s="202">
        <v>13997.92</v>
      </c>
      <c r="S81" s="26">
        <v>25352.86</v>
      </c>
      <c r="T81" s="26">
        <v>29583.760000000002</v>
      </c>
      <c r="U81" s="26">
        <v>23000</v>
      </c>
      <c r="V81" s="602">
        <v>21379</v>
      </c>
      <c r="W81" s="603">
        <f t="shared" si="27"/>
        <v>44379</v>
      </c>
      <c r="AC81" s="517"/>
    </row>
    <row r="82" spans="1:23" ht="12.75">
      <c r="A82" s="772"/>
      <c r="B82" s="774"/>
      <c r="C82" s="43" t="s">
        <v>159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4">
        <v>838.04</v>
      </c>
      <c r="N82" s="26">
        <v>834.41</v>
      </c>
      <c r="O82" s="202">
        <v>834.53</v>
      </c>
      <c r="P82" s="202">
        <v>834.58</v>
      </c>
      <c r="Q82" s="202">
        <v>834.92</v>
      </c>
      <c r="R82" s="202">
        <v>833.25</v>
      </c>
      <c r="S82" s="26">
        <v>831.16</v>
      </c>
      <c r="T82" s="26">
        <v>828.18</v>
      </c>
      <c r="U82" s="26">
        <v>1474</v>
      </c>
      <c r="V82" s="602">
        <v>-664</v>
      </c>
      <c r="W82" s="603">
        <f t="shared" si="27"/>
        <v>810</v>
      </c>
    </row>
    <row r="83" spans="1:23" ht="12.75">
      <c r="A83" s="772"/>
      <c r="B83" s="774"/>
      <c r="C83" s="43" t="s">
        <v>160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4">
        <v>1388.19</v>
      </c>
      <c r="N83" s="26">
        <v>1382.72</v>
      </c>
      <c r="O83" s="202">
        <v>1384.09</v>
      </c>
      <c r="P83" s="202">
        <v>1383.83</v>
      </c>
      <c r="Q83" s="202">
        <v>1383.78</v>
      </c>
      <c r="R83" s="202">
        <v>1401.91</v>
      </c>
      <c r="S83" s="26">
        <v>1442.76</v>
      </c>
      <c r="T83" s="26">
        <v>2139.51</v>
      </c>
      <c r="U83" s="26">
        <v>1443</v>
      </c>
      <c r="V83" s="602">
        <v>123</v>
      </c>
      <c r="W83" s="603">
        <f t="shared" si="27"/>
        <v>1566</v>
      </c>
    </row>
    <row r="84" spans="1:23" ht="12.75">
      <c r="A84" s="772"/>
      <c r="B84" s="774"/>
      <c r="C84" s="43" t="s">
        <v>335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4">
        <v>88644.08</v>
      </c>
      <c r="N84" s="26"/>
      <c r="O84" s="202">
        <v>5319.72</v>
      </c>
      <c r="P84" s="202">
        <v>79960.38</v>
      </c>
      <c r="Q84" s="202">
        <v>117516.28</v>
      </c>
      <c r="R84" s="202">
        <v>102665.44</v>
      </c>
      <c r="S84" s="26">
        <v>168200.86</v>
      </c>
      <c r="T84" s="26">
        <v>148333.02</v>
      </c>
      <c r="U84" s="26">
        <v>158000</v>
      </c>
      <c r="V84" s="602"/>
      <c r="W84" s="603">
        <f t="shared" si="27"/>
        <v>158000</v>
      </c>
    </row>
    <row r="85" spans="1:23" ht="12.75">
      <c r="A85" s="772"/>
      <c r="B85" s="774"/>
      <c r="C85" s="43" t="s">
        <v>161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4">
        <v>4892.91</v>
      </c>
      <c r="N85" s="26">
        <v>4949.79</v>
      </c>
      <c r="O85" s="202">
        <v>5150.43</v>
      </c>
      <c r="P85" s="202">
        <v>5039.6</v>
      </c>
      <c r="Q85" s="202">
        <v>4957.389999999999</v>
      </c>
      <c r="R85" s="202">
        <v>5060.610000000001</v>
      </c>
      <c r="S85" s="26">
        <v>5039.46</v>
      </c>
      <c r="T85" s="26">
        <v>5586.53</v>
      </c>
      <c r="U85" s="26">
        <v>5039</v>
      </c>
      <c r="V85" s="602">
        <v>-146</v>
      </c>
      <c r="W85" s="603">
        <f t="shared" si="27"/>
        <v>4893</v>
      </c>
    </row>
    <row r="86" spans="1:23" ht="12.75">
      <c r="A86" s="772"/>
      <c r="B86" s="774"/>
      <c r="C86" s="43" t="s">
        <v>162</v>
      </c>
      <c r="D86" s="43"/>
      <c r="E86" s="43"/>
      <c r="F86" s="43"/>
      <c r="G86" s="43"/>
      <c r="H86" s="43"/>
      <c r="I86" s="43"/>
      <c r="J86" s="43"/>
      <c r="K86" s="26"/>
      <c r="L86" s="26"/>
      <c r="M86" s="114"/>
      <c r="N86" s="26">
        <v>5331.12</v>
      </c>
      <c r="O86" s="202">
        <v>5725</v>
      </c>
      <c r="P86" s="202">
        <v>6318.110000000001</v>
      </c>
      <c r="Q86" s="202">
        <v>15040</v>
      </c>
      <c r="R86" s="202">
        <v>11724.32</v>
      </c>
      <c r="S86" s="26">
        <v>8198.2</v>
      </c>
      <c r="T86" s="26">
        <v>8502.77</v>
      </c>
      <c r="U86" s="26">
        <v>9213</v>
      </c>
      <c r="V86" s="602"/>
      <c r="W86" s="603">
        <f t="shared" si="27"/>
        <v>9213</v>
      </c>
    </row>
    <row r="87" spans="1:23" ht="12.75">
      <c r="A87" s="772"/>
      <c r="B87" s="774"/>
      <c r="C87" s="43" t="s">
        <v>162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4">
        <v>5001.36</v>
      </c>
      <c r="N87" s="26">
        <v>4700</v>
      </c>
      <c r="O87" s="202">
        <v>4000</v>
      </c>
      <c r="P87" s="202">
        <v>6500</v>
      </c>
      <c r="Q87" s="202">
        <v>6844.81</v>
      </c>
      <c r="R87" s="202"/>
      <c r="S87" s="26">
        <v>13200</v>
      </c>
      <c r="T87" s="26">
        <v>11300</v>
      </c>
      <c r="U87" s="26">
        <v>0</v>
      </c>
      <c r="V87" s="602"/>
      <c r="W87" s="603">
        <f t="shared" si="27"/>
        <v>0</v>
      </c>
    </row>
    <row r="88" spans="1:23" ht="12.75">
      <c r="A88" s="772"/>
      <c r="B88" s="774"/>
      <c r="C88" s="43" t="s">
        <v>163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f>2614+9370+2952+12392</f>
        <v>27328</v>
      </c>
      <c r="L88" s="26">
        <v>18845.33</v>
      </c>
      <c r="M88" s="114">
        <v>25120.019999999997</v>
      </c>
      <c r="N88" s="26">
        <v>34933.57</v>
      </c>
      <c r="O88" s="202">
        <v>37751.54</v>
      </c>
      <c r="P88" s="202">
        <v>40983.99</v>
      </c>
      <c r="Q88" s="202">
        <v>46526.26</v>
      </c>
      <c r="R88" s="202">
        <v>47924.12</v>
      </c>
      <c r="S88" s="26">
        <v>47729.81</v>
      </c>
      <c r="T88" s="26">
        <v>49298.94</v>
      </c>
      <c r="U88" s="26">
        <v>47000</v>
      </c>
      <c r="V88" s="602">
        <v>-10000</v>
      </c>
      <c r="W88" s="603">
        <f t="shared" si="27"/>
        <v>37000</v>
      </c>
    </row>
    <row r="89" spans="1:23" ht="12.75">
      <c r="A89" s="772"/>
      <c r="B89" s="774"/>
      <c r="C89" s="43" t="s">
        <v>347</v>
      </c>
      <c r="D89" s="43"/>
      <c r="E89" s="43"/>
      <c r="F89" s="43"/>
      <c r="G89" s="43"/>
      <c r="H89" s="43"/>
      <c r="I89" s="43"/>
      <c r="J89" s="43"/>
      <c r="K89" s="26"/>
      <c r="L89" s="26"/>
      <c r="M89" s="202"/>
      <c r="N89" s="26">
        <v>37805</v>
      </c>
      <c r="O89" s="26"/>
      <c r="P89" s="202"/>
      <c r="Q89" s="202"/>
      <c r="R89" s="202">
        <v>80695.71</v>
      </c>
      <c r="S89" s="26">
        <v>99939.32</v>
      </c>
      <c r="T89" s="26">
        <v>57013.03</v>
      </c>
      <c r="U89" s="26">
        <v>81000</v>
      </c>
      <c r="V89" s="602">
        <v>-16298</v>
      </c>
      <c r="W89" s="603">
        <f t="shared" si="27"/>
        <v>64702</v>
      </c>
    </row>
    <row r="90" spans="1:25" ht="12.75">
      <c r="A90" s="772"/>
      <c r="B90" s="774"/>
      <c r="C90" s="43" t="s">
        <v>435</v>
      </c>
      <c r="D90" s="58"/>
      <c r="E90" s="58"/>
      <c r="F90" s="58"/>
      <c r="G90" s="58"/>
      <c r="H90" s="58"/>
      <c r="I90" s="58"/>
      <c r="J90" s="58"/>
      <c r="K90" s="26"/>
      <c r="L90" s="26">
        <v>35000</v>
      </c>
      <c r="M90" s="202"/>
      <c r="N90" s="26"/>
      <c r="O90" s="26"/>
      <c r="P90" s="202"/>
      <c r="Q90" s="202"/>
      <c r="R90" s="202"/>
      <c r="S90" s="26"/>
      <c r="T90" s="26"/>
      <c r="U90" s="26">
        <v>37000</v>
      </c>
      <c r="V90" s="602"/>
      <c r="W90" s="603">
        <f t="shared" si="27"/>
        <v>37000</v>
      </c>
      <c r="Y90" s="1"/>
    </row>
    <row r="91" spans="1:25" ht="12.75">
      <c r="A91" s="772"/>
      <c r="B91" s="774"/>
      <c r="C91" s="58" t="s">
        <v>436</v>
      </c>
      <c r="D91" s="58"/>
      <c r="E91" s="58"/>
      <c r="F91" s="58"/>
      <c r="G91" s="58"/>
      <c r="H91" s="58"/>
      <c r="I91" s="58"/>
      <c r="J91" s="58"/>
      <c r="K91" s="26"/>
      <c r="L91" s="26"/>
      <c r="M91" s="202"/>
      <c r="N91" s="26"/>
      <c r="O91" s="26"/>
      <c r="P91" s="202"/>
      <c r="Q91" s="202"/>
      <c r="R91" s="202"/>
      <c r="S91" s="26"/>
      <c r="T91" s="26"/>
      <c r="U91" s="26">
        <v>12000</v>
      </c>
      <c r="V91" s="602"/>
      <c r="W91" s="603">
        <f t="shared" si="27"/>
        <v>12000</v>
      </c>
      <c r="Y91" s="1"/>
    </row>
    <row r="92" spans="1:23" ht="12.75">
      <c r="A92" s="772"/>
      <c r="B92" s="774"/>
      <c r="C92" s="58" t="s">
        <v>366</v>
      </c>
      <c r="D92" s="58"/>
      <c r="E92" s="58"/>
      <c r="F92" s="58"/>
      <c r="G92" s="58"/>
      <c r="H92" s="58"/>
      <c r="I92" s="58"/>
      <c r="J92" s="58"/>
      <c r="K92" s="26"/>
      <c r="L92" s="26">
        <v>149100</v>
      </c>
      <c r="M92" s="202"/>
      <c r="N92" s="26"/>
      <c r="O92" s="26">
        <v>15864.95</v>
      </c>
      <c r="P92" s="202"/>
      <c r="Q92" s="202"/>
      <c r="R92" s="202"/>
      <c r="S92" s="26"/>
      <c r="T92" s="26"/>
      <c r="U92" s="26">
        <v>11000</v>
      </c>
      <c r="V92" s="602"/>
      <c r="W92" s="603">
        <f t="shared" si="27"/>
        <v>11000</v>
      </c>
    </row>
    <row r="93" spans="1:23" ht="12.75">
      <c r="A93" s="772"/>
      <c r="B93" s="774"/>
      <c r="C93" s="43" t="s">
        <v>354</v>
      </c>
      <c r="D93" s="43"/>
      <c r="E93" s="43"/>
      <c r="F93" s="43"/>
      <c r="G93" s="43"/>
      <c r="H93" s="43"/>
      <c r="I93" s="43">
        <v>119232</v>
      </c>
      <c r="J93" s="43">
        <f>30008+30023</f>
        <v>60031</v>
      </c>
      <c r="K93" s="26"/>
      <c r="L93" s="26"/>
      <c r="M93" s="202">
        <v>108000</v>
      </c>
      <c r="N93" s="26"/>
      <c r="O93" s="26">
        <v>66101.8</v>
      </c>
      <c r="P93" s="202"/>
      <c r="Q93" s="202"/>
      <c r="R93" s="202"/>
      <c r="S93" s="26"/>
      <c r="T93" s="26"/>
      <c r="U93" s="26">
        <v>71000</v>
      </c>
      <c r="V93" s="582">
        <v>-46200</v>
      </c>
      <c r="W93" s="603">
        <f t="shared" si="27"/>
        <v>24800</v>
      </c>
    </row>
    <row r="94" spans="1:23" ht="12.75">
      <c r="A94" s="772"/>
      <c r="B94" s="774"/>
      <c r="C94" s="43" t="s">
        <v>461</v>
      </c>
      <c r="D94" s="43"/>
      <c r="E94" s="43"/>
      <c r="F94" s="43"/>
      <c r="G94" s="43"/>
      <c r="H94" s="43"/>
      <c r="I94" s="43"/>
      <c r="J94" s="43"/>
      <c r="K94" s="26"/>
      <c r="L94" s="26"/>
      <c r="M94" s="202"/>
      <c r="N94" s="26"/>
      <c r="O94" s="26"/>
      <c r="P94" s="202"/>
      <c r="Q94" s="202"/>
      <c r="R94" s="202"/>
      <c r="S94" s="26"/>
      <c r="T94" s="26"/>
      <c r="U94" s="26"/>
      <c r="V94" s="582">
        <v>29539</v>
      </c>
      <c r="W94" s="603">
        <f t="shared" si="27"/>
        <v>29539</v>
      </c>
    </row>
    <row r="95" spans="1:23" ht="12.75">
      <c r="A95" s="772"/>
      <c r="B95" s="774"/>
      <c r="C95" s="43" t="s">
        <v>430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02"/>
      <c r="Q95" s="202"/>
      <c r="R95" s="202"/>
      <c r="S95" s="26"/>
      <c r="T95" s="26"/>
      <c r="U95" s="26">
        <v>403000</v>
      </c>
      <c r="V95" s="602"/>
      <c r="W95" s="603">
        <f t="shared" si="27"/>
        <v>403000</v>
      </c>
    </row>
    <row r="96" spans="1:23" ht="12.75">
      <c r="A96" s="772"/>
      <c r="B96" s="774"/>
      <c r="C96" s="43" t="s">
        <v>165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02">
        <v>190966.83</v>
      </c>
      <c r="P96" s="202">
        <v>164272.02000000002</v>
      </c>
      <c r="Q96" s="202">
        <v>126275.40000000001</v>
      </c>
      <c r="R96" s="202">
        <v>113934.41</v>
      </c>
      <c r="S96" s="26">
        <v>126365.63</v>
      </c>
      <c r="T96" s="26"/>
      <c r="U96" s="26">
        <v>115000</v>
      </c>
      <c r="V96" s="602"/>
      <c r="W96" s="603">
        <f t="shared" si="27"/>
        <v>115000</v>
      </c>
    </row>
    <row r="97" spans="1:23" ht="12.75">
      <c r="A97" s="772"/>
      <c r="B97" s="774"/>
      <c r="C97" s="43" t="s">
        <v>166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02">
        <v>2738.17</v>
      </c>
      <c r="Q97" s="202"/>
      <c r="R97" s="202"/>
      <c r="S97" s="26"/>
      <c r="T97" s="26"/>
      <c r="U97" s="26">
        <v>58230</v>
      </c>
      <c r="V97" s="602"/>
      <c r="W97" s="603">
        <f t="shared" si="27"/>
        <v>58230</v>
      </c>
    </row>
    <row r="98" spans="1:23" ht="12.75">
      <c r="A98" s="772"/>
      <c r="B98" s="774"/>
      <c r="C98" s="43" t="s">
        <v>459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02"/>
      <c r="Q98" s="202"/>
      <c r="R98" s="202"/>
      <c r="S98" s="26"/>
      <c r="T98" s="26"/>
      <c r="U98" s="26">
        <v>0</v>
      </c>
      <c r="V98" s="602">
        <v>729</v>
      </c>
      <c r="W98" s="603">
        <f t="shared" si="27"/>
        <v>729</v>
      </c>
    </row>
    <row r="99" spans="1:23" ht="12.75">
      <c r="A99" s="772"/>
      <c r="B99" s="774"/>
      <c r="C99" s="43" t="s">
        <v>460</v>
      </c>
      <c r="D99" s="43"/>
      <c r="E99" s="43"/>
      <c r="F99" s="43"/>
      <c r="G99" s="43"/>
      <c r="H99" s="43"/>
      <c r="I99" s="43"/>
      <c r="J99" s="43"/>
      <c r="K99" s="26"/>
      <c r="L99" s="26"/>
      <c r="M99" s="26"/>
      <c r="N99" s="26"/>
      <c r="O99" s="26"/>
      <c r="P99" s="202"/>
      <c r="Q99" s="202"/>
      <c r="R99" s="202"/>
      <c r="S99" s="26"/>
      <c r="T99" s="26"/>
      <c r="U99" s="26"/>
      <c r="V99" s="602">
        <f>4647+13679+88</f>
        <v>18414</v>
      </c>
      <c r="W99" s="603">
        <f t="shared" si="27"/>
        <v>18414</v>
      </c>
    </row>
    <row r="100" spans="1:23" ht="12.75">
      <c r="A100" s="772"/>
      <c r="B100" s="774"/>
      <c r="C100" s="43" t="s">
        <v>453</v>
      </c>
      <c r="D100" s="43"/>
      <c r="E100" s="43"/>
      <c r="F100" s="43"/>
      <c r="G100" s="43"/>
      <c r="H100" s="43"/>
      <c r="I100" s="43"/>
      <c r="J100" s="43"/>
      <c r="K100" s="26"/>
      <c r="L100" s="26"/>
      <c r="M100" s="26"/>
      <c r="N100" s="26"/>
      <c r="O100" s="26"/>
      <c r="P100" s="202"/>
      <c r="Q100" s="202"/>
      <c r="R100" s="202"/>
      <c r="S100" s="26"/>
      <c r="T100" s="26"/>
      <c r="U100" s="26">
        <v>23704</v>
      </c>
      <c r="V100" s="602"/>
      <c r="W100" s="603">
        <f t="shared" si="27"/>
        <v>23704</v>
      </c>
    </row>
    <row r="101" spans="1:23" ht="12.75">
      <c r="A101" s="772"/>
      <c r="B101" s="774"/>
      <c r="C101" s="43" t="s">
        <v>168</v>
      </c>
      <c r="D101" s="43"/>
      <c r="E101" s="43"/>
      <c r="F101" s="43"/>
      <c r="G101" s="43"/>
      <c r="H101" s="43"/>
      <c r="I101" s="43"/>
      <c r="J101" s="43"/>
      <c r="K101" s="26">
        <v>73802</v>
      </c>
      <c r="L101" s="26"/>
      <c r="M101" s="26"/>
      <c r="N101" s="26"/>
      <c r="O101" s="26"/>
      <c r="P101" s="202"/>
      <c r="Q101" s="202"/>
      <c r="R101" s="202"/>
      <c r="S101" s="26"/>
      <c r="T101" s="26"/>
      <c r="U101" s="26">
        <v>4000</v>
      </c>
      <c r="V101" s="602"/>
      <c r="W101" s="603">
        <f t="shared" si="27"/>
        <v>4000</v>
      </c>
    </row>
    <row r="102" spans="1:23" ht="12.75">
      <c r="A102" s="772"/>
      <c r="B102" s="774"/>
      <c r="C102" s="43" t="s">
        <v>169</v>
      </c>
      <c r="D102" s="43"/>
      <c r="E102" s="43"/>
      <c r="F102" s="43"/>
      <c r="G102" s="43"/>
      <c r="H102" s="43"/>
      <c r="I102" s="43"/>
      <c r="J102" s="43">
        <v>18000</v>
      </c>
      <c r="K102" s="26"/>
      <c r="L102" s="26"/>
      <c r="M102" s="26"/>
      <c r="N102" s="26"/>
      <c r="O102" s="26"/>
      <c r="P102" s="202"/>
      <c r="Q102" s="202"/>
      <c r="R102" s="202"/>
      <c r="S102" s="26"/>
      <c r="T102" s="26"/>
      <c r="U102" s="26">
        <v>8000</v>
      </c>
      <c r="V102" s="602">
        <v>50000</v>
      </c>
      <c r="W102" s="603">
        <f t="shared" si="27"/>
        <v>58000</v>
      </c>
    </row>
    <row r="103" spans="1:23" ht="12.75">
      <c r="A103" s="772"/>
      <c r="B103" s="774"/>
      <c r="C103" s="43" t="s">
        <v>449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02"/>
      <c r="Q103" s="202"/>
      <c r="R103" s="202"/>
      <c r="S103" s="26"/>
      <c r="T103" s="26"/>
      <c r="U103" s="26">
        <v>98987</v>
      </c>
      <c r="V103" s="582"/>
      <c r="W103" s="603">
        <f t="shared" si="27"/>
        <v>98987</v>
      </c>
    </row>
    <row r="104" spans="1:23" ht="12.75">
      <c r="A104" s="772"/>
      <c r="B104" s="774"/>
      <c r="C104" s="43" t="s">
        <v>444</v>
      </c>
      <c r="D104" s="43"/>
      <c r="E104" s="43"/>
      <c r="F104" s="43"/>
      <c r="G104" s="43"/>
      <c r="H104" s="43"/>
      <c r="I104" s="43"/>
      <c r="J104" s="43"/>
      <c r="K104" s="26"/>
      <c r="L104" s="26"/>
      <c r="M104" s="95"/>
      <c r="N104" s="96"/>
      <c r="O104" s="96"/>
      <c r="P104" s="641"/>
      <c r="Q104" s="641"/>
      <c r="R104" s="641"/>
      <c r="S104" s="96"/>
      <c r="T104" s="96"/>
      <c r="U104" s="96">
        <v>116695</v>
      </c>
      <c r="V104" s="582"/>
      <c r="W104" s="603">
        <f t="shared" si="27"/>
        <v>116695</v>
      </c>
    </row>
    <row r="105" spans="1:23" ht="12.75">
      <c r="A105" s="772"/>
      <c r="B105" s="774"/>
      <c r="C105" s="43" t="s">
        <v>445</v>
      </c>
      <c r="D105" s="43"/>
      <c r="E105" s="43"/>
      <c r="F105" s="43"/>
      <c r="G105" s="43"/>
      <c r="H105" s="43"/>
      <c r="I105" s="43"/>
      <c r="J105" s="43"/>
      <c r="K105" s="26"/>
      <c r="L105" s="26"/>
      <c r="M105" s="96"/>
      <c r="N105" s="96"/>
      <c r="O105" s="96"/>
      <c r="P105" s="641"/>
      <c r="Q105" s="641"/>
      <c r="R105" s="641"/>
      <c r="S105" s="96"/>
      <c r="T105" s="96"/>
      <c r="U105" s="96">
        <v>118720</v>
      </c>
      <c r="V105" s="582"/>
      <c r="W105" s="603">
        <f t="shared" si="27"/>
        <v>118720</v>
      </c>
    </row>
    <row r="106" spans="1:23" ht="12.75">
      <c r="A106" s="772"/>
      <c r="B106" s="774"/>
      <c r="C106" s="43" t="s">
        <v>446</v>
      </c>
      <c r="D106" s="43"/>
      <c r="E106" s="43"/>
      <c r="F106" s="43"/>
      <c r="G106" s="43"/>
      <c r="H106" s="43"/>
      <c r="I106" s="43"/>
      <c r="J106" s="43"/>
      <c r="K106" s="26"/>
      <c r="L106" s="26"/>
      <c r="M106" s="26"/>
      <c r="N106" s="26"/>
      <c r="O106" s="26"/>
      <c r="P106" s="202"/>
      <c r="Q106" s="202"/>
      <c r="R106" s="202"/>
      <c r="S106" s="26"/>
      <c r="T106" s="26"/>
      <c r="U106" s="26">
        <v>6080</v>
      </c>
      <c r="V106" s="582"/>
      <c r="W106" s="603">
        <f t="shared" si="27"/>
        <v>6080</v>
      </c>
    </row>
    <row r="107" spans="1:23" ht="12.75">
      <c r="A107" s="772"/>
      <c r="B107" s="774"/>
      <c r="C107" s="43" t="s">
        <v>443</v>
      </c>
      <c r="D107" s="43"/>
      <c r="E107" s="43"/>
      <c r="F107" s="43"/>
      <c r="G107" s="43"/>
      <c r="H107" s="43"/>
      <c r="I107" s="43">
        <v>165906</v>
      </c>
      <c r="J107" s="43"/>
      <c r="K107" s="26">
        <v>0</v>
      </c>
      <c r="L107" s="26"/>
      <c r="M107" s="26"/>
      <c r="N107" s="26"/>
      <c r="O107" s="26"/>
      <c r="P107" s="202">
        <v>238911.06000000006</v>
      </c>
      <c r="Q107" s="202"/>
      <c r="R107" s="202"/>
      <c r="S107" s="26"/>
      <c r="T107" s="26"/>
      <c r="U107" s="26">
        <v>46900.47</v>
      </c>
      <c r="V107" s="582">
        <v>-4814.7</v>
      </c>
      <c r="W107" s="603">
        <f t="shared" si="27"/>
        <v>42085.770000000004</v>
      </c>
    </row>
    <row r="108" spans="1:23" ht="12.75">
      <c r="A108" s="772"/>
      <c r="B108" s="774"/>
      <c r="C108" s="72" t="s">
        <v>458</v>
      </c>
      <c r="D108" s="47"/>
      <c r="E108" s="47"/>
      <c r="F108" s="47"/>
      <c r="G108" s="47"/>
      <c r="H108" s="47"/>
      <c r="I108" s="47"/>
      <c r="J108" s="47"/>
      <c r="K108" s="26"/>
      <c r="L108" s="26"/>
      <c r="M108" s="26"/>
      <c r="N108" s="26"/>
      <c r="O108" s="26"/>
      <c r="P108" s="202"/>
      <c r="Q108" s="202"/>
      <c r="R108" s="202"/>
      <c r="S108" s="26"/>
      <c r="T108" s="26"/>
      <c r="U108" s="26"/>
      <c r="V108" s="582">
        <v>13364</v>
      </c>
      <c r="W108" s="603">
        <f t="shared" si="27"/>
        <v>13364</v>
      </c>
    </row>
    <row r="109" spans="1:23" ht="12.75">
      <c r="A109" s="772"/>
      <c r="B109" s="774"/>
      <c r="C109" s="20" t="s">
        <v>334</v>
      </c>
      <c r="D109" s="47"/>
      <c r="E109" s="47"/>
      <c r="F109" s="47"/>
      <c r="G109" s="47"/>
      <c r="H109" s="47"/>
      <c r="I109" s="47"/>
      <c r="J109" s="47"/>
      <c r="K109" s="26"/>
      <c r="L109" s="26"/>
      <c r="M109" s="26"/>
      <c r="N109" s="26"/>
      <c r="O109" s="26">
        <v>146016</v>
      </c>
      <c r="P109" s="202">
        <v>73008</v>
      </c>
      <c r="Q109" s="202">
        <v>41077.41</v>
      </c>
      <c r="R109" s="202">
        <v>292748.58</v>
      </c>
      <c r="S109" s="26">
        <v>202615.28</v>
      </c>
      <c r="T109" s="26"/>
      <c r="U109" s="26">
        <v>159000</v>
      </c>
      <c r="V109" s="525">
        <v>18000</v>
      </c>
      <c r="W109" s="603">
        <f t="shared" si="27"/>
        <v>177000</v>
      </c>
    </row>
    <row r="110" spans="1:23" ht="13.5" thickBot="1">
      <c r="A110" s="772"/>
      <c r="B110" s="774"/>
      <c r="C110" s="46" t="s">
        <v>443</v>
      </c>
      <c r="D110" s="47"/>
      <c r="E110" s="47"/>
      <c r="F110" s="47"/>
      <c r="G110" s="47"/>
      <c r="H110" s="47"/>
      <c r="I110" s="47">
        <v>117128</v>
      </c>
      <c r="J110" s="47">
        <v>59866</v>
      </c>
      <c r="K110" s="26">
        <v>366191</v>
      </c>
      <c r="L110" s="26"/>
      <c r="M110" s="547">
        <v>13085.550000000001</v>
      </c>
      <c r="N110" s="26">
        <f>206825+69116</f>
        <v>275941</v>
      </c>
      <c r="O110" s="202">
        <f>82173.59+363.75</f>
        <v>82537.34</v>
      </c>
      <c r="P110" s="202"/>
      <c r="Q110" s="202">
        <v>227002.0700000003</v>
      </c>
      <c r="R110" s="202">
        <v>836994.6999999997</v>
      </c>
      <c r="S110" s="26">
        <v>875049.23</v>
      </c>
      <c r="T110" s="26">
        <v>872720.77</v>
      </c>
      <c r="U110" s="26">
        <v>96160</v>
      </c>
      <c r="V110" s="600">
        <v>-10005</v>
      </c>
      <c r="W110" s="601">
        <f t="shared" si="27"/>
        <v>86155</v>
      </c>
    </row>
    <row r="111" spans="1:23" ht="15.75" customHeight="1" thickBot="1">
      <c r="A111" s="32">
        <v>330</v>
      </c>
      <c r="B111" s="770" t="s">
        <v>172</v>
      </c>
      <c r="C111" s="771"/>
      <c r="D111" s="67">
        <f aca="true" t="shared" si="28" ref="D111:L111">D112</f>
        <v>0</v>
      </c>
      <c r="E111" s="67">
        <f t="shared" si="28"/>
        <v>0</v>
      </c>
      <c r="F111" s="67">
        <f t="shared" si="28"/>
        <v>0</v>
      </c>
      <c r="G111" s="67">
        <f t="shared" si="28"/>
        <v>0</v>
      </c>
      <c r="H111" s="67">
        <f t="shared" si="28"/>
        <v>21047</v>
      </c>
      <c r="I111" s="67">
        <f t="shared" si="28"/>
        <v>28355</v>
      </c>
      <c r="J111" s="67">
        <f t="shared" si="28"/>
        <v>39058</v>
      </c>
      <c r="K111" s="67">
        <f t="shared" si="28"/>
        <v>9516</v>
      </c>
      <c r="L111" s="67">
        <f t="shared" si="28"/>
        <v>0</v>
      </c>
      <c r="M111" s="67"/>
      <c r="N111" s="107"/>
      <c r="O111" s="107"/>
      <c r="P111" s="551"/>
      <c r="Q111" s="551"/>
      <c r="R111" s="551"/>
      <c r="S111" s="107">
        <f>S112</f>
        <v>0</v>
      </c>
      <c r="T111" s="107">
        <f>T112</f>
        <v>0</v>
      </c>
      <c r="U111" s="107">
        <f>U112</f>
        <v>0</v>
      </c>
      <c r="V111" s="524"/>
      <c r="W111" s="519"/>
    </row>
    <row r="112" spans="1:23" ht="13.5" customHeight="1" thickBot="1">
      <c r="A112" s="768"/>
      <c r="B112" s="61">
        <v>331</v>
      </c>
      <c r="C112" s="62" t="s">
        <v>173</v>
      </c>
      <c r="D112" s="62"/>
      <c r="E112" s="62">
        <v>0</v>
      </c>
      <c r="F112" s="62">
        <v>0</v>
      </c>
      <c r="G112" s="62">
        <v>0</v>
      </c>
      <c r="H112" s="62">
        <v>21047</v>
      </c>
      <c r="I112" s="64">
        <f>I113</f>
        <v>28355</v>
      </c>
      <c r="J112" s="64">
        <f>J113</f>
        <v>39058</v>
      </c>
      <c r="K112" s="64">
        <f>K113</f>
        <v>9516</v>
      </c>
      <c r="L112" s="98"/>
      <c r="M112" s="98"/>
      <c r="N112" s="98"/>
      <c r="O112" s="98"/>
      <c r="P112" s="141"/>
      <c r="Q112" s="141"/>
      <c r="R112" s="141"/>
      <c r="S112" s="98"/>
      <c r="T112" s="98"/>
      <c r="U112" s="98"/>
      <c r="V112" s="524"/>
      <c r="W112" s="519"/>
    </row>
    <row r="113" spans="1:23" ht="13.5" customHeight="1" thickBot="1">
      <c r="A113" s="769"/>
      <c r="B113" s="40"/>
      <c r="C113" s="99" t="s">
        <v>167</v>
      </c>
      <c r="D113" s="99"/>
      <c r="E113" s="99"/>
      <c r="F113" s="99"/>
      <c r="G113" s="99"/>
      <c r="H113" s="99">
        <v>21047</v>
      </c>
      <c r="I113" s="99">
        <v>28355</v>
      </c>
      <c r="J113" s="99">
        <v>39058</v>
      </c>
      <c r="K113" s="100">
        <v>9516</v>
      </c>
      <c r="L113" s="70"/>
      <c r="M113" s="70"/>
      <c r="N113" s="70"/>
      <c r="O113" s="70"/>
      <c r="P113" s="116"/>
      <c r="Q113" s="116"/>
      <c r="R113" s="116"/>
      <c r="S113" s="70"/>
      <c r="T113" s="70"/>
      <c r="U113" s="70"/>
      <c r="V113" s="527"/>
      <c r="W113" s="528"/>
    </row>
    <row r="114" spans="1:23" ht="17.25" thickBot="1" thickTop="1">
      <c r="A114" s="765" t="s">
        <v>174</v>
      </c>
      <c r="B114" s="766"/>
      <c r="C114" s="767"/>
      <c r="D114" s="101">
        <f aca="true" t="shared" si="29" ref="D114:U114">D5+D26+D69</f>
        <v>7125871</v>
      </c>
      <c r="E114" s="101">
        <f t="shared" si="29"/>
        <v>7561840</v>
      </c>
      <c r="F114" s="101">
        <f t="shared" si="29"/>
        <v>9082354</v>
      </c>
      <c r="G114" s="101">
        <f t="shared" si="29"/>
        <v>9080838</v>
      </c>
      <c r="H114" s="101">
        <f t="shared" si="29"/>
        <v>8537685</v>
      </c>
      <c r="I114" s="101">
        <f t="shared" si="29"/>
        <v>9096722</v>
      </c>
      <c r="J114" s="101">
        <f t="shared" si="29"/>
        <v>9101831</v>
      </c>
      <c r="K114" s="101">
        <f t="shared" si="29"/>
        <v>9711561</v>
      </c>
      <c r="L114" s="101">
        <f t="shared" si="29"/>
        <v>9640328.239999998</v>
      </c>
      <c r="M114" s="351">
        <f t="shared" si="29"/>
        <v>10013437.42</v>
      </c>
      <c r="N114" s="101">
        <f t="shared" si="29"/>
        <v>10746706.560000002</v>
      </c>
      <c r="O114" s="351">
        <f t="shared" si="29"/>
        <v>10947354.260000002</v>
      </c>
      <c r="P114" s="351">
        <f t="shared" si="29"/>
        <v>11835790.83</v>
      </c>
      <c r="Q114" s="351">
        <f t="shared" si="29"/>
        <v>12870365.969999999</v>
      </c>
      <c r="R114" s="351">
        <f t="shared" si="29"/>
        <v>13601928.51</v>
      </c>
      <c r="S114" s="685">
        <f>S5+S26+S69</f>
        <v>14215260.54</v>
      </c>
      <c r="T114" s="465">
        <f>T5+T26+T69</f>
        <v>15098744.33</v>
      </c>
      <c r="U114" s="465">
        <f t="shared" si="29"/>
        <v>16320653.469999999</v>
      </c>
      <c r="V114" s="508">
        <f>V5+V26+V69</f>
        <v>135700.3</v>
      </c>
      <c r="W114" s="509">
        <f>W5+W26+W69</f>
        <v>16456353.77</v>
      </c>
    </row>
    <row r="115" ht="13.5" thickTop="1"/>
    <row r="116" spans="17:23" ht="12.75">
      <c r="Q116" s="676"/>
      <c r="U116" s="517"/>
      <c r="V116" s="517"/>
      <c r="W116" s="517"/>
    </row>
    <row r="117" spans="15:23" ht="12.75">
      <c r="O117" s="517"/>
      <c r="P117" s="517"/>
      <c r="Q117" s="517"/>
      <c r="R117" s="517"/>
      <c r="S117" s="517"/>
      <c r="T117" s="517"/>
      <c r="U117" s="517"/>
      <c r="V117" s="517"/>
      <c r="W117" s="517"/>
    </row>
    <row r="118" spans="21:23" ht="12.75">
      <c r="U118" s="517"/>
      <c r="V118" s="517"/>
      <c r="W118" s="517"/>
    </row>
    <row r="119" spans="14:21" ht="12.75">
      <c r="N119" s="517"/>
      <c r="O119" s="517"/>
      <c r="P119" s="517"/>
      <c r="Q119" s="517"/>
      <c r="R119" s="517"/>
      <c r="S119" s="517"/>
      <c r="T119" s="517"/>
      <c r="U119" s="517"/>
    </row>
    <row r="120" spans="14:23" ht="12.75">
      <c r="N120" s="517"/>
      <c r="O120" s="517"/>
      <c r="P120" s="517"/>
      <c r="Q120" s="517"/>
      <c r="R120" s="517"/>
      <c r="S120" s="517"/>
      <c r="T120" s="517"/>
      <c r="U120" s="517"/>
      <c r="V120" s="517"/>
      <c r="W120" s="517"/>
    </row>
    <row r="121" spans="14:23" ht="12.75">
      <c r="N121" s="676"/>
      <c r="O121" s="676"/>
      <c r="P121" s="676"/>
      <c r="Q121" s="676"/>
      <c r="R121" s="676"/>
      <c r="S121" s="676"/>
      <c r="T121" s="676"/>
      <c r="U121" s="676"/>
      <c r="V121" s="676"/>
      <c r="W121" s="676"/>
    </row>
    <row r="125" spans="21:23" ht="12.75">
      <c r="U125" s="517"/>
      <c r="V125" s="517"/>
      <c r="W125" s="517"/>
    </row>
    <row r="128" ht="12.75">
      <c r="U128" s="517"/>
    </row>
    <row r="131" spans="21:23" ht="12.75">
      <c r="U131" s="517"/>
      <c r="V131" s="517"/>
      <c r="W131" s="517"/>
    </row>
    <row r="133" spans="3:23" ht="12.75">
      <c r="C133" s="517"/>
      <c r="U133" s="517"/>
      <c r="V133" s="517"/>
      <c r="W133" s="517"/>
    </row>
    <row r="134" ht="12.75">
      <c r="Y134" s="1"/>
    </row>
    <row r="135" ht="12.75">
      <c r="Y135" s="1"/>
    </row>
  </sheetData>
  <sheetProtection/>
  <mergeCells count="52">
    <mergeCell ref="A63:A68"/>
    <mergeCell ref="B64:B68"/>
    <mergeCell ref="B27:C27"/>
    <mergeCell ref="B19:B25"/>
    <mergeCell ref="B46:B57"/>
    <mergeCell ref="R3:R4"/>
    <mergeCell ref="A7:A11"/>
    <mergeCell ref="B7:B11"/>
    <mergeCell ref="A13:A16"/>
    <mergeCell ref="B33:B39"/>
    <mergeCell ref="A3:A4"/>
    <mergeCell ref="G3:G4"/>
    <mergeCell ref="U3:U4"/>
    <mergeCell ref="W3:W4"/>
    <mergeCell ref="B60:C60"/>
    <mergeCell ref="B62:C62"/>
    <mergeCell ref="B40:C40"/>
    <mergeCell ref="A18:A25"/>
    <mergeCell ref="B26:C26"/>
    <mergeCell ref="B14:B16"/>
    <mergeCell ref="A41:A59"/>
    <mergeCell ref="B42:B44"/>
    <mergeCell ref="B17:C17"/>
    <mergeCell ref="B12:C12"/>
    <mergeCell ref="A28:A39"/>
    <mergeCell ref="B29:B31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K3:K4"/>
    <mergeCell ref="C3:C4"/>
    <mergeCell ref="F3:F4"/>
    <mergeCell ref="B5:C5"/>
    <mergeCell ref="B6:C6"/>
    <mergeCell ref="E3:E4"/>
    <mergeCell ref="D3:D4"/>
    <mergeCell ref="T3:T4"/>
    <mergeCell ref="A114:C114"/>
    <mergeCell ref="A112:A113"/>
    <mergeCell ref="B111:C111"/>
    <mergeCell ref="S3:S4"/>
    <mergeCell ref="B70:C70"/>
    <mergeCell ref="A71:A110"/>
    <mergeCell ref="B74:B110"/>
    <mergeCell ref="B69:C69"/>
    <mergeCell ref="B3:B4"/>
  </mergeCells>
  <printOptions/>
  <pageMargins left="0" right="0" top="0.3937007874015748" bottom="0.984251968503937" header="0.5118110236220472" footer="0.5118110236220472"/>
  <pageSetup orientation="portrait" paperSize="9" scale="93" r:id="rId1"/>
  <rowBreaks count="1" manualBreakCount="1">
    <brk id="68" max="255" man="1"/>
  </rowBreaks>
  <colBreaks count="1" manualBreakCount="1">
    <brk id="23" max="65535" man="1"/>
  </colBreaks>
  <ignoredErrors>
    <ignoredError sqref="U111:U112 U61 U40:U41 U58 U27:U30 U68:U71 U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3.7109375" style="0" customWidth="1"/>
    <col min="2" max="2" width="11.7109375" style="0" customWidth="1"/>
    <col min="3" max="7" width="10.7109375" style="0" customWidth="1"/>
    <col min="8" max="8" width="11.140625" style="0" customWidth="1"/>
  </cols>
  <sheetData>
    <row r="1" ht="13.5" thickBot="1"/>
    <row r="2" spans="1:8" ht="33" thickBot="1" thickTop="1">
      <c r="A2" s="706" t="s">
        <v>399</v>
      </c>
      <c r="B2" s="711" t="s">
        <v>406</v>
      </c>
      <c r="C2" s="711" t="s">
        <v>403</v>
      </c>
      <c r="D2" s="711" t="s">
        <v>418</v>
      </c>
      <c r="E2" s="711" t="s">
        <v>429</v>
      </c>
      <c r="F2" s="711" t="s">
        <v>442</v>
      </c>
      <c r="G2" s="711" t="s">
        <v>457</v>
      </c>
      <c r="H2" s="712" t="s">
        <v>407</v>
      </c>
    </row>
    <row r="3" spans="1:11" ht="13.5" thickTop="1">
      <c r="A3" s="707" t="s">
        <v>400</v>
      </c>
      <c r="B3" s="713">
        <v>106196</v>
      </c>
      <c r="C3" s="713"/>
      <c r="D3" s="713">
        <f>22000+7000</f>
        <v>29000</v>
      </c>
      <c r="E3" s="713">
        <f>-4000-85700</f>
        <v>-89700</v>
      </c>
      <c r="F3" s="713">
        <f>-112258-10000</f>
        <v>-122258</v>
      </c>
      <c r="G3" s="713">
        <v>10088</v>
      </c>
      <c r="H3" s="708">
        <f>B3+C3+D3+F3+G3</f>
        <v>23026</v>
      </c>
      <c r="J3" s="2"/>
      <c r="K3" s="2"/>
    </row>
    <row r="4" spans="1:10" ht="12.75">
      <c r="A4" s="720" t="s">
        <v>424</v>
      </c>
      <c r="B4" s="721"/>
      <c r="C4" s="721"/>
      <c r="D4" s="721">
        <f>430+2700</f>
        <v>3130</v>
      </c>
      <c r="E4" s="721"/>
      <c r="F4" s="721">
        <v>-3130</v>
      </c>
      <c r="G4" s="721"/>
      <c r="H4" s="710">
        <f>B4+C4+D4+F4+G4</f>
        <v>0</v>
      </c>
      <c r="J4" s="2"/>
    </row>
    <row r="5" spans="1:10" ht="12.75">
      <c r="A5" s="720" t="s">
        <v>431</v>
      </c>
      <c r="B5" s="721"/>
      <c r="C5" s="721"/>
      <c r="D5" s="721"/>
      <c r="E5" s="721"/>
      <c r="F5" s="721"/>
      <c r="G5" s="721">
        <v>142650</v>
      </c>
      <c r="H5" s="710">
        <f>B5+C5+D5+F5+G5</f>
        <v>142650</v>
      </c>
      <c r="J5" s="2"/>
    </row>
    <row r="6" spans="1:10" ht="12.75">
      <c r="A6" s="709" t="s">
        <v>401</v>
      </c>
      <c r="B6" s="714">
        <v>468856</v>
      </c>
      <c r="C6" s="714">
        <v>-48372</v>
      </c>
      <c r="D6" s="714"/>
      <c r="E6" s="714"/>
      <c r="F6" s="714"/>
      <c r="G6" s="714">
        <v>-142650</v>
      </c>
      <c r="H6" s="710">
        <f>B6+C6+D6+F6+G6</f>
        <v>277834</v>
      </c>
      <c r="J6" s="2"/>
    </row>
    <row r="7" spans="1:10" ht="13.5" thickBot="1">
      <c r="A7" s="709" t="s">
        <v>427</v>
      </c>
      <c r="B7" s="714"/>
      <c r="C7" s="714"/>
      <c r="D7" s="714">
        <v>11000</v>
      </c>
      <c r="E7" s="714"/>
      <c r="F7" s="714">
        <v>-11000</v>
      </c>
      <c r="G7" s="714"/>
      <c r="H7" s="710">
        <f>B7+C7+D7+F7+G7</f>
        <v>0</v>
      </c>
      <c r="J7" s="2"/>
    </row>
    <row r="8" spans="1:8" ht="13.5" hidden="1" thickBot="1">
      <c r="A8" s="709"/>
      <c r="B8" s="714"/>
      <c r="C8" s="714"/>
      <c r="D8" s="714"/>
      <c r="E8" s="714"/>
      <c r="F8" s="714"/>
      <c r="G8" s="714"/>
      <c r="H8" s="710"/>
    </row>
    <row r="9" spans="1:8" ht="13.5" hidden="1" thickBot="1">
      <c r="A9" s="709"/>
      <c r="B9" s="714"/>
      <c r="C9" s="714"/>
      <c r="D9" s="714"/>
      <c r="E9" s="714"/>
      <c r="F9" s="714"/>
      <c r="G9" s="714"/>
      <c r="H9" s="710"/>
    </row>
    <row r="10" spans="1:8" ht="13.5" hidden="1" thickBot="1">
      <c r="A10" s="709"/>
      <c r="B10" s="714"/>
      <c r="C10" s="714"/>
      <c r="D10" s="714"/>
      <c r="E10" s="714"/>
      <c r="F10" s="714"/>
      <c r="G10" s="714"/>
      <c r="H10" s="710"/>
    </row>
    <row r="11" spans="1:8" ht="13.5" hidden="1" thickBot="1">
      <c r="A11" s="709"/>
      <c r="B11" s="714"/>
      <c r="C11" s="714"/>
      <c r="D11" s="714"/>
      <c r="E11" s="714"/>
      <c r="F11" s="714"/>
      <c r="G11" s="714"/>
      <c r="H11" s="710"/>
    </row>
    <row r="12" spans="1:8" ht="13.5" hidden="1" thickBot="1">
      <c r="A12" s="709"/>
      <c r="B12" s="714"/>
      <c r="C12" s="714"/>
      <c r="D12" s="714"/>
      <c r="E12" s="714"/>
      <c r="F12" s="714"/>
      <c r="G12" s="714"/>
      <c r="H12" s="710"/>
    </row>
    <row r="13" spans="1:8" ht="13.5" hidden="1" thickBot="1">
      <c r="A13" s="722"/>
      <c r="B13" s="723"/>
      <c r="C13" s="723"/>
      <c r="D13" s="723"/>
      <c r="E13" s="723"/>
      <c r="F13" s="723"/>
      <c r="G13" s="723"/>
      <c r="H13" s="724"/>
    </row>
    <row r="14" spans="1:8" ht="17.25" thickBot="1" thickTop="1">
      <c r="A14" s="706" t="s">
        <v>49</v>
      </c>
      <c r="B14" s="715">
        <f aca="true" t="shared" si="0" ref="B14:H14">SUM(B3:B13)</f>
        <v>575052</v>
      </c>
      <c r="C14" s="715">
        <f t="shared" si="0"/>
        <v>-48372</v>
      </c>
      <c r="D14" s="715">
        <f t="shared" si="0"/>
        <v>43130</v>
      </c>
      <c r="E14" s="715">
        <f t="shared" si="0"/>
        <v>-89700</v>
      </c>
      <c r="F14" s="715">
        <f t="shared" si="0"/>
        <v>-136388</v>
      </c>
      <c r="G14" s="715">
        <f t="shared" si="0"/>
        <v>10088</v>
      </c>
      <c r="H14" s="716">
        <f t="shared" si="0"/>
        <v>443510</v>
      </c>
    </row>
    <row r="15" ht="13.5" thickTop="1">
      <c r="J15" s="2"/>
    </row>
    <row r="16" ht="12.75">
      <c r="H16" s="2"/>
    </row>
    <row r="17" ht="12.75">
      <c r="H17" s="2"/>
    </row>
    <row r="18" spans="4:10" ht="12.75">
      <c r="D18" s="2"/>
      <c r="E18" s="2"/>
      <c r="F18" s="2"/>
      <c r="G18" s="2"/>
      <c r="H18" s="2"/>
      <c r="J18" s="2"/>
    </row>
    <row r="19" ht="15">
      <c r="H19" s="743"/>
    </row>
    <row r="20" ht="12.75">
      <c r="H20" s="441"/>
    </row>
    <row r="21" spans="5:8" ht="12.75">
      <c r="E21" s="2"/>
      <c r="F21" s="2"/>
      <c r="G21" s="2"/>
      <c r="H21" s="2"/>
    </row>
    <row r="22" ht="12.75">
      <c r="H22" s="2"/>
    </row>
    <row r="23" ht="15">
      <c r="H23" s="743"/>
    </row>
    <row r="24" ht="12.75">
      <c r="H24" s="2"/>
    </row>
    <row r="27" ht="12.75">
      <c r="H27" s="2"/>
    </row>
    <row r="30" ht="12.75">
      <c r="H30" s="2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F255"/>
  <sheetViews>
    <sheetView zoomScale="85" zoomScaleNormal="85" zoomScalePageLayoutView="0" workbookViewId="0" topLeftCell="A1">
      <pane xSplit="11" ySplit="3" topLeftCell="T81" activePane="bottomRight" state="frozen"/>
      <selection pane="topLeft" activeCell="A1" sqref="A1"/>
      <selection pane="topRight" activeCell="L1" sqref="L1"/>
      <selection pane="bottomLeft" activeCell="A4" sqref="A4"/>
      <selection pane="bottomRight" activeCell="U123" sqref="U123"/>
    </sheetView>
  </sheetViews>
  <sheetFormatPr defaultColWidth="9.140625" defaultRowHeight="12.75"/>
  <cols>
    <col min="1" max="1" width="11.57421875" style="0" customWidth="1"/>
    <col min="3" max="3" width="30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9" width="14.8515625" style="0" hidden="1" customWidth="1"/>
    <col min="20" max="20" width="17.00390625" style="0" customWidth="1"/>
    <col min="21" max="21" width="13.421875" style="0" customWidth="1"/>
    <col min="22" max="22" width="12.00390625" style="1" customWidth="1"/>
    <col min="23" max="23" width="11.28125" style="1" customWidth="1"/>
    <col min="24" max="24" width="13.421875" style="1" customWidth="1"/>
  </cols>
  <sheetData>
    <row r="1" spans="1:3" ht="15.75" thickBot="1">
      <c r="A1" s="822" t="s">
        <v>411</v>
      </c>
      <c r="B1" s="822"/>
      <c r="C1" s="822"/>
    </row>
    <row r="2" spans="1:24" ht="14.25" customHeight="1" thickBot="1" thickTop="1">
      <c r="A2" s="823" t="s">
        <v>43</v>
      </c>
      <c r="B2" s="825" t="s">
        <v>84</v>
      </c>
      <c r="C2" s="852" t="s">
        <v>44</v>
      </c>
      <c r="D2" s="763" t="s">
        <v>175</v>
      </c>
      <c r="E2" s="763" t="s">
        <v>176</v>
      </c>
      <c r="F2" s="763" t="s">
        <v>177</v>
      </c>
      <c r="G2" s="763" t="s">
        <v>178</v>
      </c>
      <c r="H2" s="763" t="s">
        <v>179</v>
      </c>
      <c r="I2" s="763" t="s">
        <v>91</v>
      </c>
      <c r="J2" s="763" t="s">
        <v>92</v>
      </c>
      <c r="K2" s="763" t="s">
        <v>93</v>
      </c>
      <c r="L2" s="763" t="s">
        <v>94</v>
      </c>
      <c r="M2" s="763" t="s">
        <v>311</v>
      </c>
      <c r="N2" s="763" t="s">
        <v>324</v>
      </c>
      <c r="O2" s="763" t="s">
        <v>340</v>
      </c>
      <c r="P2" s="763" t="s">
        <v>346</v>
      </c>
      <c r="Q2" s="763" t="s">
        <v>359</v>
      </c>
      <c r="R2" s="763" t="s">
        <v>367</v>
      </c>
      <c r="S2" s="763" t="s">
        <v>368</v>
      </c>
      <c r="T2" s="763" t="s">
        <v>369</v>
      </c>
      <c r="U2" s="794" t="s">
        <v>405</v>
      </c>
      <c r="V2" s="850" t="s">
        <v>457</v>
      </c>
      <c r="W2" s="851"/>
      <c r="X2" s="796" t="s">
        <v>404</v>
      </c>
    </row>
    <row r="3" spans="1:24" ht="33.75" customHeight="1" thickBot="1">
      <c r="A3" s="824"/>
      <c r="B3" s="826"/>
      <c r="C3" s="853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95"/>
      <c r="V3" s="692" t="s">
        <v>233</v>
      </c>
      <c r="W3" s="693" t="s">
        <v>237</v>
      </c>
      <c r="X3" s="797"/>
    </row>
    <row r="4" spans="1:31" ht="33" customHeight="1" thickBot="1" thickTop="1">
      <c r="A4" s="752" t="s">
        <v>238</v>
      </c>
      <c r="B4" s="812" t="s">
        <v>239</v>
      </c>
      <c r="C4" s="813"/>
      <c r="D4" s="753">
        <f>SUM(D5:D8)</f>
        <v>778928</v>
      </c>
      <c r="E4" s="753">
        <f>SUM(E5:E9)</f>
        <v>871108</v>
      </c>
      <c r="F4" s="753">
        <f>SUM(F5:F9)</f>
        <v>1155712</v>
      </c>
      <c r="G4" s="753">
        <f>SUM(G5:G9)</f>
        <v>1166481</v>
      </c>
      <c r="H4" s="753">
        <f aca="true" t="shared" si="0" ref="H4:X4">SUM(H5:H8)</f>
        <v>1147628</v>
      </c>
      <c r="I4" s="753">
        <f t="shared" si="0"/>
        <v>985015</v>
      </c>
      <c r="J4" s="753">
        <f t="shared" si="0"/>
        <v>971730</v>
      </c>
      <c r="K4" s="753">
        <f t="shared" si="0"/>
        <v>883614</v>
      </c>
      <c r="L4" s="754">
        <f t="shared" si="0"/>
        <v>976223.29</v>
      </c>
      <c r="M4" s="754">
        <f t="shared" si="0"/>
        <v>957107.49</v>
      </c>
      <c r="N4" s="755">
        <f t="shared" si="0"/>
        <v>918554.6199999999</v>
      </c>
      <c r="O4" s="756">
        <f t="shared" si="0"/>
        <v>1019134.8</v>
      </c>
      <c r="P4" s="756">
        <f aca="true" t="shared" si="1" ref="P4:V4">SUM(P5:P8)</f>
        <v>1045488.5499999999</v>
      </c>
      <c r="Q4" s="756">
        <f t="shared" si="1"/>
        <v>1307060.76</v>
      </c>
      <c r="R4" s="755">
        <f t="shared" si="1"/>
        <v>1404109</v>
      </c>
      <c r="S4" s="755">
        <f t="shared" si="1"/>
        <v>1452935.59</v>
      </c>
      <c r="T4" s="755">
        <f t="shared" si="1"/>
        <v>1584166.7</v>
      </c>
      <c r="U4" s="755">
        <f t="shared" si="1"/>
        <v>1949958</v>
      </c>
      <c r="V4" s="757">
        <f t="shared" si="1"/>
        <v>-15000</v>
      </c>
      <c r="W4" s="758">
        <f>SUM(W5:W8)</f>
        <v>0</v>
      </c>
      <c r="X4" s="759">
        <f t="shared" si="0"/>
        <v>1934958</v>
      </c>
      <c r="Z4" s="2"/>
      <c r="AB4" s="2"/>
      <c r="AE4" s="2"/>
    </row>
    <row r="5" spans="1:31" ht="12.75">
      <c r="A5" s="803"/>
      <c r="B5" s="199">
        <v>610</v>
      </c>
      <c r="C5" s="41" t="s">
        <v>240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1">
        <v>437364.06</v>
      </c>
      <c r="M5" s="151">
        <v>454979.56</v>
      </c>
      <c r="N5" s="93">
        <v>470394.73</v>
      </c>
      <c r="O5" s="200">
        <v>508902.26</v>
      </c>
      <c r="P5" s="200">
        <v>540360.73</v>
      </c>
      <c r="Q5" s="200">
        <v>702314.57</v>
      </c>
      <c r="R5" s="93">
        <v>737427</v>
      </c>
      <c r="S5" s="93">
        <v>812528.57</v>
      </c>
      <c r="T5" s="200">
        <v>862285.5</v>
      </c>
      <c r="U5" s="479">
        <v>1031366</v>
      </c>
      <c r="V5" s="582">
        <v>-17000</v>
      </c>
      <c r="W5" s="582"/>
      <c r="X5" s="583">
        <f>U5+V5+W5</f>
        <v>1014366</v>
      </c>
      <c r="Z5" s="2"/>
      <c r="AA5" s="2"/>
      <c r="AB5" s="2"/>
      <c r="AE5" s="2"/>
    </row>
    <row r="6" spans="1:31" ht="12.75">
      <c r="A6" s="804"/>
      <c r="B6" s="201">
        <v>620</v>
      </c>
      <c r="C6" s="43" t="s">
        <v>241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4">
        <v>178000.1</v>
      </c>
      <c r="M6" s="114">
        <v>174131.76</v>
      </c>
      <c r="N6" s="26">
        <v>179809.87</v>
      </c>
      <c r="O6" s="202">
        <v>197673.12</v>
      </c>
      <c r="P6" s="202">
        <v>207010.55</v>
      </c>
      <c r="Q6" s="202">
        <v>266731.95</v>
      </c>
      <c r="R6" s="26">
        <v>273617</v>
      </c>
      <c r="S6" s="26">
        <v>300798.6</v>
      </c>
      <c r="T6" s="202">
        <v>320080.63</v>
      </c>
      <c r="U6" s="26">
        <v>376762</v>
      </c>
      <c r="V6" s="582">
        <v>20000</v>
      </c>
      <c r="W6" s="584"/>
      <c r="X6" s="585">
        <f>U6+V6+W6</f>
        <v>396762</v>
      </c>
      <c r="Z6" s="2"/>
      <c r="AA6" s="2"/>
      <c r="AB6" s="2"/>
      <c r="AE6" s="2"/>
    </row>
    <row r="7" spans="1:31" ht="12.75">
      <c r="A7" s="804"/>
      <c r="B7" s="201">
        <v>630</v>
      </c>
      <c r="C7" s="43" t="s">
        <v>242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4">
        <v>356359.19</v>
      </c>
      <c r="M7" s="114">
        <v>297179.95</v>
      </c>
      <c r="N7" s="26">
        <v>260734.03999999998</v>
      </c>
      <c r="O7" s="202">
        <v>294411.15</v>
      </c>
      <c r="P7" s="202">
        <v>296326.19</v>
      </c>
      <c r="Q7" s="202">
        <v>334787.77</v>
      </c>
      <c r="R7" s="26">
        <v>393065</v>
      </c>
      <c r="S7" s="26">
        <v>334108.08</v>
      </c>
      <c r="T7" s="202">
        <v>391516.3</v>
      </c>
      <c r="U7" s="480">
        <v>541830</v>
      </c>
      <c r="V7" s="582">
        <v>-60000</v>
      </c>
      <c r="W7" s="584"/>
      <c r="X7" s="585">
        <f>U7+V7+W7</f>
        <v>481830</v>
      </c>
      <c r="Z7" s="2"/>
      <c r="AB7" s="2"/>
      <c r="AE7" s="2"/>
    </row>
    <row r="8" spans="1:31" ht="13.5" thickBot="1">
      <c r="A8" s="804"/>
      <c r="B8" s="201">
        <v>640</v>
      </c>
      <c r="C8" s="43" t="s">
        <v>243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3">
        <v>23796</v>
      </c>
      <c r="K8" s="203">
        <v>2925</v>
      </c>
      <c r="L8" s="204">
        <v>4499.94</v>
      </c>
      <c r="M8" s="114">
        <v>30816.22</v>
      </c>
      <c r="N8" s="26">
        <v>7615.98</v>
      </c>
      <c r="O8" s="202">
        <v>18148.27</v>
      </c>
      <c r="P8" s="202">
        <v>1791.08</v>
      </c>
      <c r="Q8" s="202">
        <v>3226.47</v>
      </c>
      <c r="R8" s="26"/>
      <c r="S8" s="26">
        <v>5500.34</v>
      </c>
      <c r="T8" s="202">
        <v>10284.27</v>
      </c>
      <c r="U8" s="480"/>
      <c r="V8" s="584">
        <v>42000</v>
      </c>
      <c r="W8" s="584"/>
      <c r="X8" s="585">
        <f>U8+V8+W8</f>
        <v>42000</v>
      </c>
      <c r="Z8" s="2"/>
      <c r="AB8" s="2"/>
      <c r="AE8" s="2"/>
    </row>
    <row r="9" spans="1:31" ht="13.5" hidden="1" thickBot="1">
      <c r="A9" s="805"/>
      <c r="B9" s="201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5"/>
      <c r="J9" s="205"/>
      <c r="K9" s="205"/>
      <c r="L9" s="206"/>
      <c r="M9" s="207"/>
      <c r="N9" s="77"/>
      <c r="O9" s="77"/>
      <c r="P9" s="77"/>
      <c r="Q9" s="208"/>
      <c r="R9" s="77"/>
      <c r="S9" s="77"/>
      <c r="T9" s="77"/>
      <c r="U9" s="475"/>
      <c r="V9" s="593">
        <f>IF(T9=0,0,U9/T9)</f>
        <v>0</v>
      </c>
      <c r="W9" s="586"/>
      <c r="X9" s="587"/>
      <c r="Z9" s="2"/>
      <c r="AB9" s="2"/>
      <c r="AE9" s="2"/>
    </row>
    <row r="10" spans="1:31" ht="15.75" thickBot="1">
      <c r="A10" s="209" t="s">
        <v>48</v>
      </c>
      <c r="B10" s="800" t="s">
        <v>244</v>
      </c>
      <c r="C10" s="771"/>
      <c r="D10" s="210">
        <v>7269</v>
      </c>
      <c r="E10" s="210">
        <v>6772</v>
      </c>
      <c r="F10" s="210">
        <v>8265</v>
      </c>
      <c r="G10" s="210">
        <v>13828</v>
      </c>
      <c r="H10" s="67">
        <f aca="true" t="shared" si="2" ref="H10:M10">SUM(H11:H13)</f>
        <v>14882</v>
      </c>
      <c r="I10" s="67">
        <f t="shared" si="2"/>
        <v>14051</v>
      </c>
      <c r="J10" s="67">
        <f t="shared" si="2"/>
        <v>82274</v>
      </c>
      <c r="K10" s="67">
        <f t="shared" si="2"/>
        <v>22548</v>
      </c>
      <c r="L10" s="211">
        <f t="shared" si="2"/>
        <v>18623.79</v>
      </c>
      <c r="M10" s="211">
        <f t="shared" si="2"/>
        <v>22356.78</v>
      </c>
      <c r="N10" s="466">
        <f aca="true" t="shared" si="3" ref="N10:V10">SUM(N11:N13)</f>
        <v>18604.68</v>
      </c>
      <c r="O10" s="632">
        <f t="shared" si="3"/>
        <v>11492.61</v>
      </c>
      <c r="P10" s="632">
        <f t="shared" si="3"/>
        <v>22020.72</v>
      </c>
      <c r="Q10" s="632">
        <f t="shared" si="3"/>
        <v>14191.44</v>
      </c>
      <c r="R10" s="466">
        <f t="shared" si="3"/>
        <v>16500</v>
      </c>
      <c r="S10" s="466">
        <f t="shared" si="3"/>
        <v>34327.99</v>
      </c>
      <c r="T10" s="632">
        <v>44373.73</v>
      </c>
      <c r="U10" s="466">
        <f t="shared" si="3"/>
        <v>41000</v>
      </c>
      <c r="V10" s="107">
        <f t="shared" si="3"/>
        <v>-17400</v>
      </c>
      <c r="W10" s="107">
        <f>SUM(W11:W13)</f>
        <v>0</v>
      </c>
      <c r="X10" s="504">
        <f>SUM(X11:X13)</f>
        <v>23600</v>
      </c>
      <c r="Z10" s="2"/>
      <c r="AB10" s="2"/>
      <c r="AE10" s="2"/>
    </row>
    <row r="11" spans="1:31" ht="12.75">
      <c r="A11" s="817"/>
      <c r="B11" s="212">
        <v>630</v>
      </c>
      <c r="C11" s="130" t="s">
        <v>245</v>
      </c>
      <c r="D11" s="213"/>
      <c r="E11" s="213"/>
      <c r="F11" s="213"/>
      <c r="G11" s="213"/>
      <c r="H11" s="213">
        <v>2345</v>
      </c>
      <c r="I11" s="130">
        <v>2324</v>
      </c>
      <c r="J11" s="42">
        <v>1162</v>
      </c>
      <c r="K11" s="42">
        <v>2324</v>
      </c>
      <c r="L11" s="151">
        <v>3486</v>
      </c>
      <c r="M11" s="382">
        <v>2324</v>
      </c>
      <c r="N11" s="143">
        <v>2324</v>
      </c>
      <c r="O11" s="214">
        <v>1162</v>
      </c>
      <c r="P11" s="214">
        <v>2324</v>
      </c>
      <c r="Q11" s="214">
        <v>3486</v>
      </c>
      <c r="R11" s="143">
        <v>3500</v>
      </c>
      <c r="S11" s="143">
        <v>3486</v>
      </c>
      <c r="T11" s="214">
        <v>2324</v>
      </c>
      <c r="U11" s="481">
        <v>6000</v>
      </c>
      <c r="V11" s="582"/>
      <c r="W11" s="143"/>
      <c r="X11" s="583">
        <f>U11+V11+W11</f>
        <v>6000</v>
      </c>
      <c r="Z11" s="2"/>
      <c r="AB11" s="2"/>
      <c r="AE11" s="2"/>
    </row>
    <row r="12" spans="1:31" ht="12.75">
      <c r="A12" s="818"/>
      <c r="B12" s="215">
        <v>630</v>
      </c>
      <c r="C12" s="24" t="s">
        <v>246</v>
      </c>
      <c r="D12" s="216"/>
      <c r="E12" s="216"/>
      <c r="F12" s="216"/>
      <c r="G12" s="216"/>
      <c r="H12" s="216">
        <v>12537</v>
      </c>
      <c r="I12" s="24">
        <v>11727</v>
      </c>
      <c r="J12" s="44">
        <v>13096</v>
      </c>
      <c r="K12" s="44">
        <v>9612</v>
      </c>
      <c r="L12" s="114">
        <v>14911.65</v>
      </c>
      <c r="M12" s="548">
        <v>19064.19</v>
      </c>
      <c r="N12" s="25">
        <v>8451.55</v>
      </c>
      <c r="O12" s="134">
        <v>6786.26</v>
      </c>
      <c r="P12" s="134">
        <v>16482.33</v>
      </c>
      <c r="Q12" s="134">
        <v>9813.93</v>
      </c>
      <c r="R12" s="25">
        <v>13000</v>
      </c>
      <c r="S12" s="25">
        <v>30841.989999999998</v>
      </c>
      <c r="T12" s="134">
        <v>41939.55</v>
      </c>
      <c r="U12" s="25">
        <v>35000</v>
      </c>
      <c r="V12" s="584">
        <v>-18000</v>
      </c>
      <c r="W12" s="25"/>
      <c r="X12" s="585">
        <f>U12+V12+W12</f>
        <v>17000</v>
      </c>
      <c r="Z12" s="2"/>
      <c r="AB12" s="2"/>
      <c r="AE12" s="2"/>
    </row>
    <row r="13" spans="1:31" ht="13.5" thickBot="1">
      <c r="A13" s="819"/>
      <c r="B13" s="217">
        <v>630</v>
      </c>
      <c r="C13" s="218" t="s">
        <v>247</v>
      </c>
      <c r="D13" s="219"/>
      <c r="E13" s="219"/>
      <c r="F13" s="219"/>
      <c r="G13" s="219"/>
      <c r="H13" s="219"/>
      <c r="I13" s="218"/>
      <c r="J13" s="44">
        <v>68016</v>
      </c>
      <c r="K13" s="44">
        <v>10612</v>
      </c>
      <c r="L13" s="220">
        <v>226.14</v>
      </c>
      <c r="M13" s="549">
        <v>968.59</v>
      </c>
      <c r="N13" s="29">
        <v>7829.13</v>
      </c>
      <c r="O13" s="549">
        <v>3544.35</v>
      </c>
      <c r="P13" s="549">
        <v>3214.39</v>
      </c>
      <c r="Q13" s="549">
        <v>891.51</v>
      </c>
      <c r="R13" s="677"/>
      <c r="S13" s="677"/>
      <c r="T13" s="549">
        <v>110.18</v>
      </c>
      <c r="U13" s="482"/>
      <c r="V13" s="593">
        <v>600</v>
      </c>
      <c r="W13" s="586"/>
      <c r="X13" s="588">
        <f>U13+V13+W13</f>
        <v>600</v>
      </c>
      <c r="Z13" s="2"/>
      <c r="AB13" s="2"/>
      <c r="AE13" s="2"/>
    </row>
    <row r="14" spans="1:31" ht="15.75" thickBot="1">
      <c r="A14" s="209" t="s">
        <v>206</v>
      </c>
      <c r="B14" s="800" t="s">
        <v>248</v>
      </c>
      <c r="C14" s="771"/>
      <c r="D14" s="210">
        <v>20846</v>
      </c>
      <c r="E14" s="210">
        <v>22240</v>
      </c>
      <c r="F14" s="210">
        <v>25427</v>
      </c>
      <c r="G14" s="210">
        <v>26903</v>
      </c>
      <c r="H14" s="67">
        <f>SUM(H15:H17)</f>
        <v>29798</v>
      </c>
      <c r="I14" s="67">
        <f>SUM(I15:I17)</f>
        <v>28936</v>
      </c>
      <c r="J14" s="67">
        <f>SUM(J15:J17)</f>
        <v>27963</v>
      </c>
      <c r="K14" s="67">
        <f aca="true" t="shared" si="4" ref="K14:U14">SUM(K15:K18)</f>
        <v>24050</v>
      </c>
      <c r="L14" s="211">
        <f t="shared" si="4"/>
        <v>25050.219999999998</v>
      </c>
      <c r="M14" s="211">
        <f t="shared" si="4"/>
        <v>28488.050000000003</v>
      </c>
      <c r="N14" s="466">
        <f t="shared" si="4"/>
        <v>30083.289999999997</v>
      </c>
      <c r="O14" s="632">
        <f t="shared" si="4"/>
        <v>33186.08</v>
      </c>
      <c r="P14" s="632">
        <f t="shared" si="4"/>
        <v>29084.07</v>
      </c>
      <c r="Q14" s="632">
        <f t="shared" si="4"/>
        <v>51253.97</v>
      </c>
      <c r="R14" s="466">
        <f t="shared" si="4"/>
        <v>41744</v>
      </c>
      <c r="S14" s="466">
        <f t="shared" si="4"/>
        <v>45925.28</v>
      </c>
      <c r="T14" s="632">
        <v>40921.87</v>
      </c>
      <c r="U14" s="466">
        <f t="shared" si="4"/>
        <v>52389</v>
      </c>
      <c r="V14" s="107">
        <f>SUM(V15:V18)</f>
        <v>-2680</v>
      </c>
      <c r="W14" s="107">
        <f>SUM(W15:W18)</f>
        <v>0</v>
      </c>
      <c r="X14" s="504">
        <f>SUM(X15:X18)</f>
        <v>49709</v>
      </c>
      <c r="Z14" s="2"/>
      <c r="AB14" s="2"/>
      <c r="AE14" s="2"/>
    </row>
    <row r="15" spans="1:31" ht="12.75">
      <c r="A15" s="817"/>
      <c r="B15" s="199">
        <v>610</v>
      </c>
      <c r="C15" s="221" t="s">
        <v>240</v>
      </c>
      <c r="D15" s="222"/>
      <c r="E15" s="222">
        <v>13875</v>
      </c>
      <c r="F15" s="222">
        <v>15734</v>
      </c>
      <c r="G15" s="222">
        <v>16231</v>
      </c>
      <c r="H15" s="222">
        <v>16787</v>
      </c>
      <c r="I15" s="41">
        <v>17943</v>
      </c>
      <c r="J15" s="42">
        <v>18167</v>
      </c>
      <c r="K15" s="42">
        <v>15592</v>
      </c>
      <c r="L15" s="200">
        <v>15883.66</v>
      </c>
      <c r="M15" s="200">
        <v>19536.88</v>
      </c>
      <c r="N15" s="93">
        <v>20405.94</v>
      </c>
      <c r="O15" s="200">
        <v>22741.57</v>
      </c>
      <c r="P15" s="200">
        <v>20172.56</v>
      </c>
      <c r="Q15" s="200">
        <v>32391.98</v>
      </c>
      <c r="R15" s="93">
        <v>28346</v>
      </c>
      <c r="S15" s="93">
        <v>29579.17</v>
      </c>
      <c r="T15" s="200">
        <v>28778.42</v>
      </c>
      <c r="U15" s="479">
        <v>35768</v>
      </c>
      <c r="V15" s="582">
        <v>-2000</v>
      </c>
      <c r="W15" s="582"/>
      <c r="X15" s="583">
        <f>U15+V15+W15</f>
        <v>33768</v>
      </c>
      <c r="Z15" s="2"/>
      <c r="AB15" s="2"/>
      <c r="AE15" s="2"/>
    </row>
    <row r="16" spans="1:31" ht="12.75">
      <c r="A16" s="818"/>
      <c r="B16" s="201">
        <v>620</v>
      </c>
      <c r="C16" s="223" t="s">
        <v>241</v>
      </c>
      <c r="D16" s="224"/>
      <c r="E16" s="224">
        <v>4647</v>
      </c>
      <c r="F16" s="224">
        <v>5411</v>
      </c>
      <c r="G16" s="224">
        <v>5677</v>
      </c>
      <c r="H16" s="224">
        <v>6011</v>
      </c>
      <c r="I16" s="43">
        <v>6464</v>
      </c>
      <c r="J16" s="44">
        <v>6580</v>
      </c>
      <c r="K16" s="44">
        <v>5691</v>
      </c>
      <c r="L16" s="202">
        <v>6220</v>
      </c>
      <c r="M16" s="202">
        <v>6654.3</v>
      </c>
      <c r="N16" s="26">
        <v>7320.69</v>
      </c>
      <c r="O16" s="202">
        <v>8093.18</v>
      </c>
      <c r="P16" s="202">
        <v>6866.62</v>
      </c>
      <c r="Q16" s="202">
        <v>12511.41</v>
      </c>
      <c r="R16" s="26">
        <v>10698</v>
      </c>
      <c r="S16" s="26">
        <v>10565.18</v>
      </c>
      <c r="T16" s="202">
        <v>9873.52</v>
      </c>
      <c r="U16" s="480">
        <v>13121</v>
      </c>
      <c r="V16" s="584">
        <v>-700</v>
      </c>
      <c r="W16" s="584"/>
      <c r="X16" s="585">
        <f>U16+V16+W16</f>
        <v>12421</v>
      </c>
      <c r="Z16" s="2"/>
      <c r="AB16" s="2"/>
      <c r="AE16" s="2"/>
    </row>
    <row r="17" spans="1:31" ht="12.75">
      <c r="A17" s="818"/>
      <c r="B17" s="201">
        <v>630</v>
      </c>
      <c r="C17" s="223" t="s">
        <v>242</v>
      </c>
      <c r="D17" s="224"/>
      <c r="E17" s="224">
        <v>3718</v>
      </c>
      <c r="F17" s="224">
        <v>4282</v>
      </c>
      <c r="G17" s="224">
        <v>4995</v>
      </c>
      <c r="H17" s="224">
        <v>7000</v>
      </c>
      <c r="I17" s="43">
        <v>4529</v>
      </c>
      <c r="J17" s="44">
        <v>3216</v>
      </c>
      <c r="K17" s="44">
        <v>2533</v>
      </c>
      <c r="L17" s="202">
        <v>2610.08</v>
      </c>
      <c r="M17" s="202">
        <v>2181.04</v>
      </c>
      <c r="N17" s="26">
        <v>2356.66</v>
      </c>
      <c r="O17" s="202">
        <v>2351.33</v>
      </c>
      <c r="P17" s="202">
        <v>1891.13</v>
      </c>
      <c r="Q17" s="202">
        <v>3021.6</v>
      </c>
      <c r="R17" s="26">
        <v>2700</v>
      </c>
      <c r="S17" s="26">
        <v>2297.94</v>
      </c>
      <c r="T17" s="202">
        <v>2135.53</v>
      </c>
      <c r="U17" s="480">
        <v>3500</v>
      </c>
      <c r="V17" s="584">
        <v>-1600</v>
      </c>
      <c r="W17" s="584"/>
      <c r="X17" s="585">
        <f>U17+V17+W17</f>
        <v>1900</v>
      </c>
      <c r="Z17" s="2"/>
      <c r="AB17" s="2"/>
      <c r="AE17" s="2"/>
    </row>
    <row r="18" spans="1:31" ht="13.5" thickBot="1">
      <c r="A18" s="819"/>
      <c r="B18" s="45">
        <v>640</v>
      </c>
      <c r="C18" s="205" t="s">
        <v>370</v>
      </c>
      <c r="D18" s="225"/>
      <c r="E18" s="225"/>
      <c r="F18" s="225"/>
      <c r="G18" s="225"/>
      <c r="H18" s="225"/>
      <c r="I18" s="145"/>
      <c r="J18" s="44"/>
      <c r="K18" s="44">
        <v>234</v>
      </c>
      <c r="L18" s="116">
        <v>336.48</v>
      </c>
      <c r="M18" s="116">
        <v>115.83</v>
      </c>
      <c r="N18" s="70"/>
      <c r="O18" s="70"/>
      <c r="P18" s="70">
        <v>153.76</v>
      </c>
      <c r="Q18" s="116">
        <v>3328.98</v>
      </c>
      <c r="R18" s="70"/>
      <c r="S18" s="70">
        <v>3482.99</v>
      </c>
      <c r="T18" s="116">
        <v>134.4</v>
      </c>
      <c r="U18" s="467"/>
      <c r="V18" s="593">
        <v>1620</v>
      </c>
      <c r="W18" s="586"/>
      <c r="X18" s="587">
        <f>U18+V18+W18</f>
        <v>1620</v>
      </c>
      <c r="Z18" s="2"/>
      <c r="AB18" s="2"/>
      <c r="AE18" s="2"/>
    </row>
    <row r="19" spans="1:31" ht="15.75" thickBot="1">
      <c r="A19" s="209" t="s">
        <v>249</v>
      </c>
      <c r="B19" s="800" t="s">
        <v>250</v>
      </c>
      <c r="C19" s="771"/>
      <c r="D19" s="210">
        <v>13145</v>
      </c>
      <c r="E19" s="210">
        <v>10057</v>
      </c>
      <c r="F19" s="210">
        <v>8498</v>
      </c>
      <c r="G19" s="210">
        <v>54518</v>
      </c>
      <c r="H19" s="67">
        <f aca="true" t="shared" si="5" ref="H19:Q19">H22+H20+H21+H23+H25</f>
        <v>31457</v>
      </c>
      <c r="I19" s="67">
        <f t="shared" si="5"/>
        <v>31963</v>
      </c>
      <c r="J19" s="67">
        <f t="shared" si="5"/>
        <v>33449</v>
      </c>
      <c r="K19" s="67">
        <f t="shared" si="5"/>
        <v>18092</v>
      </c>
      <c r="L19" s="211">
        <f t="shared" si="5"/>
        <v>54586.799999999996</v>
      </c>
      <c r="M19" s="211">
        <f t="shared" si="5"/>
        <v>16584.94</v>
      </c>
      <c r="N19" s="67">
        <f t="shared" si="5"/>
        <v>25483.510000000002</v>
      </c>
      <c r="O19" s="211">
        <f t="shared" si="5"/>
        <v>21980.289999999997</v>
      </c>
      <c r="P19" s="211">
        <f>P22+P20+P21+P23+P25</f>
        <v>22643.670000000002</v>
      </c>
      <c r="Q19" s="211">
        <f t="shared" si="5"/>
        <v>47845.259999999995</v>
      </c>
      <c r="R19" s="466">
        <f>R22+R20+R21+R23+R25</f>
        <v>18726</v>
      </c>
      <c r="S19" s="466">
        <f>S22+S20+S21+S23+S25</f>
        <v>38082.83</v>
      </c>
      <c r="T19" s="632">
        <v>42784.5</v>
      </c>
      <c r="U19" s="466">
        <f>U22+U20+U21+U23+U25</f>
        <v>27461</v>
      </c>
      <c r="V19" s="107">
        <f>SUM(V20:V25)</f>
        <v>25329</v>
      </c>
      <c r="W19" s="505">
        <f>W22+W20+W21+W23+W25+W24</f>
        <v>0</v>
      </c>
      <c r="X19" s="506">
        <f>X22+X20+X21+X23+X25</f>
        <v>39111</v>
      </c>
      <c r="Z19" s="2"/>
      <c r="AB19" s="2"/>
      <c r="AE19" s="2"/>
    </row>
    <row r="20" spans="1:31" ht="12.75">
      <c r="A20" s="814"/>
      <c r="B20" s="226">
        <v>610</v>
      </c>
      <c r="C20" s="221" t="s">
        <v>240</v>
      </c>
      <c r="D20" s="222"/>
      <c r="E20" s="222">
        <v>0</v>
      </c>
      <c r="F20" s="222">
        <v>4482</v>
      </c>
      <c r="G20" s="222">
        <v>7787</v>
      </c>
      <c r="H20" s="222">
        <v>7509</v>
      </c>
      <c r="I20" s="221">
        <v>7692</v>
      </c>
      <c r="J20" s="42">
        <v>7969</v>
      </c>
      <c r="K20" s="42">
        <v>7777</v>
      </c>
      <c r="L20" s="200">
        <v>7662.08</v>
      </c>
      <c r="M20" s="200">
        <v>8679.95</v>
      </c>
      <c r="N20" s="93">
        <v>9877.67</v>
      </c>
      <c r="O20" s="200">
        <v>9786.53</v>
      </c>
      <c r="P20" s="200">
        <v>11379.37</v>
      </c>
      <c r="Q20" s="200">
        <v>12850.13</v>
      </c>
      <c r="R20" s="93">
        <v>13282</v>
      </c>
      <c r="S20" s="93">
        <v>15383.93</v>
      </c>
      <c r="T20" s="200">
        <v>13583.52</v>
      </c>
      <c r="U20" s="479">
        <v>14546</v>
      </c>
      <c r="V20" s="582">
        <v>2000</v>
      </c>
      <c r="W20" s="582"/>
      <c r="X20" s="583">
        <f aca="true" t="shared" si="6" ref="X20:X25">U20+V20+W20</f>
        <v>16546</v>
      </c>
      <c r="Z20" s="2"/>
      <c r="AB20" s="2"/>
      <c r="AE20" s="2"/>
    </row>
    <row r="21" spans="1:31" ht="12.75">
      <c r="A21" s="815"/>
      <c r="B21" s="227">
        <v>620</v>
      </c>
      <c r="C21" s="223" t="s">
        <v>241</v>
      </c>
      <c r="D21" s="203"/>
      <c r="E21" s="203">
        <v>0</v>
      </c>
      <c r="F21" s="203">
        <v>2058</v>
      </c>
      <c r="G21" s="203">
        <v>3864</v>
      </c>
      <c r="H21" s="203">
        <v>2426</v>
      </c>
      <c r="I21" s="223">
        <v>2683</v>
      </c>
      <c r="J21" s="44">
        <v>3469</v>
      </c>
      <c r="K21" s="44">
        <v>3267</v>
      </c>
      <c r="L21" s="202">
        <v>3320.66</v>
      </c>
      <c r="M21" s="202">
        <v>3113.97</v>
      </c>
      <c r="N21" s="26">
        <v>3720.13</v>
      </c>
      <c r="O21" s="202">
        <v>3643.9399999999996</v>
      </c>
      <c r="P21" s="202">
        <v>4236.46</v>
      </c>
      <c r="Q21" s="202">
        <v>4685.31</v>
      </c>
      <c r="R21" s="26">
        <v>4894</v>
      </c>
      <c r="S21" s="26">
        <v>5689.59</v>
      </c>
      <c r="T21" s="202">
        <v>5007.76</v>
      </c>
      <c r="U21" s="480">
        <v>5335</v>
      </c>
      <c r="V21" s="584">
        <v>700</v>
      </c>
      <c r="W21" s="584"/>
      <c r="X21" s="585">
        <f t="shared" si="6"/>
        <v>6035</v>
      </c>
      <c r="Z21" s="2"/>
      <c r="AB21" s="2"/>
      <c r="AE21" s="2"/>
    </row>
    <row r="22" spans="1:31" ht="12.75">
      <c r="A22" s="815"/>
      <c r="B22" s="227">
        <v>630</v>
      </c>
      <c r="C22" s="223" t="s">
        <v>242</v>
      </c>
      <c r="D22" s="203"/>
      <c r="E22" s="203">
        <v>0</v>
      </c>
      <c r="F22" s="203">
        <v>1958</v>
      </c>
      <c r="G22" s="203">
        <v>42867</v>
      </c>
      <c r="H22" s="203">
        <v>1012</v>
      </c>
      <c r="I22" s="223">
        <v>989</v>
      </c>
      <c r="J22" s="44">
        <v>1227</v>
      </c>
      <c r="K22" s="44">
        <v>947</v>
      </c>
      <c r="L22" s="202">
        <v>588.04</v>
      </c>
      <c r="M22" s="202">
        <v>634.68</v>
      </c>
      <c r="N22" s="26">
        <v>827.63</v>
      </c>
      <c r="O22" s="202">
        <v>828.4000000000005</v>
      </c>
      <c r="P22" s="202">
        <v>675.3199999999997</v>
      </c>
      <c r="Q22" s="202">
        <v>1203.7900000000004</v>
      </c>
      <c r="R22" s="26">
        <v>550</v>
      </c>
      <c r="S22" s="26">
        <v>1075.21</v>
      </c>
      <c r="T22" s="202">
        <v>1074.47</v>
      </c>
      <c r="U22" s="480">
        <v>1500</v>
      </c>
      <c r="V22" s="584"/>
      <c r="W22" s="584"/>
      <c r="X22" s="585">
        <f t="shared" si="6"/>
        <v>1500</v>
      </c>
      <c r="Z22" s="2"/>
      <c r="AB22" s="2"/>
      <c r="AE22" s="2"/>
    </row>
    <row r="23" spans="1:31" ht="12.75">
      <c r="A23" s="815"/>
      <c r="B23" s="227">
        <v>640</v>
      </c>
      <c r="C23" s="43" t="s">
        <v>243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2">
        <v>113.93</v>
      </c>
      <c r="N23" s="26"/>
      <c r="O23" s="202">
        <v>124.72</v>
      </c>
      <c r="P23" s="202"/>
      <c r="Q23" s="202"/>
      <c r="R23" s="26"/>
      <c r="S23" s="26"/>
      <c r="T23" s="202">
        <v>88.2</v>
      </c>
      <c r="U23" s="480"/>
      <c r="V23" s="584">
        <v>810</v>
      </c>
      <c r="W23" s="584"/>
      <c r="X23" s="585">
        <f t="shared" si="6"/>
        <v>810</v>
      </c>
      <c r="Z23" s="2"/>
      <c r="AB23" s="2"/>
      <c r="AE23" s="2"/>
    </row>
    <row r="24" spans="1:31" ht="12.75">
      <c r="A24" s="815"/>
      <c r="B24" s="201">
        <v>600</v>
      </c>
      <c r="C24" s="223" t="s">
        <v>458</v>
      </c>
      <c r="D24" s="203"/>
      <c r="E24" s="203"/>
      <c r="F24" s="203"/>
      <c r="G24" s="203"/>
      <c r="H24" s="44"/>
      <c r="I24" s="223"/>
      <c r="J24" s="44"/>
      <c r="K24" s="44"/>
      <c r="L24" s="26"/>
      <c r="M24" s="202"/>
      <c r="N24" s="26"/>
      <c r="O24" s="202"/>
      <c r="P24" s="202"/>
      <c r="Q24" s="202"/>
      <c r="R24" s="26"/>
      <c r="S24" s="26"/>
      <c r="T24" s="202"/>
      <c r="U24" s="480"/>
      <c r="V24" s="584">
        <v>13679</v>
      </c>
      <c r="W24" s="584"/>
      <c r="X24" s="585">
        <f t="shared" si="6"/>
        <v>13679</v>
      </c>
      <c r="Z24" s="2"/>
      <c r="AB24" s="2"/>
      <c r="AE24" s="2"/>
    </row>
    <row r="25" spans="1:31" ht="13.5" thickBot="1">
      <c r="A25" s="816"/>
      <c r="B25" s="229">
        <v>600</v>
      </c>
      <c r="C25" s="205" t="s">
        <v>446</v>
      </c>
      <c r="D25" s="230"/>
      <c r="E25" s="230"/>
      <c r="F25" s="230"/>
      <c r="G25" s="230"/>
      <c r="H25" s="57">
        <v>20510</v>
      </c>
      <c r="I25" s="205">
        <v>20599</v>
      </c>
      <c r="J25" s="57">
        <v>17684</v>
      </c>
      <c r="K25" s="57">
        <v>6101</v>
      </c>
      <c r="L25" s="116">
        <v>43016.02</v>
      </c>
      <c r="M25" s="116">
        <v>4042.409999999998</v>
      </c>
      <c r="N25" s="70">
        <v>11058.08</v>
      </c>
      <c r="O25" s="116">
        <v>7596.7</v>
      </c>
      <c r="P25" s="116">
        <v>6352.52</v>
      </c>
      <c r="Q25" s="116">
        <v>29106.03</v>
      </c>
      <c r="R25" s="70"/>
      <c r="S25" s="70">
        <v>15934.1</v>
      </c>
      <c r="T25" s="116">
        <v>23030.55</v>
      </c>
      <c r="U25" s="467">
        <v>6080</v>
      </c>
      <c r="V25" s="589">
        <v>8140</v>
      </c>
      <c r="W25" s="589"/>
      <c r="X25" s="590">
        <f t="shared" si="6"/>
        <v>14220</v>
      </c>
      <c r="Z25" s="2"/>
      <c r="AB25" s="2"/>
      <c r="AE25" s="2"/>
    </row>
    <row r="26" spans="1:31" ht="15.75" thickBot="1">
      <c r="A26" s="209" t="s">
        <v>251</v>
      </c>
      <c r="B26" s="800" t="s">
        <v>62</v>
      </c>
      <c r="C26" s="771"/>
      <c r="D26" s="231">
        <f>D27</f>
        <v>86802</v>
      </c>
      <c r="E26" s="231">
        <f>E27</f>
        <v>77342</v>
      </c>
      <c r="F26" s="231">
        <f>F27</f>
        <v>79566</v>
      </c>
      <c r="G26" s="231">
        <f>G27</f>
        <v>75201</v>
      </c>
      <c r="H26" s="231">
        <f>H27</f>
        <v>66074</v>
      </c>
      <c r="I26" s="67">
        <f aca="true" t="shared" si="7" ref="I26:V26">I27</f>
        <v>84841</v>
      </c>
      <c r="J26" s="67">
        <f t="shared" si="7"/>
        <v>92558</v>
      </c>
      <c r="K26" s="67">
        <f t="shared" si="7"/>
        <v>89614</v>
      </c>
      <c r="L26" s="211">
        <f>L27</f>
        <v>87966.26</v>
      </c>
      <c r="M26" s="211">
        <f t="shared" si="7"/>
        <v>89070.75</v>
      </c>
      <c r="N26" s="466">
        <f t="shared" si="7"/>
        <v>84152.6</v>
      </c>
      <c r="O26" s="632">
        <f t="shared" si="7"/>
        <v>63074.71</v>
      </c>
      <c r="P26" s="632">
        <f t="shared" si="7"/>
        <v>62531</v>
      </c>
      <c r="Q26" s="632">
        <f t="shared" si="7"/>
        <v>57263.12</v>
      </c>
      <c r="R26" s="466">
        <f t="shared" si="7"/>
        <v>65000</v>
      </c>
      <c r="S26" s="466">
        <f t="shared" si="7"/>
        <v>55265.72</v>
      </c>
      <c r="T26" s="632">
        <v>55710.71</v>
      </c>
      <c r="U26" s="466">
        <f t="shared" si="7"/>
        <v>65000</v>
      </c>
      <c r="V26" s="107">
        <f t="shared" si="7"/>
        <v>94000</v>
      </c>
      <c r="W26" s="505">
        <f>W27</f>
        <v>0</v>
      </c>
      <c r="X26" s="506">
        <f>X27</f>
        <v>159000</v>
      </c>
      <c r="Z26" s="2"/>
      <c r="AB26" s="2"/>
      <c r="AE26" s="2"/>
    </row>
    <row r="27" spans="1:31" ht="13.5" thickBot="1">
      <c r="A27" s="232"/>
      <c r="B27" s="233">
        <v>630</v>
      </c>
      <c r="C27" s="234" t="s">
        <v>252</v>
      </c>
      <c r="D27" s="235">
        <v>86802</v>
      </c>
      <c r="E27" s="235">
        <v>77342</v>
      </c>
      <c r="F27" s="235">
        <v>79566</v>
      </c>
      <c r="G27" s="235">
        <v>75201</v>
      </c>
      <c r="H27" s="235">
        <v>66074</v>
      </c>
      <c r="I27" s="145">
        <v>84841</v>
      </c>
      <c r="J27" s="145">
        <v>92558</v>
      </c>
      <c r="K27" s="83">
        <v>89614</v>
      </c>
      <c r="L27" s="116">
        <v>87966.26</v>
      </c>
      <c r="M27" s="116">
        <v>89070.75</v>
      </c>
      <c r="N27" s="70">
        <v>84152.6</v>
      </c>
      <c r="O27" s="116">
        <v>63074.71</v>
      </c>
      <c r="P27" s="116">
        <v>62531</v>
      </c>
      <c r="Q27" s="116">
        <v>57263.12</v>
      </c>
      <c r="R27" s="70">
        <v>65000</v>
      </c>
      <c r="S27" s="70">
        <v>55265.72</v>
      </c>
      <c r="T27" s="116">
        <v>55710.71</v>
      </c>
      <c r="U27" s="467">
        <v>65000</v>
      </c>
      <c r="V27" s="589">
        <v>94000</v>
      </c>
      <c r="W27" s="589"/>
      <c r="X27" s="590">
        <f>U27+V27+W27</f>
        <v>159000</v>
      </c>
      <c r="Z27" s="2"/>
      <c r="AB27" s="2"/>
      <c r="AE27" s="2"/>
    </row>
    <row r="28" spans="1:31" ht="15.75" thickBot="1">
      <c r="A28" s="209" t="s">
        <v>253</v>
      </c>
      <c r="B28" s="800" t="s">
        <v>254</v>
      </c>
      <c r="C28" s="771"/>
      <c r="D28" s="231">
        <f>D29</f>
        <v>0</v>
      </c>
      <c r="E28" s="231">
        <f>E29</f>
        <v>1826</v>
      </c>
      <c r="F28" s="231">
        <f>F29</f>
        <v>66</v>
      </c>
      <c r="G28" s="231">
        <f>G29</f>
        <v>770</v>
      </c>
      <c r="H28" s="231">
        <f>H29</f>
        <v>2589</v>
      </c>
      <c r="I28" s="67">
        <f aca="true" t="shared" si="8" ref="I28:W28">I29</f>
        <v>366</v>
      </c>
      <c r="J28" s="67">
        <f t="shared" si="8"/>
        <v>274</v>
      </c>
      <c r="K28" s="67">
        <f t="shared" si="8"/>
        <v>464</v>
      </c>
      <c r="L28" s="67">
        <f t="shared" si="8"/>
        <v>276.29</v>
      </c>
      <c r="M28" s="211">
        <f t="shared" si="8"/>
        <v>34.4</v>
      </c>
      <c r="N28" s="466">
        <f t="shared" si="8"/>
        <v>81.5</v>
      </c>
      <c r="O28" s="632">
        <f t="shared" si="8"/>
        <v>1.5</v>
      </c>
      <c r="P28" s="632">
        <f t="shared" si="8"/>
        <v>1.5</v>
      </c>
      <c r="Q28" s="632">
        <f t="shared" si="8"/>
        <v>18.02</v>
      </c>
      <c r="R28" s="466">
        <f t="shared" si="8"/>
        <v>500</v>
      </c>
      <c r="S28" s="466">
        <f t="shared" si="8"/>
        <v>4</v>
      </c>
      <c r="T28" s="632">
        <v>1947.39</v>
      </c>
      <c r="U28" s="466">
        <f t="shared" si="8"/>
        <v>1000</v>
      </c>
      <c r="V28" s="107">
        <f t="shared" si="8"/>
        <v>0</v>
      </c>
      <c r="W28" s="505">
        <f t="shared" si="8"/>
        <v>0</v>
      </c>
      <c r="X28" s="506">
        <f>X29</f>
        <v>1000</v>
      </c>
      <c r="Z28" s="2"/>
      <c r="AB28" s="2"/>
      <c r="AE28" s="2"/>
    </row>
    <row r="29" spans="1:31" ht="13.5" thickBot="1">
      <c r="A29" s="236"/>
      <c r="B29" s="237"/>
      <c r="C29" s="234" t="s">
        <v>255</v>
      </c>
      <c r="D29" s="235">
        <v>0</v>
      </c>
      <c r="E29" s="235">
        <v>1826</v>
      </c>
      <c r="F29" s="235">
        <v>66</v>
      </c>
      <c r="G29" s="235">
        <v>770</v>
      </c>
      <c r="H29" s="235">
        <v>2589</v>
      </c>
      <c r="I29" s="145">
        <v>366</v>
      </c>
      <c r="J29" s="145">
        <v>274</v>
      </c>
      <c r="K29" s="83">
        <v>464</v>
      </c>
      <c r="L29" s="116">
        <v>276.29</v>
      </c>
      <c r="M29" s="116">
        <v>34.4</v>
      </c>
      <c r="N29" s="70">
        <v>81.5</v>
      </c>
      <c r="O29" s="116">
        <v>1.5</v>
      </c>
      <c r="P29" s="116">
        <v>1.5</v>
      </c>
      <c r="Q29" s="116">
        <v>18.02</v>
      </c>
      <c r="R29" s="70">
        <v>500</v>
      </c>
      <c r="S29" s="70">
        <v>4</v>
      </c>
      <c r="T29" s="116">
        <v>1947.39</v>
      </c>
      <c r="U29" s="467">
        <v>1000</v>
      </c>
      <c r="V29" s="591"/>
      <c r="W29" s="591"/>
      <c r="X29" s="592">
        <f>U29+V29+W29</f>
        <v>1000</v>
      </c>
      <c r="Z29" s="2"/>
      <c r="AB29" s="2"/>
      <c r="AE29" s="2"/>
    </row>
    <row r="30" spans="1:31" ht="15.75" thickBot="1">
      <c r="A30" s="209" t="s">
        <v>68</v>
      </c>
      <c r="B30" s="800" t="s">
        <v>256</v>
      </c>
      <c r="C30" s="771"/>
      <c r="D30" s="210">
        <v>80362</v>
      </c>
      <c r="E30" s="210">
        <v>93674</v>
      </c>
      <c r="F30" s="210">
        <v>104461</v>
      </c>
      <c r="G30" s="210">
        <v>126342</v>
      </c>
      <c r="H30" s="67">
        <f>SUM(H31:H33)</f>
        <v>137485</v>
      </c>
      <c r="I30" s="67">
        <f>SUM(I31:I33)</f>
        <v>141454</v>
      </c>
      <c r="J30" s="67">
        <f>SUM(J31:J33)</f>
        <v>150296</v>
      </c>
      <c r="K30" s="67">
        <f>SUM(K31:K33)</f>
        <v>153336</v>
      </c>
      <c r="L30" s="211">
        <f aca="true" t="shared" si="9" ref="L30:Q30">SUM(L31:L35)</f>
        <v>153063.15</v>
      </c>
      <c r="M30" s="211">
        <f t="shared" si="9"/>
        <v>160199.88999999998</v>
      </c>
      <c r="N30" s="466">
        <f t="shared" si="9"/>
        <v>160815.16</v>
      </c>
      <c r="O30" s="632">
        <f t="shared" si="9"/>
        <v>182466.47</v>
      </c>
      <c r="P30" s="632">
        <f t="shared" si="9"/>
        <v>205874.57</v>
      </c>
      <c r="Q30" s="632">
        <f t="shared" si="9"/>
        <v>228019.05</v>
      </c>
      <c r="R30" s="466">
        <f aca="true" t="shared" si="10" ref="R30:X30">SUM(R31:R35)</f>
        <v>267388</v>
      </c>
      <c r="S30" s="466">
        <f t="shared" si="10"/>
        <v>284752.95999999996</v>
      </c>
      <c r="T30" s="632">
        <v>279881.9</v>
      </c>
      <c r="U30" s="466">
        <f t="shared" si="10"/>
        <v>352062</v>
      </c>
      <c r="V30" s="107">
        <f>SUM(V31:V35)</f>
        <v>-21666</v>
      </c>
      <c r="W30" s="505">
        <f t="shared" si="10"/>
        <v>0</v>
      </c>
      <c r="X30" s="506">
        <f t="shared" si="10"/>
        <v>330396</v>
      </c>
      <c r="Z30" s="2"/>
      <c r="AB30" s="2"/>
      <c r="AE30" s="2"/>
    </row>
    <row r="31" spans="1:31" ht="12.75">
      <c r="A31" s="803"/>
      <c r="B31" s="226">
        <v>610</v>
      </c>
      <c r="C31" s="41" t="s">
        <v>240</v>
      </c>
      <c r="D31" s="158"/>
      <c r="E31" s="158">
        <v>56762</v>
      </c>
      <c r="F31" s="158">
        <v>60944</v>
      </c>
      <c r="G31" s="158">
        <v>75340</v>
      </c>
      <c r="H31" s="158">
        <v>84414</v>
      </c>
      <c r="I31" s="41">
        <v>89012</v>
      </c>
      <c r="J31" s="42">
        <v>92984</v>
      </c>
      <c r="K31" s="42">
        <v>93001</v>
      </c>
      <c r="L31" s="151">
        <v>93672.78</v>
      </c>
      <c r="M31" s="151">
        <v>102320.64</v>
      </c>
      <c r="N31" s="93">
        <v>102319.48</v>
      </c>
      <c r="O31" s="200">
        <v>109786.57</v>
      </c>
      <c r="P31" s="200">
        <v>123486.16</v>
      </c>
      <c r="Q31" s="200">
        <v>129732.70999999999</v>
      </c>
      <c r="R31" s="93">
        <v>126938</v>
      </c>
      <c r="S31" s="93">
        <v>141300.33</v>
      </c>
      <c r="T31" s="200">
        <v>133585.88</v>
      </c>
      <c r="U31" s="479">
        <v>177256</v>
      </c>
      <c r="V31" s="582">
        <v>-3000</v>
      </c>
      <c r="W31" s="582"/>
      <c r="X31" s="583">
        <f>U31+V31+W31</f>
        <v>174256</v>
      </c>
      <c r="Z31" s="2"/>
      <c r="AB31" s="2"/>
      <c r="AE31" s="2"/>
    </row>
    <row r="32" spans="1:31" ht="12.75">
      <c r="A32" s="804"/>
      <c r="B32" s="227">
        <v>620</v>
      </c>
      <c r="C32" s="43" t="s">
        <v>241</v>
      </c>
      <c r="D32" s="238"/>
      <c r="E32" s="238">
        <v>20315</v>
      </c>
      <c r="F32" s="238">
        <v>21709</v>
      </c>
      <c r="G32" s="238">
        <v>27650</v>
      </c>
      <c r="H32" s="238">
        <v>30919</v>
      </c>
      <c r="I32" s="43">
        <v>32877</v>
      </c>
      <c r="J32" s="44">
        <v>34488</v>
      </c>
      <c r="K32" s="44">
        <v>34548</v>
      </c>
      <c r="L32" s="114">
        <v>37213.83</v>
      </c>
      <c r="M32" s="114">
        <v>35543.37</v>
      </c>
      <c r="N32" s="26">
        <v>37856.52</v>
      </c>
      <c r="O32" s="202">
        <v>40417.53</v>
      </c>
      <c r="P32" s="202">
        <v>45335.28</v>
      </c>
      <c r="Q32" s="202">
        <v>47330.69</v>
      </c>
      <c r="R32" s="26">
        <v>46411</v>
      </c>
      <c r="S32" s="26">
        <v>51299.29000000001</v>
      </c>
      <c r="T32" s="202">
        <v>48440</v>
      </c>
      <c r="U32" s="480">
        <v>63933</v>
      </c>
      <c r="V32" s="584">
        <v>-1048</v>
      </c>
      <c r="W32" s="584"/>
      <c r="X32" s="585">
        <f>U32+V32+W32</f>
        <v>62885</v>
      </c>
      <c r="Z32" s="2"/>
      <c r="AB32" s="2"/>
      <c r="AE32" s="2"/>
    </row>
    <row r="33" spans="1:31" ht="12.75">
      <c r="A33" s="804"/>
      <c r="B33" s="227">
        <v>630</v>
      </c>
      <c r="C33" s="43" t="s">
        <v>242</v>
      </c>
      <c r="D33" s="238"/>
      <c r="E33" s="238">
        <v>16597</v>
      </c>
      <c r="F33" s="238">
        <v>21078</v>
      </c>
      <c r="G33" s="238">
        <v>23021</v>
      </c>
      <c r="H33" s="238">
        <f>22134+18</f>
        <v>22152</v>
      </c>
      <c r="I33" s="43">
        <v>19565</v>
      </c>
      <c r="J33" s="44">
        <v>22824</v>
      </c>
      <c r="K33" s="44">
        <v>25787</v>
      </c>
      <c r="L33" s="114">
        <v>22014.74</v>
      </c>
      <c r="M33" s="114">
        <v>22171.17</v>
      </c>
      <c r="N33" s="26">
        <v>20256.81</v>
      </c>
      <c r="O33" s="202">
        <v>29552.34</v>
      </c>
      <c r="P33" s="202">
        <v>36953.13</v>
      </c>
      <c r="Q33" s="202">
        <v>23590.739999999998</v>
      </c>
      <c r="R33" s="26">
        <v>19000</v>
      </c>
      <c r="S33" s="26">
        <v>25182.800000000003</v>
      </c>
      <c r="T33" s="202">
        <v>25717.76</v>
      </c>
      <c r="U33" s="480">
        <v>25500</v>
      </c>
      <c r="V33" s="584">
        <v>2000</v>
      </c>
      <c r="W33" s="584"/>
      <c r="X33" s="585">
        <f>U33+V33+W33</f>
        <v>27500</v>
      </c>
      <c r="Z33" s="2"/>
      <c r="AB33" s="2"/>
      <c r="AE33" s="2"/>
    </row>
    <row r="34" spans="1:31" ht="12.75">
      <c r="A34" s="804"/>
      <c r="B34" s="227">
        <v>640</v>
      </c>
      <c r="C34" s="43" t="s">
        <v>243</v>
      </c>
      <c r="D34" s="235"/>
      <c r="E34" s="235"/>
      <c r="F34" s="235"/>
      <c r="G34" s="235"/>
      <c r="H34" s="235"/>
      <c r="I34" s="145"/>
      <c r="J34" s="239"/>
      <c r="K34" s="239"/>
      <c r="L34" s="116"/>
      <c r="M34" s="116"/>
      <c r="N34" s="70"/>
      <c r="O34" s="116"/>
      <c r="P34" s="116"/>
      <c r="Q34" s="116"/>
      <c r="R34" s="70"/>
      <c r="S34" s="70"/>
      <c r="T34" s="116">
        <v>637.6</v>
      </c>
      <c r="U34" s="467"/>
      <c r="V34" s="593">
        <v>7000</v>
      </c>
      <c r="W34" s="593"/>
      <c r="X34" s="585">
        <f>U34+V34+W34</f>
        <v>7000</v>
      </c>
      <c r="Z34" s="2"/>
      <c r="AB34" s="2"/>
      <c r="AE34" s="2"/>
    </row>
    <row r="35" spans="1:31" ht="13.5" thickBot="1">
      <c r="A35" s="805"/>
      <c r="B35" s="227">
        <v>650</v>
      </c>
      <c r="C35" s="43" t="s">
        <v>347</v>
      </c>
      <c r="D35" s="235"/>
      <c r="E35" s="235"/>
      <c r="F35" s="235"/>
      <c r="G35" s="235"/>
      <c r="H35" s="235"/>
      <c r="I35" s="145"/>
      <c r="J35" s="145"/>
      <c r="K35" s="239"/>
      <c r="L35" s="116">
        <v>161.8</v>
      </c>
      <c r="M35" s="116">
        <v>164.71</v>
      </c>
      <c r="N35" s="70">
        <v>382.35</v>
      </c>
      <c r="O35" s="116">
        <v>2710.03</v>
      </c>
      <c r="P35" s="116">
        <v>100</v>
      </c>
      <c r="Q35" s="116">
        <v>27364.91</v>
      </c>
      <c r="R35" s="70">
        <v>75039</v>
      </c>
      <c r="S35" s="70">
        <v>66970.54</v>
      </c>
      <c r="T35" s="116">
        <v>71500.66</v>
      </c>
      <c r="U35" s="467">
        <v>85373</v>
      </c>
      <c r="V35" s="593">
        <v>-26618</v>
      </c>
      <c r="W35" s="593"/>
      <c r="X35" s="588">
        <f>U35+V35+W35</f>
        <v>58755</v>
      </c>
      <c r="Z35" s="2"/>
      <c r="AB35" s="2"/>
      <c r="AE35" s="2"/>
    </row>
    <row r="36" spans="1:31" ht="15.75" thickBot="1">
      <c r="A36" s="209" t="s">
        <v>257</v>
      </c>
      <c r="B36" s="800" t="s">
        <v>258</v>
      </c>
      <c r="C36" s="771"/>
      <c r="D36" s="231">
        <f>D37</f>
        <v>1328</v>
      </c>
      <c r="E36" s="231">
        <f>E37</f>
        <v>332</v>
      </c>
      <c r="F36" s="231">
        <f>F37</f>
        <v>797</v>
      </c>
      <c r="G36" s="231">
        <f>G37</f>
        <v>3524</v>
      </c>
      <c r="H36" s="231">
        <f>H37</f>
        <v>112</v>
      </c>
      <c r="I36" s="67">
        <f aca="true" t="shared" si="11" ref="I36:V36">I37</f>
        <v>600</v>
      </c>
      <c r="J36" s="67">
        <f t="shared" si="11"/>
        <v>1028</v>
      </c>
      <c r="K36" s="67">
        <f t="shared" si="11"/>
        <v>1230</v>
      </c>
      <c r="L36" s="211">
        <f t="shared" si="11"/>
        <v>600</v>
      </c>
      <c r="M36" s="211">
        <f t="shared" si="11"/>
        <v>1048.67</v>
      </c>
      <c r="N36" s="466">
        <f t="shared" si="11"/>
        <v>1510.99</v>
      </c>
      <c r="O36" s="632">
        <f t="shared" si="11"/>
        <v>1870</v>
      </c>
      <c r="P36" s="632">
        <f t="shared" si="11"/>
        <v>2000</v>
      </c>
      <c r="Q36" s="632">
        <f t="shared" si="11"/>
        <v>2240.37</v>
      </c>
      <c r="R36" s="466">
        <f t="shared" si="11"/>
        <v>1000</v>
      </c>
      <c r="S36" s="466">
        <f t="shared" si="11"/>
        <v>2459.98</v>
      </c>
      <c r="T36" s="632">
        <v>2000</v>
      </c>
      <c r="U36" s="466">
        <f t="shared" si="11"/>
        <v>2000</v>
      </c>
      <c r="V36" s="107">
        <f t="shared" si="11"/>
        <v>1075</v>
      </c>
      <c r="W36" s="505">
        <f>W37</f>
        <v>0</v>
      </c>
      <c r="X36" s="506">
        <f>X37</f>
        <v>3075</v>
      </c>
      <c r="Z36" s="2"/>
      <c r="AB36" s="2"/>
      <c r="AE36" s="2"/>
    </row>
    <row r="37" spans="1:31" ht="13.5" thickBot="1">
      <c r="A37" s="236"/>
      <c r="B37" s="240"/>
      <c r="C37" s="241" t="s">
        <v>259</v>
      </c>
      <c r="D37" s="242">
        <v>1328</v>
      </c>
      <c r="E37" s="242">
        <v>332</v>
      </c>
      <c r="F37" s="242">
        <v>797</v>
      </c>
      <c r="G37" s="242">
        <v>3524</v>
      </c>
      <c r="H37" s="242">
        <v>112</v>
      </c>
      <c r="I37" s="115">
        <v>600</v>
      </c>
      <c r="J37" s="115">
        <v>1028</v>
      </c>
      <c r="K37" s="83">
        <v>1230</v>
      </c>
      <c r="L37" s="243">
        <v>600</v>
      </c>
      <c r="M37" s="243">
        <v>1048.67</v>
      </c>
      <c r="N37" s="12">
        <v>1510.99</v>
      </c>
      <c r="O37" s="244">
        <v>1870</v>
      </c>
      <c r="P37" s="244">
        <v>2000</v>
      </c>
      <c r="Q37" s="244">
        <v>2240.37</v>
      </c>
      <c r="R37" s="12">
        <v>1000</v>
      </c>
      <c r="S37" s="12">
        <v>2459.98</v>
      </c>
      <c r="T37" s="244">
        <v>2000</v>
      </c>
      <c r="U37" s="468">
        <v>2000</v>
      </c>
      <c r="V37" s="591">
        <v>1075</v>
      </c>
      <c r="W37" s="591"/>
      <c r="X37" s="592">
        <f>U37+V37+W37</f>
        <v>3075</v>
      </c>
      <c r="Z37" s="2"/>
      <c r="AB37" s="2"/>
      <c r="AE37" s="2"/>
    </row>
    <row r="38" spans="1:31" ht="15.75" thickBot="1">
      <c r="A38" s="245" t="s">
        <v>260</v>
      </c>
      <c r="B38" s="800" t="s">
        <v>261</v>
      </c>
      <c r="C38" s="771"/>
      <c r="D38" s="210">
        <v>64894</v>
      </c>
      <c r="E38" s="210">
        <v>59384</v>
      </c>
      <c r="F38" s="210">
        <v>62471</v>
      </c>
      <c r="G38" s="210">
        <v>47851</v>
      </c>
      <c r="H38" s="14">
        <f>SUM(H39:H41)</f>
        <v>43042</v>
      </c>
      <c r="I38" s="14">
        <f>SUM(I39:I41)</f>
        <v>42993</v>
      </c>
      <c r="J38" s="14">
        <f>SUM(J39:J41)</f>
        <v>45897</v>
      </c>
      <c r="K38" s="14">
        <f aca="true" t="shared" si="12" ref="K38:Q38">SUM(K39:K42)</f>
        <v>45604</v>
      </c>
      <c r="L38" s="246">
        <f t="shared" si="12"/>
        <v>70768.37</v>
      </c>
      <c r="M38" s="246">
        <f t="shared" si="12"/>
        <v>57765.42</v>
      </c>
      <c r="N38" s="469">
        <f t="shared" si="12"/>
        <v>67218.58</v>
      </c>
      <c r="O38" s="633">
        <f t="shared" si="12"/>
        <v>62580.25</v>
      </c>
      <c r="P38" s="633">
        <f>SUM(P39:P42)</f>
        <v>56923.06</v>
      </c>
      <c r="Q38" s="633">
        <f t="shared" si="12"/>
        <v>61855.35999999999</v>
      </c>
      <c r="R38" s="469">
        <f>SUM(R39:R41)</f>
        <v>76963</v>
      </c>
      <c r="S38" s="469">
        <f>SUM(S39:S42)</f>
        <v>88456.51000000001</v>
      </c>
      <c r="T38" s="633">
        <v>62049.6</v>
      </c>
      <c r="U38" s="469">
        <f>SUM(U39:U41)</f>
        <v>74269</v>
      </c>
      <c r="V38" s="461">
        <f>SUM(V39:V42)</f>
        <v>0</v>
      </c>
      <c r="W38" s="505">
        <f>SUM(W39:W41)</f>
        <v>0</v>
      </c>
      <c r="X38" s="506">
        <f>SUM(X39:X42)</f>
        <v>74269</v>
      </c>
      <c r="Z38" s="2"/>
      <c r="AB38" s="2"/>
      <c r="AE38" s="2"/>
    </row>
    <row r="39" spans="1:31" ht="12.75">
      <c r="A39" s="803"/>
      <c r="B39" s="226">
        <v>610</v>
      </c>
      <c r="C39" s="41" t="s">
        <v>240</v>
      </c>
      <c r="D39" s="158"/>
      <c r="E39" s="158"/>
      <c r="F39" s="158"/>
      <c r="G39" s="158"/>
      <c r="H39" s="158">
        <v>19662</v>
      </c>
      <c r="I39" s="41">
        <v>20165</v>
      </c>
      <c r="J39" s="42">
        <v>21683</v>
      </c>
      <c r="K39" s="42">
        <v>23558</v>
      </c>
      <c r="L39" s="200">
        <v>34957.48</v>
      </c>
      <c r="M39" s="200">
        <v>28518.63</v>
      </c>
      <c r="N39" s="93">
        <v>34041.99</v>
      </c>
      <c r="O39" s="200">
        <v>33212</v>
      </c>
      <c r="P39" s="200">
        <v>33912.11</v>
      </c>
      <c r="Q39" s="200">
        <v>39048.27</v>
      </c>
      <c r="R39" s="93">
        <v>47240</v>
      </c>
      <c r="S39" s="93">
        <v>53526.83</v>
      </c>
      <c r="T39" s="200">
        <v>34695.98</v>
      </c>
      <c r="U39" s="479">
        <v>45403</v>
      </c>
      <c r="V39" s="582">
        <v>-5113</v>
      </c>
      <c r="W39" s="582"/>
      <c r="X39" s="583">
        <f>U39+V39+W39</f>
        <v>40290</v>
      </c>
      <c r="Z39" s="2"/>
      <c r="AB39" s="2"/>
      <c r="AE39" s="2"/>
    </row>
    <row r="40" spans="1:31" ht="12.75">
      <c r="A40" s="804"/>
      <c r="B40" s="227">
        <v>620</v>
      </c>
      <c r="C40" s="43" t="s">
        <v>241</v>
      </c>
      <c r="D40" s="238"/>
      <c r="E40" s="238"/>
      <c r="F40" s="238"/>
      <c r="G40" s="238"/>
      <c r="H40" s="238">
        <v>6810</v>
      </c>
      <c r="I40" s="43">
        <v>7285</v>
      </c>
      <c r="J40" s="44">
        <v>7713</v>
      </c>
      <c r="K40" s="44">
        <v>8188</v>
      </c>
      <c r="L40" s="202">
        <v>13167.56</v>
      </c>
      <c r="M40" s="202">
        <v>9242.21</v>
      </c>
      <c r="N40" s="26">
        <v>11670.69</v>
      </c>
      <c r="O40" s="202">
        <v>11626.24</v>
      </c>
      <c r="P40" s="202">
        <v>11789.54</v>
      </c>
      <c r="Q40" s="202">
        <v>13624.06</v>
      </c>
      <c r="R40" s="26">
        <v>16725</v>
      </c>
      <c r="S40" s="26">
        <v>17891.14</v>
      </c>
      <c r="T40" s="202">
        <v>11686.92</v>
      </c>
      <c r="U40" s="480">
        <v>15868</v>
      </c>
      <c r="V40" s="584">
        <v>-1787</v>
      </c>
      <c r="W40" s="584"/>
      <c r="X40" s="585">
        <f>U40+V40+W40</f>
        <v>14081</v>
      </c>
      <c r="Y40" s="2"/>
      <c r="Z40" s="2"/>
      <c r="AB40" s="2"/>
      <c r="AE40" s="2"/>
    </row>
    <row r="41" spans="1:31" ht="12.75">
      <c r="A41" s="804"/>
      <c r="B41" s="227">
        <v>630</v>
      </c>
      <c r="C41" s="43" t="s">
        <v>242</v>
      </c>
      <c r="D41" s="238"/>
      <c r="E41" s="238"/>
      <c r="F41" s="238"/>
      <c r="G41" s="238"/>
      <c r="H41" s="238">
        <v>16570</v>
      </c>
      <c r="I41" s="43">
        <v>15543</v>
      </c>
      <c r="J41" s="44">
        <v>16501</v>
      </c>
      <c r="K41" s="44">
        <v>13727</v>
      </c>
      <c r="L41" s="202">
        <v>20379.17</v>
      </c>
      <c r="M41" s="202">
        <v>19888.42</v>
      </c>
      <c r="N41" s="26">
        <v>21248.55</v>
      </c>
      <c r="O41" s="202">
        <v>16832.53</v>
      </c>
      <c r="P41" s="202">
        <v>11149.41</v>
      </c>
      <c r="Q41" s="202">
        <v>8952.96</v>
      </c>
      <c r="R41" s="26">
        <v>12998</v>
      </c>
      <c r="S41" s="26">
        <v>16926.13</v>
      </c>
      <c r="T41" s="202">
        <v>15284.81</v>
      </c>
      <c r="U41" s="480">
        <v>12998</v>
      </c>
      <c r="V41" s="584">
        <v>3600</v>
      </c>
      <c r="W41" s="584"/>
      <c r="X41" s="585">
        <f>U41+V41+W41</f>
        <v>16598</v>
      </c>
      <c r="Z41" s="2"/>
      <c r="AB41" s="2"/>
      <c r="AE41" s="2"/>
    </row>
    <row r="42" spans="1:31" ht="13.5" thickBot="1">
      <c r="A42" s="805"/>
      <c r="B42" s="227">
        <v>640</v>
      </c>
      <c r="C42" s="205"/>
      <c r="D42" s="225"/>
      <c r="E42" s="225"/>
      <c r="F42" s="225"/>
      <c r="G42" s="225"/>
      <c r="H42" s="225"/>
      <c r="I42" s="145"/>
      <c r="J42" s="44"/>
      <c r="K42" s="44">
        <v>131</v>
      </c>
      <c r="L42" s="116">
        <v>2264.16</v>
      </c>
      <c r="M42" s="116">
        <v>116.16</v>
      </c>
      <c r="N42" s="70">
        <v>257.35</v>
      </c>
      <c r="O42" s="116">
        <v>909.48</v>
      </c>
      <c r="P42" s="116">
        <v>72</v>
      </c>
      <c r="Q42" s="116">
        <v>230.07</v>
      </c>
      <c r="R42" s="70"/>
      <c r="S42" s="70">
        <v>112.41</v>
      </c>
      <c r="T42" s="116">
        <v>381.89</v>
      </c>
      <c r="U42" s="467"/>
      <c r="V42" s="593">
        <v>3300</v>
      </c>
      <c r="W42" s="593"/>
      <c r="X42" s="588">
        <f>U42+V42+W42</f>
        <v>3300</v>
      </c>
      <c r="Z42" s="2"/>
      <c r="AB42" s="2"/>
      <c r="AD42" s="2"/>
      <c r="AE42" s="2"/>
    </row>
    <row r="43" spans="1:31" ht="15.75" thickBot="1">
      <c r="A43" s="209" t="s">
        <v>262</v>
      </c>
      <c r="B43" s="800" t="s">
        <v>263</v>
      </c>
      <c r="C43" s="771"/>
      <c r="D43" s="231">
        <f>D44</f>
        <v>0</v>
      </c>
      <c r="E43" s="231">
        <f>E44</f>
        <v>0</v>
      </c>
      <c r="F43" s="231">
        <f>F44</f>
        <v>0</v>
      </c>
      <c r="G43" s="231">
        <f>G44</f>
        <v>66</v>
      </c>
      <c r="H43" s="231">
        <f>H44</f>
        <v>175</v>
      </c>
      <c r="I43" s="67">
        <f aca="true" t="shared" si="13" ref="I43:V43">I44</f>
        <v>269</v>
      </c>
      <c r="J43" s="67">
        <f t="shared" si="13"/>
        <v>182</v>
      </c>
      <c r="K43" s="67">
        <f t="shared" si="13"/>
        <v>104</v>
      </c>
      <c r="L43" s="211">
        <f t="shared" si="13"/>
        <v>169.4</v>
      </c>
      <c r="M43" s="211">
        <f t="shared" si="13"/>
        <v>87.6</v>
      </c>
      <c r="N43" s="466">
        <f t="shared" si="13"/>
        <v>40.1</v>
      </c>
      <c r="O43" s="466">
        <f t="shared" si="13"/>
        <v>0</v>
      </c>
      <c r="P43" s="466">
        <f t="shared" si="13"/>
        <v>69.25</v>
      </c>
      <c r="Q43" s="632">
        <f t="shared" si="13"/>
        <v>440.25</v>
      </c>
      <c r="R43" s="466">
        <f t="shared" si="13"/>
        <v>200</v>
      </c>
      <c r="S43" s="466">
        <f t="shared" si="13"/>
        <v>150</v>
      </c>
      <c r="T43" s="632">
        <v>583.1</v>
      </c>
      <c r="U43" s="466">
        <f t="shared" si="13"/>
        <v>500</v>
      </c>
      <c r="V43" s="107">
        <f t="shared" si="13"/>
        <v>0</v>
      </c>
      <c r="W43" s="505">
        <f>W44</f>
        <v>0</v>
      </c>
      <c r="X43" s="506">
        <f>X44</f>
        <v>500</v>
      </c>
      <c r="Z43" s="2"/>
      <c r="AB43" s="2"/>
      <c r="AE43" s="2"/>
    </row>
    <row r="44" spans="1:31" ht="13.5" thickBot="1">
      <c r="A44" s="247"/>
      <c r="B44" s="248">
        <v>640</v>
      </c>
      <c r="C44" s="145" t="s">
        <v>264</v>
      </c>
      <c r="D44" s="235"/>
      <c r="E44" s="235"/>
      <c r="F44" s="235"/>
      <c r="G44" s="235">
        <v>66</v>
      </c>
      <c r="H44" s="235">
        <v>175</v>
      </c>
      <c r="I44" s="145">
        <v>269</v>
      </c>
      <c r="J44" s="145">
        <v>182</v>
      </c>
      <c r="K44" s="145">
        <v>104</v>
      </c>
      <c r="L44" s="249">
        <v>169.4</v>
      </c>
      <c r="M44" s="243">
        <v>87.6</v>
      </c>
      <c r="N44" s="12">
        <v>40.1</v>
      </c>
      <c r="O44" s="12"/>
      <c r="P44" s="12">
        <v>69.25</v>
      </c>
      <c r="Q44" s="244">
        <v>440.25</v>
      </c>
      <c r="R44" s="12">
        <v>200</v>
      </c>
      <c r="S44" s="12">
        <v>150</v>
      </c>
      <c r="T44" s="244">
        <v>583.1</v>
      </c>
      <c r="U44" s="468">
        <v>500</v>
      </c>
      <c r="V44" s="591"/>
      <c r="W44" s="591"/>
      <c r="X44" s="592">
        <f>U44+V44+W44</f>
        <v>500</v>
      </c>
      <c r="Z44" s="2"/>
      <c r="AB44" s="2"/>
      <c r="AE44" s="2"/>
    </row>
    <row r="45" spans="1:31" ht="15.75" thickBot="1">
      <c r="A45" s="209" t="s">
        <v>63</v>
      </c>
      <c r="B45" s="800" t="s">
        <v>66</v>
      </c>
      <c r="C45" s="771"/>
      <c r="D45" s="210">
        <v>29310</v>
      </c>
      <c r="E45" s="210">
        <v>30173</v>
      </c>
      <c r="F45" s="210">
        <v>33061</v>
      </c>
      <c r="G45" s="210">
        <v>31215</v>
      </c>
      <c r="H45" s="14">
        <f aca="true" t="shared" si="14" ref="H45:M45">SUM(H46:H48)</f>
        <v>30188</v>
      </c>
      <c r="I45" s="14">
        <f t="shared" si="14"/>
        <v>30251</v>
      </c>
      <c r="J45" s="14">
        <f t="shared" si="14"/>
        <v>29902</v>
      </c>
      <c r="K45" s="14">
        <f t="shared" si="14"/>
        <v>27922</v>
      </c>
      <c r="L45" s="14">
        <f t="shared" si="14"/>
        <v>26736.059999999998</v>
      </c>
      <c r="M45" s="246">
        <f t="shared" si="14"/>
        <v>31580.040000000005</v>
      </c>
      <c r="N45" s="469">
        <f>SUM(N46:N48)</f>
        <v>36470.850000000006</v>
      </c>
      <c r="O45" s="633">
        <f aca="true" t="shared" si="15" ref="O45:V45">SUM(O46:O51)</f>
        <v>54203.55</v>
      </c>
      <c r="P45" s="633">
        <f t="shared" si="15"/>
        <v>87006.54</v>
      </c>
      <c r="Q45" s="633">
        <f t="shared" si="15"/>
        <v>79163.91</v>
      </c>
      <c r="R45" s="469">
        <f t="shared" si="15"/>
        <v>98937</v>
      </c>
      <c r="S45" s="469">
        <f t="shared" si="15"/>
        <v>104096.26</v>
      </c>
      <c r="T45" s="633">
        <v>48272.28</v>
      </c>
      <c r="U45" s="469">
        <f t="shared" si="15"/>
        <v>43341</v>
      </c>
      <c r="V45" s="461">
        <f t="shared" si="15"/>
        <v>0</v>
      </c>
      <c r="W45" s="505">
        <f>SUM(W46:W48)</f>
        <v>0</v>
      </c>
      <c r="X45" s="506">
        <f>SUM(X46:X48)</f>
        <v>43341</v>
      </c>
      <c r="Z45" s="2"/>
      <c r="AB45" s="2"/>
      <c r="AE45" s="2"/>
    </row>
    <row r="46" spans="1:31" ht="12.75">
      <c r="A46" s="803"/>
      <c r="B46" s="199">
        <v>610</v>
      </c>
      <c r="C46" s="41" t="s">
        <v>240</v>
      </c>
      <c r="D46" s="158"/>
      <c r="E46" s="158">
        <v>17128</v>
      </c>
      <c r="F46" s="158">
        <v>19186</v>
      </c>
      <c r="G46" s="158">
        <v>18647</v>
      </c>
      <c r="H46" s="158">
        <v>19330</v>
      </c>
      <c r="I46" s="41">
        <v>19430</v>
      </c>
      <c r="J46" s="42">
        <v>19249</v>
      </c>
      <c r="K46" s="42">
        <v>18860</v>
      </c>
      <c r="L46" s="151">
        <v>17749.95</v>
      </c>
      <c r="M46" s="151">
        <v>21482.58</v>
      </c>
      <c r="N46" s="93">
        <v>23137.49</v>
      </c>
      <c r="O46" s="200">
        <v>24187.48</v>
      </c>
      <c r="P46" s="200">
        <v>31091.66</v>
      </c>
      <c r="Q46" s="200">
        <v>33641.45</v>
      </c>
      <c r="R46" s="93">
        <v>35574</v>
      </c>
      <c r="S46" s="93">
        <v>23174.11</v>
      </c>
      <c r="T46" s="200">
        <v>32790.61</v>
      </c>
      <c r="U46" s="479">
        <v>29086</v>
      </c>
      <c r="V46" s="618"/>
      <c r="W46" s="618"/>
      <c r="X46" s="619">
        <f aca="true" t="shared" si="16" ref="X46:X51">U46+V46+W46</f>
        <v>29086</v>
      </c>
      <c r="Z46" s="2"/>
      <c r="AB46" s="2"/>
      <c r="AE46" s="2"/>
    </row>
    <row r="47" spans="1:31" ht="12.75">
      <c r="A47" s="804"/>
      <c r="B47" s="201">
        <v>620</v>
      </c>
      <c r="C47" s="43" t="s">
        <v>241</v>
      </c>
      <c r="D47" s="238"/>
      <c r="E47" s="238">
        <v>6174</v>
      </c>
      <c r="F47" s="238">
        <v>6440</v>
      </c>
      <c r="G47" s="238">
        <v>6250</v>
      </c>
      <c r="H47" s="238">
        <v>6780</v>
      </c>
      <c r="I47" s="43">
        <v>6793</v>
      </c>
      <c r="J47" s="44">
        <v>6741</v>
      </c>
      <c r="K47" s="44">
        <v>6528</v>
      </c>
      <c r="L47" s="114">
        <v>6227.83</v>
      </c>
      <c r="M47" s="114">
        <v>7544.26</v>
      </c>
      <c r="N47" s="26">
        <v>8118.17</v>
      </c>
      <c r="O47" s="202">
        <v>8499.7</v>
      </c>
      <c r="P47" s="202">
        <v>10918.71</v>
      </c>
      <c r="Q47" s="202">
        <v>11858.77</v>
      </c>
      <c r="R47" s="26">
        <v>12613</v>
      </c>
      <c r="S47" s="26">
        <v>7938.05</v>
      </c>
      <c r="T47" s="202">
        <v>11644.26</v>
      </c>
      <c r="U47" s="480">
        <v>10455</v>
      </c>
      <c r="V47" s="584"/>
      <c r="W47" s="584"/>
      <c r="X47" s="585">
        <f t="shared" si="16"/>
        <v>10455</v>
      </c>
      <c r="Z47" s="2"/>
      <c r="AB47" s="2"/>
      <c r="AE47" s="2"/>
    </row>
    <row r="48" spans="1:31" ht="12.75">
      <c r="A48" s="804"/>
      <c r="B48" s="201">
        <v>630</v>
      </c>
      <c r="C48" s="43" t="s">
        <v>242</v>
      </c>
      <c r="D48" s="238"/>
      <c r="E48" s="238">
        <v>6871</v>
      </c>
      <c r="F48" s="238">
        <v>7435</v>
      </c>
      <c r="G48" s="238">
        <v>6318</v>
      </c>
      <c r="H48" s="238">
        <v>4078</v>
      </c>
      <c r="I48" s="43">
        <v>4028</v>
      </c>
      <c r="J48" s="44">
        <v>3912</v>
      </c>
      <c r="K48" s="44">
        <f>27588-25054</f>
        <v>2534</v>
      </c>
      <c r="L48" s="114">
        <v>2758.28</v>
      </c>
      <c r="M48" s="114">
        <v>2553.2</v>
      </c>
      <c r="N48" s="26">
        <v>5215.19</v>
      </c>
      <c r="O48" s="202">
        <v>7214.150000000001</v>
      </c>
      <c r="P48" s="202">
        <v>3273.6100000000006</v>
      </c>
      <c r="Q48" s="202">
        <v>2843.350000000004</v>
      </c>
      <c r="R48" s="26">
        <v>2800</v>
      </c>
      <c r="S48" s="26">
        <v>1161.9700000000012</v>
      </c>
      <c r="T48" s="202">
        <v>3837.41</v>
      </c>
      <c r="U48" s="480">
        <v>3800</v>
      </c>
      <c r="V48" s="584"/>
      <c r="W48" s="584"/>
      <c r="X48" s="585">
        <f t="shared" si="16"/>
        <v>3800</v>
      </c>
      <c r="Z48" s="2"/>
      <c r="AB48" s="2"/>
      <c r="AE48" s="2"/>
    </row>
    <row r="49" spans="1:31" ht="12.75">
      <c r="A49" s="804"/>
      <c r="B49" s="671">
        <v>630</v>
      </c>
      <c r="C49" s="47" t="s">
        <v>365</v>
      </c>
      <c r="D49" s="672"/>
      <c r="E49" s="672"/>
      <c r="F49" s="672"/>
      <c r="G49" s="672"/>
      <c r="H49" s="672"/>
      <c r="I49" s="47"/>
      <c r="J49" s="74"/>
      <c r="K49" s="74"/>
      <c r="L49" s="251"/>
      <c r="M49" s="251"/>
      <c r="N49" s="30"/>
      <c r="O49" s="220"/>
      <c r="P49" s="220"/>
      <c r="Q49" s="220">
        <v>8549.6</v>
      </c>
      <c r="R49" s="30">
        <v>22100</v>
      </c>
      <c r="S49" s="30">
        <v>33668.23</v>
      </c>
      <c r="T49" s="220"/>
      <c r="U49" s="489">
        <v>0</v>
      </c>
      <c r="V49" s="593"/>
      <c r="W49" s="593"/>
      <c r="X49" s="588">
        <f t="shared" si="16"/>
        <v>0</v>
      </c>
      <c r="Z49" s="2"/>
      <c r="AB49" s="2"/>
      <c r="AE49" s="2"/>
    </row>
    <row r="50" spans="1:31" ht="12.75">
      <c r="A50" s="804"/>
      <c r="B50" s="671">
        <v>630</v>
      </c>
      <c r="C50" s="47" t="s">
        <v>355</v>
      </c>
      <c r="D50" s="672"/>
      <c r="E50" s="672"/>
      <c r="F50" s="672"/>
      <c r="G50" s="672"/>
      <c r="H50" s="672"/>
      <c r="I50" s="47"/>
      <c r="J50" s="74"/>
      <c r="K50" s="74"/>
      <c r="L50" s="251"/>
      <c r="M50" s="251"/>
      <c r="N50" s="30"/>
      <c r="O50" s="220"/>
      <c r="P50" s="220"/>
      <c r="Q50" s="220">
        <v>22270.739999999998</v>
      </c>
      <c r="R50" s="30">
        <v>25850</v>
      </c>
      <c r="S50" s="30">
        <v>28535.95</v>
      </c>
      <c r="T50" s="220"/>
      <c r="U50" s="489">
        <v>0</v>
      </c>
      <c r="V50" s="593"/>
      <c r="W50" s="593"/>
      <c r="X50" s="588">
        <f t="shared" si="16"/>
        <v>0</v>
      </c>
      <c r="Z50" s="2"/>
      <c r="AB50" s="2"/>
      <c r="AE50" s="2"/>
    </row>
    <row r="51" spans="1:31" ht="13.5" thickBot="1">
      <c r="A51" s="805"/>
      <c r="B51" s="323">
        <v>630</v>
      </c>
      <c r="C51" s="46" t="s">
        <v>171</v>
      </c>
      <c r="D51" s="153"/>
      <c r="E51" s="153"/>
      <c r="F51" s="153"/>
      <c r="G51" s="153"/>
      <c r="H51" s="153"/>
      <c r="I51" s="46"/>
      <c r="J51" s="60"/>
      <c r="K51" s="60"/>
      <c r="L51" s="299"/>
      <c r="M51" s="299"/>
      <c r="N51" s="48"/>
      <c r="O51" s="252">
        <v>14302.22</v>
      </c>
      <c r="P51" s="252">
        <v>41722.56</v>
      </c>
      <c r="Q51" s="252"/>
      <c r="R51" s="48"/>
      <c r="S51" s="48">
        <v>9617.95</v>
      </c>
      <c r="T51" s="252"/>
      <c r="U51" s="471"/>
      <c r="V51" s="620"/>
      <c r="W51" s="620"/>
      <c r="X51" s="621">
        <f t="shared" si="16"/>
        <v>0</v>
      </c>
      <c r="Z51" s="2"/>
      <c r="AB51" s="2"/>
      <c r="AE51" s="2"/>
    </row>
    <row r="52" spans="1:31" ht="15.75" thickBot="1">
      <c r="A52" s="209" t="s">
        <v>212</v>
      </c>
      <c r="B52" s="800" t="s">
        <v>214</v>
      </c>
      <c r="C52" s="771"/>
      <c r="D52" s="231">
        <v>13278</v>
      </c>
      <c r="E52" s="231">
        <v>366029</v>
      </c>
      <c r="F52" s="231">
        <v>277733</v>
      </c>
      <c r="G52" s="231">
        <v>398013</v>
      </c>
      <c r="H52" s="231">
        <v>368170</v>
      </c>
      <c r="I52" s="67">
        <f aca="true" t="shared" si="17" ref="I52:V52">SUM(I53:I57)</f>
        <v>294633</v>
      </c>
      <c r="J52" s="67">
        <f t="shared" si="17"/>
        <v>216960</v>
      </c>
      <c r="K52" s="67">
        <f t="shared" si="17"/>
        <v>236599</v>
      </c>
      <c r="L52" s="211">
        <f t="shared" si="17"/>
        <v>216987.18</v>
      </c>
      <c r="M52" s="211">
        <f t="shared" si="17"/>
        <v>226497.02000000002</v>
      </c>
      <c r="N52" s="466">
        <f aca="true" t="shared" si="18" ref="N52:S52">SUM(N53:N57)</f>
        <v>249510.29</v>
      </c>
      <c r="O52" s="632">
        <f t="shared" si="18"/>
        <v>263692.45</v>
      </c>
      <c r="P52" s="632">
        <f t="shared" si="18"/>
        <v>362393.4</v>
      </c>
      <c r="Q52" s="632">
        <f t="shared" si="18"/>
        <v>432250.81000000006</v>
      </c>
      <c r="R52" s="466">
        <f t="shared" si="18"/>
        <v>444157</v>
      </c>
      <c r="S52" s="466">
        <f t="shared" si="18"/>
        <v>591802.98</v>
      </c>
      <c r="T52" s="632">
        <v>455466.76999999996</v>
      </c>
      <c r="U52" s="466">
        <f t="shared" si="17"/>
        <v>633005</v>
      </c>
      <c r="V52" s="107">
        <f t="shared" si="17"/>
        <v>0</v>
      </c>
      <c r="W52" s="505">
        <f>SUM(W53:W57)</f>
        <v>0</v>
      </c>
      <c r="X52" s="506">
        <f>SUM(X53:X57)</f>
        <v>633005</v>
      </c>
      <c r="Z52" s="2"/>
      <c r="AB52" s="2"/>
      <c r="AE52" s="2"/>
    </row>
    <row r="53" spans="1:31" ht="12.75">
      <c r="A53" s="814"/>
      <c r="B53" s="256">
        <v>640</v>
      </c>
      <c r="C53" s="253" t="s">
        <v>265</v>
      </c>
      <c r="D53" s="254"/>
      <c r="E53" s="254"/>
      <c r="F53" s="254"/>
      <c r="G53" s="254"/>
      <c r="H53" s="254">
        <v>307476</v>
      </c>
      <c r="I53" s="255">
        <v>234550</v>
      </c>
      <c r="J53" s="42">
        <v>150070</v>
      </c>
      <c r="K53" s="42">
        <v>167336</v>
      </c>
      <c r="L53" s="200">
        <v>148104</v>
      </c>
      <c r="M53" s="214">
        <v>157211</v>
      </c>
      <c r="N53" s="143">
        <v>183945</v>
      </c>
      <c r="O53" s="214">
        <v>167281</v>
      </c>
      <c r="P53" s="214">
        <v>263000</v>
      </c>
      <c r="Q53" s="214">
        <v>334227.87</v>
      </c>
      <c r="R53" s="143">
        <f>346757</f>
        <v>346757</v>
      </c>
      <c r="S53" s="143">
        <v>506164.22</v>
      </c>
      <c r="T53" s="214">
        <v>328020.68</v>
      </c>
      <c r="U53" s="143">
        <v>355355</v>
      </c>
      <c r="V53" s="582"/>
      <c r="W53" s="582"/>
      <c r="X53" s="583">
        <f>U53+V53+W53</f>
        <v>355355</v>
      </c>
      <c r="Z53" s="2"/>
      <c r="AB53" s="2"/>
      <c r="AE53" s="2"/>
    </row>
    <row r="54" spans="1:31" ht="12.75">
      <c r="A54" s="815"/>
      <c r="B54" s="256">
        <v>640</v>
      </c>
      <c r="C54" s="257" t="s">
        <v>431</v>
      </c>
      <c r="D54" s="258"/>
      <c r="E54" s="258"/>
      <c r="F54" s="258"/>
      <c r="G54" s="258"/>
      <c r="H54" s="258"/>
      <c r="I54" s="259"/>
      <c r="J54" s="57"/>
      <c r="K54" s="57"/>
      <c r="L54" s="118"/>
      <c r="M54" s="131"/>
      <c r="N54" s="21"/>
      <c r="O54" s="131">
        <v>28183</v>
      </c>
      <c r="P54" s="131"/>
      <c r="Q54" s="131"/>
      <c r="R54" s="21"/>
      <c r="S54" s="21"/>
      <c r="T54" s="131"/>
      <c r="U54" s="483">
        <v>142650</v>
      </c>
      <c r="V54" s="582"/>
      <c r="W54" s="582"/>
      <c r="X54" s="583">
        <f>U54+V54+W54</f>
        <v>142650</v>
      </c>
      <c r="Z54" s="2"/>
      <c r="AB54" s="2"/>
      <c r="AE54" s="2"/>
    </row>
    <row r="55" spans="1:31" ht="12.75" hidden="1">
      <c r="A55" s="815"/>
      <c r="B55" s="256">
        <v>630</v>
      </c>
      <c r="C55" s="257" t="s">
        <v>213</v>
      </c>
      <c r="D55" s="258"/>
      <c r="E55" s="258"/>
      <c r="F55" s="258"/>
      <c r="G55" s="258"/>
      <c r="H55" s="258">
        <v>9596</v>
      </c>
      <c r="I55" s="259">
        <v>3094</v>
      </c>
      <c r="J55" s="44">
        <v>2060</v>
      </c>
      <c r="K55" s="44">
        <v>1011</v>
      </c>
      <c r="L55" s="118">
        <v>1770</v>
      </c>
      <c r="M55" s="131">
        <v>1790</v>
      </c>
      <c r="N55" s="21">
        <v>1340</v>
      </c>
      <c r="O55" s="131">
        <v>3846.12</v>
      </c>
      <c r="P55" s="131">
        <v>1800</v>
      </c>
      <c r="Q55" s="131">
        <v>1980</v>
      </c>
      <c r="R55" s="21">
        <f>3100+2400</f>
        <v>5500</v>
      </c>
      <c r="S55" s="21"/>
      <c r="T55" s="131"/>
      <c r="U55" s="21">
        <v>0</v>
      </c>
      <c r="V55" s="584"/>
      <c r="W55" s="584"/>
      <c r="X55" s="585">
        <f>U55+V55+W55</f>
        <v>0</v>
      </c>
      <c r="Z55" s="2"/>
      <c r="AB55" s="2"/>
      <c r="AE55" s="2"/>
    </row>
    <row r="56" spans="1:31" ht="12.75">
      <c r="A56" s="815"/>
      <c r="B56" s="256">
        <v>630</v>
      </c>
      <c r="C56" s="257" t="s">
        <v>336</v>
      </c>
      <c r="D56" s="258"/>
      <c r="E56" s="258"/>
      <c r="F56" s="258"/>
      <c r="G56" s="258"/>
      <c r="H56" s="258"/>
      <c r="I56" s="259"/>
      <c r="J56" s="44"/>
      <c r="K56" s="44"/>
      <c r="L56" s="118"/>
      <c r="M56" s="131"/>
      <c r="N56" s="21">
        <v>0</v>
      </c>
      <c r="O56" s="131"/>
      <c r="P56" s="131">
        <v>27926.51</v>
      </c>
      <c r="Q56" s="131">
        <v>25015.09</v>
      </c>
      <c r="R56" s="21">
        <v>26900</v>
      </c>
      <c r="S56" s="21">
        <v>16532.2</v>
      </c>
      <c r="T56" s="131">
        <v>26556.11</v>
      </c>
      <c r="U56" s="483">
        <v>30000</v>
      </c>
      <c r="V56" s="584"/>
      <c r="W56" s="584"/>
      <c r="X56" s="585">
        <f>U56+V56+W56</f>
        <v>30000</v>
      </c>
      <c r="Z56" s="2"/>
      <c r="AB56" s="2"/>
      <c r="AE56" s="2"/>
    </row>
    <row r="57" spans="1:31" ht="13.5" thickBot="1">
      <c r="A57" s="816"/>
      <c r="B57" s="229">
        <v>640</v>
      </c>
      <c r="C57" s="260" t="s">
        <v>266</v>
      </c>
      <c r="D57" s="261"/>
      <c r="E57" s="261"/>
      <c r="F57" s="261"/>
      <c r="G57" s="261"/>
      <c r="H57" s="261">
        <v>49953</v>
      </c>
      <c r="I57" s="262">
        <v>56989</v>
      </c>
      <c r="J57" s="60">
        <v>64830</v>
      </c>
      <c r="K57" s="60">
        <v>68252</v>
      </c>
      <c r="L57" s="208">
        <v>67113.18</v>
      </c>
      <c r="M57" s="263">
        <v>67496.02</v>
      </c>
      <c r="N57" s="84">
        <v>64225.29</v>
      </c>
      <c r="O57" s="263">
        <v>64382.33</v>
      </c>
      <c r="P57" s="263">
        <v>69666.89</v>
      </c>
      <c r="Q57" s="263">
        <v>71027.85</v>
      </c>
      <c r="R57" s="84">
        <v>65000</v>
      </c>
      <c r="S57" s="84">
        <v>69106.56</v>
      </c>
      <c r="T57" s="263">
        <v>100889.98</v>
      </c>
      <c r="U57" s="695">
        <v>105000</v>
      </c>
      <c r="V57" s="593"/>
      <c r="W57" s="593"/>
      <c r="X57" s="588">
        <f>U57+V57+W57</f>
        <v>105000</v>
      </c>
      <c r="Z57" s="2"/>
      <c r="AB57" s="2"/>
      <c r="AE57" s="2"/>
    </row>
    <row r="58" spans="1:31" ht="15.75" thickBot="1">
      <c r="A58" s="264" t="s">
        <v>73</v>
      </c>
      <c r="B58" s="830" t="s">
        <v>74</v>
      </c>
      <c r="C58" s="799"/>
      <c r="D58" s="266">
        <v>33426</v>
      </c>
      <c r="E58" s="266">
        <v>39800</v>
      </c>
      <c r="F58" s="266">
        <v>42953</v>
      </c>
      <c r="G58" s="266">
        <v>66506</v>
      </c>
      <c r="H58" s="266">
        <v>76065</v>
      </c>
      <c r="I58" s="79">
        <f>SUM(I63:I70)+I59</f>
        <v>59613</v>
      </c>
      <c r="J58" s="79">
        <f>SUM(J63:J70)+J59</f>
        <v>58168</v>
      </c>
      <c r="K58" s="79">
        <f>SUM(K63:K70)+K59</f>
        <v>57293</v>
      </c>
      <c r="L58" s="79">
        <f aca="true" t="shared" si="19" ref="L58:W58">SUM(L63:L71)+L59</f>
        <v>53359.31</v>
      </c>
      <c r="M58" s="80">
        <f t="shared" si="19"/>
        <v>49261.270000000004</v>
      </c>
      <c r="N58" s="470">
        <f t="shared" si="19"/>
        <v>69492.78</v>
      </c>
      <c r="O58" s="634">
        <f t="shared" si="19"/>
        <v>86003.89000000001</v>
      </c>
      <c r="P58" s="634">
        <f t="shared" si="19"/>
        <v>106730.37000000001</v>
      </c>
      <c r="Q58" s="634">
        <f t="shared" si="19"/>
        <v>101186.41</v>
      </c>
      <c r="R58" s="470">
        <f>SUM(R63:R71)+R59</f>
        <v>95878</v>
      </c>
      <c r="S58" s="470">
        <f>SUM(S63:S71)+S59</f>
        <v>121874.13</v>
      </c>
      <c r="T58" s="634">
        <v>127099.95999999999</v>
      </c>
      <c r="U58" s="466">
        <f t="shared" si="19"/>
        <v>160964</v>
      </c>
      <c r="V58" s="107">
        <f>SUM(V63:V71)+V59</f>
        <v>-21202</v>
      </c>
      <c r="W58" s="696">
        <f t="shared" si="19"/>
        <v>0</v>
      </c>
      <c r="X58" s="506">
        <f>SUM(X63:X71)+X59</f>
        <v>139762</v>
      </c>
      <c r="Z58" s="2"/>
      <c r="AB58" s="2"/>
      <c r="AE58" s="2"/>
    </row>
    <row r="59" spans="1:31" ht="13.5" thickBot="1">
      <c r="A59" s="817"/>
      <c r="B59" s="854" t="s">
        <v>267</v>
      </c>
      <c r="C59" s="855"/>
      <c r="D59" s="267">
        <v>0</v>
      </c>
      <c r="E59" s="267">
        <v>13477</v>
      </c>
      <c r="F59" s="267">
        <v>15800</v>
      </c>
      <c r="G59" s="267">
        <v>26596</v>
      </c>
      <c r="H59" s="267">
        <v>25323</v>
      </c>
      <c r="I59" s="10">
        <f aca="true" t="shared" si="20" ref="I59:S59">SUM(I60:I62)</f>
        <v>25388</v>
      </c>
      <c r="J59" s="10">
        <f t="shared" si="20"/>
        <v>23577</v>
      </c>
      <c r="K59" s="10">
        <f t="shared" si="20"/>
        <v>25508</v>
      </c>
      <c r="L59" s="10">
        <f t="shared" si="20"/>
        <v>26966.809999999998</v>
      </c>
      <c r="M59" s="550">
        <f t="shared" si="20"/>
        <v>26493.65</v>
      </c>
      <c r="N59" s="468">
        <f t="shared" si="20"/>
        <v>11116.460000000001</v>
      </c>
      <c r="O59" s="635">
        <f t="shared" si="20"/>
        <v>18582.04</v>
      </c>
      <c r="P59" s="635">
        <f t="shared" si="20"/>
        <v>14813.99</v>
      </c>
      <c r="Q59" s="635">
        <f t="shared" si="20"/>
        <v>26680.239999999994</v>
      </c>
      <c r="R59" s="468">
        <f t="shared" si="20"/>
        <v>28425</v>
      </c>
      <c r="S59" s="468">
        <f t="shared" si="20"/>
        <v>27824.831324799998</v>
      </c>
      <c r="T59" s="635">
        <v>24251.070000000003</v>
      </c>
      <c r="U59" s="468">
        <f>SUM(U60:U62)</f>
        <v>34081</v>
      </c>
      <c r="V59" s="12">
        <f>SUM(V60:V62)</f>
        <v>-12500</v>
      </c>
      <c r="W59" s="591">
        <f>SUM(W60:W62)</f>
        <v>0</v>
      </c>
      <c r="X59" s="592">
        <f>SUM(X60:X62)</f>
        <v>21581</v>
      </c>
      <c r="Z59" s="2"/>
      <c r="AB59" s="2"/>
      <c r="AE59" s="2"/>
    </row>
    <row r="60" spans="1:31" ht="12.75">
      <c r="A60" s="818"/>
      <c r="B60" s="268">
        <v>610</v>
      </c>
      <c r="C60" s="20" t="s">
        <v>240</v>
      </c>
      <c r="D60" s="88"/>
      <c r="E60" s="88"/>
      <c r="F60" s="88"/>
      <c r="G60" s="88"/>
      <c r="H60" s="88">
        <v>16865</v>
      </c>
      <c r="I60" s="20">
        <v>17260</v>
      </c>
      <c r="J60" s="42">
        <v>15432</v>
      </c>
      <c r="K60" s="42">
        <v>15427</v>
      </c>
      <c r="L60" s="22">
        <v>14767.98</v>
      </c>
      <c r="M60" s="131">
        <v>15800.44</v>
      </c>
      <c r="N60" s="21">
        <v>9158.78</v>
      </c>
      <c r="O60" s="131">
        <v>10007.84</v>
      </c>
      <c r="P60" s="131">
        <v>10778.65</v>
      </c>
      <c r="Q60" s="131">
        <v>13605.65</v>
      </c>
      <c r="R60" s="21">
        <v>15292</v>
      </c>
      <c r="S60" s="21">
        <v>13380.38</v>
      </c>
      <c r="T60" s="131">
        <v>12986.24</v>
      </c>
      <c r="U60" s="485">
        <v>19420</v>
      </c>
      <c r="V60" s="582">
        <v>-8000</v>
      </c>
      <c r="W60" s="582"/>
      <c r="X60" s="583">
        <f>U60+V60+W60</f>
        <v>11420</v>
      </c>
      <c r="Z60" s="2"/>
      <c r="AB60" s="2"/>
      <c r="AE60" s="2"/>
    </row>
    <row r="61" spans="1:31" ht="12.75">
      <c r="A61" s="818"/>
      <c r="B61" s="268">
        <v>620</v>
      </c>
      <c r="C61" s="20" t="s">
        <v>241</v>
      </c>
      <c r="D61" s="88"/>
      <c r="E61" s="88"/>
      <c r="F61" s="88"/>
      <c r="G61" s="88"/>
      <c r="H61" s="88">
        <v>6017</v>
      </c>
      <c r="I61" s="20">
        <v>6225</v>
      </c>
      <c r="J61" s="44">
        <v>5547</v>
      </c>
      <c r="K61" s="44">
        <v>5746</v>
      </c>
      <c r="L61" s="22">
        <v>5836.68</v>
      </c>
      <c r="M61" s="131">
        <v>5402.44</v>
      </c>
      <c r="N61" s="21">
        <v>1957.68</v>
      </c>
      <c r="O61" s="131">
        <v>3763.52</v>
      </c>
      <c r="P61" s="131">
        <v>4035.34</v>
      </c>
      <c r="Q61" s="131">
        <v>5883.76</v>
      </c>
      <c r="R61" s="21">
        <v>5633</v>
      </c>
      <c r="S61" s="21">
        <v>6884.72</v>
      </c>
      <c r="T61" s="131">
        <v>7355.7</v>
      </c>
      <c r="U61" s="485">
        <v>7161</v>
      </c>
      <c r="V61" s="584">
        <v>-3000</v>
      </c>
      <c r="W61" s="584"/>
      <c r="X61" s="585">
        <f>U61+V61+W61</f>
        <v>4161</v>
      </c>
      <c r="Z61" s="2"/>
      <c r="AB61" s="2"/>
      <c r="AE61" s="2"/>
    </row>
    <row r="62" spans="1:31" ht="13.5" thickBot="1">
      <c r="A62" s="818"/>
      <c r="B62" s="269">
        <v>630</v>
      </c>
      <c r="C62" s="82" t="s">
        <v>242</v>
      </c>
      <c r="D62" s="270"/>
      <c r="E62" s="270"/>
      <c r="F62" s="270"/>
      <c r="G62" s="270"/>
      <c r="H62" s="270">
        <v>2441</v>
      </c>
      <c r="I62" s="82">
        <v>1903</v>
      </c>
      <c r="J62" s="60">
        <v>2598</v>
      </c>
      <c r="K62" s="60">
        <v>4335</v>
      </c>
      <c r="L62" s="77">
        <v>6362.15</v>
      </c>
      <c r="M62" s="263">
        <v>5290.77</v>
      </c>
      <c r="N62" s="84"/>
      <c r="O62" s="263">
        <v>4810.68</v>
      </c>
      <c r="P62" s="263"/>
      <c r="Q62" s="263">
        <v>7190.8299999999945</v>
      </c>
      <c r="R62" s="84">
        <v>7500</v>
      </c>
      <c r="S62" s="84">
        <v>7559.731324799999</v>
      </c>
      <c r="T62" s="263">
        <v>3909.1300000000047</v>
      </c>
      <c r="U62" s="471">
        <v>7500</v>
      </c>
      <c r="V62" s="694">
        <v>-1500</v>
      </c>
      <c r="W62" s="594"/>
      <c r="X62" s="595">
        <f>U62+V62+W62</f>
        <v>6000</v>
      </c>
      <c r="Z62" s="2"/>
      <c r="AB62" s="2"/>
      <c r="AD62" s="2"/>
      <c r="AE62" s="2"/>
    </row>
    <row r="63" spans="1:31" ht="12.75">
      <c r="A63" s="818"/>
      <c r="B63" s="268">
        <v>600</v>
      </c>
      <c r="C63" s="20" t="s">
        <v>268</v>
      </c>
      <c r="D63" s="88"/>
      <c r="E63" s="88"/>
      <c r="F63" s="88"/>
      <c r="G63" s="88"/>
      <c r="H63" s="88"/>
      <c r="I63" s="20">
        <v>9190</v>
      </c>
      <c r="J63" s="88">
        <v>6912</v>
      </c>
      <c r="K63" s="88">
        <v>9446</v>
      </c>
      <c r="L63" s="88">
        <v>4778.18</v>
      </c>
      <c r="M63" s="382">
        <v>8683.39</v>
      </c>
      <c r="N63" s="21">
        <v>34595.32</v>
      </c>
      <c r="O63" s="131">
        <v>40079.16</v>
      </c>
      <c r="P63" s="131">
        <v>63662.49</v>
      </c>
      <c r="Q63" s="131">
        <v>16897.65</v>
      </c>
      <c r="R63" s="21">
        <v>16500</v>
      </c>
      <c r="S63" s="21">
        <v>18403.2986752</v>
      </c>
      <c r="T63" s="131">
        <v>28872.63</v>
      </c>
      <c r="U63" s="485">
        <v>34500</v>
      </c>
      <c r="V63" s="582"/>
      <c r="W63" s="582"/>
      <c r="X63" s="583">
        <f aca="true" t="shared" si="21" ref="X63:X70">U63+V63+W63</f>
        <v>34500</v>
      </c>
      <c r="Z63" s="2"/>
      <c r="AB63" s="2"/>
      <c r="AE63" s="2"/>
    </row>
    <row r="64" spans="1:31" ht="12.75">
      <c r="A64" s="818"/>
      <c r="B64" s="268">
        <v>600</v>
      </c>
      <c r="C64" s="20" t="s">
        <v>371</v>
      </c>
      <c r="D64" s="88"/>
      <c r="E64" s="88"/>
      <c r="F64" s="88"/>
      <c r="G64" s="88"/>
      <c r="H64" s="88"/>
      <c r="I64" s="20">
        <v>2000</v>
      </c>
      <c r="J64" s="88"/>
      <c r="K64" s="88"/>
      <c r="L64" s="88"/>
      <c r="M64" s="532"/>
      <c r="N64" s="21">
        <v>0</v>
      </c>
      <c r="O64" s="131"/>
      <c r="P64" s="131"/>
      <c r="Q64" s="131">
        <v>21615.870000000003</v>
      </c>
      <c r="R64" s="21">
        <v>0</v>
      </c>
      <c r="S64" s="21"/>
      <c r="T64" s="131">
        <v>28498.269999999997</v>
      </c>
      <c r="U64" s="480">
        <v>34000</v>
      </c>
      <c r="V64" s="584">
        <v>-20000</v>
      </c>
      <c r="W64" s="584"/>
      <c r="X64" s="585">
        <f t="shared" si="21"/>
        <v>14000</v>
      </c>
      <c r="Z64" s="2"/>
      <c r="AB64" s="2"/>
      <c r="AE64" s="2"/>
    </row>
    <row r="65" spans="1:31" ht="12.75">
      <c r="A65" s="818"/>
      <c r="B65" s="268">
        <v>600</v>
      </c>
      <c r="C65" s="24" t="s">
        <v>269</v>
      </c>
      <c r="D65" s="90"/>
      <c r="E65" s="90"/>
      <c r="F65" s="90"/>
      <c r="G65" s="90"/>
      <c r="H65" s="90"/>
      <c r="I65" s="24">
        <v>10000</v>
      </c>
      <c r="J65" s="90">
        <v>1500</v>
      </c>
      <c r="K65" s="90">
        <v>370</v>
      </c>
      <c r="L65" s="90">
        <v>592.2</v>
      </c>
      <c r="M65" s="548">
        <v>1220</v>
      </c>
      <c r="N65" s="25">
        <v>0</v>
      </c>
      <c r="O65" s="134"/>
      <c r="P65" s="134"/>
      <c r="Q65" s="134">
        <v>4000</v>
      </c>
      <c r="R65" s="25">
        <v>4000</v>
      </c>
      <c r="S65" s="25"/>
      <c r="T65" s="134"/>
      <c r="U65" s="480">
        <v>10430</v>
      </c>
      <c r="V65" s="584"/>
      <c r="W65" s="584"/>
      <c r="X65" s="585">
        <f t="shared" si="21"/>
        <v>10430</v>
      </c>
      <c r="Z65" s="2"/>
      <c r="AB65" s="2"/>
      <c r="AE65" s="2"/>
    </row>
    <row r="66" spans="1:31" ht="12.75">
      <c r="A66" s="818"/>
      <c r="B66" s="268">
        <v>600</v>
      </c>
      <c r="C66" s="24" t="s">
        <v>76</v>
      </c>
      <c r="D66" s="90"/>
      <c r="E66" s="90"/>
      <c r="F66" s="90"/>
      <c r="G66" s="90"/>
      <c r="H66" s="90"/>
      <c r="I66" s="24">
        <v>1871</v>
      </c>
      <c r="J66" s="90">
        <v>2416</v>
      </c>
      <c r="K66" s="90">
        <v>4274</v>
      </c>
      <c r="L66" s="90">
        <v>2000</v>
      </c>
      <c r="M66" s="548">
        <v>3500</v>
      </c>
      <c r="N66" s="25"/>
      <c r="O66" s="134">
        <v>3571.7</v>
      </c>
      <c r="P66" s="134"/>
      <c r="Q66" s="134">
        <v>3594</v>
      </c>
      <c r="R66" s="25">
        <v>6000</v>
      </c>
      <c r="S66" s="25">
        <v>4165.32</v>
      </c>
      <c r="T66" s="134">
        <v>4911.3</v>
      </c>
      <c r="U66" s="480">
        <v>18000</v>
      </c>
      <c r="V66" s="584"/>
      <c r="W66" s="584"/>
      <c r="X66" s="585">
        <f t="shared" si="21"/>
        <v>18000</v>
      </c>
      <c r="Z66" s="2"/>
      <c r="AB66" s="2"/>
      <c r="AE66" s="2"/>
    </row>
    <row r="67" spans="1:31" ht="12.75">
      <c r="A67" s="818"/>
      <c r="B67" s="268">
        <v>600</v>
      </c>
      <c r="C67" s="24" t="s">
        <v>270</v>
      </c>
      <c r="D67" s="90"/>
      <c r="E67" s="90"/>
      <c r="F67" s="90"/>
      <c r="G67" s="90"/>
      <c r="H67" s="90"/>
      <c r="I67" s="24">
        <v>3240</v>
      </c>
      <c r="J67" s="90">
        <v>832</v>
      </c>
      <c r="K67" s="90">
        <v>1493</v>
      </c>
      <c r="L67" s="90">
        <v>1232</v>
      </c>
      <c r="M67" s="548">
        <v>1000</v>
      </c>
      <c r="N67" s="25"/>
      <c r="O67" s="134"/>
      <c r="P67" s="134"/>
      <c r="Q67" s="134"/>
      <c r="R67" s="25">
        <v>1000</v>
      </c>
      <c r="S67" s="25"/>
      <c r="T67" s="134"/>
      <c r="U67" s="480">
        <v>1000</v>
      </c>
      <c r="V67" s="584"/>
      <c r="W67" s="584"/>
      <c r="X67" s="585">
        <f t="shared" si="21"/>
        <v>1000</v>
      </c>
      <c r="Z67" s="2"/>
      <c r="AB67" s="2"/>
      <c r="AE67" s="2"/>
    </row>
    <row r="68" spans="1:31" ht="13.5" thickBot="1">
      <c r="A68" s="818"/>
      <c r="B68" s="268">
        <v>600</v>
      </c>
      <c r="C68" s="24" t="s">
        <v>215</v>
      </c>
      <c r="D68" s="90"/>
      <c r="E68" s="90"/>
      <c r="F68" s="90"/>
      <c r="G68" s="90"/>
      <c r="H68" s="90"/>
      <c r="I68" s="24">
        <v>7924</v>
      </c>
      <c r="J68" s="90">
        <v>11969</v>
      </c>
      <c r="K68" s="90">
        <v>11202</v>
      </c>
      <c r="L68" s="90">
        <v>15790.12</v>
      </c>
      <c r="M68" s="548">
        <v>6364.23</v>
      </c>
      <c r="N68" s="25">
        <v>23781</v>
      </c>
      <c r="O68" s="134">
        <v>23770.99</v>
      </c>
      <c r="P68" s="134">
        <v>28253.89</v>
      </c>
      <c r="Q68" s="134">
        <v>28398.65</v>
      </c>
      <c r="R68" s="25">
        <v>39953</v>
      </c>
      <c r="S68" s="25">
        <v>46536.68</v>
      </c>
      <c r="T68" s="134">
        <v>40391.34</v>
      </c>
      <c r="U68" s="26">
        <v>28953</v>
      </c>
      <c r="V68" s="584">
        <v>11298</v>
      </c>
      <c r="W68" s="584"/>
      <c r="X68" s="585">
        <f t="shared" si="21"/>
        <v>40251</v>
      </c>
      <c r="Z68" s="2"/>
      <c r="AB68" s="2"/>
      <c r="AE68" s="2"/>
    </row>
    <row r="69" spans="1:31" ht="13.5" hidden="1" thickBot="1">
      <c r="A69" s="818"/>
      <c r="B69" s="268">
        <v>600</v>
      </c>
      <c r="C69" s="24"/>
      <c r="D69" s="90"/>
      <c r="E69" s="90"/>
      <c r="F69" s="90"/>
      <c r="G69" s="90"/>
      <c r="H69" s="90"/>
      <c r="I69" s="24"/>
      <c r="J69" s="90">
        <v>4512</v>
      </c>
      <c r="K69" s="90">
        <v>5000</v>
      </c>
      <c r="L69" s="90"/>
      <c r="M69" s="271"/>
      <c r="N69" s="29">
        <v>0</v>
      </c>
      <c r="O69" s="549"/>
      <c r="P69" s="549"/>
      <c r="Q69" s="549"/>
      <c r="R69" s="29"/>
      <c r="S69" s="29">
        <v>24944</v>
      </c>
      <c r="T69" s="29">
        <v>0</v>
      </c>
      <c r="U69" s="486"/>
      <c r="V69" s="584"/>
      <c r="W69" s="584"/>
      <c r="X69" s="585">
        <f t="shared" si="21"/>
        <v>0</v>
      </c>
      <c r="Z69" s="2"/>
      <c r="AB69" s="2"/>
      <c r="AE69" s="2"/>
    </row>
    <row r="70" spans="1:31" ht="13.5" hidden="1" thickBot="1">
      <c r="A70" s="818"/>
      <c r="B70" s="268">
        <v>600</v>
      </c>
      <c r="C70" s="272"/>
      <c r="D70" s="90"/>
      <c r="E70" s="90"/>
      <c r="F70" s="90"/>
      <c r="G70" s="90"/>
      <c r="H70" s="90"/>
      <c r="I70" s="24"/>
      <c r="J70" s="90">
        <v>6450</v>
      </c>
      <c r="K70" s="88"/>
      <c r="L70" s="90"/>
      <c r="M70" s="90"/>
      <c r="N70" s="25">
        <v>0</v>
      </c>
      <c r="O70" s="134"/>
      <c r="P70" s="134"/>
      <c r="Q70" s="134"/>
      <c r="R70" s="25"/>
      <c r="S70" s="25"/>
      <c r="T70" s="25"/>
      <c r="U70" s="486"/>
      <c r="V70" s="584"/>
      <c r="W70" s="584"/>
      <c r="X70" s="585">
        <f t="shared" si="21"/>
        <v>0</v>
      </c>
      <c r="Z70" s="2"/>
      <c r="AB70" s="2"/>
      <c r="AE70" s="2"/>
    </row>
    <row r="71" spans="1:31" ht="13.5" hidden="1" thickBot="1">
      <c r="A71" s="819"/>
      <c r="B71" s="728">
        <v>600</v>
      </c>
      <c r="C71" s="46"/>
      <c r="D71" s="207"/>
      <c r="E71" s="207"/>
      <c r="F71" s="207"/>
      <c r="G71" s="207"/>
      <c r="H71" s="207"/>
      <c r="I71" s="115"/>
      <c r="J71" s="115"/>
      <c r="K71" s="270"/>
      <c r="L71" s="270">
        <v>2000</v>
      </c>
      <c r="M71" s="273">
        <v>2000</v>
      </c>
      <c r="N71" s="274">
        <v>0</v>
      </c>
      <c r="O71" s="552"/>
      <c r="P71" s="552"/>
      <c r="Q71" s="552"/>
      <c r="R71" s="274"/>
      <c r="S71" s="274"/>
      <c r="T71" s="274"/>
      <c r="U71" s="487"/>
      <c r="V71" s="620">
        <f>IF(T71=0,0,U71/T71)</f>
        <v>0</v>
      </c>
      <c r="W71" s="620"/>
      <c r="X71" s="621"/>
      <c r="Z71" s="2"/>
      <c r="AB71" s="2"/>
      <c r="AE71" s="2"/>
    </row>
    <row r="72" spans="1:31" ht="15.75" thickBot="1">
      <c r="A72" s="209" t="s">
        <v>271</v>
      </c>
      <c r="B72" s="800" t="s">
        <v>272</v>
      </c>
      <c r="C72" s="771"/>
      <c r="D72" s="210">
        <v>16132</v>
      </c>
      <c r="E72" s="210">
        <v>16995</v>
      </c>
      <c r="F72" s="210">
        <v>21045</v>
      </c>
      <c r="G72" s="210">
        <v>23225</v>
      </c>
      <c r="H72" s="210">
        <v>22830</v>
      </c>
      <c r="I72" s="275">
        <v>22296</v>
      </c>
      <c r="J72" s="275">
        <v>33352</v>
      </c>
      <c r="K72" s="67">
        <v>37492</v>
      </c>
      <c r="L72" s="211">
        <v>38137.74</v>
      </c>
      <c r="M72" s="551">
        <v>48253.93</v>
      </c>
      <c r="N72" s="466">
        <f aca="true" t="shared" si="22" ref="N72:U72">SUM(N73:N75)</f>
        <v>65222.28</v>
      </c>
      <c r="O72" s="632">
        <f t="shared" si="22"/>
        <v>78515.91</v>
      </c>
      <c r="P72" s="632">
        <f t="shared" si="22"/>
        <v>87575.21</v>
      </c>
      <c r="Q72" s="632">
        <f t="shared" si="22"/>
        <v>113415.88</v>
      </c>
      <c r="R72" s="466">
        <f t="shared" si="22"/>
        <v>131986</v>
      </c>
      <c r="S72" s="466">
        <f t="shared" si="22"/>
        <v>110576.57</v>
      </c>
      <c r="T72" s="632">
        <v>114544.14000000001</v>
      </c>
      <c r="U72" s="466">
        <f t="shared" si="22"/>
        <v>150245</v>
      </c>
      <c r="V72" s="107">
        <f>SUM(V73:V76)</f>
        <v>-18960</v>
      </c>
      <c r="W72" s="505">
        <f>SUM(W73:W76)</f>
        <v>4716</v>
      </c>
      <c r="X72" s="506">
        <f>SUM(X73:X76)</f>
        <v>136001</v>
      </c>
      <c r="Z72" s="2"/>
      <c r="AB72" s="2"/>
      <c r="AE72" s="2"/>
    </row>
    <row r="73" spans="1:31" ht="12.75">
      <c r="A73" s="817"/>
      <c r="B73" s="276" t="s">
        <v>447</v>
      </c>
      <c r="C73" s="130" t="s">
        <v>240</v>
      </c>
      <c r="D73" s="213"/>
      <c r="E73" s="213"/>
      <c r="F73" s="213"/>
      <c r="G73" s="213"/>
      <c r="H73" s="213"/>
      <c r="I73" s="130"/>
      <c r="J73" s="130"/>
      <c r="K73" s="86"/>
      <c r="L73" s="86"/>
      <c r="M73" s="21"/>
      <c r="N73" s="483">
        <v>65222.28</v>
      </c>
      <c r="O73" s="636">
        <v>54948.07</v>
      </c>
      <c r="P73" s="636">
        <v>60328.94</v>
      </c>
      <c r="Q73" s="636">
        <v>81894.32</v>
      </c>
      <c r="R73" s="483">
        <v>91182</v>
      </c>
      <c r="S73" s="483">
        <v>79978.1</v>
      </c>
      <c r="T73" s="636">
        <v>82754.91</v>
      </c>
      <c r="U73" s="483">
        <v>104712</v>
      </c>
      <c r="V73" s="582">
        <v>-12000</v>
      </c>
      <c r="W73" s="582"/>
      <c r="X73" s="583">
        <f>U73+V73+W73</f>
        <v>92712</v>
      </c>
      <c r="Z73" s="2"/>
      <c r="AB73" s="2"/>
      <c r="AE73" s="2"/>
    </row>
    <row r="74" spans="1:31" ht="12.75">
      <c r="A74" s="818"/>
      <c r="B74" s="277" t="s">
        <v>448</v>
      </c>
      <c r="C74" s="24" t="s">
        <v>241</v>
      </c>
      <c r="D74" s="216"/>
      <c r="E74" s="216"/>
      <c r="F74" s="216"/>
      <c r="G74" s="216"/>
      <c r="H74" s="216"/>
      <c r="I74" s="24"/>
      <c r="J74" s="24"/>
      <c r="K74" s="90"/>
      <c r="L74" s="90"/>
      <c r="M74" s="25"/>
      <c r="N74" s="488"/>
      <c r="O74" s="637">
        <v>17076.54</v>
      </c>
      <c r="P74" s="637">
        <v>18947.38</v>
      </c>
      <c r="Q74" s="637">
        <v>24987.2</v>
      </c>
      <c r="R74" s="488">
        <v>32804</v>
      </c>
      <c r="S74" s="488">
        <v>24363.74</v>
      </c>
      <c r="T74" s="637">
        <v>25414.02</v>
      </c>
      <c r="U74" s="488">
        <v>37533</v>
      </c>
      <c r="V74" s="584">
        <v>-4194</v>
      </c>
      <c r="W74" s="584"/>
      <c r="X74" s="585">
        <f>U74+V74+W74</f>
        <v>33339</v>
      </c>
      <c r="Z74" s="2"/>
      <c r="AB74" s="2"/>
      <c r="AE74" s="2"/>
    </row>
    <row r="75" spans="1:31" ht="12.75">
      <c r="A75" s="818"/>
      <c r="B75" s="201">
        <v>630</v>
      </c>
      <c r="C75" s="43" t="s">
        <v>242</v>
      </c>
      <c r="D75" s="238"/>
      <c r="E75" s="238"/>
      <c r="F75" s="238"/>
      <c r="G75" s="238"/>
      <c r="H75" s="238"/>
      <c r="I75" s="43"/>
      <c r="J75" s="43"/>
      <c r="K75" s="44"/>
      <c r="L75" s="44"/>
      <c r="M75" s="26"/>
      <c r="N75" s="480"/>
      <c r="O75" s="745">
        <v>6491.299999999999</v>
      </c>
      <c r="P75" s="745">
        <v>8298.89</v>
      </c>
      <c r="Q75" s="745">
        <v>6534.36</v>
      </c>
      <c r="R75" s="480">
        <v>8000</v>
      </c>
      <c r="S75" s="480">
        <v>6234.73</v>
      </c>
      <c r="T75" s="745">
        <v>5512.68</v>
      </c>
      <c r="U75" s="480">
        <v>8000</v>
      </c>
      <c r="V75" s="584">
        <v>-5000</v>
      </c>
      <c r="W75" s="584"/>
      <c r="X75" s="585">
        <f>U75+V75+W75</f>
        <v>3000</v>
      </c>
      <c r="Z75" s="2"/>
      <c r="AB75" s="2"/>
      <c r="AE75" s="2"/>
    </row>
    <row r="76" spans="1:31" ht="13.5" thickBot="1">
      <c r="A76" s="819"/>
      <c r="B76" s="323">
        <v>640</v>
      </c>
      <c r="C76" s="46" t="s">
        <v>242</v>
      </c>
      <c r="D76" s="297"/>
      <c r="E76" s="297"/>
      <c r="F76" s="297"/>
      <c r="G76" s="297"/>
      <c r="H76" s="153"/>
      <c r="I76" s="46"/>
      <c r="J76" s="46"/>
      <c r="K76" s="60"/>
      <c r="L76" s="60"/>
      <c r="M76" s="48"/>
      <c r="N76" s="471"/>
      <c r="O76" s="746"/>
      <c r="P76" s="746"/>
      <c r="Q76" s="746"/>
      <c r="R76" s="471"/>
      <c r="S76" s="471"/>
      <c r="T76" s="746">
        <v>862.53</v>
      </c>
      <c r="U76" s="471"/>
      <c r="V76" s="748">
        <f>6950-4716</f>
        <v>2234</v>
      </c>
      <c r="W76" s="620">
        <v>4716</v>
      </c>
      <c r="X76" s="621">
        <f>U76+V76+W76</f>
        <v>6950</v>
      </c>
      <c r="Z76" s="2"/>
      <c r="AB76" s="2"/>
      <c r="AE76" s="2"/>
    </row>
    <row r="77" spans="1:31" ht="15.75" thickBot="1">
      <c r="A77" s="264" t="s">
        <v>70</v>
      </c>
      <c r="B77" s="820" t="s">
        <v>71</v>
      </c>
      <c r="C77" s="821"/>
      <c r="D77" s="266">
        <v>1016763</v>
      </c>
      <c r="E77" s="266">
        <v>271062</v>
      </c>
      <c r="F77" s="266">
        <v>471453</v>
      </c>
      <c r="G77" s="266">
        <v>456862</v>
      </c>
      <c r="H77" s="79">
        <f aca="true" t="shared" si="23" ref="H77:V77">SUM(H78:H81)</f>
        <v>440003</v>
      </c>
      <c r="I77" s="79">
        <f t="shared" si="23"/>
        <v>428961</v>
      </c>
      <c r="J77" s="79">
        <f t="shared" si="23"/>
        <v>454364</v>
      </c>
      <c r="K77" s="79">
        <f t="shared" si="23"/>
        <v>445324</v>
      </c>
      <c r="L77" s="80">
        <f>SUM(L78:L81)</f>
        <v>440667.17</v>
      </c>
      <c r="M77" s="211">
        <f t="shared" si="23"/>
        <v>406831.45</v>
      </c>
      <c r="N77" s="466">
        <f t="shared" si="23"/>
        <v>398077.16</v>
      </c>
      <c r="O77" s="632">
        <f>SUM(O78:O81)</f>
        <v>411260.17</v>
      </c>
      <c r="P77" s="632">
        <f>SUM(P78:P81)</f>
        <v>607295.49</v>
      </c>
      <c r="Q77" s="632">
        <f>SUM(Q78:Q81)</f>
        <v>519637.36</v>
      </c>
      <c r="R77" s="466">
        <f t="shared" si="23"/>
        <v>557298</v>
      </c>
      <c r="S77" s="466">
        <f t="shared" si="23"/>
        <v>593834.11</v>
      </c>
      <c r="T77" s="632">
        <v>652346.17</v>
      </c>
      <c r="U77" s="466">
        <f t="shared" si="23"/>
        <v>791986</v>
      </c>
      <c r="V77" s="107">
        <f t="shared" si="23"/>
        <v>0</v>
      </c>
      <c r="W77" s="505">
        <f>SUM(W78:W81)</f>
        <v>0</v>
      </c>
      <c r="X77" s="506">
        <f>SUM(X78:X81)</f>
        <v>791986</v>
      </c>
      <c r="Z77" s="2"/>
      <c r="AB77" s="2"/>
      <c r="AE77" s="2"/>
    </row>
    <row r="78" spans="1:31" ht="12.75">
      <c r="A78" s="814"/>
      <c r="B78" s="212">
        <v>630</v>
      </c>
      <c r="C78" s="278" t="s">
        <v>273</v>
      </c>
      <c r="D78" s="279"/>
      <c r="E78" s="279"/>
      <c r="F78" s="279"/>
      <c r="G78" s="279"/>
      <c r="H78" s="254">
        <v>4585</v>
      </c>
      <c r="I78" s="280">
        <v>1644</v>
      </c>
      <c r="J78" s="278"/>
      <c r="K78" s="86"/>
      <c r="L78" s="382"/>
      <c r="M78" s="131"/>
      <c r="N78" s="21"/>
      <c r="O78" s="131"/>
      <c r="P78" s="131">
        <v>21699.02</v>
      </c>
      <c r="Q78" s="131"/>
      <c r="R78" s="21">
        <v>0</v>
      </c>
      <c r="S78" s="21"/>
      <c r="T78" s="131"/>
      <c r="U78" s="483">
        <v>23704</v>
      </c>
      <c r="V78" s="582"/>
      <c r="W78" s="582"/>
      <c r="X78" s="583">
        <f>U78+V78+W78</f>
        <v>23704</v>
      </c>
      <c r="Z78" s="2"/>
      <c r="AB78" s="2"/>
      <c r="AD78" s="2"/>
      <c r="AE78" s="2"/>
    </row>
    <row r="79" spans="1:31" ht="12.75">
      <c r="A79" s="815"/>
      <c r="B79" s="277" t="s">
        <v>45</v>
      </c>
      <c r="C79" s="281" t="s">
        <v>275</v>
      </c>
      <c r="D79" s="282"/>
      <c r="E79" s="282"/>
      <c r="F79" s="282"/>
      <c r="G79" s="282"/>
      <c r="H79" s="224">
        <v>7659</v>
      </c>
      <c r="I79" s="283">
        <v>5301</v>
      </c>
      <c r="J79" s="224">
        <v>3974</v>
      </c>
      <c r="K79" s="284">
        <v>3974</v>
      </c>
      <c r="L79" s="164">
        <v>3974.17</v>
      </c>
      <c r="M79" s="134">
        <v>4974.02</v>
      </c>
      <c r="N79" s="25">
        <v>3974.17</v>
      </c>
      <c r="O79" s="134">
        <v>3974.17</v>
      </c>
      <c r="P79" s="134">
        <v>3974.17</v>
      </c>
      <c r="Q79" s="134">
        <v>3974.17</v>
      </c>
      <c r="R79" s="25">
        <v>3900</v>
      </c>
      <c r="S79" s="25">
        <v>3974.17</v>
      </c>
      <c r="T79" s="134">
        <v>3974.17</v>
      </c>
      <c r="U79" s="488">
        <v>4000</v>
      </c>
      <c r="V79" s="584"/>
      <c r="W79" s="584"/>
      <c r="X79" s="585">
        <f>U79+V79+W79</f>
        <v>4000</v>
      </c>
      <c r="Z79" s="2"/>
      <c r="AB79" s="2"/>
      <c r="AE79" s="2"/>
    </row>
    <row r="80" spans="1:31" ht="12.75">
      <c r="A80" s="815"/>
      <c r="B80" s="277" t="s">
        <v>45</v>
      </c>
      <c r="C80" s="281" t="s">
        <v>323</v>
      </c>
      <c r="D80" s="604"/>
      <c r="E80" s="604"/>
      <c r="F80" s="604"/>
      <c r="G80" s="604"/>
      <c r="H80" s="605"/>
      <c r="I80" s="606"/>
      <c r="J80" s="605"/>
      <c r="K80" s="417"/>
      <c r="L80" s="607"/>
      <c r="M80" s="549"/>
      <c r="N80" s="29"/>
      <c r="O80" s="549">
        <v>49000</v>
      </c>
      <c r="P80" s="549">
        <v>97445.88</v>
      </c>
      <c r="Q80" s="549"/>
      <c r="R80" s="29">
        <v>0</v>
      </c>
      <c r="S80" s="29"/>
      <c r="T80" s="549"/>
      <c r="U80" s="482">
        <v>0</v>
      </c>
      <c r="V80" s="584"/>
      <c r="W80" s="593"/>
      <c r="X80" s="588">
        <f>U80+V80+W80</f>
        <v>0</v>
      </c>
      <c r="Z80" s="2"/>
      <c r="AB80" s="2"/>
      <c r="AE80" s="2"/>
    </row>
    <row r="81" spans="1:31" ht="13.5" thickBot="1">
      <c r="A81" s="816"/>
      <c r="B81" s="217">
        <v>640</v>
      </c>
      <c r="C81" s="285" t="s">
        <v>273</v>
      </c>
      <c r="D81" s="60"/>
      <c r="E81" s="60"/>
      <c r="F81" s="60"/>
      <c r="G81" s="60"/>
      <c r="H81" s="153">
        <v>427759</v>
      </c>
      <c r="I81" s="286">
        <v>422016</v>
      </c>
      <c r="J81" s="153">
        <v>450390</v>
      </c>
      <c r="K81" s="287">
        <v>441350</v>
      </c>
      <c r="L81" s="154">
        <v>436693</v>
      </c>
      <c r="M81" s="552">
        <v>401857.43</v>
      </c>
      <c r="N81" s="274">
        <v>394102.99</v>
      </c>
      <c r="O81" s="552">
        <v>358286</v>
      </c>
      <c r="P81" s="552">
        <v>484176.42</v>
      </c>
      <c r="Q81" s="552">
        <v>515663.19</v>
      </c>
      <c r="R81" s="274">
        <v>553398</v>
      </c>
      <c r="S81" s="274">
        <v>589859.94</v>
      </c>
      <c r="T81" s="552">
        <v>648372</v>
      </c>
      <c r="U81" s="490">
        <v>764282</v>
      </c>
      <c r="V81" s="593"/>
      <c r="W81" s="593"/>
      <c r="X81" s="588">
        <f>U81+V81+W81</f>
        <v>764282</v>
      </c>
      <c r="Y81" s="2"/>
      <c r="Z81" s="2"/>
      <c r="AB81" s="2"/>
      <c r="AE81" s="2"/>
    </row>
    <row r="82" spans="1:31" ht="15.75" hidden="1" thickBot="1">
      <c r="A82" s="288" t="s">
        <v>274</v>
      </c>
      <c r="B82" s="860" t="s">
        <v>211</v>
      </c>
      <c r="C82" s="861"/>
      <c r="D82" s="289"/>
      <c r="E82" s="289"/>
      <c r="F82" s="289"/>
      <c r="G82" s="289"/>
      <c r="H82" s="289"/>
      <c r="I82" s="290">
        <v>0</v>
      </c>
      <c r="J82" s="290">
        <v>0</v>
      </c>
      <c r="K82" s="291">
        <f>K83</f>
        <v>0</v>
      </c>
      <c r="L82" s="292"/>
      <c r="M82" s="291">
        <f>M83</f>
        <v>0</v>
      </c>
      <c r="N82" s="540"/>
      <c r="O82" s="540"/>
      <c r="P82" s="540"/>
      <c r="Q82" s="678"/>
      <c r="R82" s="540"/>
      <c r="S82" s="540"/>
      <c r="T82" s="540"/>
      <c r="U82" s="472">
        <f>U83</f>
        <v>0</v>
      </c>
      <c r="V82" s="591">
        <f>IF(T82=0,0,U82/T82)</f>
        <v>0</v>
      </c>
      <c r="W82" s="591"/>
      <c r="X82" s="592"/>
      <c r="Z82" s="2"/>
      <c r="AB82" s="2"/>
      <c r="AE82" s="2"/>
    </row>
    <row r="83" spans="1:31" ht="15.75" hidden="1" thickBot="1">
      <c r="A83" s="228"/>
      <c r="B83" s="269">
        <v>630</v>
      </c>
      <c r="C83" s="293" t="s">
        <v>275</v>
      </c>
      <c r="D83" s="294"/>
      <c r="E83" s="294"/>
      <c r="F83" s="294"/>
      <c r="G83" s="294"/>
      <c r="H83" s="294"/>
      <c r="I83" s="295" t="s">
        <v>276</v>
      </c>
      <c r="J83" s="295" t="s">
        <v>276</v>
      </c>
      <c r="K83" s="270"/>
      <c r="L83" s="263"/>
      <c r="M83" s="84"/>
      <c r="N83" s="84"/>
      <c r="O83" s="84"/>
      <c r="P83" s="84"/>
      <c r="Q83" s="263"/>
      <c r="R83" s="84"/>
      <c r="S83" s="84"/>
      <c r="T83" s="84"/>
      <c r="U83" s="484"/>
      <c r="V83" s="589">
        <f>IF(T83=0,0,U83/T83)</f>
        <v>0</v>
      </c>
      <c r="W83" s="589"/>
      <c r="X83" s="590"/>
      <c r="Z83" s="2"/>
      <c r="AB83" s="2"/>
      <c r="AE83" s="2"/>
    </row>
    <row r="84" spans="1:31" ht="15.75" thickBot="1">
      <c r="A84" s="264" t="s">
        <v>67</v>
      </c>
      <c r="B84" s="820" t="s">
        <v>277</v>
      </c>
      <c r="C84" s="821"/>
      <c r="D84" s="266">
        <v>11817</v>
      </c>
      <c r="E84" s="266">
        <v>11784</v>
      </c>
      <c r="F84" s="266">
        <v>12315</v>
      </c>
      <c r="G84" s="266">
        <v>20259</v>
      </c>
      <c r="H84" s="79">
        <f aca="true" t="shared" si="24" ref="H84:M84">SUM(H85:H89)</f>
        <v>14522</v>
      </c>
      <c r="I84" s="79">
        <f t="shared" si="24"/>
        <v>159820</v>
      </c>
      <c r="J84" s="79">
        <f t="shared" si="24"/>
        <v>64721</v>
      </c>
      <c r="K84" s="79">
        <f t="shared" si="24"/>
        <v>10450</v>
      </c>
      <c r="L84" s="80">
        <f t="shared" si="24"/>
        <v>10682.39</v>
      </c>
      <c r="M84" s="80">
        <f t="shared" si="24"/>
        <v>9819.23</v>
      </c>
      <c r="N84" s="470">
        <f aca="true" t="shared" si="25" ref="N84:U84">SUM(N85:N89)</f>
        <v>9873.75</v>
      </c>
      <c r="O84" s="634">
        <f t="shared" si="25"/>
        <v>11427.249999999998</v>
      </c>
      <c r="P84" s="634">
        <f t="shared" si="25"/>
        <v>14386.410000000002</v>
      </c>
      <c r="Q84" s="634">
        <f t="shared" si="25"/>
        <v>17575.48</v>
      </c>
      <c r="R84" s="470">
        <f t="shared" si="25"/>
        <v>16859</v>
      </c>
      <c r="S84" s="470">
        <f t="shared" si="25"/>
        <v>21623.989999999998</v>
      </c>
      <c r="T84" s="634">
        <v>79332.61</v>
      </c>
      <c r="U84" s="470">
        <f t="shared" si="25"/>
        <v>20651</v>
      </c>
      <c r="V84" s="67">
        <f>SUM(V85:V89)</f>
        <v>1480</v>
      </c>
      <c r="W84" s="505">
        <f>SUM(W85:W89)</f>
        <v>0</v>
      </c>
      <c r="X84" s="506">
        <f>SUM(X85:X89)</f>
        <v>22131</v>
      </c>
      <c r="Z84" s="2"/>
      <c r="AB84" s="2"/>
      <c r="AE84" s="2"/>
    </row>
    <row r="85" spans="1:31" ht="12.75">
      <c r="A85" s="817"/>
      <c r="B85" s="226">
        <v>610</v>
      </c>
      <c r="C85" s="41" t="s">
        <v>240</v>
      </c>
      <c r="D85" s="158"/>
      <c r="E85" s="158">
        <v>7435</v>
      </c>
      <c r="F85" s="158">
        <v>7170</v>
      </c>
      <c r="G85" s="158">
        <v>13170</v>
      </c>
      <c r="H85" s="158">
        <v>9057</v>
      </c>
      <c r="I85" s="41">
        <v>7158</v>
      </c>
      <c r="J85" s="42">
        <v>7062</v>
      </c>
      <c r="K85" s="42">
        <v>6902</v>
      </c>
      <c r="L85" s="151">
        <v>7013.99</v>
      </c>
      <c r="M85" s="151">
        <v>6670.5</v>
      </c>
      <c r="N85" s="93">
        <v>6756.74</v>
      </c>
      <c r="O85" s="200">
        <v>6231.04</v>
      </c>
      <c r="P85" s="200">
        <v>9222.53</v>
      </c>
      <c r="Q85" s="200">
        <v>10920.12</v>
      </c>
      <c r="R85" s="93">
        <v>11664</v>
      </c>
      <c r="S85" s="93">
        <v>13090.95</v>
      </c>
      <c r="T85" s="200">
        <v>12073.77</v>
      </c>
      <c r="U85" s="479">
        <v>13810</v>
      </c>
      <c r="V85" s="582">
        <v>1100</v>
      </c>
      <c r="W85" s="582"/>
      <c r="X85" s="583">
        <f>U85+V85+W85</f>
        <v>14910</v>
      </c>
      <c r="Z85" s="2"/>
      <c r="AB85" s="2"/>
      <c r="AE85" s="2"/>
    </row>
    <row r="86" spans="1:31" ht="12.75">
      <c r="A86" s="818"/>
      <c r="B86" s="227">
        <v>620</v>
      </c>
      <c r="C86" s="43" t="s">
        <v>241</v>
      </c>
      <c r="D86" s="238"/>
      <c r="E86" s="238">
        <v>2722</v>
      </c>
      <c r="F86" s="238">
        <v>2589</v>
      </c>
      <c r="G86" s="238">
        <v>4447</v>
      </c>
      <c r="H86" s="238">
        <v>3981</v>
      </c>
      <c r="I86" s="43">
        <v>2874</v>
      </c>
      <c r="J86" s="44">
        <v>2706</v>
      </c>
      <c r="K86" s="44">
        <v>2594</v>
      </c>
      <c r="L86" s="114">
        <v>2904.51</v>
      </c>
      <c r="M86" s="114">
        <v>2212.12</v>
      </c>
      <c r="N86" s="26">
        <v>2382.51</v>
      </c>
      <c r="O86" s="202">
        <v>2182.24</v>
      </c>
      <c r="P86" s="202">
        <v>3409.77</v>
      </c>
      <c r="Q86" s="202">
        <v>4028.34</v>
      </c>
      <c r="R86" s="26">
        <v>4195</v>
      </c>
      <c r="S86" s="26">
        <v>4754.78</v>
      </c>
      <c r="T86" s="202">
        <v>4416.82</v>
      </c>
      <c r="U86" s="480">
        <v>5041</v>
      </c>
      <c r="V86" s="584">
        <v>380</v>
      </c>
      <c r="W86" s="584"/>
      <c r="X86" s="585">
        <f>U86+V86+W86</f>
        <v>5421</v>
      </c>
      <c r="Z86" s="2"/>
      <c r="AB86" s="2"/>
      <c r="AE86" s="2"/>
    </row>
    <row r="87" spans="1:31" ht="12.75">
      <c r="A87" s="818"/>
      <c r="B87" s="227">
        <v>630</v>
      </c>
      <c r="C87" s="43" t="s">
        <v>242</v>
      </c>
      <c r="D87" s="238"/>
      <c r="E87" s="238">
        <v>1627</v>
      </c>
      <c r="F87" s="238">
        <v>2556</v>
      </c>
      <c r="G87" s="238">
        <v>2642</v>
      </c>
      <c r="H87" s="238">
        <v>1484</v>
      </c>
      <c r="I87" s="43">
        <v>1204</v>
      </c>
      <c r="J87" s="44">
        <v>1574</v>
      </c>
      <c r="K87" s="44">
        <v>954</v>
      </c>
      <c r="L87" s="114">
        <v>763.89</v>
      </c>
      <c r="M87" s="114">
        <v>936.61</v>
      </c>
      <c r="N87" s="26">
        <v>734.5</v>
      </c>
      <c r="O87" s="202">
        <v>3013.97</v>
      </c>
      <c r="P87" s="202">
        <v>1754.11</v>
      </c>
      <c r="Q87" s="202">
        <v>2627.02</v>
      </c>
      <c r="R87" s="26">
        <v>1000</v>
      </c>
      <c r="S87" s="26">
        <v>1258.26</v>
      </c>
      <c r="T87" s="202">
        <v>722.0800000000017</v>
      </c>
      <c r="U87" s="480">
        <v>1800</v>
      </c>
      <c r="V87" s="584">
        <v>-810</v>
      </c>
      <c r="W87" s="584"/>
      <c r="X87" s="585">
        <f>U87+V87+W87</f>
        <v>990</v>
      </c>
      <c r="Z87" s="2"/>
      <c r="AB87" s="2"/>
      <c r="AE87" s="2"/>
    </row>
    <row r="88" spans="1:31" ht="12.75">
      <c r="A88" s="818"/>
      <c r="B88" s="307">
        <v>640</v>
      </c>
      <c r="C88" s="413"/>
      <c r="D88" s="605"/>
      <c r="E88" s="605"/>
      <c r="F88" s="605"/>
      <c r="G88" s="605"/>
      <c r="H88" s="605"/>
      <c r="I88" s="413"/>
      <c r="J88" s="556"/>
      <c r="K88" s="74"/>
      <c r="L88" s="251"/>
      <c r="M88" s="251"/>
      <c r="N88" s="30"/>
      <c r="O88" s="220"/>
      <c r="P88" s="220"/>
      <c r="Q88" s="220"/>
      <c r="R88" s="30"/>
      <c r="S88" s="30"/>
      <c r="T88" s="220">
        <v>62052.74</v>
      </c>
      <c r="U88" s="489"/>
      <c r="V88" s="593">
        <v>810</v>
      </c>
      <c r="W88" s="593"/>
      <c r="X88" s="585">
        <f>U88+V88+W88</f>
        <v>810</v>
      </c>
      <c r="Z88" s="2"/>
      <c r="AB88" s="2"/>
      <c r="AE88" s="2"/>
    </row>
    <row r="89" spans="1:31" ht="13.5" thickBot="1">
      <c r="A89" s="819"/>
      <c r="B89" s="250">
        <v>600</v>
      </c>
      <c r="C89" s="296" t="s">
        <v>278</v>
      </c>
      <c r="D89" s="297"/>
      <c r="E89" s="297"/>
      <c r="F89" s="297"/>
      <c r="G89" s="297"/>
      <c r="H89" s="297"/>
      <c r="I89" s="296">
        <v>148584</v>
      </c>
      <c r="J89" s="298">
        <v>53379</v>
      </c>
      <c r="K89" s="60"/>
      <c r="L89" s="299"/>
      <c r="M89" s="60"/>
      <c r="N89" s="48"/>
      <c r="O89" s="48"/>
      <c r="P89" s="48"/>
      <c r="Q89" s="252"/>
      <c r="R89" s="48">
        <v>0</v>
      </c>
      <c r="S89" s="48">
        <v>2520</v>
      </c>
      <c r="T89" s="252">
        <v>67.2</v>
      </c>
      <c r="U89" s="471"/>
      <c r="V89" s="593"/>
      <c r="W89" s="593"/>
      <c r="X89" s="588">
        <f>U89+V89+W89</f>
        <v>0</v>
      </c>
      <c r="Z89" s="2"/>
      <c r="AB89" s="2"/>
      <c r="AE89" s="2"/>
    </row>
    <row r="90" spans="1:31" ht="15.75" thickBot="1">
      <c r="A90" s="300" t="s">
        <v>223</v>
      </c>
      <c r="B90" s="858" t="s">
        <v>51</v>
      </c>
      <c r="C90" s="859"/>
      <c r="D90" s="210">
        <v>11518</v>
      </c>
      <c r="E90" s="210">
        <v>13012</v>
      </c>
      <c r="F90" s="210">
        <v>13643</v>
      </c>
      <c r="G90" s="210">
        <v>15109</v>
      </c>
      <c r="H90" s="210">
        <v>14271</v>
      </c>
      <c r="I90" s="67">
        <f aca="true" t="shared" si="26" ref="I90:V90">SUM(I91:I93)</f>
        <v>14580</v>
      </c>
      <c r="J90" s="67">
        <f t="shared" si="26"/>
        <v>13755</v>
      </c>
      <c r="K90" s="67">
        <f t="shared" si="26"/>
        <v>12987</v>
      </c>
      <c r="L90" s="211">
        <f t="shared" si="26"/>
        <v>12440.38</v>
      </c>
      <c r="M90" s="211">
        <f>SUM(M91:M94)</f>
        <v>12085.220000000001</v>
      </c>
      <c r="N90" s="466">
        <f>SUM(N91:N94)</f>
        <v>14820</v>
      </c>
      <c r="O90" s="632">
        <f>SUM(O91:O94)</f>
        <v>17802.890000000003</v>
      </c>
      <c r="P90" s="632">
        <f>SUM(P91:P94)</f>
        <v>18901.94</v>
      </c>
      <c r="Q90" s="632">
        <f>SUM(Q91:Q94)</f>
        <v>19832.530000000002</v>
      </c>
      <c r="R90" s="466">
        <f t="shared" si="26"/>
        <v>22060</v>
      </c>
      <c r="S90" s="466">
        <f t="shared" si="26"/>
        <v>22607.08</v>
      </c>
      <c r="T90" s="632">
        <v>16829.010000000002</v>
      </c>
      <c r="U90" s="466">
        <f t="shared" si="26"/>
        <v>27717</v>
      </c>
      <c r="V90" s="107">
        <f t="shared" si="26"/>
        <v>-16194</v>
      </c>
      <c r="W90" s="505">
        <f>SUM(W91:W93)</f>
        <v>0</v>
      </c>
      <c r="X90" s="506">
        <f>SUM(X91:X93)</f>
        <v>11523</v>
      </c>
      <c r="Z90" s="2"/>
      <c r="AB90" s="2"/>
      <c r="AE90" s="2"/>
    </row>
    <row r="91" spans="1:31" ht="12.75">
      <c r="A91" s="817"/>
      <c r="B91" s="226">
        <v>610</v>
      </c>
      <c r="C91" s="41" t="s">
        <v>240</v>
      </c>
      <c r="D91" s="158"/>
      <c r="E91" s="158">
        <v>8099</v>
      </c>
      <c r="F91" s="158">
        <v>8597</v>
      </c>
      <c r="G91" s="158">
        <v>9417</v>
      </c>
      <c r="H91" s="158">
        <v>9528</v>
      </c>
      <c r="I91" s="41">
        <v>9523</v>
      </c>
      <c r="J91" s="42">
        <v>8900</v>
      </c>
      <c r="K91" s="42">
        <v>8730</v>
      </c>
      <c r="L91" s="200">
        <v>8356.07</v>
      </c>
      <c r="M91" s="200">
        <v>8369.97</v>
      </c>
      <c r="N91" s="93">
        <v>10167.75</v>
      </c>
      <c r="O91" s="200">
        <v>12358.6</v>
      </c>
      <c r="P91" s="200">
        <v>13120.16</v>
      </c>
      <c r="Q91" s="200">
        <v>14108.2</v>
      </c>
      <c r="R91" s="93">
        <v>15418</v>
      </c>
      <c r="S91" s="93">
        <v>16268.11</v>
      </c>
      <c r="T91" s="200">
        <v>12005.13</v>
      </c>
      <c r="U91" s="479">
        <v>19574</v>
      </c>
      <c r="V91" s="582">
        <v>-12000</v>
      </c>
      <c r="W91" s="582"/>
      <c r="X91" s="583">
        <f>U91+V91+W91</f>
        <v>7574</v>
      </c>
      <c r="Z91" s="2"/>
      <c r="AA91" s="2"/>
      <c r="AB91" s="2"/>
      <c r="AE91" s="2"/>
    </row>
    <row r="92" spans="1:31" ht="12.75">
      <c r="A92" s="818"/>
      <c r="B92" s="227">
        <v>620</v>
      </c>
      <c r="C92" s="43" t="s">
        <v>241</v>
      </c>
      <c r="D92" s="238"/>
      <c r="E92" s="238">
        <v>2855</v>
      </c>
      <c r="F92" s="238">
        <v>3220</v>
      </c>
      <c r="G92" s="238">
        <v>3567</v>
      </c>
      <c r="H92" s="238">
        <v>3607</v>
      </c>
      <c r="I92" s="43">
        <v>3617</v>
      </c>
      <c r="J92" s="44">
        <v>3393</v>
      </c>
      <c r="K92" s="44">
        <v>3330</v>
      </c>
      <c r="L92" s="202">
        <v>3406.87</v>
      </c>
      <c r="M92" s="202">
        <v>2973.01</v>
      </c>
      <c r="N92" s="26">
        <v>3841.92</v>
      </c>
      <c r="O92" s="202">
        <v>4614.21</v>
      </c>
      <c r="P92" s="202">
        <v>4873.08</v>
      </c>
      <c r="Q92" s="202">
        <v>4776.7</v>
      </c>
      <c r="R92" s="26">
        <v>5642</v>
      </c>
      <c r="S92" s="26">
        <v>5342.26</v>
      </c>
      <c r="T92" s="202">
        <v>4010.34</v>
      </c>
      <c r="U92" s="480">
        <v>7143</v>
      </c>
      <c r="V92" s="584">
        <v>-4194</v>
      </c>
      <c r="W92" s="584"/>
      <c r="X92" s="585">
        <f>U92+V92+W92</f>
        <v>2949</v>
      </c>
      <c r="Z92" s="2"/>
      <c r="AA92" s="2"/>
      <c r="AB92" s="2"/>
      <c r="AE92" s="2"/>
    </row>
    <row r="93" spans="1:31" ht="13.5" thickBot="1">
      <c r="A93" s="818"/>
      <c r="B93" s="307">
        <v>630</v>
      </c>
      <c r="C93" s="47" t="s">
        <v>242</v>
      </c>
      <c r="D93" s="153"/>
      <c r="E93" s="153">
        <v>2058</v>
      </c>
      <c r="F93" s="153">
        <v>1826</v>
      </c>
      <c r="G93" s="153">
        <v>2125</v>
      </c>
      <c r="H93" s="153">
        <v>1136</v>
      </c>
      <c r="I93" s="46">
        <v>1440</v>
      </c>
      <c r="J93" s="60">
        <v>1462</v>
      </c>
      <c r="K93" s="74">
        <v>927</v>
      </c>
      <c r="L93" s="114">
        <v>677.44</v>
      </c>
      <c r="M93" s="114">
        <v>629.37</v>
      </c>
      <c r="N93" s="26">
        <v>810.33</v>
      </c>
      <c r="O93" s="202">
        <v>830.08</v>
      </c>
      <c r="P93" s="202">
        <v>908.7</v>
      </c>
      <c r="Q93" s="202">
        <v>947.63</v>
      </c>
      <c r="R93" s="26">
        <v>1000</v>
      </c>
      <c r="S93" s="26">
        <v>996.71</v>
      </c>
      <c r="T93" s="202">
        <v>541.16</v>
      </c>
      <c r="U93" s="480">
        <v>1000</v>
      </c>
      <c r="V93" s="584"/>
      <c r="W93" s="584"/>
      <c r="X93" s="585">
        <f>U93+V93+W93</f>
        <v>1000</v>
      </c>
      <c r="Z93" s="2"/>
      <c r="AB93" s="2"/>
      <c r="AE93" s="2"/>
    </row>
    <row r="94" spans="1:31" ht="13.5" thickBot="1">
      <c r="A94" s="819"/>
      <c r="B94" s="250">
        <v>640</v>
      </c>
      <c r="C94" s="46" t="s">
        <v>243</v>
      </c>
      <c r="D94" s="261"/>
      <c r="E94" s="261"/>
      <c r="F94" s="261"/>
      <c r="G94" s="261"/>
      <c r="H94" s="261"/>
      <c r="I94" s="115"/>
      <c r="J94" s="207"/>
      <c r="K94" s="239"/>
      <c r="L94" s="530"/>
      <c r="M94" s="530">
        <v>112.87</v>
      </c>
      <c r="N94" s="70"/>
      <c r="O94" s="70"/>
      <c r="P94" s="70"/>
      <c r="Q94" s="116"/>
      <c r="R94" s="70"/>
      <c r="S94" s="70"/>
      <c r="T94" s="116">
        <v>272.38</v>
      </c>
      <c r="U94" s="467"/>
      <c r="V94" s="589"/>
      <c r="W94" s="589"/>
      <c r="X94" s="590">
        <f>U94+V94+W94</f>
        <v>0</v>
      </c>
      <c r="Z94" s="2"/>
      <c r="AB94" s="2"/>
      <c r="AE94" s="2"/>
    </row>
    <row r="95" spans="1:31" ht="15.75" thickBot="1">
      <c r="A95" s="264" t="s">
        <v>46</v>
      </c>
      <c r="B95" s="830" t="s">
        <v>47</v>
      </c>
      <c r="C95" s="799"/>
      <c r="D95" s="266">
        <v>0</v>
      </c>
      <c r="E95" s="266">
        <v>221337</v>
      </c>
      <c r="F95" s="266">
        <v>136394</v>
      </c>
      <c r="G95" s="266">
        <v>214824</v>
      </c>
      <c r="H95" s="266">
        <v>646088</v>
      </c>
      <c r="I95" s="67">
        <f>SUM(I101:I113)</f>
        <v>152165</v>
      </c>
      <c r="J95" s="67">
        <f>SUM(J101:J113)</f>
        <v>173492</v>
      </c>
      <c r="K95" s="67">
        <f>SUM(K101:K113)</f>
        <v>219663</v>
      </c>
      <c r="L95" s="211">
        <f aca="true" t="shared" si="27" ref="L95:V95">SUM(L96:L113)</f>
        <v>485501.09</v>
      </c>
      <c r="M95" s="211">
        <f t="shared" si="27"/>
        <v>315963.52</v>
      </c>
      <c r="N95" s="466">
        <f t="shared" si="27"/>
        <v>306308.77</v>
      </c>
      <c r="O95" s="632">
        <f t="shared" si="27"/>
        <v>235650.84</v>
      </c>
      <c r="P95" s="632">
        <f>SUM(P96:P113)</f>
        <v>258445.63</v>
      </c>
      <c r="Q95" s="632">
        <f t="shared" si="27"/>
        <v>225107.38</v>
      </c>
      <c r="R95" s="466">
        <f t="shared" si="27"/>
        <v>194631</v>
      </c>
      <c r="S95" s="466">
        <f t="shared" si="27"/>
        <v>243536.62</v>
      </c>
      <c r="T95" s="632">
        <v>245388.62</v>
      </c>
      <c r="U95" s="466">
        <f t="shared" si="27"/>
        <v>275915</v>
      </c>
      <c r="V95" s="107">
        <f t="shared" si="27"/>
        <v>0</v>
      </c>
      <c r="W95" s="505">
        <f>SUM(W96:W113)</f>
        <v>0</v>
      </c>
      <c r="X95" s="506">
        <f>SUM(X96:X113)</f>
        <v>275915</v>
      </c>
      <c r="Z95" s="2"/>
      <c r="AB95" s="2"/>
      <c r="AE95" s="2"/>
    </row>
    <row r="96" spans="1:31" ht="13.5" customHeight="1" hidden="1">
      <c r="A96" s="814"/>
      <c r="B96" s="226">
        <v>630</v>
      </c>
      <c r="C96" s="41" t="s">
        <v>164</v>
      </c>
      <c r="D96" s="301"/>
      <c r="E96" s="301"/>
      <c r="F96" s="301"/>
      <c r="G96" s="301"/>
      <c r="H96" s="301"/>
      <c r="I96" s="302"/>
      <c r="J96" s="302"/>
      <c r="K96" s="302"/>
      <c r="L96" s="214">
        <v>164829</v>
      </c>
      <c r="M96" s="214">
        <v>115488</v>
      </c>
      <c r="N96" s="143">
        <v>98750</v>
      </c>
      <c r="O96" s="214"/>
      <c r="P96" s="214"/>
      <c r="Q96" s="214"/>
      <c r="R96" s="143"/>
      <c r="S96" s="143"/>
      <c r="T96" s="214"/>
      <c r="U96" s="491"/>
      <c r="V96" s="582">
        <f aca="true" t="shared" si="28" ref="V96:V108">IF(T96=0,0,U96/T96)</f>
        <v>0</v>
      </c>
      <c r="W96" s="582"/>
      <c r="X96" s="583"/>
      <c r="Z96" s="2"/>
      <c r="AB96" s="2"/>
      <c r="AE96" s="2"/>
    </row>
    <row r="97" spans="1:31" ht="13.5" customHeight="1" hidden="1">
      <c r="A97" s="815"/>
      <c r="B97" s="227"/>
      <c r="C97" s="47" t="s">
        <v>194</v>
      </c>
      <c r="D97" s="303"/>
      <c r="E97" s="303"/>
      <c r="F97" s="303"/>
      <c r="G97" s="303"/>
      <c r="H97" s="303"/>
      <c r="I97" s="304"/>
      <c r="J97" s="304"/>
      <c r="K97" s="304"/>
      <c r="L97" s="131">
        <v>9696.54</v>
      </c>
      <c r="M97" s="553"/>
      <c r="N97" s="305"/>
      <c r="O97" s="553"/>
      <c r="P97" s="553"/>
      <c r="Q97" s="553"/>
      <c r="R97" s="305"/>
      <c r="S97" s="305"/>
      <c r="T97" s="553"/>
      <c r="U97" s="492"/>
      <c r="V97" s="584">
        <f t="shared" si="28"/>
        <v>0</v>
      </c>
      <c r="W97" s="584"/>
      <c r="X97" s="585"/>
      <c r="Z97" s="2"/>
      <c r="AB97" s="2"/>
      <c r="AE97" s="2"/>
    </row>
    <row r="98" spans="1:31" ht="13.5" customHeight="1" hidden="1">
      <c r="A98" s="815"/>
      <c r="B98" s="227"/>
      <c r="C98" s="47" t="s">
        <v>279</v>
      </c>
      <c r="D98" s="303"/>
      <c r="E98" s="303"/>
      <c r="F98" s="303"/>
      <c r="G98" s="303"/>
      <c r="H98" s="303"/>
      <c r="I98" s="304"/>
      <c r="J98" s="304"/>
      <c r="K98" s="304"/>
      <c r="L98" s="131">
        <v>9955.3</v>
      </c>
      <c r="M98" s="553"/>
      <c r="N98" s="305"/>
      <c r="O98" s="553"/>
      <c r="P98" s="553"/>
      <c r="Q98" s="553"/>
      <c r="R98" s="305"/>
      <c r="S98" s="305"/>
      <c r="T98" s="553"/>
      <c r="U98" s="492"/>
      <c r="V98" s="584">
        <f t="shared" si="28"/>
        <v>0</v>
      </c>
      <c r="W98" s="584"/>
      <c r="X98" s="585"/>
      <c r="Z98" s="2"/>
      <c r="AB98" s="2"/>
      <c r="AE98" s="2"/>
    </row>
    <row r="99" spans="1:31" ht="13.5" customHeight="1" hidden="1">
      <c r="A99" s="815"/>
      <c r="B99" s="227"/>
      <c r="C99" s="47" t="s">
        <v>280</v>
      </c>
      <c r="D99" s="303"/>
      <c r="E99" s="303"/>
      <c r="F99" s="303"/>
      <c r="G99" s="303"/>
      <c r="H99" s="303"/>
      <c r="I99" s="304"/>
      <c r="J99" s="304"/>
      <c r="K99" s="304"/>
      <c r="L99" s="131">
        <v>11550</v>
      </c>
      <c r="M99" s="553"/>
      <c r="N99" s="305"/>
      <c r="O99" s="553"/>
      <c r="P99" s="553"/>
      <c r="Q99" s="553"/>
      <c r="R99" s="305"/>
      <c r="S99" s="305"/>
      <c r="T99" s="553"/>
      <c r="U99" s="492"/>
      <c r="V99" s="584">
        <f t="shared" si="28"/>
        <v>0</v>
      </c>
      <c r="W99" s="584"/>
      <c r="X99" s="585"/>
      <c r="Z99" s="2"/>
      <c r="AB99" s="2"/>
      <c r="AE99" s="2"/>
    </row>
    <row r="100" spans="1:31" ht="13.5" customHeight="1" hidden="1">
      <c r="A100" s="815"/>
      <c r="B100" s="227"/>
      <c r="C100" s="43" t="s">
        <v>195</v>
      </c>
      <c r="D100" s="303"/>
      <c r="E100" s="303"/>
      <c r="F100" s="303"/>
      <c r="G100" s="303"/>
      <c r="H100" s="303"/>
      <c r="I100" s="304"/>
      <c r="J100" s="304"/>
      <c r="K100" s="304"/>
      <c r="L100" s="131">
        <v>11848</v>
      </c>
      <c r="M100" s="553"/>
      <c r="N100" s="305"/>
      <c r="O100" s="553"/>
      <c r="P100" s="553"/>
      <c r="Q100" s="553"/>
      <c r="R100" s="305"/>
      <c r="S100" s="305"/>
      <c r="T100" s="553"/>
      <c r="U100" s="492"/>
      <c r="V100" s="584">
        <f t="shared" si="28"/>
        <v>0</v>
      </c>
      <c r="W100" s="584"/>
      <c r="X100" s="585"/>
      <c r="Z100" s="2"/>
      <c r="AB100" s="2"/>
      <c r="AE100" s="2"/>
    </row>
    <row r="101" spans="1:31" ht="13.5" customHeight="1" hidden="1">
      <c r="A101" s="815"/>
      <c r="B101" s="306"/>
      <c r="C101" s="72" t="s">
        <v>332</v>
      </c>
      <c r="D101" s="57"/>
      <c r="E101" s="57"/>
      <c r="F101" s="57"/>
      <c r="G101" s="57"/>
      <c r="H101" s="57"/>
      <c r="I101" s="72"/>
      <c r="J101" s="57"/>
      <c r="K101" s="57"/>
      <c r="L101" s="118">
        <v>55733.87</v>
      </c>
      <c r="M101" s="202">
        <v>17376</v>
      </c>
      <c r="N101" s="22"/>
      <c r="O101" s="118">
        <v>39179.72</v>
      </c>
      <c r="P101" s="118"/>
      <c r="Q101" s="118"/>
      <c r="R101" s="22"/>
      <c r="S101" s="22"/>
      <c r="T101" s="118"/>
      <c r="U101" s="485"/>
      <c r="V101" s="584">
        <f t="shared" si="28"/>
        <v>0</v>
      </c>
      <c r="W101" s="584"/>
      <c r="X101" s="585"/>
      <c r="Z101" s="2"/>
      <c r="AB101" s="2"/>
      <c r="AE101" s="2"/>
    </row>
    <row r="102" spans="1:31" ht="13.5" customHeight="1" hidden="1">
      <c r="A102" s="815"/>
      <c r="B102" s="307"/>
      <c r="C102" s="47" t="s">
        <v>281</v>
      </c>
      <c r="D102" s="74"/>
      <c r="E102" s="74"/>
      <c r="F102" s="74"/>
      <c r="G102" s="74"/>
      <c r="H102" s="74"/>
      <c r="I102" s="47"/>
      <c r="J102" s="74"/>
      <c r="K102" s="44"/>
      <c r="L102" s="202">
        <v>41848</v>
      </c>
      <c r="M102" s="202"/>
      <c r="N102" s="26"/>
      <c r="O102" s="202"/>
      <c r="P102" s="202"/>
      <c r="Q102" s="202"/>
      <c r="R102" s="26"/>
      <c r="S102" s="26"/>
      <c r="T102" s="202"/>
      <c r="U102" s="480"/>
      <c r="V102" s="584">
        <f t="shared" si="28"/>
        <v>0</v>
      </c>
      <c r="W102" s="584"/>
      <c r="X102" s="585"/>
      <c r="Z102" s="2"/>
      <c r="AB102" s="2"/>
      <c r="AE102" s="2"/>
    </row>
    <row r="103" spans="1:31" ht="13.5" customHeight="1" hidden="1">
      <c r="A103" s="815"/>
      <c r="B103" s="307"/>
      <c r="C103" s="47"/>
      <c r="D103" s="74"/>
      <c r="E103" s="74"/>
      <c r="F103" s="74"/>
      <c r="G103" s="74"/>
      <c r="H103" s="74"/>
      <c r="I103" s="47"/>
      <c r="J103" s="74"/>
      <c r="K103" s="44"/>
      <c r="L103" s="26"/>
      <c r="M103" s="202"/>
      <c r="N103" s="26"/>
      <c r="O103" s="202"/>
      <c r="P103" s="202"/>
      <c r="Q103" s="202"/>
      <c r="R103" s="26"/>
      <c r="S103" s="26"/>
      <c r="T103" s="202"/>
      <c r="U103" s="480"/>
      <c r="V103" s="584">
        <f t="shared" si="28"/>
        <v>0</v>
      </c>
      <c r="W103" s="584"/>
      <c r="X103" s="585"/>
      <c r="Z103" s="2"/>
      <c r="AB103" s="2"/>
      <c r="AE103" s="2"/>
    </row>
    <row r="104" spans="1:31" ht="13.5" customHeight="1" hidden="1">
      <c r="A104" s="815"/>
      <c r="B104" s="307"/>
      <c r="C104" s="47"/>
      <c r="D104" s="74"/>
      <c r="E104" s="74"/>
      <c r="F104" s="74"/>
      <c r="G104" s="74"/>
      <c r="H104" s="74"/>
      <c r="I104" s="47"/>
      <c r="J104" s="74"/>
      <c r="K104" s="44"/>
      <c r="L104" s="26"/>
      <c r="M104" s="202"/>
      <c r="N104" s="26"/>
      <c r="O104" s="202"/>
      <c r="P104" s="202"/>
      <c r="Q104" s="202"/>
      <c r="R104" s="26"/>
      <c r="S104" s="26"/>
      <c r="T104" s="202"/>
      <c r="U104" s="480"/>
      <c r="V104" s="584">
        <f t="shared" si="28"/>
        <v>0</v>
      </c>
      <c r="W104" s="584"/>
      <c r="X104" s="585"/>
      <c r="Z104" s="2"/>
      <c r="AB104" s="2"/>
      <c r="AE104" s="2"/>
    </row>
    <row r="105" spans="1:31" ht="13.5" customHeight="1" hidden="1">
      <c r="A105" s="815"/>
      <c r="B105" s="307"/>
      <c r="C105" s="43"/>
      <c r="D105" s="44"/>
      <c r="E105" s="44"/>
      <c r="F105" s="44"/>
      <c r="G105" s="44"/>
      <c r="H105" s="44"/>
      <c r="I105" s="43"/>
      <c r="J105" s="44"/>
      <c r="K105" s="44"/>
      <c r="L105" s="26"/>
      <c r="M105" s="202"/>
      <c r="N105" s="26"/>
      <c r="O105" s="202"/>
      <c r="P105" s="202"/>
      <c r="Q105" s="202"/>
      <c r="R105" s="26"/>
      <c r="S105" s="26"/>
      <c r="T105" s="202"/>
      <c r="U105" s="480"/>
      <c r="V105" s="584">
        <f t="shared" si="28"/>
        <v>0</v>
      </c>
      <c r="W105" s="584"/>
      <c r="X105" s="585"/>
      <c r="Z105" s="2"/>
      <c r="AB105" s="2"/>
      <c r="AE105" s="2"/>
    </row>
    <row r="106" spans="1:31" ht="13.5" customHeight="1" hidden="1">
      <c r="A106" s="815"/>
      <c r="B106" s="307">
        <v>630</v>
      </c>
      <c r="C106" s="43" t="s">
        <v>282</v>
      </c>
      <c r="D106" s="44"/>
      <c r="E106" s="44"/>
      <c r="F106" s="44"/>
      <c r="G106" s="44"/>
      <c r="H106" s="44"/>
      <c r="I106" s="43">
        <v>800</v>
      </c>
      <c r="J106" s="44"/>
      <c r="K106" s="44"/>
      <c r="L106" s="26"/>
      <c r="M106" s="202"/>
      <c r="N106" s="26"/>
      <c r="O106" s="202"/>
      <c r="P106" s="202"/>
      <c r="Q106" s="202"/>
      <c r="R106" s="26"/>
      <c r="S106" s="26"/>
      <c r="T106" s="202"/>
      <c r="U106" s="480"/>
      <c r="V106" s="584">
        <f t="shared" si="28"/>
        <v>0</v>
      </c>
      <c r="W106" s="584"/>
      <c r="X106" s="585"/>
      <c r="Z106" s="2"/>
      <c r="AB106" s="2"/>
      <c r="AE106" s="2"/>
    </row>
    <row r="107" spans="1:31" ht="13.5" customHeight="1" hidden="1">
      <c r="A107" s="815"/>
      <c r="B107" s="307">
        <v>630</v>
      </c>
      <c r="C107" s="43" t="s">
        <v>283</v>
      </c>
      <c r="D107" s="44"/>
      <c r="E107" s="44"/>
      <c r="F107" s="44"/>
      <c r="G107" s="44"/>
      <c r="H107" s="44"/>
      <c r="I107" s="43">
        <v>2124</v>
      </c>
      <c r="J107" s="44">
        <v>1200</v>
      </c>
      <c r="K107" s="26">
        <f>25728+5970+25054</f>
        <v>56752</v>
      </c>
      <c r="L107" s="26"/>
      <c r="M107" s="202"/>
      <c r="N107" s="26"/>
      <c r="O107" s="202"/>
      <c r="P107" s="202"/>
      <c r="Q107" s="202"/>
      <c r="R107" s="26"/>
      <c r="S107" s="26"/>
      <c r="T107" s="202"/>
      <c r="U107" s="480"/>
      <c r="V107" s="584">
        <f t="shared" si="28"/>
        <v>0</v>
      </c>
      <c r="W107" s="584"/>
      <c r="X107" s="585"/>
      <c r="Z107" s="2"/>
      <c r="AB107" s="2"/>
      <c r="AE107" s="2"/>
    </row>
    <row r="108" spans="1:31" ht="13.5" customHeight="1" hidden="1">
      <c r="A108" s="815"/>
      <c r="B108" s="307">
        <v>630</v>
      </c>
      <c r="C108" s="43" t="s">
        <v>284</v>
      </c>
      <c r="D108" s="44"/>
      <c r="E108" s="44"/>
      <c r="F108" s="44"/>
      <c r="G108" s="44"/>
      <c r="H108" s="44"/>
      <c r="I108" s="43"/>
      <c r="J108" s="44">
        <v>22691</v>
      </c>
      <c r="K108" s="26">
        <v>859</v>
      </c>
      <c r="L108" s="26"/>
      <c r="M108" s="202">
        <v>774.55</v>
      </c>
      <c r="N108" s="26"/>
      <c r="O108" s="202"/>
      <c r="P108" s="202"/>
      <c r="Q108" s="202"/>
      <c r="R108" s="26"/>
      <c r="S108" s="26"/>
      <c r="T108" s="202"/>
      <c r="U108" s="480"/>
      <c r="V108" s="584">
        <f t="shared" si="28"/>
        <v>0</v>
      </c>
      <c r="W108" s="584"/>
      <c r="X108" s="585"/>
      <c r="Z108" s="2"/>
      <c r="AB108" s="2"/>
      <c r="AE108" s="2"/>
    </row>
    <row r="109" spans="1:31" ht="13.5" customHeight="1">
      <c r="A109" s="815"/>
      <c r="B109" s="307">
        <v>630</v>
      </c>
      <c r="C109" s="43" t="s">
        <v>325</v>
      </c>
      <c r="D109" s="44"/>
      <c r="E109" s="44"/>
      <c r="F109" s="44"/>
      <c r="G109" s="44"/>
      <c r="H109" s="44"/>
      <c r="I109" s="43">
        <v>4435</v>
      </c>
      <c r="J109" s="44"/>
      <c r="K109" s="44">
        <v>0</v>
      </c>
      <c r="L109" s="202">
        <v>931.15</v>
      </c>
      <c r="M109" s="202">
        <v>7872</v>
      </c>
      <c r="N109" s="26">
        <v>6215.72</v>
      </c>
      <c r="O109" s="202"/>
      <c r="P109" s="202">
        <v>50244.21</v>
      </c>
      <c r="Q109" s="202"/>
      <c r="R109" s="26"/>
      <c r="S109" s="26"/>
      <c r="T109" s="202"/>
      <c r="U109" s="480">
        <v>0</v>
      </c>
      <c r="V109" s="584"/>
      <c r="W109" s="584"/>
      <c r="X109" s="585">
        <f>U109+V109+W109</f>
        <v>0</v>
      </c>
      <c r="Z109" s="2"/>
      <c r="AB109" s="2"/>
      <c r="AE109" s="2"/>
    </row>
    <row r="110" spans="1:31" ht="13.5" customHeight="1">
      <c r="A110" s="815"/>
      <c r="B110" s="307">
        <v>630</v>
      </c>
      <c r="C110" s="47" t="s">
        <v>348</v>
      </c>
      <c r="D110" s="74"/>
      <c r="E110" s="74"/>
      <c r="F110" s="74"/>
      <c r="G110" s="74"/>
      <c r="H110" s="74"/>
      <c r="I110" s="47"/>
      <c r="J110" s="74"/>
      <c r="K110" s="74"/>
      <c r="L110" s="30"/>
      <c r="M110" s="220"/>
      <c r="N110" s="30">
        <v>17446.49</v>
      </c>
      <c r="O110" s="220"/>
      <c r="P110" s="220"/>
      <c r="Q110" s="220"/>
      <c r="R110" s="30"/>
      <c r="S110" s="30">
        <v>5640</v>
      </c>
      <c r="T110" s="220"/>
      <c r="U110" s="489"/>
      <c r="V110" s="584"/>
      <c r="W110" s="584"/>
      <c r="X110" s="585">
        <f>U110+V110+W110</f>
        <v>0</v>
      </c>
      <c r="Z110" s="2"/>
      <c r="AB110" s="2"/>
      <c r="AE110" s="2"/>
    </row>
    <row r="111" spans="1:31" ht="13.5" customHeight="1">
      <c r="A111" s="815"/>
      <c r="B111" s="307">
        <v>630</v>
      </c>
      <c r="C111" s="47" t="s">
        <v>285</v>
      </c>
      <c r="D111" s="74"/>
      <c r="E111" s="74"/>
      <c r="F111" s="74"/>
      <c r="G111" s="74"/>
      <c r="H111" s="74"/>
      <c r="I111" s="47">
        <v>931</v>
      </c>
      <c r="J111" s="74">
        <v>0</v>
      </c>
      <c r="K111" s="74"/>
      <c r="L111" s="74"/>
      <c r="M111" s="251"/>
      <c r="N111" s="30">
        <v>0</v>
      </c>
      <c r="O111" s="220"/>
      <c r="P111" s="220"/>
      <c r="Q111" s="220">
        <v>0</v>
      </c>
      <c r="R111" s="30"/>
      <c r="S111" s="30">
        <v>36732.99</v>
      </c>
      <c r="T111" s="220"/>
      <c r="U111" s="489"/>
      <c r="V111" s="584"/>
      <c r="W111" s="584"/>
      <c r="X111" s="585">
        <f>U111+V111+W111</f>
        <v>0</v>
      </c>
      <c r="Z111" s="2"/>
      <c r="AB111" s="2"/>
      <c r="AE111" s="2"/>
    </row>
    <row r="112" spans="1:31" ht="13.5" customHeight="1">
      <c r="A112" s="815"/>
      <c r="B112" s="307">
        <v>630</v>
      </c>
      <c r="C112" s="47" t="s">
        <v>286</v>
      </c>
      <c r="D112" s="74"/>
      <c r="E112" s="74"/>
      <c r="F112" s="74"/>
      <c r="G112" s="74"/>
      <c r="H112" s="74"/>
      <c r="I112" s="43">
        <v>10805</v>
      </c>
      <c r="J112" s="44">
        <v>3148</v>
      </c>
      <c r="K112" s="74">
        <f>2890+1395+2974+8613+1646</f>
        <v>17518</v>
      </c>
      <c r="L112" s="220">
        <v>34575.23</v>
      </c>
      <c r="M112" s="220">
        <v>22975.97</v>
      </c>
      <c r="N112" s="30">
        <v>28524.56</v>
      </c>
      <c r="O112" s="220">
        <v>26839.28</v>
      </c>
      <c r="P112" s="220">
        <v>38980.9</v>
      </c>
      <c r="Q112" s="220">
        <v>31233.38</v>
      </c>
      <c r="R112" s="30">
        <v>40000</v>
      </c>
      <c r="S112" s="30">
        <v>27953.63</v>
      </c>
      <c r="T112" s="220">
        <v>26606.62</v>
      </c>
      <c r="U112" s="489">
        <v>55000</v>
      </c>
      <c r="V112" s="584"/>
      <c r="W112" s="584"/>
      <c r="X112" s="585">
        <f>U112+V112+W112</f>
        <v>55000</v>
      </c>
      <c r="Z112" s="2"/>
      <c r="AB112" s="2"/>
      <c r="AE112" s="2"/>
    </row>
    <row r="113" spans="1:31" ht="13.5" customHeight="1" thickBot="1">
      <c r="A113" s="816"/>
      <c r="B113" s="250">
        <v>640</v>
      </c>
      <c r="C113" s="46" t="s">
        <v>287</v>
      </c>
      <c r="D113" s="60"/>
      <c r="E113" s="60">
        <v>217951</v>
      </c>
      <c r="F113" s="60">
        <v>132776</v>
      </c>
      <c r="G113" s="60">
        <v>141830</v>
      </c>
      <c r="H113" s="60">
        <v>137000</v>
      </c>
      <c r="I113" s="46">
        <v>133070</v>
      </c>
      <c r="J113" s="60">
        <v>146453</v>
      </c>
      <c r="K113" s="60">
        <v>144534</v>
      </c>
      <c r="L113" s="299">
        <v>144534</v>
      </c>
      <c r="M113" s="299">
        <v>151477</v>
      </c>
      <c r="N113" s="48">
        <v>155372</v>
      </c>
      <c r="O113" s="252">
        <v>169631.84</v>
      </c>
      <c r="P113" s="252">
        <v>169220.52</v>
      </c>
      <c r="Q113" s="252">
        <v>193874</v>
      </c>
      <c r="R113" s="48">
        <v>154631</v>
      </c>
      <c r="S113" s="48">
        <v>173210</v>
      </c>
      <c r="T113" s="252">
        <v>218782</v>
      </c>
      <c r="U113" s="471">
        <v>220915</v>
      </c>
      <c r="V113" s="593"/>
      <c r="W113" s="593"/>
      <c r="X113" s="588">
        <f>U113+V113+W113</f>
        <v>220915</v>
      </c>
      <c r="Z113" s="2"/>
      <c r="AB113" s="2"/>
      <c r="AE113" s="2"/>
    </row>
    <row r="114" spans="1:31" ht="15.75" thickBot="1">
      <c r="A114" s="209" t="s">
        <v>288</v>
      </c>
      <c r="B114" s="800" t="s">
        <v>50</v>
      </c>
      <c r="C114" s="771"/>
      <c r="D114" s="67">
        <f>D115</f>
        <v>10589</v>
      </c>
      <c r="E114" s="67">
        <f>E115</f>
        <v>11917</v>
      </c>
      <c r="F114" s="67">
        <f>F115</f>
        <v>11883</v>
      </c>
      <c r="G114" s="67">
        <f>G115</f>
        <v>4189</v>
      </c>
      <c r="H114" s="67">
        <v>5005</v>
      </c>
      <c r="I114" s="67">
        <f aca="true" t="shared" si="29" ref="I114:V114">I115</f>
        <v>5041</v>
      </c>
      <c r="J114" s="67">
        <f t="shared" si="29"/>
        <v>5609</v>
      </c>
      <c r="K114" s="67">
        <f t="shared" si="29"/>
        <v>6003</v>
      </c>
      <c r="L114" s="211">
        <v>3745.53</v>
      </c>
      <c r="M114" s="211">
        <f t="shared" si="29"/>
        <v>5989.44</v>
      </c>
      <c r="N114" s="466">
        <f t="shared" si="29"/>
        <v>5966.9</v>
      </c>
      <c r="O114" s="632">
        <f t="shared" si="29"/>
        <v>6273.49</v>
      </c>
      <c r="P114" s="632">
        <f t="shared" si="29"/>
        <v>6274.93</v>
      </c>
      <c r="Q114" s="632">
        <f t="shared" si="29"/>
        <v>6281.35</v>
      </c>
      <c r="R114" s="466">
        <f t="shared" si="29"/>
        <v>6000</v>
      </c>
      <c r="S114" s="466">
        <f t="shared" si="29"/>
        <v>6582.96</v>
      </c>
      <c r="T114" s="632">
        <v>6571.79</v>
      </c>
      <c r="U114" s="466">
        <f t="shared" si="29"/>
        <v>7000</v>
      </c>
      <c r="V114" s="107">
        <f t="shared" si="29"/>
        <v>0</v>
      </c>
      <c r="W114" s="505">
        <f>W115</f>
        <v>0</v>
      </c>
      <c r="X114" s="506">
        <f>X115</f>
        <v>7000</v>
      </c>
      <c r="Z114" s="2"/>
      <c r="AB114" s="2"/>
      <c r="AE114" s="2"/>
    </row>
    <row r="115" spans="1:31" ht="13.5" thickBot="1">
      <c r="A115" s="308"/>
      <c r="B115" s="309"/>
      <c r="C115" s="75" t="s">
        <v>289</v>
      </c>
      <c r="D115" s="83">
        <v>10589</v>
      </c>
      <c r="E115" s="83">
        <v>11917</v>
      </c>
      <c r="F115" s="83">
        <v>11883</v>
      </c>
      <c r="G115" s="83">
        <v>4189</v>
      </c>
      <c r="H115" s="83">
        <v>5005</v>
      </c>
      <c r="I115" s="75">
        <v>5041</v>
      </c>
      <c r="J115" s="83">
        <v>5609</v>
      </c>
      <c r="K115" s="12">
        <v>6003</v>
      </c>
      <c r="L115" s="244">
        <v>3745.53</v>
      </c>
      <c r="M115" s="244">
        <v>5989.44</v>
      </c>
      <c r="N115" s="12">
        <v>5966.9</v>
      </c>
      <c r="O115" s="244">
        <v>6273.49</v>
      </c>
      <c r="P115" s="244">
        <v>6274.93</v>
      </c>
      <c r="Q115" s="244">
        <v>6281.35</v>
      </c>
      <c r="R115" s="12">
        <v>6000</v>
      </c>
      <c r="S115" s="12">
        <v>6582.96</v>
      </c>
      <c r="T115" s="244">
        <v>6571.79</v>
      </c>
      <c r="U115" s="468">
        <v>7000</v>
      </c>
      <c r="V115" s="591"/>
      <c r="W115" s="591"/>
      <c r="X115" s="592">
        <f>U115+V115+W115</f>
        <v>7000</v>
      </c>
      <c r="Z115" s="2"/>
      <c r="AB115" s="2"/>
      <c r="AE115" s="2"/>
    </row>
    <row r="116" spans="1:31" ht="15.75" thickBot="1">
      <c r="A116" s="264" t="s">
        <v>308</v>
      </c>
      <c r="B116" s="830" t="s">
        <v>307</v>
      </c>
      <c r="C116" s="799"/>
      <c r="D116" s="79">
        <f>D118</f>
        <v>0</v>
      </c>
      <c r="E116" s="79">
        <f>E118</f>
        <v>122817</v>
      </c>
      <c r="F116" s="79">
        <f>F118</f>
        <v>236905</v>
      </c>
      <c r="G116" s="79">
        <f>G118</f>
        <v>210760</v>
      </c>
      <c r="H116" s="79">
        <v>216000</v>
      </c>
      <c r="I116" s="79">
        <f aca="true" t="shared" si="30" ref="I116:V116">I118</f>
        <v>173560</v>
      </c>
      <c r="J116" s="79">
        <f t="shared" si="30"/>
        <v>168880</v>
      </c>
      <c r="K116" s="79">
        <f t="shared" si="30"/>
        <v>168880</v>
      </c>
      <c r="L116" s="80">
        <v>166668</v>
      </c>
      <c r="M116" s="80">
        <f t="shared" si="30"/>
        <v>150364</v>
      </c>
      <c r="N116" s="470">
        <f t="shared" si="30"/>
        <v>136000</v>
      </c>
      <c r="O116" s="634">
        <f>O118+O117</f>
        <v>141246.73</v>
      </c>
      <c r="P116" s="634">
        <f>P118+P117</f>
        <v>166152.71</v>
      </c>
      <c r="Q116" s="634">
        <f>Q118+Q117</f>
        <v>167000</v>
      </c>
      <c r="R116" s="470">
        <f t="shared" si="30"/>
        <v>132714</v>
      </c>
      <c r="S116" s="470">
        <f t="shared" si="30"/>
        <v>148143.92</v>
      </c>
      <c r="T116" s="634">
        <v>191418.9</v>
      </c>
      <c r="U116" s="470">
        <f t="shared" si="30"/>
        <v>237869</v>
      </c>
      <c r="V116" s="398">
        <f t="shared" si="30"/>
        <v>0</v>
      </c>
      <c r="W116" s="505">
        <f>W118</f>
        <v>0</v>
      </c>
      <c r="X116" s="506">
        <f>X118</f>
        <v>237869</v>
      </c>
      <c r="Z116" s="2"/>
      <c r="AB116" s="2"/>
      <c r="AE116" s="2"/>
    </row>
    <row r="117" spans="1:31" ht="15">
      <c r="A117" s="814"/>
      <c r="B117" s="628">
        <v>630</v>
      </c>
      <c r="C117" s="253" t="s">
        <v>326</v>
      </c>
      <c r="D117" s="302"/>
      <c r="E117" s="302"/>
      <c r="F117" s="302"/>
      <c r="G117" s="302"/>
      <c r="H117" s="302"/>
      <c r="I117" s="302"/>
      <c r="J117" s="302"/>
      <c r="K117" s="622"/>
      <c r="L117" s="200"/>
      <c r="M117" s="200"/>
      <c r="N117" s="479"/>
      <c r="O117" s="638">
        <v>3112.73</v>
      </c>
      <c r="P117" s="638"/>
      <c r="Q117" s="638"/>
      <c r="R117" s="479"/>
      <c r="S117" s="479"/>
      <c r="T117" s="638"/>
      <c r="U117" s="479"/>
      <c r="V117" s="618"/>
      <c r="W117" s="623"/>
      <c r="X117" s="624">
        <f>U117+V117+W117</f>
        <v>0</v>
      </c>
      <c r="Z117" s="2"/>
      <c r="AB117" s="2"/>
      <c r="AE117" s="2"/>
    </row>
    <row r="118" spans="1:31" ht="13.5" thickBot="1">
      <c r="A118" s="816"/>
      <c r="B118" s="323">
        <v>640</v>
      </c>
      <c r="C118" s="296" t="s">
        <v>290</v>
      </c>
      <c r="D118" s="60"/>
      <c r="E118" s="60">
        <v>122817</v>
      </c>
      <c r="F118" s="60">
        <v>236905</v>
      </c>
      <c r="G118" s="60">
        <v>210760</v>
      </c>
      <c r="H118" s="60">
        <v>216000</v>
      </c>
      <c r="I118" s="46">
        <v>173560</v>
      </c>
      <c r="J118" s="60">
        <v>168880</v>
      </c>
      <c r="K118" s="48">
        <v>168880</v>
      </c>
      <c r="L118" s="252">
        <v>166668</v>
      </c>
      <c r="M118" s="252">
        <v>150364</v>
      </c>
      <c r="N118" s="48">
        <v>136000</v>
      </c>
      <c r="O118" s="252">
        <v>138134</v>
      </c>
      <c r="P118" s="252">
        <v>166152.71</v>
      </c>
      <c r="Q118" s="252">
        <v>167000</v>
      </c>
      <c r="R118" s="48">
        <v>132714</v>
      </c>
      <c r="S118" s="48">
        <v>148143.92</v>
      </c>
      <c r="T118" s="252">
        <v>191418.9</v>
      </c>
      <c r="U118" s="48">
        <v>237869</v>
      </c>
      <c r="V118" s="620"/>
      <c r="W118" s="620"/>
      <c r="X118" s="621">
        <f>U118+V118+W118</f>
        <v>237869</v>
      </c>
      <c r="Z118" s="2"/>
      <c r="AB118" s="2"/>
      <c r="AE118" s="2"/>
    </row>
    <row r="119" spans="1:32" ht="15.75" thickBot="1">
      <c r="A119" s="264" t="s">
        <v>60</v>
      </c>
      <c r="B119" s="830" t="s">
        <v>291</v>
      </c>
      <c r="C119" s="799"/>
      <c r="D119" s="79">
        <v>0</v>
      </c>
      <c r="E119" s="79">
        <v>56430</v>
      </c>
      <c r="F119" s="79">
        <v>359789</v>
      </c>
      <c r="G119" s="79">
        <v>312928</v>
      </c>
      <c r="H119" s="79">
        <v>336361</v>
      </c>
      <c r="I119" s="79">
        <f aca="true" t="shared" si="31" ref="I119:X119">SUM(I120:I127)</f>
        <v>283963</v>
      </c>
      <c r="J119" s="79">
        <f t="shared" si="31"/>
        <v>347786</v>
      </c>
      <c r="K119" s="79">
        <f t="shared" si="31"/>
        <v>268221</v>
      </c>
      <c r="L119" s="79">
        <f t="shared" si="31"/>
        <v>263798.23</v>
      </c>
      <c r="M119" s="80">
        <f t="shared" si="31"/>
        <v>287887.32</v>
      </c>
      <c r="N119" s="470">
        <f t="shared" si="31"/>
        <v>314491.48</v>
      </c>
      <c r="O119" s="634">
        <f t="shared" si="31"/>
        <v>300556.48</v>
      </c>
      <c r="P119" s="634">
        <f t="shared" si="31"/>
        <v>267198.25</v>
      </c>
      <c r="Q119" s="634">
        <f t="shared" si="31"/>
        <v>301913.75</v>
      </c>
      <c r="R119" s="470">
        <f t="shared" si="31"/>
        <v>458379</v>
      </c>
      <c r="S119" s="470">
        <f t="shared" si="31"/>
        <v>438448.69</v>
      </c>
      <c r="T119" s="634">
        <v>583280.4600000001</v>
      </c>
      <c r="U119" s="470">
        <f t="shared" si="31"/>
        <v>777270.47</v>
      </c>
      <c r="V119" s="398">
        <f t="shared" si="31"/>
        <v>0</v>
      </c>
      <c r="W119" s="505">
        <f t="shared" si="31"/>
        <v>0</v>
      </c>
      <c r="X119" s="506">
        <f t="shared" si="31"/>
        <v>777270.47</v>
      </c>
      <c r="Y119" s="507"/>
      <c r="Z119" s="2"/>
      <c r="AB119" s="2"/>
      <c r="AD119" s="2"/>
      <c r="AE119" s="2"/>
      <c r="AF119" s="2"/>
    </row>
    <row r="120" spans="1:28" ht="12.75">
      <c r="A120" s="814"/>
      <c r="B120" s="226">
        <v>610</v>
      </c>
      <c r="C120" s="41" t="s">
        <v>240</v>
      </c>
      <c r="D120" s="42"/>
      <c r="E120" s="42"/>
      <c r="F120" s="42"/>
      <c r="G120" s="42"/>
      <c r="H120" s="42"/>
      <c r="I120" s="41">
        <v>264635</v>
      </c>
      <c r="J120" s="42">
        <v>24997</v>
      </c>
      <c r="K120" s="42">
        <v>24062</v>
      </c>
      <c r="L120" s="93">
        <v>22719.55</v>
      </c>
      <c r="M120" s="214">
        <v>28495.57</v>
      </c>
      <c r="N120" s="143">
        <v>28348.01</v>
      </c>
      <c r="O120" s="214">
        <v>31464.64</v>
      </c>
      <c r="P120" s="214">
        <v>33530.71</v>
      </c>
      <c r="Q120" s="214">
        <v>39895.85</v>
      </c>
      <c r="R120" s="143">
        <v>42076</v>
      </c>
      <c r="S120" s="143">
        <v>44602.43</v>
      </c>
      <c r="T120" s="214">
        <v>42900.8</v>
      </c>
      <c r="U120" s="481">
        <v>66442</v>
      </c>
      <c r="V120" s="582"/>
      <c r="W120" s="582"/>
      <c r="X120" s="583">
        <f aca="true" t="shared" si="32" ref="X120:X127">U120+V120+W120</f>
        <v>66442</v>
      </c>
      <c r="Z120" s="2"/>
      <c r="AA120" s="2"/>
      <c r="AB120" s="2"/>
    </row>
    <row r="121" spans="1:31" ht="12.75">
      <c r="A121" s="815"/>
      <c r="B121" s="227">
        <v>620</v>
      </c>
      <c r="C121" s="43" t="s">
        <v>241</v>
      </c>
      <c r="D121" s="44"/>
      <c r="E121" s="44"/>
      <c r="F121" s="44"/>
      <c r="G121" s="44"/>
      <c r="H121" s="44"/>
      <c r="I121" s="43"/>
      <c r="J121" s="44">
        <v>9316</v>
      </c>
      <c r="K121" s="44">
        <v>8959</v>
      </c>
      <c r="L121" s="26">
        <v>9337.62</v>
      </c>
      <c r="M121" s="134">
        <v>10210.04</v>
      </c>
      <c r="N121" s="25">
        <v>10765.88</v>
      </c>
      <c r="O121" s="134">
        <v>11782.59</v>
      </c>
      <c r="P121" s="134">
        <v>12285.58</v>
      </c>
      <c r="Q121" s="134">
        <v>14108.66</v>
      </c>
      <c r="R121" s="25">
        <v>15425</v>
      </c>
      <c r="S121" s="25">
        <v>15721.4</v>
      </c>
      <c r="T121" s="134">
        <v>15172.28</v>
      </c>
      <c r="U121" s="488">
        <v>24301</v>
      </c>
      <c r="V121" s="584"/>
      <c r="W121" s="584"/>
      <c r="X121" s="585">
        <f t="shared" si="32"/>
        <v>24301</v>
      </c>
      <c r="Z121" s="2"/>
      <c r="AB121" s="2"/>
      <c r="AE121" s="2"/>
    </row>
    <row r="122" spans="1:31" ht="12.75">
      <c r="A122" s="815"/>
      <c r="B122" s="227">
        <v>630</v>
      </c>
      <c r="C122" s="43" t="s">
        <v>242</v>
      </c>
      <c r="D122" s="44"/>
      <c r="E122" s="44"/>
      <c r="F122" s="44"/>
      <c r="G122" s="44"/>
      <c r="H122" s="44"/>
      <c r="I122" s="43"/>
      <c r="J122" s="44">
        <v>291329</v>
      </c>
      <c r="K122" s="44">
        <f>212898</f>
        <v>212898</v>
      </c>
      <c r="L122" s="26">
        <v>204427.59</v>
      </c>
      <c r="M122" s="134">
        <v>218239.71</v>
      </c>
      <c r="N122" s="25">
        <v>254385.59</v>
      </c>
      <c r="O122" s="134">
        <v>246224.25</v>
      </c>
      <c r="P122" s="134">
        <v>219779.39</v>
      </c>
      <c r="Q122" s="134">
        <v>232209.24</v>
      </c>
      <c r="R122" s="25">
        <v>222600</v>
      </c>
      <c r="S122" s="25">
        <v>291671.33</v>
      </c>
      <c r="T122" s="134">
        <v>408635.18</v>
      </c>
      <c r="U122" s="488">
        <v>412174.47</v>
      </c>
      <c r="V122" s="584"/>
      <c r="W122" s="584"/>
      <c r="X122" s="585">
        <f t="shared" si="32"/>
        <v>412174.47</v>
      </c>
      <c r="Z122" s="2"/>
      <c r="AB122" s="2"/>
      <c r="AD122" s="2"/>
      <c r="AE122" s="2"/>
    </row>
    <row r="123" spans="1:31" ht="12.75">
      <c r="A123" s="815"/>
      <c r="B123" s="201">
        <v>640</v>
      </c>
      <c r="C123" s="43" t="s">
        <v>325</v>
      </c>
      <c r="D123" s="44"/>
      <c r="E123" s="44"/>
      <c r="F123" s="44"/>
      <c r="G123" s="44"/>
      <c r="H123" s="44"/>
      <c r="I123" s="43"/>
      <c r="J123" s="44"/>
      <c r="K123" s="26">
        <v>158</v>
      </c>
      <c r="L123" s="26">
        <v>169.47</v>
      </c>
      <c r="M123" s="134"/>
      <c r="N123" s="25"/>
      <c r="O123" s="134"/>
      <c r="P123" s="134">
        <v>137.43</v>
      </c>
      <c r="Q123" s="134"/>
      <c r="R123" s="25">
        <v>170000</v>
      </c>
      <c r="S123" s="25">
        <v>83861.95999999999</v>
      </c>
      <c r="T123" s="134">
        <v>109783.39</v>
      </c>
      <c r="U123" s="488">
        <v>8000</v>
      </c>
      <c r="V123" s="584"/>
      <c r="W123" s="584"/>
      <c r="X123" s="585">
        <f t="shared" si="32"/>
        <v>8000</v>
      </c>
      <c r="Z123" s="2"/>
      <c r="AB123" s="2"/>
      <c r="AE123" s="2"/>
    </row>
    <row r="124" spans="1:31" ht="12.75">
      <c r="A124" s="815"/>
      <c r="B124" s="201"/>
      <c r="C124" s="43" t="s">
        <v>388</v>
      </c>
      <c r="D124" s="44"/>
      <c r="E124" s="44"/>
      <c r="F124" s="44"/>
      <c r="G124" s="44"/>
      <c r="H124" s="44"/>
      <c r="I124" s="43"/>
      <c r="J124" s="44"/>
      <c r="K124" s="26"/>
      <c r="L124" s="26"/>
      <c r="M124" s="134"/>
      <c r="N124" s="25"/>
      <c r="O124" s="134"/>
      <c r="P124" s="134"/>
      <c r="Q124" s="134"/>
      <c r="R124" s="25">
        <v>8278</v>
      </c>
      <c r="S124" s="25"/>
      <c r="T124" s="134"/>
      <c r="U124" s="581">
        <v>177946</v>
      </c>
      <c r="V124" s="593"/>
      <c r="W124" s="593"/>
      <c r="X124" s="588">
        <f t="shared" si="32"/>
        <v>177946</v>
      </c>
      <c r="Z124" s="2"/>
      <c r="AA124" s="2"/>
      <c r="AB124" s="2"/>
      <c r="AE124" s="2"/>
    </row>
    <row r="125" spans="1:31" ht="12.75">
      <c r="A125" s="815"/>
      <c r="B125" s="201"/>
      <c r="C125" s="43" t="s">
        <v>435</v>
      </c>
      <c r="D125" s="44"/>
      <c r="E125" s="44"/>
      <c r="F125" s="44"/>
      <c r="G125" s="44"/>
      <c r="H125" s="44"/>
      <c r="I125" s="43"/>
      <c r="J125" s="44"/>
      <c r="K125" s="26"/>
      <c r="L125" s="26"/>
      <c r="M125" s="134"/>
      <c r="N125" s="25"/>
      <c r="O125" s="134"/>
      <c r="P125" s="134"/>
      <c r="Q125" s="134"/>
      <c r="R125" s="25"/>
      <c r="S125" s="25"/>
      <c r="T125" s="134"/>
      <c r="U125" s="581">
        <v>49000</v>
      </c>
      <c r="V125" s="593"/>
      <c r="W125" s="593"/>
      <c r="X125" s="588">
        <f t="shared" si="32"/>
        <v>49000</v>
      </c>
      <c r="Z125" s="2"/>
      <c r="AB125" s="2"/>
      <c r="AE125" s="2"/>
    </row>
    <row r="126" spans="1:31" ht="12.75">
      <c r="A126" s="815"/>
      <c r="B126" s="201"/>
      <c r="C126" s="43" t="s">
        <v>436</v>
      </c>
      <c r="D126" s="44"/>
      <c r="E126" s="44"/>
      <c r="F126" s="44"/>
      <c r="G126" s="44"/>
      <c r="H126" s="44"/>
      <c r="I126" s="43"/>
      <c r="J126" s="44"/>
      <c r="K126" s="26"/>
      <c r="L126" s="26"/>
      <c r="M126" s="134"/>
      <c r="N126" s="25"/>
      <c r="O126" s="134"/>
      <c r="P126" s="134"/>
      <c r="Q126" s="134"/>
      <c r="R126" s="25"/>
      <c r="S126" s="25"/>
      <c r="T126" s="134"/>
      <c r="U126" s="581">
        <v>14000</v>
      </c>
      <c r="V126" s="593"/>
      <c r="W126" s="593"/>
      <c r="X126" s="588">
        <f t="shared" si="32"/>
        <v>14000</v>
      </c>
      <c r="Z126" s="2"/>
      <c r="AB126" s="2"/>
      <c r="AE126" s="2"/>
    </row>
    <row r="127" spans="1:31" ht="13.5" thickBot="1">
      <c r="A127" s="816"/>
      <c r="B127" s="229">
        <v>640</v>
      </c>
      <c r="C127" s="115" t="s">
        <v>290</v>
      </c>
      <c r="D127" s="207"/>
      <c r="E127" s="207">
        <v>56430</v>
      </c>
      <c r="F127" s="207">
        <v>66388</v>
      </c>
      <c r="G127" s="207">
        <v>33070</v>
      </c>
      <c r="H127" s="207">
        <v>34000</v>
      </c>
      <c r="I127" s="115">
        <v>19328</v>
      </c>
      <c r="J127" s="207">
        <v>22144</v>
      </c>
      <c r="K127" s="77">
        <v>22144</v>
      </c>
      <c r="L127" s="77">
        <v>27144</v>
      </c>
      <c r="M127" s="208">
        <v>30942</v>
      </c>
      <c r="N127" s="77">
        <v>20992</v>
      </c>
      <c r="O127" s="208">
        <v>11085</v>
      </c>
      <c r="P127" s="208">
        <v>1465.14</v>
      </c>
      <c r="Q127" s="208">
        <v>15700</v>
      </c>
      <c r="R127" s="77"/>
      <c r="S127" s="77">
        <v>2591.57</v>
      </c>
      <c r="T127" s="208">
        <v>6788.81</v>
      </c>
      <c r="U127" s="475">
        <v>25407</v>
      </c>
      <c r="V127" s="593"/>
      <c r="W127" s="593"/>
      <c r="X127" s="588">
        <f t="shared" si="32"/>
        <v>25407</v>
      </c>
      <c r="Z127" s="2"/>
      <c r="AB127" s="2"/>
      <c r="AE127" s="2"/>
    </row>
    <row r="128" spans="1:31" ht="15.75" thickBot="1">
      <c r="A128" s="228"/>
      <c r="B128" s="856" t="s">
        <v>372</v>
      </c>
      <c r="C128" s="857"/>
      <c r="D128" s="207"/>
      <c r="E128" s="207"/>
      <c r="F128" s="207"/>
      <c r="G128" s="207"/>
      <c r="H128" s="207"/>
      <c r="I128" s="115"/>
      <c r="J128" s="207"/>
      <c r="K128" s="77"/>
      <c r="L128" s="77"/>
      <c r="M128" s="208"/>
      <c r="N128" s="77"/>
      <c r="O128" s="208"/>
      <c r="P128" s="208"/>
      <c r="Q128" s="208"/>
      <c r="R128" s="77"/>
      <c r="S128" s="77">
        <v>21778.81</v>
      </c>
      <c r="T128" s="208">
        <v>1065</v>
      </c>
      <c r="U128" s="475"/>
      <c r="V128" s="591"/>
      <c r="W128" s="591"/>
      <c r="X128" s="592"/>
      <c r="Z128" s="2"/>
      <c r="AB128" s="2"/>
      <c r="AE128" s="2"/>
    </row>
    <row r="129" spans="1:31" ht="15.75" thickBot="1">
      <c r="A129" s="228"/>
      <c r="B129" s="686">
        <v>600</v>
      </c>
      <c r="C129" s="75" t="s">
        <v>373</v>
      </c>
      <c r="D129" s="207"/>
      <c r="E129" s="207"/>
      <c r="F129" s="207"/>
      <c r="G129" s="207"/>
      <c r="H129" s="207"/>
      <c r="I129" s="115"/>
      <c r="J129" s="207"/>
      <c r="K129" s="77"/>
      <c r="L129" s="77"/>
      <c r="M129" s="208"/>
      <c r="N129" s="77"/>
      <c r="O129" s="208"/>
      <c r="P129" s="208"/>
      <c r="Q129" s="208"/>
      <c r="R129" s="77"/>
      <c r="S129" s="77">
        <v>21778.81</v>
      </c>
      <c r="T129" s="208">
        <v>1065</v>
      </c>
      <c r="U129" s="475"/>
      <c r="V129" s="591"/>
      <c r="W129" s="591"/>
      <c r="X129" s="592">
        <f>U129+V129+W129</f>
        <v>0</v>
      </c>
      <c r="Z129" s="2"/>
      <c r="AB129" s="2"/>
      <c r="AE129" s="2"/>
    </row>
    <row r="130" spans="1:32" ht="15.75" thickBot="1">
      <c r="A130" s="264" t="s">
        <v>221</v>
      </c>
      <c r="B130" s="830" t="s">
        <v>292</v>
      </c>
      <c r="C130" s="799"/>
      <c r="D130" s="79">
        <f aca="true" t="shared" si="33" ref="D130:V130">SUM(D131:D134)</f>
        <v>398161</v>
      </c>
      <c r="E130" s="79">
        <f t="shared" si="33"/>
        <v>245269</v>
      </c>
      <c r="F130" s="79">
        <f t="shared" si="33"/>
        <v>266050</v>
      </c>
      <c r="G130" s="79">
        <f t="shared" si="33"/>
        <v>237941</v>
      </c>
      <c r="H130" s="79">
        <f t="shared" si="33"/>
        <v>273708</v>
      </c>
      <c r="I130" s="79">
        <f t="shared" si="33"/>
        <v>262675</v>
      </c>
      <c r="J130" s="79">
        <f t="shared" si="33"/>
        <v>162661</v>
      </c>
      <c r="K130" s="79">
        <f t="shared" si="33"/>
        <v>165913</v>
      </c>
      <c r="L130" s="80">
        <f t="shared" si="33"/>
        <v>173111</v>
      </c>
      <c r="M130" s="80">
        <f t="shared" si="33"/>
        <v>179007.07</v>
      </c>
      <c r="N130" s="470">
        <f t="shared" si="33"/>
        <v>207573.5</v>
      </c>
      <c r="O130" s="634">
        <f t="shared" si="33"/>
        <v>252852.5</v>
      </c>
      <c r="P130" s="634">
        <f>SUM(P131:P134)</f>
        <v>259830</v>
      </c>
      <c r="Q130" s="634">
        <f>SUM(Q131:Q134)</f>
        <v>341183.70999999996</v>
      </c>
      <c r="R130" s="470">
        <f t="shared" si="33"/>
        <v>312893</v>
      </c>
      <c r="S130" s="470">
        <f t="shared" si="33"/>
        <v>363265.4</v>
      </c>
      <c r="T130" s="634">
        <v>463096.88</v>
      </c>
      <c r="U130" s="470">
        <f t="shared" si="33"/>
        <v>502313</v>
      </c>
      <c r="V130" s="398">
        <f t="shared" si="33"/>
        <v>0</v>
      </c>
      <c r="W130" s="505">
        <f>SUM(W131:W134)</f>
        <v>0</v>
      </c>
      <c r="X130" s="506">
        <f>SUM(X131:X134)</f>
        <v>502313</v>
      </c>
      <c r="Z130" s="2"/>
      <c r="AB130" s="2"/>
      <c r="AD130" s="2"/>
      <c r="AE130" s="2"/>
      <c r="AF130" s="2"/>
    </row>
    <row r="131" spans="1:31" ht="12.75">
      <c r="A131" s="817"/>
      <c r="B131" s="310"/>
      <c r="C131" s="41" t="s">
        <v>358</v>
      </c>
      <c r="D131" s="42">
        <v>373863</v>
      </c>
      <c r="E131" s="42">
        <v>211312</v>
      </c>
      <c r="F131" s="42">
        <v>220574</v>
      </c>
      <c r="G131" s="42">
        <v>190734</v>
      </c>
      <c r="H131" s="42">
        <v>216608</v>
      </c>
      <c r="I131" s="41">
        <v>202225</v>
      </c>
      <c r="J131" s="44">
        <v>118262</v>
      </c>
      <c r="K131" s="44">
        <v>116713</v>
      </c>
      <c r="L131" s="118">
        <v>116713</v>
      </c>
      <c r="M131" s="118">
        <v>132538</v>
      </c>
      <c r="N131" s="22">
        <v>117290</v>
      </c>
      <c r="O131" s="22">
        <v>150490</v>
      </c>
      <c r="P131" s="22">
        <v>157200</v>
      </c>
      <c r="Q131" s="118">
        <v>183913.71</v>
      </c>
      <c r="R131" s="22">
        <v>234058</v>
      </c>
      <c r="S131" s="22">
        <v>257655.4</v>
      </c>
      <c r="T131" s="118">
        <v>320916.88</v>
      </c>
      <c r="U131" s="485">
        <v>349843</v>
      </c>
      <c r="V131" s="582"/>
      <c r="W131" s="582"/>
      <c r="X131" s="583">
        <f>U131+V131+W131</f>
        <v>349843</v>
      </c>
      <c r="Z131" s="2"/>
      <c r="AB131" s="2"/>
      <c r="AE131" s="2"/>
    </row>
    <row r="132" spans="1:31" ht="12.75">
      <c r="A132" s="818"/>
      <c r="B132" s="667"/>
      <c r="C132" s="43" t="s">
        <v>320</v>
      </c>
      <c r="D132" s="44"/>
      <c r="E132" s="44"/>
      <c r="F132" s="44"/>
      <c r="G132" s="44"/>
      <c r="H132" s="44"/>
      <c r="I132" s="43"/>
      <c r="J132" s="44"/>
      <c r="K132" s="44"/>
      <c r="L132" s="202"/>
      <c r="M132" s="202">
        <v>3467.07</v>
      </c>
      <c r="N132" s="26">
        <v>50283.5</v>
      </c>
      <c r="O132" s="26">
        <v>101647</v>
      </c>
      <c r="P132" s="26">
        <v>53450</v>
      </c>
      <c r="Q132" s="202">
        <v>57270</v>
      </c>
      <c r="R132" s="26">
        <v>18835</v>
      </c>
      <c r="S132" s="26">
        <v>105610</v>
      </c>
      <c r="T132" s="202">
        <v>142180</v>
      </c>
      <c r="U132" s="480">
        <v>57470</v>
      </c>
      <c r="V132" s="584"/>
      <c r="W132" s="584"/>
      <c r="X132" s="585">
        <f>U132+V132+W132</f>
        <v>57470</v>
      </c>
      <c r="Z132" s="2"/>
      <c r="AB132" s="2"/>
      <c r="AC132" s="2"/>
      <c r="AE132" s="2"/>
    </row>
    <row r="133" spans="1:28" ht="12.75">
      <c r="A133" s="818"/>
      <c r="B133" s="667"/>
      <c r="C133" s="43" t="s">
        <v>349</v>
      </c>
      <c r="D133" s="44"/>
      <c r="E133" s="44"/>
      <c r="F133" s="44"/>
      <c r="G133" s="44"/>
      <c r="H133" s="44"/>
      <c r="I133" s="43"/>
      <c r="J133" s="44"/>
      <c r="K133" s="44"/>
      <c r="L133" s="202"/>
      <c r="M133" s="202"/>
      <c r="N133" s="26"/>
      <c r="O133" s="26"/>
      <c r="P133" s="26"/>
      <c r="Q133" s="202">
        <v>20000</v>
      </c>
      <c r="R133" s="26">
        <v>10000</v>
      </c>
      <c r="S133" s="26"/>
      <c r="T133" s="202"/>
      <c r="U133" s="480">
        <v>10000</v>
      </c>
      <c r="V133" s="584"/>
      <c r="W133" s="593"/>
      <c r="X133" s="588">
        <f>U133+V133+W133</f>
        <v>10000</v>
      </c>
      <c r="Z133" s="2"/>
      <c r="AB133" s="2"/>
    </row>
    <row r="134" spans="1:31" ht="13.5" thickBot="1">
      <c r="A134" s="819"/>
      <c r="B134" s="311"/>
      <c r="C134" s="46" t="s">
        <v>293</v>
      </c>
      <c r="D134" s="60">
        <v>24298</v>
      </c>
      <c r="E134" s="60">
        <v>33957</v>
      </c>
      <c r="F134" s="60">
        <v>45476</v>
      </c>
      <c r="G134" s="60">
        <v>47207</v>
      </c>
      <c r="H134" s="60">
        <v>57100</v>
      </c>
      <c r="I134" s="46">
        <v>60450</v>
      </c>
      <c r="J134" s="44">
        <v>44399</v>
      </c>
      <c r="K134" s="44">
        <v>49200</v>
      </c>
      <c r="L134" s="220">
        <v>56398</v>
      </c>
      <c r="M134" s="220">
        <v>43002</v>
      </c>
      <c r="N134" s="30">
        <v>40000</v>
      </c>
      <c r="O134" s="30">
        <v>715.5</v>
      </c>
      <c r="P134" s="30">
        <f>102630-53450</f>
        <v>49180</v>
      </c>
      <c r="Q134" s="220">
        <v>80000</v>
      </c>
      <c r="R134" s="30">
        <v>50000</v>
      </c>
      <c r="S134" s="30"/>
      <c r="T134" s="220"/>
      <c r="U134" s="489">
        <v>85000</v>
      </c>
      <c r="V134" s="593"/>
      <c r="W134" s="593"/>
      <c r="X134" s="588">
        <f>U134+V134+W134</f>
        <v>85000</v>
      </c>
      <c r="Z134" s="2"/>
      <c r="AB134" s="2"/>
      <c r="AE134" s="2"/>
    </row>
    <row r="135" spans="1:31" ht="15.75" thickBot="1">
      <c r="A135" s="209" t="s">
        <v>306</v>
      </c>
      <c r="B135" s="800" t="s">
        <v>75</v>
      </c>
      <c r="C135" s="771"/>
      <c r="D135" s="67">
        <v>16298</v>
      </c>
      <c r="E135" s="67">
        <f>SUM(E136:E147)</f>
        <v>196674</v>
      </c>
      <c r="F135" s="67">
        <f>SUM(F136:F147)</f>
        <v>276704</v>
      </c>
      <c r="G135" s="67">
        <v>322185</v>
      </c>
      <c r="H135" s="67">
        <v>434860</v>
      </c>
      <c r="I135" s="67">
        <f>SUM(I136:I147)</f>
        <v>399432</v>
      </c>
      <c r="J135" s="67">
        <f>SUM(J136:J147)</f>
        <v>332348</v>
      </c>
      <c r="K135" s="67">
        <f>SUM(K136:K147)</f>
        <v>315787</v>
      </c>
      <c r="L135" s="211">
        <f aca="true" t="shared" si="34" ref="L135:Q135">SUM(L136:L149)</f>
        <v>311192.31999999995</v>
      </c>
      <c r="M135" s="211">
        <f t="shared" si="34"/>
        <v>355810.5</v>
      </c>
      <c r="N135" s="466">
        <f t="shared" si="34"/>
        <v>384915.19</v>
      </c>
      <c r="O135" s="632">
        <f t="shared" si="34"/>
        <v>388070.83</v>
      </c>
      <c r="P135" s="632">
        <f t="shared" si="34"/>
        <v>361113.8</v>
      </c>
      <c r="Q135" s="632">
        <f t="shared" si="34"/>
        <v>408594.14</v>
      </c>
      <c r="R135" s="466">
        <f aca="true" t="shared" si="35" ref="R135:X135">SUM(R136:R149)</f>
        <v>261523</v>
      </c>
      <c r="S135" s="466">
        <f t="shared" si="35"/>
        <v>268647.67</v>
      </c>
      <c r="T135" s="632">
        <v>354233.36</v>
      </c>
      <c r="U135" s="466">
        <f t="shared" si="35"/>
        <v>536036</v>
      </c>
      <c r="V135" s="107">
        <f t="shared" si="35"/>
        <v>-13000</v>
      </c>
      <c r="W135" s="505">
        <f t="shared" si="35"/>
        <v>33019</v>
      </c>
      <c r="X135" s="506">
        <f t="shared" si="35"/>
        <v>556055</v>
      </c>
      <c r="Y135" s="2"/>
      <c r="Z135" s="2"/>
      <c r="AB135" s="2"/>
      <c r="AE135" s="2"/>
    </row>
    <row r="136" spans="1:31" ht="12.75">
      <c r="A136" s="817"/>
      <c r="B136" s="312"/>
      <c r="C136" s="221" t="s">
        <v>294</v>
      </c>
      <c r="D136" s="313">
        <v>4913</v>
      </c>
      <c r="E136" s="313">
        <v>3850</v>
      </c>
      <c r="F136" s="313">
        <v>5112</v>
      </c>
      <c r="G136" s="313"/>
      <c r="H136" s="313"/>
      <c r="I136" s="221">
        <v>6756</v>
      </c>
      <c r="J136" s="313">
        <v>7114</v>
      </c>
      <c r="K136" s="42">
        <v>7113</v>
      </c>
      <c r="L136" s="93">
        <v>7438.6</v>
      </c>
      <c r="M136" s="200">
        <v>12903.29</v>
      </c>
      <c r="N136" s="93">
        <v>10157.04</v>
      </c>
      <c r="O136" s="200">
        <v>15460.72</v>
      </c>
      <c r="P136" s="200">
        <v>9192</v>
      </c>
      <c r="Q136" s="200">
        <v>10989.94</v>
      </c>
      <c r="R136" s="93">
        <v>14300</v>
      </c>
      <c r="S136" s="93">
        <v>9714.43</v>
      </c>
      <c r="T136" s="200">
        <v>3866.95</v>
      </c>
      <c r="U136" s="479">
        <v>14300</v>
      </c>
      <c r="V136" s="582">
        <v>-9000</v>
      </c>
      <c r="W136" s="582"/>
      <c r="X136" s="583">
        <f aca="true" t="shared" si="36" ref="X136:X149">U136+V136+W136</f>
        <v>5300</v>
      </c>
      <c r="Z136" s="2"/>
      <c r="AB136" s="2"/>
      <c r="AE136" s="2"/>
    </row>
    <row r="137" spans="1:31" ht="12.75">
      <c r="A137" s="818"/>
      <c r="B137" s="314"/>
      <c r="C137" s="223" t="s">
        <v>219</v>
      </c>
      <c r="D137" s="315"/>
      <c r="E137" s="315"/>
      <c r="F137" s="315"/>
      <c r="G137" s="315"/>
      <c r="H137" s="315"/>
      <c r="I137" s="316">
        <v>48971</v>
      </c>
      <c r="J137" s="315"/>
      <c r="K137" s="57"/>
      <c r="L137" s="22"/>
      <c r="M137" s="118"/>
      <c r="N137" s="22"/>
      <c r="O137" s="118"/>
      <c r="P137" s="118">
        <v>12970.5</v>
      </c>
      <c r="Q137" s="118">
        <v>4960</v>
      </c>
      <c r="R137" s="22">
        <v>0</v>
      </c>
      <c r="S137" s="22"/>
      <c r="T137" s="118"/>
      <c r="U137" s="485">
        <v>0</v>
      </c>
      <c r="V137" s="584"/>
      <c r="W137" s="584"/>
      <c r="X137" s="585">
        <f t="shared" si="36"/>
        <v>0</v>
      </c>
      <c r="Z137" s="2"/>
      <c r="AB137" s="2"/>
      <c r="AE137" s="2"/>
    </row>
    <row r="138" spans="1:31" ht="12.75">
      <c r="A138" s="818"/>
      <c r="B138" s="314"/>
      <c r="C138" s="223" t="s">
        <v>204</v>
      </c>
      <c r="D138" s="315"/>
      <c r="E138" s="315"/>
      <c r="F138" s="315"/>
      <c r="G138" s="315"/>
      <c r="H138" s="315"/>
      <c r="I138" s="316">
        <v>24304</v>
      </c>
      <c r="J138" s="315">
        <v>10566</v>
      </c>
      <c r="K138" s="57">
        <v>3350</v>
      </c>
      <c r="L138" s="22">
        <v>4052</v>
      </c>
      <c r="M138" s="118">
        <v>10555.27</v>
      </c>
      <c r="N138" s="22"/>
      <c r="O138" s="118">
        <v>12040.65</v>
      </c>
      <c r="P138" s="118">
        <v>15000</v>
      </c>
      <c r="Q138" s="118">
        <v>42000</v>
      </c>
      <c r="R138" s="22">
        <v>10000</v>
      </c>
      <c r="S138" s="22"/>
      <c r="T138" s="118">
        <v>55000</v>
      </c>
      <c r="U138" s="485">
        <v>35000</v>
      </c>
      <c r="V138" s="584"/>
      <c r="W138" s="584"/>
      <c r="X138" s="585">
        <f t="shared" si="36"/>
        <v>35000</v>
      </c>
      <c r="Z138" s="2"/>
      <c r="AB138" s="2"/>
      <c r="AE138" s="2"/>
    </row>
    <row r="139" spans="1:31" ht="12.75">
      <c r="A139" s="818"/>
      <c r="B139" s="314"/>
      <c r="C139" s="223" t="s">
        <v>322</v>
      </c>
      <c r="D139" s="315"/>
      <c r="E139" s="315"/>
      <c r="F139" s="315"/>
      <c r="G139" s="315"/>
      <c r="H139" s="315"/>
      <c r="I139" s="316"/>
      <c r="J139" s="315"/>
      <c r="K139" s="57"/>
      <c r="L139" s="22"/>
      <c r="M139" s="118">
        <v>19000</v>
      </c>
      <c r="N139" s="22">
        <v>10407.57</v>
      </c>
      <c r="O139" s="118">
        <v>19000</v>
      </c>
      <c r="P139" s="118">
        <v>3083.2</v>
      </c>
      <c r="Q139" s="118">
        <v>4899.4</v>
      </c>
      <c r="R139" s="22">
        <v>2000</v>
      </c>
      <c r="S139" s="22">
        <v>3257.1899999999996</v>
      </c>
      <c r="T139" s="118">
        <v>7200</v>
      </c>
      <c r="U139" s="485">
        <v>10000</v>
      </c>
      <c r="V139" s="584">
        <v>-4000</v>
      </c>
      <c r="W139" s="584"/>
      <c r="X139" s="585">
        <f t="shared" si="36"/>
        <v>6000</v>
      </c>
      <c r="Z139" s="2"/>
      <c r="AB139" s="2"/>
      <c r="AE139" s="2"/>
    </row>
    <row r="140" spans="1:32" ht="12.75">
      <c r="A140" s="818"/>
      <c r="B140" s="314"/>
      <c r="C140" s="223" t="s">
        <v>295</v>
      </c>
      <c r="D140" s="315"/>
      <c r="E140" s="315"/>
      <c r="F140" s="315"/>
      <c r="G140" s="315"/>
      <c r="H140" s="315"/>
      <c r="I140" s="316"/>
      <c r="J140" s="315"/>
      <c r="K140" s="57"/>
      <c r="L140" s="22"/>
      <c r="M140" s="118"/>
      <c r="N140" s="22">
        <v>15000</v>
      </c>
      <c r="O140" s="118">
        <v>2377</v>
      </c>
      <c r="P140" s="118">
        <v>11700</v>
      </c>
      <c r="Q140" s="118">
        <v>17500</v>
      </c>
      <c r="R140" s="22">
        <v>1000</v>
      </c>
      <c r="S140" s="22">
        <v>6500</v>
      </c>
      <c r="T140" s="118"/>
      <c r="U140" s="485">
        <v>11200</v>
      </c>
      <c r="V140" s="584"/>
      <c r="W140" s="584"/>
      <c r="X140" s="585">
        <f t="shared" si="36"/>
        <v>11200</v>
      </c>
      <c r="Z140" s="2"/>
      <c r="AB140" s="2"/>
      <c r="AD140" s="2"/>
      <c r="AE140" s="2"/>
      <c r="AF140" s="2"/>
    </row>
    <row r="141" spans="1:31" ht="12.75">
      <c r="A141" s="818"/>
      <c r="B141" s="317"/>
      <c r="C141" s="223" t="s">
        <v>357</v>
      </c>
      <c r="D141" s="203"/>
      <c r="E141" s="203">
        <v>7568</v>
      </c>
      <c r="F141" s="203">
        <v>15767</v>
      </c>
      <c r="G141" s="203">
        <v>15084</v>
      </c>
      <c r="H141" s="203"/>
      <c r="I141" s="223">
        <v>13552</v>
      </c>
      <c r="J141" s="203">
        <v>11060</v>
      </c>
      <c r="K141" s="44">
        <v>9650</v>
      </c>
      <c r="L141" s="26">
        <v>9100</v>
      </c>
      <c r="M141" s="202">
        <v>10889.5</v>
      </c>
      <c r="N141" s="26">
        <v>15000</v>
      </c>
      <c r="O141" s="202">
        <v>7950</v>
      </c>
      <c r="P141" s="202"/>
      <c r="Q141" s="202"/>
      <c r="R141" s="26">
        <v>4000</v>
      </c>
      <c r="S141" s="26"/>
      <c r="T141" s="202"/>
      <c r="U141" s="480">
        <v>6000</v>
      </c>
      <c r="V141" s="584"/>
      <c r="W141" s="584"/>
      <c r="X141" s="585">
        <f t="shared" si="36"/>
        <v>6000</v>
      </c>
      <c r="Z141" s="2"/>
      <c r="AB141" s="2"/>
      <c r="AE141" s="2"/>
    </row>
    <row r="142" spans="1:31" ht="12.75">
      <c r="A142" s="818"/>
      <c r="B142" s="317"/>
      <c r="C142" s="223" t="s">
        <v>72</v>
      </c>
      <c r="D142" s="203"/>
      <c r="E142" s="203"/>
      <c r="F142" s="203"/>
      <c r="G142" s="203"/>
      <c r="H142" s="203"/>
      <c r="I142" s="223"/>
      <c r="J142" s="203"/>
      <c r="K142" s="44"/>
      <c r="L142" s="26"/>
      <c r="M142" s="26"/>
      <c r="N142" s="26"/>
      <c r="O142" s="202">
        <v>10000</v>
      </c>
      <c r="P142" s="202">
        <v>5000</v>
      </c>
      <c r="Q142" s="202"/>
      <c r="R142" s="26">
        <v>0</v>
      </c>
      <c r="S142" s="26"/>
      <c r="T142" s="202"/>
      <c r="U142" s="480">
        <v>9000</v>
      </c>
      <c r="V142" s="584"/>
      <c r="W142" s="584"/>
      <c r="X142" s="585">
        <f t="shared" si="36"/>
        <v>9000</v>
      </c>
      <c r="Z142" s="2"/>
      <c r="AB142" s="2"/>
      <c r="AE142" s="2"/>
    </row>
    <row r="143" spans="1:31" ht="12.75">
      <c r="A143" s="818"/>
      <c r="B143" s="317"/>
      <c r="C143" s="223" t="s">
        <v>314</v>
      </c>
      <c r="D143" s="203"/>
      <c r="E143" s="203"/>
      <c r="F143" s="203"/>
      <c r="G143" s="203"/>
      <c r="H143" s="203"/>
      <c r="I143" s="223"/>
      <c r="J143" s="203"/>
      <c r="K143" s="44"/>
      <c r="L143" s="26"/>
      <c r="M143" s="26"/>
      <c r="N143" s="26">
        <v>256.58</v>
      </c>
      <c r="O143" s="202">
        <v>4000</v>
      </c>
      <c r="P143" s="202">
        <v>6335</v>
      </c>
      <c r="Q143" s="202">
        <v>10280.42</v>
      </c>
      <c r="R143" s="26">
        <v>1000</v>
      </c>
      <c r="S143" s="26"/>
      <c r="T143" s="202">
        <v>4000</v>
      </c>
      <c r="U143" s="480">
        <v>5000</v>
      </c>
      <c r="V143" s="584"/>
      <c r="W143" s="584"/>
      <c r="X143" s="585">
        <f t="shared" si="36"/>
        <v>5000</v>
      </c>
      <c r="Z143" s="2"/>
      <c r="AB143" s="2"/>
      <c r="AE143" s="2"/>
    </row>
    <row r="144" spans="1:31" ht="12.75">
      <c r="A144" s="818"/>
      <c r="B144" s="317"/>
      <c r="C144" s="223" t="s">
        <v>199</v>
      </c>
      <c r="D144" s="203"/>
      <c r="E144" s="203"/>
      <c r="F144" s="203"/>
      <c r="G144" s="203"/>
      <c r="H144" s="203"/>
      <c r="I144" s="223"/>
      <c r="J144" s="203"/>
      <c r="K144" s="44"/>
      <c r="L144" s="26"/>
      <c r="M144" s="26"/>
      <c r="N144" s="26">
        <v>4000</v>
      </c>
      <c r="O144" s="202">
        <v>1050</v>
      </c>
      <c r="P144" s="202">
        <v>42000.1</v>
      </c>
      <c r="Q144" s="202">
        <v>86465</v>
      </c>
      <c r="R144" s="26">
        <v>75178</v>
      </c>
      <c r="S144" s="26">
        <v>71700</v>
      </c>
      <c r="T144" s="202">
        <v>89723</v>
      </c>
      <c r="U144" s="480">
        <v>191000</v>
      </c>
      <c r="V144" s="584"/>
      <c r="W144" s="584">
        <v>33019</v>
      </c>
      <c r="X144" s="585">
        <f t="shared" si="36"/>
        <v>224019</v>
      </c>
      <c r="Z144" s="2"/>
      <c r="AA144" s="2"/>
      <c r="AB144" s="2"/>
      <c r="AE144" s="2"/>
    </row>
    <row r="145" spans="1:31" ht="12.75">
      <c r="A145" s="818"/>
      <c r="B145" s="317"/>
      <c r="C145" s="223" t="s">
        <v>200</v>
      </c>
      <c r="D145" s="203"/>
      <c r="E145" s="203">
        <v>58189</v>
      </c>
      <c r="F145" s="203">
        <v>75483</v>
      </c>
      <c r="G145" s="203">
        <v>91400</v>
      </c>
      <c r="H145" s="203"/>
      <c r="I145" s="223">
        <v>152242</v>
      </c>
      <c r="J145" s="203">
        <v>162681</v>
      </c>
      <c r="K145" s="44">
        <v>150333</v>
      </c>
      <c r="L145" s="26">
        <v>119218</v>
      </c>
      <c r="M145" s="202">
        <v>148153</v>
      </c>
      <c r="N145" s="26">
        <v>76969</v>
      </c>
      <c r="O145" s="202">
        <v>70558</v>
      </c>
      <c r="P145" s="202">
        <v>77400</v>
      </c>
      <c r="Q145" s="202">
        <v>117346.38</v>
      </c>
      <c r="R145" s="26">
        <v>88613</v>
      </c>
      <c r="S145" s="26">
        <v>86733</v>
      </c>
      <c r="T145" s="202">
        <v>90525.41</v>
      </c>
      <c r="U145" s="480">
        <v>132000</v>
      </c>
      <c r="V145" s="584"/>
      <c r="W145" s="584"/>
      <c r="X145" s="585">
        <f t="shared" si="36"/>
        <v>132000</v>
      </c>
      <c r="Z145" s="2"/>
      <c r="AB145" s="2"/>
      <c r="AE145" s="2"/>
    </row>
    <row r="146" spans="1:31" ht="12.75">
      <c r="A146" s="818"/>
      <c r="B146" s="317"/>
      <c r="C146" s="223" t="s">
        <v>350</v>
      </c>
      <c r="D146" s="203"/>
      <c r="E146" s="203">
        <v>99250</v>
      </c>
      <c r="F146" s="203">
        <v>153754</v>
      </c>
      <c r="G146" s="203">
        <v>143286</v>
      </c>
      <c r="H146" s="203"/>
      <c r="I146" s="223">
        <v>86643</v>
      </c>
      <c r="J146" s="203">
        <v>82311</v>
      </c>
      <c r="K146" s="44">
        <v>93232</v>
      </c>
      <c r="L146" s="26">
        <v>109100</v>
      </c>
      <c r="M146" s="202">
        <v>88221</v>
      </c>
      <c r="N146" s="26">
        <v>81209</v>
      </c>
      <c r="O146" s="202">
        <v>72867</v>
      </c>
      <c r="P146" s="202"/>
      <c r="Q146" s="202"/>
      <c r="R146" s="26">
        <v>0</v>
      </c>
      <c r="S146" s="26"/>
      <c r="T146" s="202"/>
      <c r="U146" s="480">
        <v>0</v>
      </c>
      <c r="V146" s="584"/>
      <c r="W146" s="584"/>
      <c r="X146" s="585">
        <f t="shared" si="36"/>
        <v>0</v>
      </c>
      <c r="Z146" s="2"/>
      <c r="AB146" s="2"/>
      <c r="AE146" s="2"/>
    </row>
    <row r="147" spans="1:31" ht="12.75">
      <c r="A147" s="818"/>
      <c r="B147" s="318"/>
      <c r="C147" s="43" t="s">
        <v>201</v>
      </c>
      <c r="D147" s="44"/>
      <c r="E147" s="44">
        <v>27817</v>
      </c>
      <c r="F147" s="44">
        <v>26588</v>
      </c>
      <c r="G147" s="44">
        <v>25790</v>
      </c>
      <c r="H147" s="44"/>
      <c r="I147" s="43">
        <v>66964</v>
      </c>
      <c r="J147" s="44">
        <v>58616</v>
      </c>
      <c r="K147" s="44">
        <v>52109</v>
      </c>
      <c r="L147" s="44">
        <v>49442</v>
      </c>
      <c r="M147" s="114">
        <v>49808</v>
      </c>
      <c r="N147" s="26">
        <v>60863</v>
      </c>
      <c r="O147" s="202">
        <v>64900</v>
      </c>
      <c r="P147" s="202">
        <v>67942</v>
      </c>
      <c r="Q147" s="202"/>
      <c r="R147" s="26">
        <v>0</v>
      </c>
      <c r="S147" s="26"/>
      <c r="T147" s="202"/>
      <c r="U147" s="480">
        <v>0</v>
      </c>
      <c r="V147" s="584"/>
      <c r="W147" s="584"/>
      <c r="X147" s="585">
        <f t="shared" si="36"/>
        <v>0</v>
      </c>
      <c r="Z147" s="2"/>
      <c r="AB147" s="2"/>
      <c r="AE147" s="2"/>
    </row>
    <row r="148" spans="1:31" ht="12.75">
      <c r="A148" s="818"/>
      <c r="B148" s="442"/>
      <c r="C148" s="47" t="s">
        <v>202</v>
      </c>
      <c r="D148" s="74"/>
      <c r="E148" s="74"/>
      <c r="F148" s="74"/>
      <c r="G148" s="74"/>
      <c r="H148" s="74"/>
      <c r="I148" s="47"/>
      <c r="J148" s="74"/>
      <c r="K148" s="74"/>
      <c r="L148" s="74">
        <v>12841.72</v>
      </c>
      <c r="M148" s="251">
        <v>16280.44</v>
      </c>
      <c r="N148" s="30">
        <v>18152</v>
      </c>
      <c r="O148" s="220">
        <v>24031</v>
      </c>
      <c r="P148" s="220">
        <v>24298</v>
      </c>
      <c r="Q148" s="220">
        <v>25498</v>
      </c>
      <c r="R148" s="30">
        <v>7498</v>
      </c>
      <c r="S148" s="30">
        <v>18663</v>
      </c>
      <c r="T148" s="220">
        <v>21115</v>
      </c>
      <c r="U148" s="489">
        <v>25555</v>
      </c>
      <c r="V148" s="584"/>
      <c r="W148" s="584"/>
      <c r="X148" s="585">
        <f t="shared" si="36"/>
        <v>25555</v>
      </c>
      <c r="Z148" s="2"/>
      <c r="AB148" s="2"/>
      <c r="AE148" s="2"/>
    </row>
    <row r="149" spans="1:31" ht="13.5" thickBot="1">
      <c r="A149" s="819"/>
      <c r="B149" s="319"/>
      <c r="C149" s="46" t="s">
        <v>203</v>
      </c>
      <c r="D149" s="60"/>
      <c r="E149" s="60"/>
      <c r="F149" s="60"/>
      <c r="G149" s="60"/>
      <c r="H149" s="60"/>
      <c r="I149" s="46"/>
      <c r="J149" s="60"/>
      <c r="K149" s="60"/>
      <c r="L149" s="60"/>
      <c r="M149" s="60"/>
      <c r="N149" s="48">
        <v>92901</v>
      </c>
      <c r="O149" s="252">
        <v>83836.46</v>
      </c>
      <c r="P149" s="252">
        <v>86193</v>
      </c>
      <c r="Q149" s="252">
        <v>88655</v>
      </c>
      <c r="R149" s="48">
        <v>57934</v>
      </c>
      <c r="S149" s="48">
        <v>72080.05</v>
      </c>
      <c r="T149" s="252">
        <v>82803</v>
      </c>
      <c r="U149" s="471">
        <v>96981</v>
      </c>
      <c r="V149" s="593"/>
      <c r="W149" s="593"/>
      <c r="X149" s="588">
        <f t="shared" si="36"/>
        <v>96981</v>
      </c>
      <c r="Z149" s="2"/>
      <c r="AB149" s="2"/>
      <c r="AE149" s="2"/>
    </row>
    <row r="150" spans="1:31" ht="15.75" thickBot="1">
      <c r="A150" s="288" t="s">
        <v>296</v>
      </c>
      <c r="B150" s="800" t="s">
        <v>0</v>
      </c>
      <c r="C150" s="771"/>
      <c r="D150" s="67">
        <f>SUM(D151:D152)</f>
        <v>0</v>
      </c>
      <c r="E150" s="67">
        <f>SUM(E151:E152)</f>
        <v>44944</v>
      </c>
      <c r="F150" s="67">
        <f>SUM(F151:F152)</f>
        <v>55765</v>
      </c>
      <c r="G150" s="67">
        <f>SUM(G151:G152)</f>
        <v>48780</v>
      </c>
      <c r="H150" s="67">
        <f aca="true" t="shared" si="37" ref="H150:M150">SUM(H151:H152)</f>
        <v>52570</v>
      </c>
      <c r="I150" s="67">
        <f t="shared" si="37"/>
        <v>48691</v>
      </c>
      <c r="J150" s="67">
        <f t="shared" si="37"/>
        <v>46108</v>
      </c>
      <c r="K150" s="79">
        <f t="shared" si="37"/>
        <v>47470</v>
      </c>
      <c r="L150" s="80">
        <f t="shared" si="37"/>
        <v>48334.8</v>
      </c>
      <c r="M150" s="80">
        <f t="shared" si="37"/>
        <v>45244.8</v>
      </c>
      <c r="N150" s="470">
        <f aca="true" t="shared" si="38" ref="N150:V150">SUM(N151:N152)</f>
        <v>51246.22</v>
      </c>
      <c r="O150" s="634">
        <f t="shared" si="38"/>
        <v>45133.520000000004</v>
      </c>
      <c r="P150" s="634">
        <f t="shared" si="38"/>
        <v>47476.15</v>
      </c>
      <c r="Q150" s="634">
        <f t="shared" si="38"/>
        <v>47435.44</v>
      </c>
      <c r="R150" s="470">
        <f t="shared" si="38"/>
        <v>58836</v>
      </c>
      <c r="S150" s="470">
        <f t="shared" si="38"/>
        <v>55192.62</v>
      </c>
      <c r="T150" s="634">
        <v>49545.7</v>
      </c>
      <c r="U150" s="470">
        <f t="shared" si="38"/>
        <v>68261</v>
      </c>
      <c r="V150" s="67">
        <f t="shared" si="38"/>
        <v>0</v>
      </c>
      <c r="W150" s="505">
        <f>SUM(W151:W152)</f>
        <v>0</v>
      </c>
      <c r="X150" s="506">
        <f>SUM(X151:X152)</f>
        <v>68261</v>
      </c>
      <c r="Z150" s="2"/>
      <c r="AB150" s="2"/>
      <c r="AE150" s="2"/>
    </row>
    <row r="151" spans="1:31" ht="12.75">
      <c r="A151" s="817"/>
      <c r="B151" s="226">
        <v>630</v>
      </c>
      <c r="C151" s="221" t="s">
        <v>207</v>
      </c>
      <c r="D151" s="313"/>
      <c r="E151" s="313">
        <v>36679</v>
      </c>
      <c r="F151" s="313">
        <v>46803</v>
      </c>
      <c r="G151" s="313">
        <v>39726</v>
      </c>
      <c r="H151" s="313">
        <v>43006</v>
      </c>
      <c r="I151" s="221">
        <v>38795</v>
      </c>
      <c r="J151" s="221">
        <v>36600</v>
      </c>
      <c r="K151" s="42">
        <v>37500</v>
      </c>
      <c r="L151" s="200">
        <v>40890</v>
      </c>
      <c r="M151" s="200">
        <v>37800</v>
      </c>
      <c r="N151" s="93">
        <v>39750</v>
      </c>
      <c r="O151" s="200">
        <v>33550</v>
      </c>
      <c r="P151" s="200">
        <v>37036.15</v>
      </c>
      <c r="Q151" s="200">
        <v>37925.44</v>
      </c>
      <c r="R151" s="93">
        <v>39836</v>
      </c>
      <c r="S151" s="93">
        <v>42509.62</v>
      </c>
      <c r="T151" s="200">
        <v>37622.7</v>
      </c>
      <c r="U151" s="93">
        <v>49261</v>
      </c>
      <c r="V151" s="582"/>
      <c r="W151" s="582"/>
      <c r="X151" s="583">
        <f>U151+V151+W151</f>
        <v>49261</v>
      </c>
      <c r="Z151" s="2"/>
      <c r="AB151" s="2"/>
      <c r="AE151" s="2"/>
    </row>
    <row r="152" spans="1:31" ht="13.5" thickBot="1">
      <c r="A152" s="819"/>
      <c r="B152" s="250">
        <v>630</v>
      </c>
      <c r="C152" s="296" t="s">
        <v>1</v>
      </c>
      <c r="D152" s="298"/>
      <c r="E152" s="298">
        <v>8265</v>
      </c>
      <c r="F152" s="298">
        <v>8962</v>
      </c>
      <c r="G152" s="298">
        <v>9054</v>
      </c>
      <c r="H152" s="298">
        <v>9564</v>
      </c>
      <c r="I152" s="296">
        <v>9896</v>
      </c>
      <c r="J152" s="296">
        <v>9508</v>
      </c>
      <c r="K152" s="60">
        <v>9970</v>
      </c>
      <c r="L152" s="252">
        <v>7444.8</v>
      </c>
      <c r="M152" s="252">
        <v>7444.8</v>
      </c>
      <c r="N152" s="48">
        <v>11496.22</v>
      </c>
      <c r="O152" s="252">
        <v>11583.52</v>
      </c>
      <c r="P152" s="252">
        <v>10440</v>
      </c>
      <c r="Q152" s="252">
        <v>9510</v>
      </c>
      <c r="R152" s="48">
        <v>19000</v>
      </c>
      <c r="S152" s="48">
        <v>12683</v>
      </c>
      <c r="T152" s="252">
        <v>11923</v>
      </c>
      <c r="U152" s="471">
        <v>19000</v>
      </c>
      <c r="V152" s="593"/>
      <c r="W152" s="593"/>
      <c r="X152" s="588">
        <f>U152+V152+W152</f>
        <v>19000</v>
      </c>
      <c r="Z152" s="2"/>
      <c r="AB152" s="2"/>
      <c r="AE152" s="2"/>
    </row>
    <row r="153" spans="1:31" ht="15.75" thickBot="1">
      <c r="A153" s="264" t="s">
        <v>65</v>
      </c>
      <c r="B153" s="800" t="s">
        <v>2</v>
      </c>
      <c r="C153" s="771"/>
      <c r="D153" s="67">
        <v>6008</v>
      </c>
      <c r="E153" s="67">
        <f>SUM(E154:E158)</f>
        <v>6373</v>
      </c>
      <c r="F153" s="67">
        <f>SUM(F154:F158)</f>
        <v>76413</v>
      </c>
      <c r="G153" s="67">
        <f>SUM(G154:G158)</f>
        <v>50904</v>
      </c>
      <c r="H153" s="67">
        <v>43602</v>
      </c>
      <c r="I153" s="67">
        <f aca="true" t="shared" si="39" ref="I153:V153">SUM(I154:I158)</f>
        <v>80402</v>
      </c>
      <c r="J153" s="67">
        <f t="shared" si="39"/>
        <v>65201</v>
      </c>
      <c r="K153" s="67">
        <f t="shared" si="39"/>
        <v>82763</v>
      </c>
      <c r="L153" s="211">
        <f t="shared" si="39"/>
        <v>85325.96</v>
      </c>
      <c r="M153" s="211">
        <f t="shared" si="39"/>
        <v>98428.31</v>
      </c>
      <c r="N153" s="466">
        <f t="shared" si="39"/>
        <v>91637.84999999999</v>
      </c>
      <c r="O153" s="466">
        <f t="shared" si="39"/>
        <v>98282.1</v>
      </c>
      <c r="P153" s="466">
        <f t="shared" si="39"/>
        <v>86440.45</v>
      </c>
      <c r="Q153" s="632">
        <f t="shared" si="39"/>
        <v>124303.2</v>
      </c>
      <c r="R153" s="466">
        <f t="shared" si="39"/>
        <v>102958</v>
      </c>
      <c r="S153" s="466">
        <f t="shared" si="39"/>
        <v>120375.1</v>
      </c>
      <c r="T153" s="632">
        <v>131965.77000000002</v>
      </c>
      <c r="U153" s="466">
        <f t="shared" si="39"/>
        <v>127203</v>
      </c>
      <c r="V153" s="107">
        <f t="shared" si="39"/>
        <v>0</v>
      </c>
      <c r="W153" s="505">
        <f>SUM(W154:W158)</f>
        <v>1800</v>
      </c>
      <c r="X153" s="506">
        <f>SUM(X154:X158)</f>
        <v>129003</v>
      </c>
      <c r="Z153" s="2"/>
      <c r="AB153" s="2"/>
      <c r="AE153" s="2"/>
    </row>
    <row r="154" spans="1:31" ht="12.75">
      <c r="A154" s="834"/>
      <c r="B154" s="837"/>
      <c r="C154" s="41" t="s">
        <v>3</v>
      </c>
      <c r="D154" s="42"/>
      <c r="E154" s="42">
        <v>5842</v>
      </c>
      <c r="F154" s="42">
        <v>6108</v>
      </c>
      <c r="G154" s="42">
        <v>13480</v>
      </c>
      <c r="H154" s="42">
        <v>6009</v>
      </c>
      <c r="I154" s="41">
        <v>6900</v>
      </c>
      <c r="J154" s="313">
        <v>3787</v>
      </c>
      <c r="K154" s="42">
        <v>3290</v>
      </c>
      <c r="L154" s="200">
        <v>1483</v>
      </c>
      <c r="M154" s="200">
        <v>9142.95</v>
      </c>
      <c r="N154" s="93">
        <v>5153.01</v>
      </c>
      <c r="O154" s="93"/>
      <c r="P154" s="93"/>
      <c r="Q154" s="200"/>
      <c r="R154" s="93">
        <v>0</v>
      </c>
      <c r="S154" s="93"/>
      <c r="T154" s="200"/>
      <c r="U154" s="479">
        <v>0</v>
      </c>
      <c r="V154" s="618"/>
      <c r="W154" s="618"/>
      <c r="X154" s="619">
        <f>U154+V154+W154</f>
        <v>0</v>
      </c>
      <c r="Z154" s="2"/>
      <c r="AB154" s="2"/>
      <c r="AE154" s="2"/>
    </row>
    <row r="155" spans="1:31" ht="12.75">
      <c r="A155" s="835"/>
      <c r="B155" s="838"/>
      <c r="C155" s="72" t="s">
        <v>441</v>
      </c>
      <c r="D155" s="57"/>
      <c r="E155" s="57"/>
      <c r="F155" s="57"/>
      <c r="G155" s="57"/>
      <c r="H155" s="57"/>
      <c r="I155" s="72"/>
      <c r="J155" s="315"/>
      <c r="K155" s="57"/>
      <c r="L155" s="118"/>
      <c r="M155" s="118"/>
      <c r="N155" s="22"/>
      <c r="O155" s="22"/>
      <c r="P155" s="22"/>
      <c r="Q155" s="118"/>
      <c r="R155" s="22"/>
      <c r="S155" s="22"/>
      <c r="T155" s="118">
        <v>12859</v>
      </c>
      <c r="U155" s="485">
        <v>7000</v>
      </c>
      <c r="V155" s="582"/>
      <c r="W155" s="582"/>
      <c r="X155" s="583">
        <f>U155+V155+W155</f>
        <v>7000</v>
      </c>
      <c r="Z155" s="2"/>
      <c r="AB155" s="2"/>
      <c r="AE155" s="2"/>
    </row>
    <row r="156" spans="1:31" ht="12.75">
      <c r="A156" s="835"/>
      <c r="B156" s="838"/>
      <c r="C156" s="43" t="s">
        <v>162</v>
      </c>
      <c r="D156" s="44"/>
      <c r="E156" s="44"/>
      <c r="F156" s="44"/>
      <c r="G156" s="44"/>
      <c r="H156" s="44"/>
      <c r="I156" s="43"/>
      <c r="J156" s="203"/>
      <c r="K156" s="44"/>
      <c r="L156" s="118"/>
      <c r="M156" s="118"/>
      <c r="N156" s="22"/>
      <c r="O156" s="118">
        <v>4985.1</v>
      </c>
      <c r="P156" s="118">
        <v>14458.009999999998</v>
      </c>
      <c r="Q156" s="118">
        <v>18101.53</v>
      </c>
      <c r="R156" s="22">
        <v>12748</v>
      </c>
      <c r="S156" s="22">
        <v>24224.58</v>
      </c>
      <c r="T156" s="118">
        <v>8502.77</v>
      </c>
      <c r="U156" s="485">
        <v>9213</v>
      </c>
      <c r="V156" s="582"/>
      <c r="W156" s="582">
        <v>1800</v>
      </c>
      <c r="X156" s="583">
        <f>U156+V156+W156</f>
        <v>11013</v>
      </c>
      <c r="Z156" s="2"/>
      <c r="AB156" s="2"/>
      <c r="AE156" s="2"/>
    </row>
    <row r="157" spans="1:31" ht="12.75">
      <c r="A157" s="835"/>
      <c r="B157" s="838"/>
      <c r="C157" s="43" t="s">
        <v>4</v>
      </c>
      <c r="D157" s="44"/>
      <c r="E157" s="44">
        <v>0</v>
      </c>
      <c r="F157" s="44">
        <v>66388</v>
      </c>
      <c r="G157" s="44">
        <v>33390</v>
      </c>
      <c r="H157" s="44">
        <v>32749</v>
      </c>
      <c r="I157" s="43">
        <v>70000</v>
      </c>
      <c r="J157" s="203">
        <v>59118</v>
      </c>
      <c r="K157" s="44">
        <v>75103</v>
      </c>
      <c r="L157" s="202">
        <v>81056.96</v>
      </c>
      <c r="M157" s="202">
        <v>86285.36</v>
      </c>
      <c r="N157" s="26">
        <v>5874.72</v>
      </c>
      <c r="O157" s="202">
        <v>90485</v>
      </c>
      <c r="P157" s="202">
        <v>71812.44</v>
      </c>
      <c r="Q157" s="202">
        <v>103201.67</v>
      </c>
      <c r="R157" s="26">
        <v>88710</v>
      </c>
      <c r="S157" s="26">
        <v>95300.52</v>
      </c>
      <c r="T157" s="202">
        <v>109444</v>
      </c>
      <c r="U157" s="480">
        <v>108990</v>
      </c>
      <c r="V157" s="584"/>
      <c r="W157" s="584"/>
      <c r="X157" s="585">
        <f>U157+V157+W157</f>
        <v>108990</v>
      </c>
      <c r="Z157" s="2"/>
      <c r="AB157" s="2"/>
      <c r="AE157" s="2"/>
    </row>
    <row r="158" spans="1:31" ht="13.5" thickBot="1">
      <c r="A158" s="836"/>
      <c r="B158" s="839"/>
      <c r="C158" s="115" t="s">
        <v>5</v>
      </c>
      <c r="D158" s="207"/>
      <c r="E158" s="207">
        <v>531</v>
      </c>
      <c r="F158" s="207">
        <v>3917</v>
      </c>
      <c r="G158" s="207">
        <v>4034</v>
      </c>
      <c r="H158" s="207">
        <v>796</v>
      </c>
      <c r="I158" s="115">
        <v>3502</v>
      </c>
      <c r="J158" s="298">
        <v>2296</v>
      </c>
      <c r="K158" s="60">
        <v>4370</v>
      </c>
      <c r="L158" s="208">
        <v>2786</v>
      </c>
      <c r="M158" s="208">
        <v>3000</v>
      </c>
      <c r="N158" s="77">
        <v>80610.12</v>
      </c>
      <c r="O158" s="208">
        <v>2812</v>
      </c>
      <c r="P158" s="208">
        <v>170</v>
      </c>
      <c r="Q158" s="208">
        <v>3000</v>
      </c>
      <c r="R158" s="77">
        <v>1500</v>
      </c>
      <c r="S158" s="77">
        <v>850</v>
      </c>
      <c r="T158" s="208">
        <v>1160</v>
      </c>
      <c r="U158" s="77">
        <v>2000</v>
      </c>
      <c r="V158" s="620"/>
      <c r="W158" s="620"/>
      <c r="X158" s="621">
        <f>U158+V158+W158</f>
        <v>2000</v>
      </c>
      <c r="Z158" s="2"/>
      <c r="AB158" s="2"/>
      <c r="AE158" s="2"/>
    </row>
    <row r="159" spans="1:32" ht="15.75" thickBot="1">
      <c r="A159" s="209" t="s">
        <v>6</v>
      </c>
      <c r="B159" s="800" t="s">
        <v>7</v>
      </c>
      <c r="C159" s="771"/>
      <c r="D159" s="67">
        <v>2960832</v>
      </c>
      <c r="E159" s="67">
        <v>3369814</v>
      </c>
      <c r="F159" s="67">
        <v>3780057</v>
      </c>
      <c r="G159" s="67">
        <v>4405952.43</v>
      </c>
      <c r="H159" s="67">
        <v>4455752</v>
      </c>
      <c r="I159" s="67">
        <f aca="true" t="shared" si="40" ref="I159:U159">I160+I165</f>
        <v>4609033</v>
      </c>
      <c r="J159" s="67">
        <f t="shared" si="40"/>
        <v>4840194</v>
      </c>
      <c r="K159" s="67">
        <f t="shared" si="40"/>
        <v>4773475</v>
      </c>
      <c r="L159" s="211">
        <f>L160+L165</f>
        <v>4944992.85</v>
      </c>
      <c r="M159" s="211">
        <f t="shared" si="40"/>
        <v>5255422.85</v>
      </c>
      <c r="N159" s="466">
        <f t="shared" si="40"/>
        <v>5401219.45</v>
      </c>
      <c r="O159" s="632">
        <f>O160+O165</f>
        <v>5606281.4399999995</v>
      </c>
      <c r="P159" s="632">
        <f>P160+P165</f>
        <v>5915004.52</v>
      </c>
      <c r="Q159" s="632">
        <f>Q160+Q165</f>
        <v>6513428.659999999</v>
      </c>
      <c r="R159" s="466">
        <f>R160+R165</f>
        <v>6622320</v>
      </c>
      <c r="S159" s="466">
        <f>S160+S165</f>
        <v>7277274.319999999</v>
      </c>
      <c r="T159" s="632">
        <v>8156314.79</v>
      </c>
      <c r="U159" s="466">
        <f t="shared" si="40"/>
        <v>8437351</v>
      </c>
      <c r="V159" s="107">
        <f>V160+V165</f>
        <v>0</v>
      </c>
      <c r="W159" s="505">
        <f>W160+W165</f>
        <v>47373</v>
      </c>
      <c r="X159" s="506">
        <f>X160+X165</f>
        <v>8484724</v>
      </c>
      <c r="Z159" s="2"/>
      <c r="AB159" s="2"/>
      <c r="AD159" s="2"/>
      <c r="AE159" s="2"/>
      <c r="AF159" s="2"/>
    </row>
    <row r="160" spans="1:31" ht="15.75" thickBot="1">
      <c r="A160" s="834"/>
      <c r="B160" s="840" t="s">
        <v>220</v>
      </c>
      <c r="C160" s="841"/>
      <c r="D160" s="64">
        <v>29177</v>
      </c>
      <c r="E160" s="64">
        <v>27518</v>
      </c>
      <c r="F160" s="64">
        <v>28447</v>
      </c>
      <c r="G160" s="64">
        <v>30677</v>
      </c>
      <c r="H160" s="64">
        <v>31410</v>
      </c>
      <c r="I160" s="64">
        <f>SUM(I161:I163)</f>
        <v>41249</v>
      </c>
      <c r="J160" s="64">
        <f>SUM(J161:J163)</f>
        <v>38808</v>
      </c>
      <c r="K160" s="64">
        <f>SUM(K161:K163)</f>
        <v>36313</v>
      </c>
      <c r="L160" s="155">
        <f>SUM(L161:L163)</f>
        <v>35493.83</v>
      </c>
      <c r="M160" s="155">
        <f>SUM(M161:M164)</f>
        <v>51463.89000000001</v>
      </c>
      <c r="N160" s="473">
        <f>SUM(N161:N163)</f>
        <v>56202.630000000005</v>
      </c>
      <c r="O160" s="639">
        <f>SUM(O161:O163)</f>
        <v>54280.090000000004</v>
      </c>
      <c r="P160" s="639">
        <f>SUM(P161:P164)</f>
        <v>61314.87</v>
      </c>
      <c r="Q160" s="639">
        <f>SUM(Q161:Q164)</f>
        <v>51737.259999999995</v>
      </c>
      <c r="R160" s="473">
        <f aca="true" t="shared" si="41" ref="R160:X160">SUM(R161:R163)</f>
        <v>65741</v>
      </c>
      <c r="S160" s="473">
        <f t="shared" si="41"/>
        <v>44484.13</v>
      </c>
      <c r="T160" s="639">
        <v>39859.219999999994</v>
      </c>
      <c r="U160" s="473">
        <f t="shared" si="41"/>
        <v>74399</v>
      </c>
      <c r="V160" s="98">
        <f t="shared" si="41"/>
        <v>0</v>
      </c>
      <c r="W160" s="505">
        <f t="shared" si="41"/>
        <v>0</v>
      </c>
      <c r="X160" s="506">
        <f t="shared" si="41"/>
        <v>74399</v>
      </c>
      <c r="Z160" s="2"/>
      <c r="AB160" s="2"/>
      <c r="AE160" s="2"/>
    </row>
    <row r="161" spans="1:31" ht="12.75">
      <c r="A161" s="835"/>
      <c r="B161" s="306">
        <v>610</v>
      </c>
      <c r="C161" s="72" t="s">
        <v>240</v>
      </c>
      <c r="D161" s="239"/>
      <c r="E161" s="239">
        <v>18854</v>
      </c>
      <c r="F161" s="239">
        <v>18290</v>
      </c>
      <c r="G161" s="239">
        <v>19464</v>
      </c>
      <c r="H161" s="239">
        <v>22248</v>
      </c>
      <c r="I161" s="145">
        <v>29541</v>
      </c>
      <c r="J161" s="203">
        <v>26330</v>
      </c>
      <c r="K161" s="44">
        <v>25388</v>
      </c>
      <c r="L161" s="239">
        <v>24578.53</v>
      </c>
      <c r="M161" s="533">
        <v>33902.8</v>
      </c>
      <c r="N161" s="541">
        <v>34953.55</v>
      </c>
      <c r="O161" s="640">
        <v>37117.04</v>
      </c>
      <c r="P161" s="640">
        <v>39049.72</v>
      </c>
      <c r="Q161" s="640">
        <v>35866.21</v>
      </c>
      <c r="R161" s="541">
        <v>45404</v>
      </c>
      <c r="S161" s="541">
        <v>32858.17</v>
      </c>
      <c r="T161" s="640">
        <v>29279.14</v>
      </c>
      <c r="U161" s="493">
        <v>51820</v>
      </c>
      <c r="V161" s="582"/>
      <c r="W161" s="582"/>
      <c r="X161" s="583">
        <f>U161+V161+W161</f>
        <v>51820</v>
      </c>
      <c r="Z161" s="2"/>
      <c r="AB161" s="2"/>
      <c r="AE161" s="2"/>
    </row>
    <row r="162" spans="1:31" ht="12.75">
      <c r="A162" s="835"/>
      <c r="B162" s="227">
        <v>620</v>
      </c>
      <c r="C162" s="43" t="s">
        <v>241</v>
      </c>
      <c r="D162" s="44"/>
      <c r="E162" s="44">
        <v>6473</v>
      </c>
      <c r="F162" s="44">
        <v>6340</v>
      </c>
      <c r="G162" s="44">
        <v>6869</v>
      </c>
      <c r="H162" s="44">
        <v>6877</v>
      </c>
      <c r="I162" s="43">
        <v>9575</v>
      </c>
      <c r="J162" s="203">
        <v>9735</v>
      </c>
      <c r="K162" s="44">
        <v>9358</v>
      </c>
      <c r="L162" s="44">
        <v>9719.8</v>
      </c>
      <c r="M162" s="192">
        <v>11551.79</v>
      </c>
      <c r="N162" s="96">
        <v>12736.3</v>
      </c>
      <c r="O162" s="641">
        <v>13736.32</v>
      </c>
      <c r="P162" s="641">
        <v>15439.53</v>
      </c>
      <c r="Q162" s="641">
        <v>12794.52</v>
      </c>
      <c r="R162" s="96">
        <v>16337</v>
      </c>
      <c r="S162" s="96">
        <v>10514.61</v>
      </c>
      <c r="T162" s="641">
        <v>9186.25</v>
      </c>
      <c r="U162" s="494">
        <v>18579</v>
      </c>
      <c r="V162" s="584"/>
      <c r="W162" s="584"/>
      <c r="X162" s="585">
        <f>U162+V162+W162</f>
        <v>18579</v>
      </c>
      <c r="Z162" s="2"/>
      <c r="AB162" s="2"/>
      <c r="AE162" s="2"/>
    </row>
    <row r="163" spans="1:31" ht="13.5" thickBot="1">
      <c r="A163" s="835"/>
      <c r="B163" s="201">
        <v>630</v>
      </c>
      <c r="C163" s="43" t="s">
        <v>242</v>
      </c>
      <c r="D163" s="60"/>
      <c r="E163" s="60">
        <v>2191</v>
      </c>
      <c r="F163" s="60">
        <v>3817</v>
      </c>
      <c r="G163" s="60">
        <v>4344</v>
      </c>
      <c r="H163" s="60">
        <v>2285</v>
      </c>
      <c r="I163" s="46">
        <v>2133</v>
      </c>
      <c r="J163" s="203">
        <v>2743</v>
      </c>
      <c r="K163" s="44">
        <v>1567</v>
      </c>
      <c r="L163" s="44">
        <v>1195.5</v>
      </c>
      <c r="M163" s="114">
        <v>1127.3</v>
      </c>
      <c r="N163" s="26">
        <v>8512.78</v>
      </c>
      <c r="O163" s="202">
        <v>3426.73</v>
      </c>
      <c r="P163" s="202">
        <v>3125.62</v>
      </c>
      <c r="Q163" s="202">
        <v>3076.53</v>
      </c>
      <c r="R163" s="26">
        <v>4000</v>
      </c>
      <c r="S163" s="26">
        <v>1111.35</v>
      </c>
      <c r="T163" s="202">
        <v>1326.63</v>
      </c>
      <c r="U163" s="480">
        <v>4000</v>
      </c>
      <c r="V163" s="584"/>
      <c r="W163" s="584"/>
      <c r="X163" s="585">
        <f>U163+V163+W163</f>
        <v>4000</v>
      </c>
      <c r="Z163" s="2"/>
      <c r="AB163" s="2"/>
      <c r="AE163" s="2"/>
    </row>
    <row r="164" spans="1:31" ht="13.5" thickBot="1">
      <c r="A164" s="835"/>
      <c r="B164" s="45">
        <v>640</v>
      </c>
      <c r="C164" s="260" t="s">
        <v>243</v>
      </c>
      <c r="D164" s="207"/>
      <c r="E164" s="207"/>
      <c r="F164" s="207"/>
      <c r="G164" s="207"/>
      <c r="H164" s="207"/>
      <c r="I164" s="115"/>
      <c r="J164" s="230"/>
      <c r="K164" s="239"/>
      <c r="L164" s="239"/>
      <c r="M164" s="530">
        <v>4882</v>
      </c>
      <c r="N164" s="70"/>
      <c r="O164" s="116"/>
      <c r="P164" s="116">
        <v>3700</v>
      </c>
      <c r="Q164" s="116"/>
      <c r="R164" s="70"/>
      <c r="S164" s="70"/>
      <c r="T164" s="116">
        <v>67.2</v>
      </c>
      <c r="U164" s="467"/>
      <c r="V164" s="589"/>
      <c r="W164" s="589"/>
      <c r="X164" s="590">
        <f>U164+V164+W164</f>
        <v>0</v>
      </c>
      <c r="Z164" s="2"/>
      <c r="AB164" s="2"/>
      <c r="AE164" s="2"/>
    </row>
    <row r="165" spans="1:31" ht="13.5" thickBot="1">
      <c r="A165" s="835"/>
      <c r="B165" s="842" t="s">
        <v>8</v>
      </c>
      <c r="C165" s="843"/>
      <c r="D165" s="37">
        <v>2931655</v>
      </c>
      <c r="E165" s="37">
        <v>3342296</v>
      </c>
      <c r="F165" s="37">
        <v>3751610</v>
      </c>
      <c r="G165" s="37">
        <v>4375275.43</v>
      </c>
      <c r="H165" s="37">
        <v>4424342</v>
      </c>
      <c r="I165" s="37">
        <f aca="true" t="shared" si="42" ref="I165:V165">SUM(I166:I174)</f>
        <v>4567784</v>
      </c>
      <c r="J165" s="37">
        <f t="shared" si="42"/>
        <v>4801386</v>
      </c>
      <c r="K165" s="37">
        <f t="shared" si="42"/>
        <v>4737162</v>
      </c>
      <c r="L165" s="320">
        <f t="shared" si="42"/>
        <v>4909499.02</v>
      </c>
      <c r="M165" s="320">
        <f t="shared" si="42"/>
        <v>5203958.96</v>
      </c>
      <c r="N165" s="474">
        <f t="shared" si="42"/>
        <v>5345016.82</v>
      </c>
      <c r="O165" s="642">
        <f t="shared" si="42"/>
        <v>5552001.35</v>
      </c>
      <c r="P165" s="642">
        <f t="shared" si="42"/>
        <v>5853689.649999999</v>
      </c>
      <c r="Q165" s="642">
        <f t="shared" si="42"/>
        <v>6461691.399999999</v>
      </c>
      <c r="R165" s="474">
        <f t="shared" si="42"/>
        <v>6556579</v>
      </c>
      <c r="S165" s="474">
        <f>SUM(S166:S174)</f>
        <v>7232790.1899999995</v>
      </c>
      <c r="T165" s="642">
        <v>8116455.57</v>
      </c>
      <c r="U165" s="474">
        <f t="shared" si="42"/>
        <v>8362952</v>
      </c>
      <c r="V165" s="129">
        <f t="shared" si="42"/>
        <v>0</v>
      </c>
      <c r="W165" s="591">
        <f>SUM(W166:W174)</f>
        <v>47373</v>
      </c>
      <c r="X165" s="592">
        <f>SUM(X166:X174)</f>
        <v>8410325</v>
      </c>
      <c r="Z165" s="2"/>
      <c r="AA165" s="2"/>
      <c r="AB165" s="2"/>
      <c r="AE165" s="2"/>
    </row>
    <row r="166" spans="1:31" ht="12.75">
      <c r="A166" s="835"/>
      <c r="B166" s="837"/>
      <c r="C166" s="72" t="s">
        <v>9</v>
      </c>
      <c r="D166" s="57">
        <v>1541725</v>
      </c>
      <c r="E166" s="57">
        <v>1718084</v>
      </c>
      <c r="F166" s="57">
        <v>1793999</v>
      </c>
      <c r="G166" s="57">
        <v>1958942</v>
      </c>
      <c r="H166" s="57">
        <v>2084677</v>
      </c>
      <c r="I166" s="72">
        <v>2039732</v>
      </c>
      <c r="J166" s="57">
        <v>2241882</v>
      </c>
      <c r="K166" s="57">
        <v>2385291</v>
      </c>
      <c r="L166" s="118">
        <v>2363727.67</v>
      </c>
      <c r="M166" s="118">
        <v>2385302.7</v>
      </c>
      <c r="N166" s="22">
        <v>2457964.41</v>
      </c>
      <c r="O166" s="118">
        <v>2387323.05</v>
      </c>
      <c r="P166" s="118">
        <v>2377088.1</v>
      </c>
      <c r="Q166" s="118">
        <v>2542642.4799999995</v>
      </c>
      <c r="R166" s="22">
        <v>2750047</v>
      </c>
      <c r="S166" s="22">
        <v>3148124.82</v>
      </c>
      <c r="T166" s="118">
        <v>3203567.85</v>
      </c>
      <c r="U166" s="485">
        <v>3270706</v>
      </c>
      <c r="V166" s="582"/>
      <c r="W166" s="582"/>
      <c r="X166" s="583">
        <f aca="true" t="shared" si="43" ref="X166:X174">U166+V166+W166</f>
        <v>3270706</v>
      </c>
      <c r="Z166" s="2"/>
      <c r="AB166" s="2"/>
      <c r="AE166" s="2"/>
    </row>
    <row r="167" spans="1:31" ht="12.75">
      <c r="A167" s="835"/>
      <c r="B167" s="838"/>
      <c r="C167" s="43" t="s">
        <v>10</v>
      </c>
      <c r="D167" s="44">
        <v>1389930</v>
      </c>
      <c r="E167" s="44">
        <v>1591682</v>
      </c>
      <c r="F167" s="44">
        <v>1867423</v>
      </c>
      <c r="G167" s="44">
        <v>2134669.43</v>
      </c>
      <c r="H167" s="44">
        <v>2069302</v>
      </c>
      <c r="I167" s="43">
        <v>2182809</v>
      </c>
      <c r="J167" s="44">
        <v>2169532</v>
      </c>
      <c r="K167" s="44">
        <v>1972245</v>
      </c>
      <c r="L167" s="202">
        <v>2097007.99</v>
      </c>
      <c r="M167" s="202">
        <v>2239643.29</v>
      </c>
      <c r="N167" s="26">
        <v>2410623.65</v>
      </c>
      <c r="O167" s="202">
        <v>2546291.14</v>
      </c>
      <c r="P167" s="202">
        <v>2674051.77</v>
      </c>
      <c r="Q167" s="202">
        <v>2839554.52</v>
      </c>
      <c r="R167" s="26">
        <v>3056422</v>
      </c>
      <c r="S167" s="26">
        <v>3053951.34</v>
      </c>
      <c r="T167" s="202">
        <v>3508477.43</v>
      </c>
      <c r="U167" s="480">
        <v>3803572</v>
      </c>
      <c r="V167" s="584"/>
      <c r="W167" s="584">
        <f>37285+10088</f>
        <v>47373</v>
      </c>
      <c r="X167" s="585">
        <f t="shared" si="43"/>
        <v>3850945</v>
      </c>
      <c r="Z167" s="2"/>
      <c r="AB167" s="2"/>
      <c r="AE167" s="688"/>
    </row>
    <row r="168" spans="1:31" ht="12.75">
      <c r="A168" s="835"/>
      <c r="B168" s="838"/>
      <c r="C168" s="47" t="s">
        <v>444</v>
      </c>
      <c r="D168" s="74"/>
      <c r="E168" s="74"/>
      <c r="F168" s="74"/>
      <c r="G168" s="74"/>
      <c r="H168" s="74"/>
      <c r="I168" s="47"/>
      <c r="J168" s="47"/>
      <c r="K168" s="74">
        <v>6822</v>
      </c>
      <c r="L168" s="220">
        <v>58464.77</v>
      </c>
      <c r="M168" s="220">
        <v>145561.9699999993</v>
      </c>
      <c r="N168" s="30">
        <v>13019.76</v>
      </c>
      <c r="O168" s="220">
        <v>88405.36</v>
      </c>
      <c r="P168" s="220">
        <v>106886.92</v>
      </c>
      <c r="Q168" s="220">
        <v>135605.86</v>
      </c>
      <c r="R168" s="30"/>
      <c r="S168" s="30">
        <v>31662</v>
      </c>
      <c r="T168" s="220">
        <v>25794</v>
      </c>
      <c r="U168" s="489">
        <v>116695</v>
      </c>
      <c r="V168" s="584"/>
      <c r="W168" s="584"/>
      <c r="X168" s="585">
        <f t="shared" si="43"/>
        <v>116695</v>
      </c>
      <c r="Z168" s="2"/>
      <c r="AA168" s="2"/>
      <c r="AB168" s="2"/>
      <c r="AE168" s="2"/>
    </row>
    <row r="169" spans="1:31" ht="12.75">
      <c r="A169" s="835"/>
      <c r="B169" s="838"/>
      <c r="C169" s="47" t="s">
        <v>445</v>
      </c>
      <c r="D169" s="74"/>
      <c r="E169" s="74"/>
      <c r="F169" s="74"/>
      <c r="G169" s="74"/>
      <c r="H169" s="74"/>
      <c r="I169" s="47">
        <v>11276</v>
      </c>
      <c r="J169" s="47">
        <v>23184</v>
      </c>
      <c r="K169" s="74">
        <v>0</v>
      </c>
      <c r="L169" s="220">
        <v>4779.37</v>
      </c>
      <c r="M169" s="220">
        <v>0</v>
      </c>
      <c r="N169" s="30">
        <v>0</v>
      </c>
      <c r="O169" s="220"/>
      <c r="P169" s="220">
        <v>10000</v>
      </c>
      <c r="Q169" s="220">
        <v>2000</v>
      </c>
      <c r="R169" s="30">
        <v>7500</v>
      </c>
      <c r="S169" s="30">
        <v>227811.97</v>
      </c>
      <c r="T169" s="220">
        <v>234762</v>
      </c>
      <c r="U169" s="489">
        <v>118720</v>
      </c>
      <c r="V169" s="584"/>
      <c r="W169" s="584"/>
      <c r="X169" s="585">
        <f t="shared" si="43"/>
        <v>118720</v>
      </c>
      <c r="Z169" s="2"/>
      <c r="AB169" s="2"/>
      <c r="AE169" s="2"/>
    </row>
    <row r="170" spans="1:31" ht="12.75">
      <c r="A170" s="835"/>
      <c r="B170" s="838"/>
      <c r="C170" s="47" t="s">
        <v>339</v>
      </c>
      <c r="D170" s="74"/>
      <c r="E170" s="74"/>
      <c r="F170" s="74"/>
      <c r="G170" s="74"/>
      <c r="H170" s="74"/>
      <c r="I170" s="47"/>
      <c r="J170" s="47"/>
      <c r="K170" s="74"/>
      <c r="L170" s="220"/>
      <c r="M170" s="220"/>
      <c r="N170" s="30"/>
      <c r="O170" s="220"/>
      <c r="P170" s="220">
        <v>208274.06</v>
      </c>
      <c r="Q170" s="220">
        <v>197961.72999999998</v>
      </c>
      <c r="R170" s="30"/>
      <c r="S170" s="30">
        <v>120016.06</v>
      </c>
      <c r="T170" s="220">
        <v>312130</v>
      </c>
      <c r="U170" s="489">
        <v>253900</v>
      </c>
      <c r="V170" s="584"/>
      <c r="W170" s="584"/>
      <c r="X170" s="585">
        <f t="shared" si="43"/>
        <v>253900</v>
      </c>
      <c r="Z170" s="2"/>
      <c r="AB170" s="2"/>
      <c r="AE170" s="2"/>
    </row>
    <row r="171" spans="1:31" ht="12.75">
      <c r="A171" s="835"/>
      <c r="B171" s="838"/>
      <c r="C171" s="47" t="s">
        <v>351</v>
      </c>
      <c r="D171" s="74"/>
      <c r="E171" s="74"/>
      <c r="F171" s="74"/>
      <c r="G171" s="74"/>
      <c r="H171" s="74">
        <v>2568</v>
      </c>
      <c r="I171" s="47">
        <v>2134</v>
      </c>
      <c r="J171" s="47"/>
      <c r="K171" s="74">
        <v>0</v>
      </c>
      <c r="L171" s="220">
        <v>240.97</v>
      </c>
      <c r="M171" s="220">
        <v>0</v>
      </c>
      <c r="N171" s="30">
        <v>0</v>
      </c>
      <c r="O171" s="220"/>
      <c r="P171" s="220">
        <v>4600</v>
      </c>
      <c r="Q171" s="220">
        <v>48000</v>
      </c>
      <c r="R171" s="30">
        <v>20000</v>
      </c>
      <c r="S171" s="30"/>
      <c r="T171" s="220">
        <v>21652</v>
      </c>
      <c r="U171" s="489">
        <v>0</v>
      </c>
      <c r="V171" s="584"/>
      <c r="W171" s="584"/>
      <c r="X171" s="585">
        <f t="shared" si="43"/>
        <v>0</v>
      </c>
      <c r="Z171" s="2"/>
      <c r="AA171" s="2"/>
      <c r="AB171" s="2"/>
      <c r="AE171" s="2"/>
    </row>
    <row r="172" spans="1:31" ht="12.75">
      <c r="A172" s="835"/>
      <c r="B172" s="838"/>
      <c r="C172" s="47" t="s">
        <v>417</v>
      </c>
      <c r="D172" s="74"/>
      <c r="E172" s="74"/>
      <c r="F172" s="74"/>
      <c r="G172" s="74"/>
      <c r="H172" s="74"/>
      <c r="I172" s="47"/>
      <c r="J172" s="47"/>
      <c r="K172" s="74"/>
      <c r="L172" s="220">
        <v>8661.25</v>
      </c>
      <c r="M172" s="220"/>
      <c r="N172" s="30">
        <v>0</v>
      </c>
      <c r="O172" s="220"/>
      <c r="P172" s="220"/>
      <c r="Q172" s="220">
        <v>21500</v>
      </c>
      <c r="R172" s="30">
        <v>14500</v>
      </c>
      <c r="S172" s="30"/>
      <c r="T172" s="220">
        <v>1697.29</v>
      </c>
      <c r="U172" s="489">
        <v>2700</v>
      </c>
      <c r="V172" s="584"/>
      <c r="W172" s="584"/>
      <c r="X172" s="585">
        <f t="shared" si="43"/>
        <v>2700</v>
      </c>
      <c r="Z172" s="2"/>
      <c r="AB172" s="2"/>
      <c r="AE172" s="2"/>
    </row>
    <row r="173" spans="1:31" ht="12.75">
      <c r="A173" s="835"/>
      <c r="B173" s="838"/>
      <c r="C173" s="47" t="s">
        <v>360</v>
      </c>
      <c r="D173" s="74"/>
      <c r="E173" s="74"/>
      <c r="F173" s="74"/>
      <c r="G173" s="74"/>
      <c r="H173" s="74">
        <v>2166</v>
      </c>
      <c r="I173" s="47">
        <v>10924</v>
      </c>
      <c r="J173" s="47">
        <v>33868</v>
      </c>
      <c r="K173" s="74">
        <v>0</v>
      </c>
      <c r="L173" s="220"/>
      <c r="M173" s="220"/>
      <c r="N173" s="30">
        <v>0</v>
      </c>
      <c r="O173" s="220">
        <v>415.8</v>
      </c>
      <c r="P173" s="220">
        <v>2494.8</v>
      </c>
      <c r="Q173" s="220">
        <v>22623.81</v>
      </c>
      <c r="R173" s="30">
        <v>6212</v>
      </c>
      <c r="S173" s="30"/>
      <c r="T173" s="220">
        <v>17352</v>
      </c>
      <c r="U173" s="489">
        <v>0</v>
      </c>
      <c r="V173" s="584"/>
      <c r="W173" s="584"/>
      <c r="X173" s="585">
        <f t="shared" si="43"/>
        <v>0</v>
      </c>
      <c r="Z173" s="2"/>
      <c r="AB173" s="2"/>
      <c r="AE173" s="2"/>
    </row>
    <row r="174" spans="1:31" ht="13.5" thickBot="1">
      <c r="A174" s="836"/>
      <c r="B174" s="839"/>
      <c r="C174" s="46" t="s">
        <v>11</v>
      </c>
      <c r="D174" s="60"/>
      <c r="E174" s="60">
        <v>32530</v>
      </c>
      <c r="F174" s="60">
        <v>90188</v>
      </c>
      <c r="G174" s="60">
        <v>281664</v>
      </c>
      <c r="H174" s="60">
        <v>265629</v>
      </c>
      <c r="I174" s="46">
        <v>320909</v>
      </c>
      <c r="J174" s="46">
        <v>332920</v>
      </c>
      <c r="K174" s="60">
        <v>372804</v>
      </c>
      <c r="L174" s="252">
        <v>376617</v>
      </c>
      <c r="M174" s="252">
        <v>433451</v>
      </c>
      <c r="N174" s="48">
        <v>463409</v>
      </c>
      <c r="O174" s="252">
        <v>529566</v>
      </c>
      <c r="P174" s="252">
        <v>470294</v>
      </c>
      <c r="Q174" s="252">
        <v>651803</v>
      </c>
      <c r="R174" s="48">
        <v>701898</v>
      </c>
      <c r="S174" s="48">
        <v>651224</v>
      </c>
      <c r="T174" s="252">
        <v>791023</v>
      </c>
      <c r="U174" s="471">
        <v>796659</v>
      </c>
      <c r="V174" s="593"/>
      <c r="W174" s="593"/>
      <c r="X174" s="588">
        <f t="shared" si="43"/>
        <v>796659</v>
      </c>
      <c r="Z174" s="2"/>
      <c r="AB174" s="2"/>
      <c r="AE174" s="2"/>
    </row>
    <row r="175" spans="1:31" ht="15.75" hidden="1" thickBot="1">
      <c r="A175" s="321" t="s">
        <v>12</v>
      </c>
      <c r="B175" s="800" t="s">
        <v>13</v>
      </c>
      <c r="C175" s="771"/>
      <c r="D175" s="67">
        <v>14672</v>
      </c>
      <c r="E175" s="67">
        <v>18356</v>
      </c>
      <c r="F175" s="67">
        <v>24962</v>
      </c>
      <c r="G175" s="67">
        <v>26012</v>
      </c>
      <c r="H175" s="67">
        <v>24167</v>
      </c>
      <c r="I175" s="67">
        <f aca="true" t="shared" si="44" ref="I175:N175">SUM(I176:I179)</f>
        <v>21978</v>
      </c>
      <c r="J175" s="67">
        <f t="shared" si="44"/>
        <v>26182</v>
      </c>
      <c r="K175" s="67">
        <f t="shared" si="44"/>
        <v>16605</v>
      </c>
      <c r="L175" s="211">
        <f t="shared" si="44"/>
        <v>19312.66</v>
      </c>
      <c r="M175" s="211">
        <f t="shared" si="44"/>
        <v>17232.5</v>
      </c>
      <c r="N175" s="466">
        <f t="shared" si="44"/>
        <v>19393.890000000003</v>
      </c>
      <c r="O175" s="466">
        <f>SUM(O176:O178)</f>
        <v>0</v>
      </c>
      <c r="P175" s="466">
        <f>SUM(P176:P178)</f>
        <v>0</v>
      </c>
      <c r="Q175" s="466">
        <f>SUM(Q176:Q178)</f>
        <v>0</v>
      </c>
      <c r="R175" s="466"/>
      <c r="S175" s="466">
        <v>315.6</v>
      </c>
      <c r="T175" s="466">
        <v>0</v>
      </c>
      <c r="U175" s="466" t="e">
        <f>SUM(U176:U178)</f>
        <v>#REF!</v>
      </c>
      <c r="V175" s="591">
        <f>IF(T175=0,0,U175/T175)</f>
        <v>0</v>
      </c>
      <c r="W175" s="440">
        <f>SUM(W176:W178)</f>
        <v>0</v>
      </c>
      <c r="X175" s="504">
        <f>SUM(X176:X178)</f>
        <v>0</v>
      </c>
      <c r="Z175" s="2"/>
      <c r="AB175" s="2"/>
      <c r="AE175" s="2"/>
    </row>
    <row r="176" spans="1:31" ht="13.5" hidden="1" thickBot="1">
      <c r="A176" s="844"/>
      <c r="B176" s="322">
        <v>610</v>
      </c>
      <c r="C176" s="72" t="s">
        <v>240</v>
      </c>
      <c r="D176" s="57"/>
      <c r="E176" s="57">
        <v>11817</v>
      </c>
      <c r="F176" s="57">
        <v>16331</v>
      </c>
      <c r="G176" s="57">
        <v>16188</v>
      </c>
      <c r="H176" s="57">
        <v>16639</v>
      </c>
      <c r="I176" s="57">
        <v>14808</v>
      </c>
      <c r="J176" s="57">
        <v>14984</v>
      </c>
      <c r="K176" s="57">
        <v>11095</v>
      </c>
      <c r="L176" s="118">
        <v>11946.75</v>
      </c>
      <c r="M176" s="118">
        <v>12156.96</v>
      </c>
      <c r="N176" s="22">
        <v>13480.65</v>
      </c>
      <c r="O176" s="22"/>
      <c r="P176" s="22"/>
      <c r="Q176" s="118"/>
      <c r="R176" s="22"/>
      <c r="S176" s="22">
        <v>4548.47</v>
      </c>
      <c r="T176" s="22">
        <v>0</v>
      </c>
      <c r="U176" s="485" t="e">
        <f>#REF!</f>
        <v>#REF!</v>
      </c>
      <c r="V176" s="582">
        <f>IF(T176=0,0,U176/T176)</f>
        <v>0</v>
      </c>
      <c r="W176" s="582">
        <v>0</v>
      </c>
      <c r="X176" s="583">
        <v>0</v>
      </c>
      <c r="Z176" s="2"/>
      <c r="AB176" s="2"/>
      <c r="AE176" s="2"/>
    </row>
    <row r="177" spans="1:31" ht="13.5" hidden="1" thickBot="1">
      <c r="A177" s="845"/>
      <c r="B177" s="201">
        <v>620</v>
      </c>
      <c r="C177" s="43" t="s">
        <v>241</v>
      </c>
      <c r="D177" s="44"/>
      <c r="E177" s="44">
        <v>3983</v>
      </c>
      <c r="F177" s="44">
        <v>5610</v>
      </c>
      <c r="G177" s="44">
        <v>5689</v>
      </c>
      <c r="H177" s="44">
        <v>5822</v>
      </c>
      <c r="I177" s="44">
        <v>5320</v>
      </c>
      <c r="J177" s="44">
        <v>5972</v>
      </c>
      <c r="K177" s="44">
        <v>4227</v>
      </c>
      <c r="L177" s="202">
        <v>4902.95</v>
      </c>
      <c r="M177" s="202">
        <v>3941.03</v>
      </c>
      <c r="N177" s="26">
        <v>4701.62</v>
      </c>
      <c r="O177" s="26"/>
      <c r="P177" s="26"/>
      <c r="Q177" s="202"/>
      <c r="R177" s="26"/>
      <c r="S177" s="26">
        <v>20800</v>
      </c>
      <c r="T177" s="26"/>
      <c r="U177" s="480" t="e">
        <f>#REF!</f>
        <v>#REF!</v>
      </c>
      <c r="V177" s="584">
        <f>IF(T177=0,0,U177/T177)</f>
        <v>0</v>
      </c>
      <c r="W177" s="584">
        <v>0</v>
      </c>
      <c r="X177" s="585">
        <v>0</v>
      </c>
      <c r="Z177" s="2"/>
      <c r="AB177" s="2"/>
      <c r="AE177" s="2"/>
    </row>
    <row r="178" spans="1:31" ht="13.5" hidden="1" thickBot="1">
      <c r="A178" s="845"/>
      <c r="B178" s="201">
        <v>630</v>
      </c>
      <c r="C178" s="43" t="s">
        <v>242</v>
      </c>
      <c r="D178" s="44"/>
      <c r="E178" s="44">
        <v>2556</v>
      </c>
      <c r="F178" s="44">
        <v>3021</v>
      </c>
      <c r="G178" s="44">
        <v>4135</v>
      </c>
      <c r="H178" s="44">
        <v>1706</v>
      </c>
      <c r="I178" s="44">
        <f>1591+259</f>
        <v>1850</v>
      </c>
      <c r="J178" s="44">
        <v>1495</v>
      </c>
      <c r="K178" s="44">
        <v>1200</v>
      </c>
      <c r="L178" s="202">
        <v>931.46</v>
      </c>
      <c r="M178" s="202">
        <v>1055.02</v>
      </c>
      <c r="N178" s="26">
        <v>1132.97</v>
      </c>
      <c r="O178" s="26"/>
      <c r="P178" s="26"/>
      <c r="Q178" s="202"/>
      <c r="R178" s="26"/>
      <c r="S178" s="26">
        <v>651224</v>
      </c>
      <c r="T178" s="26"/>
      <c r="U178" s="480" t="e">
        <f>#REF!</f>
        <v>#REF!</v>
      </c>
      <c r="V178" s="584">
        <f>IF(T178=0,0,U178/T178)</f>
        <v>0</v>
      </c>
      <c r="W178" s="584">
        <v>0</v>
      </c>
      <c r="X178" s="585">
        <v>0</v>
      </c>
      <c r="Z178" s="2"/>
      <c r="AB178" s="2"/>
      <c r="AE178" s="2"/>
    </row>
    <row r="179" spans="1:31" ht="2.25" customHeight="1" hidden="1" thickBot="1">
      <c r="A179" s="846"/>
      <c r="B179" s="323">
        <v>640</v>
      </c>
      <c r="C179" s="46" t="s">
        <v>14</v>
      </c>
      <c r="D179" s="60"/>
      <c r="E179" s="60"/>
      <c r="F179" s="60"/>
      <c r="G179" s="60"/>
      <c r="H179" s="60"/>
      <c r="I179" s="60"/>
      <c r="J179" s="60">
        <v>3731</v>
      </c>
      <c r="K179" s="239">
        <v>83</v>
      </c>
      <c r="L179" s="116">
        <v>1531.5</v>
      </c>
      <c r="M179" s="116">
        <v>79.49</v>
      </c>
      <c r="N179" s="70">
        <v>78.65</v>
      </c>
      <c r="O179" s="70"/>
      <c r="P179" s="70"/>
      <c r="Q179" s="116"/>
      <c r="R179" s="70"/>
      <c r="S179" s="70"/>
      <c r="T179" s="70"/>
      <c r="U179" s="467"/>
      <c r="V179" s="593">
        <f>IF(T179=0,0,U179/T179)</f>
        <v>0</v>
      </c>
      <c r="W179" s="593"/>
      <c r="X179" s="588"/>
      <c r="Z179" s="2"/>
      <c r="AB179" s="2"/>
      <c r="AE179" s="2"/>
    </row>
    <row r="180" spans="1:31" ht="15.75" thickBot="1">
      <c r="A180" s="209" t="s">
        <v>15</v>
      </c>
      <c r="B180" s="800" t="s">
        <v>16</v>
      </c>
      <c r="C180" s="771"/>
      <c r="D180" s="67">
        <v>42988</v>
      </c>
      <c r="E180" s="67">
        <v>41924</v>
      </c>
      <c r="F180" s="67">
        <v>49127</v>
      </c>
      <c r="G180" s="67">
        <v>48507</v>
      </c>
      <c r="H180" s="67">
        <v>53865</v>
      </c>
      <c r="I180" s="67">
        <f aca="true" t="shared" si="45" ref="I180:Q180">I181+I188+I187</f>
        <v>59113.2</v>
      </c>
      <c r="J180" s="67">
        <f t="shared" si="45"/>
        <v>51352</v>
      </c>
      <c r="K180" s="67">
        <f t="shared" si="45"/>
        <v>57413</v>
      </c>
      <c r="L180" s="211">
        <f t="shared" si="45"/>
        <v>142019.73</v>
      </c>
      <c r="M180" s="211">
        <f t="shared" si="45"/>
        <v>67235.89000000001</v>
      </c>
      <c r="N180" s="466">
        <f t="shared" si="45"/>
        <v>59484.65</v>
      </c>
      <c r="O180" s="632">
        <f t="shared" si="45"/>
        <v>64756.130000000005</v>
      </c>
      <c r="P180" s="466">
        <f t="shared" si="45"/>
        <v>109958.24</v>
      </c>
      <c r="Q180" s="632">
        <f t="shared" si="45"/>
        <v>135589.8</v>
      </c>
      <c r="R180" s="632">
        <f aca="true" t="shared" si="46" ref="R180:X180">R181+R188+R187</f>
        <v>125333</v>
      </c>
      <c r="S180" s="632">
        <f t="shared" si="46"/>
        <v>157945.56</v>
      </c>
      <c r="T180" s="632">
        <v>167405.25</v>
      </c>
      <c r="U180" s="466">
        <f t="shared" si="46"/>
        <v>157032</v>
      </c>
      <c r="V180" s="107">
        <f t="shared" si="46"/>
        <v>-2699</v>
      </c>
      <c r="W180" s="505">
        <f t="shared" si="46"/>
        <v>27880</v>
      </c>
      <c r="X180" s="506">
        <f t="shared" si="46"/>
        <v>182213</v>
      </c>
      <c r="Z180" s="2"/>
      <c r="AB180" s="2"/>
      <c r="AE180" s="2"/>
    </row>
    <row r="181" spans="1:31" ht="15.75" thickBot="1">
      <c r="A181" s="834"/>
      <c r="B181" s="840" t="s">
        <v>17</v>
      </c>
      <c r="C181" s="841"/>
      <c r="D181" s="64">
        <v>39801</v>
      </c>
      <c r="E181" s="64">
        <v>41194</v>
      </c>
      <c r="F181" s="64">
        <v>47169</v>
      </c>
      <c r="G181" s="64">
        <v>47600</v>
      </c>
      <c r="H181" s="64">
        <v>53724</v>
      </c>
      <c r="I181" s="64">
        <f>SUM(I182:I184)</f>
        <v>56208.2</v>
      </c>
      <c r="J181" s="64">
        <f>SUM(J182:J184)</f>
        <v>47897</v>
      </c>
      <c r="K181" s="64">
        <f>SUM(K182:K185)</f>
        <v>54913</v>
      </c>
      <c r="L181" s="155">
        <f>SUM(L182:L185)</f>
        <v>59991.65</v>
      </c>
      <c r="M181" s="155">
        <f>SUM(M182:M185)</f>
        <v>64735.89000000001</v>
      </c>
      <c r="N181" s="473">
        <f>SUM(N182:N185)</f>
        <v>54463.6</v>
      </c>
      <c r="O181" s="639">
        <f>SUM(O182:O185)</f>
        <v>60460.66</v>
      </c>
      <c r="P181" s="473">
        <f>SUM(P182:P187)</f>
        <v>105530.11</v>
      </c>
      <c r="Q181" s="639">
        <f>SUM(Q182:Q187)</f>
        <v>129250.44999999998</v>
      </c>
      <c r="R181" s="639">
        <f>SUM(R182:R187)</f>
        <v>120333</v>
      </c>
      <c r="S181" s="639">
        <f>SUM(S182:S187)</f>
        <v>153794.93</v>
      </c>
      <c r="T181" s="639">
        <v>159621.69</v>
      </c>
      <c r="U181" s="473">
        <f>SUM(U182:U186)</f>
        <v>152032</v>
      </c>
      <c r="V181" s="98">
        <f>SUM(V182:V186)</f>
        <v>-2699</v>
      </c>
      <c r="W181" s="505">
        <f>SUM(W182:W186)</f>
        <v>27880</v>
      </c>
      <c r="X181" s="506">
        <f>SUM(X182:X186)</f>
        <v>177213</v>
      </c>
      <c r="Z181" s="2"/>
      <c r="AB181" s="2"/>
      <c r="AE181" s="2"/>
    </row>
    <row r="182" spans="1:28" ht="12.75">
      <c r="A182" s="835"/>
      <c r="B182" s="306">
        <v>610</v>
      </c>
      <c r="C182" s="72" t="s">
        <v>240</v>
      </c>
      <c r="D182" s="57"/>
      <c r="E182" s="57">
        <v>22141</v>
      </c>
      <c r="F182" s="57">
        <v>25294</v>
      </c>
      <c r="G182" s="57">
        <v>27320</v>
      </c>
      <c r="H182" s="57">
        <v>30945</v>
      </c>
      <c r="I182" s="57">
        <v>30403</v>
      </c>
      <c r="J182" s="57">
        <v>28630</v>
      </c>
      <c r="K182" s="57">
        <v>28741</v>
      </c>
      <c r="L182" s="118">
        <v>31950.86</v>
      </c>
      <c r="M182" s="118">
        <v>36896.54</v>
      </c>
      <c r="N182" s="22">
        <v>32643.72</v>
      </c>
      <c r="O182" s="118">
        <v>34750.01</v>
      </c>
      <c r="P182" s="118">
        <v>39563.77</v>
      </c>
      <c r="Q182" s="118">
        <v>51910.33</v>
      </c>
      <c r="R182" s="22">
        <v>54722</v>
      </c>
      <c r="S182" s="22">
        <v>75745.25</v>
      </c>
      <c r="T182" s="118">
        <v>63557.98</v>
      </c>
      <c r="U182" s="485">
        <v>77946</v>
      </c>
      <c r="V182" s="582">
        <v>-2000</v>
      </c>
      <c r="W182" s="582"/>
      <c r="X182" s="583">
        <f>U182+V182+W182</f>
        <v>75946</v>
      </c>
      <c r="Z182" s="2"/>
      <c r="AA182" s="2"/>
      <c r="AB182" s="2"/>
    </row>
    <row r="183" spans="1:28" ht="12.75">
      <c r="A183" s="835"/>
      <c r="B183" s="227">
        <v>620</v>
      </c>
      <c r="C183" s="43" t="s">
        <v>241</v>
      </c>
      <c r="D183" s="44"/>
      <c r="E183" s="44">
        <v>8265</v>
      </c>
      <c r="F183" s="44">
        <v>9427</v>
      </c>
      <c r="G183" s="44">
        <v>10234</v>
      </c>
      <c r="H183" s="44">
        <v>11482</v>
      </c>
      <c r="I183" s="44">
        <f>11947-(14.4+22.4+180)</f>
        <v>11730.2</v>
      </c>
      <c r="J183" s="44">
        <v>10691</v>
      </c>
      <c r="K183" s="44">
        <v>10646</v>
      </c>
      <c r="L183" s="202">
        <v>12860.64</v>
      </c>
      <c r="M183" s="202">
        <v>12687.37</v>
      </c>
      <c r="N183" s="26">
        <v>12446.38</v>
      </c>
      <c r="O183" s="202">
        <v>13294.12</v>
      </c>
      <c r="P183" s="202">
        <v>14895.57</v>
      </c>
      <c r="Q183" s="202">
        <v>19183.12</v>
      </c>
      <c r="R183" s="26">
        <v>20061</v>
      </c>
      <c r="S183" s="26">
        <v>24361.98</v>
      </c>
      <c r="T183" s="202">
        <v>23238.41</v>
      </c>
      <c r="U183" s="480">
        <v>28536</v>
      </c>
      <c r="V183" s="584">
        <v>-699</v>
      </c>
      <c r="W183" s="584"/>
      <c r="X183" s="585">
        <f>U183+V183+W183</f>
        <v>27837</v>
      </c>
      <c r="Z183" s="2"/>
      <c r="AA183" s="2"/>
      <c r="AB183" s="2"/>
    </row>
    <row r="184" spans="1:28" ht="12.75">
      <c r="A184" s="835"/>
      <c r="B184" s="307">
        <v>630</v>
      </c>
      <c r="C184" s="47" t="s">
        <v>242</v>
      </c>
      <c r="D184" s="44"/>
      <c r="E184" s="44">
        <v>10788</v>
      </c>
      <c r="F184" s="44">
        <v>12448</v>
      </c>
      <c r="G184" s="44">
        <v>10046</v>
      </c>
      <c r="H184" s="44">
        <v>11297</v>
      </c>
      <c r="I184" s="44">
        <f>16682-(2550+28+110)+81</f>
        <v>14075</v>
      </c>
      <c r="J184" s="44">
        <f>11880-3455+151</f>
        <v>8576</v>
      </c>
      <c r="K184" s="44">
        <v>15451</v>
      </c>
      <c r="L184" s="114">
        <v>15180.15</v>
      </c>
      <c r="M184" s="114">
        <v>15023.18</v>
      </c>
      <c r="N184" s="26">
        <v>9257.17</v>
      </c>
      <c r="O184" s="202">
        <v>12173.76</v>
      </c>
      <c r="P184" s="202">
        <v>13915.91</v>
      </c>
      <c r="Q184" s="202">
        <v>9666.879999999997</v>
      </c>
      <c r="R184" s="26">
        <v>13550</v>
      </c>
      <c r="S184" s="26">
        <v>11553.059999999998</v>
      </c>
      <c r="T184" s="202">
        <v>14258.839999999997</v>
      </c>
      <c r="U184" s="480">
        <v>13550</v>
      </c>
      <c r="V184" s="584"/>
      <c r="W184" s="584"/>
      <c r="X184" s="585">
        <f>U184+V184+W184</f>
        <v>13550</v>
      </c>
      <c r="Z184" s="2"/>
      <c r="AB184" s="2"/>
    </row>
    <row r="185" spans="1:28" ht="12.75">
      <c r="A185" s="835"/>
      <c r="B185" s="201">
        <v>640</v>
      </c>
      <c r="C185" s="223" t="s">
        <v>243</v>
      </c>
      <c r="D185" s="203"/>
      <c r="E185" s="203"/>
      <c r="F185" s="203"/>
      <c r="G185" s="203"/>
      <c r="H185" s="203"/>
      <c r="I185" s="44"/>
      <c r="J185" s="44"/>
      <c r="K185" s="44">
        <v>75</v>
      </c>
      <c r="L185" s="26"/>
      <c r="M185" s="202">
        <v>128.8</v>
      </c>
      <c r="N185" s="26">
        <v>116.33</v>
      </c>
      <c r="O185" s="202">
        <v>242.77</v>
      </c>
      <c r="P185" s="202">
        <v>133.86</v>
      </c>
      <c r="Q185" s="202">
        <v>88.44</v>
      </c>
      <c r="R185" s="26">
        <v>0</v>
      </c>
      <c r="S185" s="26"/>
      <c r="T185" s="202">
        <v>298.85</v>
      </c>
      <c r="U185" s="480"/>
      <c r="V185" s="584"/>
      <c r="W185" s="584">
        <v>1880</v>
      </c>
      <c r="X185" s="585">
        <f>U185+V185+W185</f>
        <v>1880</v>
      </c>
      <c r="Z185" s="2"/>
      <c r="AB185" s="2"/>
    </row>
    <row r="186" spans="1:28" ht="13.5" thickBot="1">
      <c r="A186" s="835"/>
      <c r="B186" s="323">
        <v>630</v>
      </c>
      <c r="C186" s="296" t="s">
        <v>338</v>
      </c>
      <c r="D186" s="298"/>
      <c r="E186" s="298"/>
      <c r="F186" s="298"/>
      <c r="G186" s="298"/>
      <c r="H186" s="298"/>
      <c r="I186" s="60"/>
      <c r="J186" s="60"/>
      <c r="K186" s="60"/>
      <c r="L186" s="48"/>
      <c r="M186" s="252"/>
      <c r="N186" s="48"/>
      <c r="O186" s="252"/>
      <c r="P186" s="252">
        <v>37021</v>
      </c>
      <c r="Q186" s="252">
        <v>48401.68</v>
      </c>
      <c r="R186" s="48">
        <v>32000</v>
      </c>
      <c r="S186" s="48">
        <v>42134.64</v>
      </c>
      <c r="T186" s="252">
        <v>58267.61</v>
      </c>
      <c r="U186" s="471">
        <v>32000</v>
      </c>
      <c r="V186" s="620"/>
      <c r="W186" s="620">
        <v>26000</v>
      </c>
      <c r="X186" s="621">
        <f>U186+V186+W186</f>
        <v>58000</v>
      </c>
      <c r="Z186" s="2"/>
      <c r="AB186" s="2"/>
    </row>
    <row r="187" spans="1:28" ht="13.5" hidden="1" thickBot="1">
      <c r="A187" s="835"/>
      <c r="B187" s="309">
        <v>630</v>
      </c>
      <c r="C187" s="260" t="s">
        <v>170</v>
      </c>
      <c r="D187" s="294"/>
      <c r="E187" s="294"/>
      <c r="F187" s="294"/>
      <c r="G187" s="294"/>
      <c r="H187" s="294"/>
      <c r="I187" s="324"/>
      <c r="J187" s="324"/>
      <c r="K187" s="60"/>
      <c r="L187" s="208">
        <v>82028.08</v>
      </c>
      <c r="M187" s="77"/>
      <c r="N187" s="77"/>
      <c r="O187" s="208"/>
      <c r="P187" s="208"/>
      <c r="Q187" s="208"/>
      <c r="R187" s="77"/>
      <c r="S187" s="77"/>
      <c r="T187" s="208"/>
      <c r="U187" s="475"/>
      <c r="V187" s="591">
        <f>IF(T187=0,0,U187/T187)</f>
        <v>0</v>
      </c>
      <c r="W187" s="591"/>
      <c r="X187" s="592"/>
      <c r="Z187" s="2"/>
      <c r="AB187" s="2"/>
    </row>
    <row r="188" spans="1:28" ht="15.75" thickBot="1">
      <c r="A188" s="835"/>
      <c r="B188" s="842" t="s">
        <v>18</v>
      </c>
      <c r="C188" s="843"/>
      <c r="D188" s="325">
        <v>3187</v>
      </c>
      <c r="E188" s="325">
        <v>730</v>
      </c>
      <c r="F188" s="325">
        <v>1958</v>
      </c>
      <c r="G188" s="325">
        <v>907</v>
      </c>
      <c r="H188" s="325">
        <v>141</v>
      </c>
      <c r="I188" s="324">
        <f aca="true" t="shared" si="47" ref="I188:X188">I189</f>
        <v>2905</v>
      </c>
      <c r="J188" s="324">
        <f t="shared" si="47"/>
        <v>3455</v>
      </c>
      <c r="K188" s="324">
        <f t="shared" si="47"/>
        <v>2500</v>
      </c>
      <c r="L188" s="324">
        <v>0</v>
      </c>
      <c r="M188" s="554">
        <f t="shared" si="47"/>
        <v>2500</v>
      </c>
      <c r="N188" s="324">
        <f t="shared" si="47"/>
        <v>5021.05</v>
      </c>
      <c r="O188" s="554">
        <f t="shared" si="47"/>
        <v>4295.47</v>
      </c>
      <c r="P188" s="554">
        <f t="shared" si="47"/>
        <v>4428.13</v>
      </c>
      <c r="Q188" s="554">
        <f t="shared" si="47"/>
        <v>6339.35</v>
      </c>
      <c r="R188" s="476">
        <f>R189</f>
        <v>5000</v>
      </c>
      <c r="S188" s="476">
        <f>S189</f>
        <v>4150.63</v>
      </c>
      <c r="T188" s="742">
        <v>7783.56</v>
      </c>
      <c r="U188" s="476">
        <f t="shared" si="47"/>
        <v>5000</v>
      </c>
      <c r="V188" s="749">
        <f t="shared" si="47"/>
        <v>0</v>
      </c>
      <c r="W188" s="505">
        <f t="shared" si="47"/>
        <v>0</v>
      </c>
      <c r="X188" s="506">
        <f t="shared" si="47"/>
        <v>5000</v>
      </c>
      <c r="Z188" s="2"/>
      <c r="AB188" s="2"/>
    </row>
    <row r="189" spans="1:28" ht="13.5" thickBot="1">
      <c r="A189" s="836"/>
      <c r="B189" s="326">
        <v>630</v>
      </c>
      <c r="C189" s="46" t="s">
        <v>242</v>
      </c>
      <c r="D189" s="60">
        <v>3187</v>
      </c>
      <c r="E189" s="60">
        <v>730</v>
      </c>
      <c r="F189" s="60">
        <v>1958</v>
      </c>
      <c r="G189" s="60">
        <v>907</v>
      </c>
      <c r="H189" s="60">
        <v>141</v>
      </c>
      <c r="I189" s="46">
        <v>2905</v>
      </c>
      <c r="J189" s="46">
        <v>3455</v>
      </c>
      <c r="K189" s="60">
        <v>2500</v>
      </c>
      <c r="L189" s="48">
        <v>0</v>
      </c>
      <c r="M189" s="252">
        <v>2500</v>
      </c>
      <c r="N189" s="48">
        <v>5021.05</v>
      </c>
      <c r="O189" s="252">
        <v>4295.47</v>
      </c>
      <c r="P189" s="252">
        <v>4428.13</v>
      </c>
      <c r="Q189" s="252">
        <v>6339.35</v>
      </c>
      <c r="R189" s="48">
        <v>5000</v>
      </c>
      <c r="S189" s="48">
        <v>4150.63</v>
      </c>
      <c r="T189" s="252">
        <v>7783.56</v>
      </c>
      <c r="U189" s="471">
        <v>5000</v>
      </c>
      <c r="V189" s="591"/>
      <c r="W189" s="591"/>
      <c r="X189" s="592">
        <f>U189+V189+W189</f>
        <v>5000</v>
      </c>
      <c r="Z189" s="2"/>
      <c r="AB189" s="2"/>
    </row>
    <row r="190" spans="1:28" ht="15.75" thickBot="1">
      <c r="A190" s="674" t="s">
        <v>15</v>
      </c>
      <c r="B190" s="830" t="s">
        <v>19</v>
      </c>
      <c r="C190" s="799"/>
      <c r="D190" s="79">
        <v>90752</v>
      </c>
      <c r="E190" s="79">
        <v>96030</v>
      </c>
      <c r="F190" s="79">
        <v>117540</v>
      </c>
      <c r="G190" s="79">
        <v>141455</v>
      </c>
      <c r="H190" s="79">
        <f aca="true" t="shared" si="48" ref="H190:U190">SUM(H191:H195)</f>
        <v>157876</v>
      </c>
      <c r="I190" s="79">
        <f t="shared" si="48"/>
        <v>153798</v>
      </c>
      <c r="J190" s="79">
        <f t="shared" si="48"/>
        <v>141580</v>
      </c>
      <c r="K190" s="79">
        <f t="shared" si="48"/>
        <v>144793</v>
      </c>
      <c r="L190" s="80">
        <f t="shared" si="48"/>
        <v>138341.56</v>
      </c>
      <c r="M190" s="80">
        <f t="shared" si="48"/>
        <v>147764.81</v>
      </c>
      <c r="N190" s="470">
        <f t="shared" si="48"/>
        <v>187629.79</v>
      </c>
      <c r="O190" s="634">
        <f t="shared" si="48"/>
        <v>231026.1</v>
      </c>
      <c r="P190" s="470">
        <f t="shared" si="48"/>
        <v>241971.54</v>
      </c>
      <c r="Q190" s="634">
        <f t="shared" si="48"/>
        <v>327330.75</v>
      </c>
      <c r="R190" s="470">
        <f t="shared" si="48"/>
        <v>348444</v>
      </c>
      <c r="S190" s="470">
        <f t="shared" si="48"/>
        <v>321639.06</v>
      </c>
      <c r="T190" s="634">
        <v>330404.67</v>
      </c>
      <c r="U190" s="470">
        <f t="shared" si="48"/>
        <v>384568</v>
      </c>
      <c r="V190" s="398">
        <f>SUM(V191:V195)</f>
        <v>-1861</v>
      </c>
      <c r="W190" s="505">
        <f>SUM(W191:W194)</f>
        <v>31000</v>
      </c>
      <c r="X190" s="506">
        <f>SUM(X191:X194)</f>
        <v>413707</v>
      </c>
      <c r="Z190" s="2"/>
      <c r="AB190" s="2"/>
    </row>
    <row r="191" spans="1:28" ht="12.75">
      <c r="A191" s="831"/>
      <c r="B191" s="226">
        <v>610</v>
      </c>
      <c r="C191" s="41" t="s">
        <v>240</v>
      </c>
      <c r="D191" s="42"/>
      <c r="E191" s="42">
        <v>65691</v>
      </c>
      <c r="F191" s="42">
        <v>80097</v>
      </c>
      <c r="G191" s="42">
        <v>93395</v>
      </c>
      <c r="H191" s="42">
        <v>102238</v>
      </c>
      <c r="I191" s="41">
        <v>102422</v>
      </c>
      <c r="J191" s="42">
        <v>93404</v>
      </c>
      <c r="K191" s="42">
        <v>93846</v>
      </c>
      <c r="L191" s="200">
        <v>85213.93</v>
      </c>
      <c r="M191" s="151">
        <v>101710.97</v>
      </c>
      <c r="N191" s="93">
        <v>126027.75</v>
      </c>
      <c r="O191" s="200">
        <v>154366.21</v>
      </c>
      <c r="P191" s="200">
        <v>162844.91</v>
      </c>
      <c r="Q191" s="200">
        <v>223275.62</v>
      </c>
      <c r="R191" s="93">
        <v>241998</v>
      </c>
      <c r="S191" s="93">
        <v>204838.15</v>
      </c>
      <c r="T191" s="200">
        <v>224556.43</v>
      </c>
      <c r="U191" s="479">
        <v>268607</v>
      </c>
      <c r="V191" s="582">
        <v>-18000</v>
      </c>
      <c r="W191" s="582"/>
      <c r="X191" s="583">
        <f>U191+V191+W191</f>
        <v>250607</v>
      </c>
      <c r="Z191" s="2"/>
      <c r="AB191" s="2"/>
    </row>
    <row r="192" spans="1:31" ht="12.75">
      <c r="A192" s="832"/>
      <c r="B192" s="227">
        <v>620</v>
      </c>
      <c r="C192" s="43" t="s">
        <v>241</v>
      </c>
      <c r="D192" s="44"/>
      <c r="E192" s="44">
        <v>22738</v>
      </c>
      <c r="F192" s="44">
        <v>27783</v>
      </c>
      <c r="G192" s="44">
        <v>32056</v>
      </c>
      <c r="H192" s="44">
        <v>35361</v>
      </c>
      <c r="I192" s="43">
        <v>35526</v>
      </c>
      <c r="J192" s="44">
        <v>32703</v>
      </c>
      <c r="K192" s="44">
        <v>32877</v>
      </c>
      <c r="L192" s="202">
        <v>32579.829999999994</v>
      </c>
      <c r="M192" s="114">
        <v>29560.18</v>
      </c>
      <c r="N192" s="26">
        <v>41405.87</v>
      </c>
      <c r="O192" s="202">
        <v>53348.97</v>
      </c>
      <c r="P192" s="202">
        <v>57717.62</v>
      </c>
      <c r="Q192" s="202">
        <v>78315.26</v>
      </c>
      <c r="R192" s="26">
        <v>85046</v>
      </c>
      <c r="S192" s="26">
        <v>76270.92</v>
      </c>
      <c r="T192" s="202">
        <v>78579.13</v>
      </c>
      <c r="U192" s="480">
        <v>94561</v>
      </c>
      <c r="V192" s="584">
        <v>-6291</v>
      </c>
      <c r="W192" s="584"/>
      <c r="X192" s="585">
        <f>U192+V192+W192</f>
        <v>88270</v>
      </c>
      <c r="Z192" s="2"/>
      <c r="AB192" s="2"/>
      <c r="AE192" s="441"/>
    </row>
    <row r="193" spans="1:31" ht="12.75">
      <c r="A193" s="832"/>
      <c r="B193" s="307">
        <v>630</v>
      </c>
      <c r="C193" s="47" t="s">
        <v>242</v>
      </c>
      <c r="D193" s="74"/>
      <c r="E193" s="74">
        <v>7369</v>
      </c>
      <c r="F193" s="74">
        <v>8830</v>
      </c>
      <c r="G193" s="74">
        <v>15669</v>
      </c>
      <c r="H193" s="74">
        <v>19477</v>
      </c>
      <c r="I193" s="47">
        <v>15050</v>
      </c>
      <c r="J193" s="44">
        <v>14133</v>
      </c>
      <c r="K193" s="44">
        <v>17748</v>
      </c>
      <c r="L193" s="220">
        <v>20156.86</v>
      </c>
      <c r="M193" s="220">
        <v>15870.11</v>
      </c>
      <c r="N193" s="30">
        <v>19809.26</v>
      </c>
      <c r="O193" s="220">
        <v>22572.22</v>
      </c>
      <c r="P193" s="220">
        <v>20719.09</v>
      </c>
      <c r="Q193" s="220">
        <v>25179.48</v>
      </c>
      <c r="R193" s="30">
        <v>21400</v>
      </c>
      <c r="S193" s="30">
        <v>33111.74</v>
      </c>
      <c r="T193" s="220">
        <v>21537.92</v>
      </c>
      <c r="U193" s="489">
        <v>21400</v>
      </c>
      <c r="V193" s="584"/>
      <c r="W193" s="584">
        <f>25717+5283</f>
        <v>31000</v>
      </c>
      <c r="X193" s="585">
        <f>U193+V193+W193</f>
        <v>52400</v>
      </c>
      <c r="Z193" s="2"/>
      <c r="AB193" s="2"/>
      <c r="AE193" s="441"/>
    </row>
    <row r="194" spans="1:31" ht="13.5" thickBot="1">
      <c r="A194" s="832"/>
      <c r="B194" s="250">
        <v>640</v>
      </c>
      <c r="C194" s="46" t="s">
        <v>243</v>
      </c>
      <c r="D194" s="60"/>
      <c r="E194" s="60"/>
      <c r="F194" s="60"/>
      <c r="G194" s="60"/>
      <c r="H194" s="60"/>
      <c r="I194" s="46"/>
      <c r="J194" s="60">
        <v>1340</v>
      </c>
      <c r="K194" s="60">
        <v>322</v>
      </c>
      <c r="L194" s="252">
        <v>390.94</v>
      </c>
      <c r="M194" s="252">
        <v>623.55</v>
      </c>
      <c r="N194" s="48">
        <v>386.91</v>
      </c>
      <c r="O194" s="252">
        <v>738.7</v>
      </c>
      <c r="P194" s="252">
        <v>689.92</v>
      </c>
      <c r="Q194" s="252">
        <v>560.39</v>
      </c>
      <c r="R194" s="48">
        <v>0</v>
      </c>
      <c r="S194" s="48">
        <v>7418.25</v>
      </c>
      <c r="T194" s="252">
        <v>5731.19</v>
      </c>
      <c r="U194" s="471"/>
      <c r="V194" s="593">
        <v>22430</v>
      </c>
      <c r="W194" s="593"/>
      <c r="X194" s="588">
        <f>U194+V194+W194</f>
        <v>22430</v>
      </c>
      <c r="Z194" s="2"/>
      <c r="AB194" s="2"/>
      <c r="AE194" s="441"/>
    </row>
    <row r="195" spans="1:31" ht="13.5" hidden="1" thickBot="1">
      <c r="A195" s="833"/>
      <c r="B195" s="229">
        <v>630</v>
      </c>
      <c r="C195" s="115" t="s">
        <v>20</v>
      </c>
      <c r="D195" s="207"/>
      <c r="E195" s="207">
        <v>232</v>
      </c>
      <c r="F195" s="207">
        <v>830</v>
      </c>
      <c r="G195" s="207">
        <v>335</v>
      </c>
      <c r="H195" s="207">
        <v>800</v>
      </c>
      <c r="I195" s="115">
        <v>800</v>
      </c>
      <c r="J195" s="115"/>
      <c r="K195" s="207"/>
      <c r="L195" s="77"/>
      <c r="M195" s="77"/>
      <c r="N195" s="77"/>
      <c r="O195" s="208"/>
      <c r="P195" s="208"/>
      <c r="Q195" s="208"/>
      <c r="R195" s="77"/>
      <c r="S195" s="77"/>
      <c r="T195" s="208"/>
      <c r="U195" s="475"/>
      <c r="V195" s="591">
        <f>IF(T195=0,0,U195/T195)</f>
        <v>0</v>
      </c>
      <c r="W195" s="591"/>
      <c r="X195" s="592"/>
      <c r="Z195" s="2"/>
      <c r="AB195" s="2"/>
      <c r="AE195" s="441"/>
    </row>
    <row r="196" spans="1:31" ht="15.75" thickBot="1">
      <c r="A196" s="510" t="s">
        <v>21</v>
      </c>
      <c r="B196" s="830" t="s">
        <v>52</v>
      </c>
      <c r="C196" s="799"/>
      <c r="D196" s="266">
        <v>35152</v>
      </c>
      <c r="E196" s="266">
        <v>34654</v>
      </c>
      <c r="F196" s="266">
        <v>45741</v>
      </c>
      <c r="G196" s="266">
        <v>45381</v>
      </c>
      <c r="H196" s="79">
        <f>SUM(H197:H200)</f>
        <v>47758</v>
      </c>
      <c r="I196" s="79">
        <f>SUM(I197:I200)</f>
        <v>57427</v>
      </c>
      <c r="J196" s="79">
        <f>SUM(J197:J199)</f>
        <v>33860</v>
      </c>
      <c r="K196" s="79">
        <f>SUM(K197:K200)</f>
        <v>33843</v>
      </c>
      <c r="L196" s="80">
        <f>SUM(L197:L200)</f>
        <v>35020.590000000004</v>
      </c>
      <c r="M196" s="80">
        <f>SUM(M197:M200)</f>
        <v>40552.41</v>
      </c>
      <c r="N196" s="470">
        <f>SUM(N197:N200)</f>
        <v>37850.049999999996</v>
      </c>
      <c r="O196" s="634">
        <f>SUM(O197:O200)</f>
        <v>37981.53</v>
      </c>
      <c r="P196" s="470">
        <f aca="true" t="shared" si="49" ref="P196:U196">SUM(P197:P199)</f>
        <v>31489.34</v>
      </c>
      <c r="Q196" s="634">
        <f t="shared" si="49"/>
        <v>40039.15</v>
      </c>
      <c r="R196" s="470">
        <f t="shared" si="49"/>
        <v>42586</v>
      </c>
      <c r="S196" s="470">
        <f t="shared" si="49"/>
        <v>41664.05</v>
      </c>
      <c r="T196" s="634">
        <v>33379.97</v>
      </c>
      <c r="U196" s="470">
        <f t="shared" si="49"/>
        <v>63816</v>
      </c>
      <c r="V196" s="67">
        <f>SUM(V197:V200)</f>
        <v>-8157</v>
      </c>
      <c r="W196" s="505">
        <f>SUM(W197:W200)</f>
        <v>0</v>
      </c>
      <c r="X196" s="506">
        <f>SUM(X197:X200)</f>
        <v>55659</v>
      </c>
      <c r="Z196" s="2"/>
      <c r="AB196" s="2"/>
      <c r="AE196" s="441"/>
    </row>
    <row r="197" spans="1:31" ht="12.75">
      <c r="A197" s="847"/>
      <c r="B197" s="226">
        <v>610</v>
      </c>
      <c r="C197" s="221" t="s">
        <v>240</v>
      </c>
      <c r="D197" s="313"/>
      <c r="E197" s="313">
        <v>21277</v>
      </c>
      <c r="F197" s="313">
        <v>26622</v>
      </c>
      <c r="G197" s="313">
        <v>27938</v>
      </c>
      <c r="H197" s="313">
        <v>29205</v>
      </c>
      <c r="I197" s="42">
        <v>32982</v>
      </c>
      <c r="J197" s="42">
        <v>19537</v>
      </c>
      <c r="K197" s="42">
        <v>19331</v>
      </c>
      <c r="L197" s="200">
        <v>19931.3</v>
      </c>
      <c r="M197" s="200">
        <v>21474.28</v>
      </c>
      <c r="N197" s="93">
        <v>19698.37</v>
      </c>
      <c r="O197" s="200">
        <v>20600.24</v>
      </c>
      <c r="P197" s="200">
        <v>19790.26</v>
      </c>
      <c r="Q197" s="200">
        <v>21979.15</v>
      </c>
      <c r="R197" s="93">
        <v>23564</v>
      </c>
      <c r="S197" s="93">
        <v>20878.86</v>
      </c>
      <c r="T197" s="200">
        <v>23204.72</v>
      </c>
      <c r="U197" s="479">
        <v>39108</v>
      </c>
      <c r="V197" s="582">
        <v>-6000</v>
      </c>
      <c r="W197" s="582"/>
      <c r="X197" s="583">
        <f>U197+V197+W197</f>
        <v>33108</v>
      </c>
      <c r="Z197" s="2"/>
      <c r="AB197" s="2"/>
      <c r="AE197" s="441"/>
    </row>
    <row r="198" spans="1:31" ht="12.75">
      <c r="A198" s="848"/>
      <c r="B198" s="227">
        <v>620</v>
      </c>
      <c r="C198" s="223" t="s">
        <v>241</v>
      </c>
      <c r="D198" s="203"/>
      <c r="E198" s="203">
        <v>8033</v>
      </c>
      <c r="F198" s="203">
        <v>9792</v>
      </c>
      <c r="G198" s="203">
        <v>10190</v>
      </c>
      <c r="H198" s="203">
        <v>10431</v>
      </c>
      <c r="I198" s="44">
        <v>13206</v>
      </c>
      <c r="J198" s="44">
        <v>7857</v>
      </c>
      <c r="K198" s="44">
        <v>7510</v>
      </c>
      <c r="L198" s="202">
        <v>8330.59</v>
      </c>
      <c r="M198" s="202">
        <v>7982.2</v>
      </c>
      <c r="N198" s="26">
        <v>7602.19</v>
      </c>
      <c r="O198" s="202">
        <v>8776.16</v>
      </c>
      <c r="P198" s="202">
        <v>7193.52</v>
      </c>
      <c r="Q198" s="202">
        <v>8019.72</v>
      </c>
      <c r="R198" s="26">
        <v>8487</v>
      </c>
      <c r="S198" s="26">
        <v>7600.32</v>
      </c>
      <c r="T198" s="202">
        <v>8387.87</v>
      </c>
      <c r="U198" s="480">
        <v>14173</v>
      </c>
      <c r="V198" s="584">
        <v>-2097</v>
      </c>
      <c r="W198" s="584"/>
      <c r="X198" s="585">
        <f>U198+V198+W198</f>
        <v>12076</v>
      </c>
      <c r="Z198" s="2"/>
      <c r="AB198" s="2"/>
      <c r="AE198" s="441"/>
    </row>
    <row r="199" spans="1:31" ht="12.75">
      <c r="A199" s="848"/>
      <c r="B199" s="227">
        <v>630</v>
      </c>
      <c r="C199" s="223" t="s">
        <v>242</v>
      </c>
      <c r="D199" s="203"/>
      <c r="E199" s="203">
        <v>5344</v>
      </c>
      <c r="F199" s="203">
        <v>9327</v>
      </c>
      <c r="G199" s="203">
        <v>7253</v>
      </c>
      <c r="H199" s="203">
        <v>8122</v>
      </c>
      <c r="I199" s="44">
        <v>7483</v>
      </c>
      <c r="J199" s="44">
        <v>6466</v>
      </c>
      <c r="K199" s="44">
        <v>6899</v>
      </c>
      <c r="L199" s="202">
        <v>6669.76</v>
      </c>
      <c r="M199" s="202">
        <v>10990.38</v>
      </c>
      <c r="N199" s="26">
        <v>10449.24</v>
      </c>
      <c r="O199" s="202">
        <v>5491.570000000001</v>
      </c>
      <c r="P199" s="202">
        <v>4505.56</v>
      </c>
      <c r="Q199" s="202">
        <v>10040.28</v>
      </c>
      <c r="R199" s="26">
        <v>10535</v>
      </c>
      <c r="S199" s="26">
        <v>13184.87</v>
      </c>
      <c r="T199" s="202">
        <v>1787.38</v>
      </c>
      <c r="U199" s="26">
        <v>10535</v>
      </c>
      <c r="V199" s="584">
        <v>-500</v>
      </c>
      <c r="W199" s="584"/>
      <c r="X199" s="585">
        <f>U199+V199+W199</f>
        <v>10035</v>
      </c>
      <c r="Z199" s="2"/>
      <c r="AB199" s="2"/>
      <c r="AE199" s="441"/>
    </row>
    <row r="200" spans="1:31" ht="13.5" thickBot="1">
      <c r="A200" s="849"/>
      <c r="B200" s="229">
        <v>640</v>
      </c>
      <c r="C200" s="260" t="s">
        <v>243</v>
      </c>
      <c r="D200" s="294"/>
      <c r="E200" s="294"/>
      <c r="F200" s="294"/>
      <c r="G200" s="294"/>
      <c r="H200" s="294"/>
      <c r="I200" s="207">
        <v>3756</v>
      </c>
      <c r="J200" s="207"/>
      <c r="K200" s="207">
        <v>103</v>
      </c>
      <c r="L200" s="327">
        <v>88.94</v>
      </c>
      <c r="M200" s="299">
        <v>105.55</v>
      </c>
      <c r="N200" s="48">
        <v>100.25</v>
      </c>
      <c r="O200" s="252">
        <v>3113.56</v>
      </c>
      <c r="P200" s="252"/>
      <c r="Q200" s="252"/>
      <c r="R200" s="48">
        <v>0</v>
      </c>
      <c r="S200" s="48"/>
      <c r="T200" s="252"/>
      <c r="U200" s="471"/>
      <c r="V200" s="593">
        <v>440</v>
      </c>
      <c r="W200" s="593"/>
      <c r="X200" s="588">
        <f>U200+V200+W200</f>
        <v>440</v>
      </c>
      <c r="Z200" s="2"/>
      <c r="AB200" s="2"/>
      <c r="AE200" s="441"/>
    </row>
    <row r="201" spans="1:31" ht="36" customHeight="1" thickBot="1">
      <c r="A201" s="328" t="s">
        <v>22</v>
      </c>
      <c r="B201" s="812" t="s">
        <v>23</v>
      </c>
      <c r="C201" s="813"/>
      <c r="D201" s="329">
        <v>105855</v>
      </c>
      <c r="E201" s="329">
        <v>102071</v>
      </c>
      <c r="F201" s="329">
        <v>77475</v>
      </c>
      <c r="G201" s="329">
        <v>119794</v>
      </c>
      <c r="H201" s="330">
        <v>122484</v>
      </c>
      <c r="I201" s="330">
        <f>I202+I207+I208+I209+I210+I211+I213+I215+I212</f>
        <v>95592</v>
      </c>
      <c r="J201" s="330">
        <f>J202+J207+J208+J209+J210+J211+J213+J215+J212</f>
        <v>235945</v>
      </c>
      <c r="K201" s="330">
        <f>K202+K207+K208+K209+K210+K211+K213+K215+K212</f>
        <v>566990</v>
      </c>
      <c r="L201" s="331">
        <f>L202+L207+L208+L209+L210+L211+L213+L215+L212</f>
        <v>568843.26</v>
      </c>
      <c r="M201" s="331">
        <f>M202+M207+M210+M211+M212+M213-M212</f>
        <v>470939.2299999999</v>
      </c>
      <c r="N201" s="477">
        <f>SUM(N207:N215)+N202</f>
        <v>341351.46</v>
      </c>
      <c r="O201" s="643">
        <f>SUM(O207:O215)+O202</f>
        <v>302230.36999999994</v>
      </c>
      <c r="P201" s="477">
        <f>SUM(P207:P215)+P202</f>
        <v>332895.13</v>
      </c>
      <c r="Q201" s="643">
        <f>SUM(Q207:Q215)+Q202</f>
        <v>380830.30000000005</v>
      </c>
      <c r="R201" s="477">
        <f>R202+R207+R210+R212+R214+R213+R209+R215</f>
        <v>352166</v>
      </c>
      <c r="S201" s="477">
        <f>S202+S207+S210+S212+S214+S213+S209+S215+S208</f>
        <v>318162.49999999994</v>
      </c>
      <c r="T201" s="643">
        <v>485514.21</v>
      </c>
      <c r="U201" s="477">
        <f>U202+U207+U210+U212+U214+U213+U209+U215+U208+U211</f>
        <v>451731</v>
      </c>
      <c r="V201" s="750">
        <f>V202+V207+V210+V212+V214+V213+V209+V215+V208</f>
        <v>16935</v>
      </c>
      <c r="W201" s="669">
        <f>W202+W207+W210+W212+W214+W213+W209+W211</f>
        <v>0</v>
      </c>
      <c r="X201" s="670">
        <f>X202+X207+X210+X212+X214+X213+X209+X215+X208+X211</f>
        <v>468666</v>
      </c>
      <c r="Z201" s="2"/>
      <c r="AB201" s="2"/>
      <c r="AE201" s="441"/>
    </row>
    <row r="202" spans="1:31" ht="26.25" customHeight="1" thickBot="1">
      <c r="A202" s="827"/>
      <c r="B202" s="828" t="s">
        <v>337</v>
      </c>
      <c r="C202" s="829"/>
      <c r="D202" s="332">
        <v>26024</v>
      </c>
      <c r="E202" s="332">
        <v>26422</v>
      </c>
      <c r="F202" s="332">
        <v>12381</v>
      </c>
      <c r="G202" s="332">
        <v>67096</v>
      </c>
      <c r="H202" s="333">
        <f aca="true" t="shared" si="50" ref="H202:O202">SUM(H203:H205)</f>
        <v>63788</v>
      </c>
      <c r="I202" s="333">
        <f t="shared" si="50"/>
        <v>2494</v>
      </c>
      <c r="J202" s="333">
        <f t="shared" si="50"/>
        <v>41385</v>
      </c>
      <c r="K202" s="333">
        <f>SUM(K203:K206)</f>
        <v>80229</v>
      </c>
      <c r="L202" s="334">
        <f>SUM(L203:L206)</f>
        <v>66952.96999999999</v>
      </c>
      <c r="M202" s="334">
        <f>SUM(M203:M206)</f>
        <v>85074.98</v>
      </c>
      <c r="N202" s="333">
        <f t="shared" si="50"/>
        <v>7365</v>
      </c>
      <c r="O202" s="334">
        <f t="shared" si="50"/>
        <v>28865.35</v>
      </c>
      <c r="P202" s="333">
        <f aca="true" t="shared" si="51" ref="P202:V202">SUM(P203:P206)</f>
        <v>120501.78</v>
      </c>
      <c r="Q202" s="334">
        <f t="shared" si="51"/>
        <v>126996.82000000002</v>
      </c>
      <c r="R202" s="333">
        <f t="shared" si="51"/>
        <v>141442</v>
      </c>
      <c r="S202" s="333">
        <f t="shared" si="51"/>
        <v>173154.97999999998</v>
      </c>
      <c r="T202" s="334">
        <v>175177.12</v>
      </c>
      <c r="U202" s="333">
        <f t="shared" si="51"/>
        <v>198744</v>
      </c>
      <c r="V202" s="333">
        <f t="shared" si="51"/>
        <v>16935</v>
      </c>
      <c r="W202" s="669">
        <f>SUM(W203:W206)</f>
        <v>0</v>
      </c>
      <c r="X202" s="670">
        <f>SUM(X203:X206)</f>
        <v>215679</v>
      </c>
      <c r="Z202" s="2"/>
      <c r="AB202" s="2"/>
      <c r="AE202" s="441"/>
    </row>
    <row r="203" spans="1:31" ht="12.75">
      <c r="A203" s="827"/>
      <c r="B203" s="199">
        <v>610</v>
      </c>
      <c r="C203" s="41" t="s">
        <v>240</v>
      </c>
      <c r="D203" s="42"/>
      <c r="E203" s="42">
        <v>16132</v>
      </c>
      <c r="F203" s="42">
        <v>7933</v>
      </c>
      <c r="G203" s="42">
        <v>43567</v>
      </c>
      <c r="H203" s="42">
        <v>42257</v>
      </c>
      <c r="I203" s="335">
        <v>2163</v>
      </c>
      <c r="J203" s="335">
        <v>27310</v>
      </c>
      <c r="K203" s="335">
        <v>54820</v>
      </c>
      <c r="L203" s="336">
        <v>43998.71</v>
      </c>
      <c r="M203" s="336">
        <v>61007.02</v>
      </c>
      <c r="N203" s="542">
        <v>1010.2</v>
      </c>
      <c r="O203" s="644">
        <v>19809.79</v>
      </c>
      <c r="P203" s="644">
        <v>74996.97</v>
      </c>
      <c r="Q203" s="644">
        <v>83271.48000000001</v>
      </c>
      <c r="R203" s="542">
        <v>91152</v>
      </c>
      <c r="S203" s="542">
        <v>116904.23</v>
      </c>
      <c r="T203" s="644">
        <v>114332.05</v>
      </c>
      <c r="U203" s="542">
        <v>133614</v>
      </c>
      <c r="V203" s="582">
        <v>14000</v>
      </c>
      <c r="W203" s="582"/>
      <c r="X203" s="583">
        <f aca="true" t="shared" si="52" ref="X203:X215">U203+V203+W203</f>
        <v>147614</v>
      </c>
      <c r="Z203" s="2"/>
      <c r="AA203" s="2"/>
      <c r="AB203" s="2"/>
      <c r="AE203" s="441"/>
    </row>
    <row r="204" spans="1:31" ht="12.75">
      <c r="A204" s="827"/>
      <c r="B204" s="201">
        <v>620</v>
      </c>
      <c r="C204" s="43" t="s">
        <v>241</v>
      </c>
      <c r="D204" s="44"/>
      <c r="E204" s="44">
        <v>5344</v>
      </c>
      <c r="F204" s="44">
        <v>2622</v>
      </c>
      <c r="G204" s="44">
        <v>14529</v>
      </c>
      <c r="H204" s="44">
        <v>14713</v>
      </c>
      <c r="I204" s="337">
        <v>323</v>
      </c>
      <c r="J204" s="337">
        <v>10254</v>
      </c>
      <c r="K204" s="337">
        <v>19614</v>
      </c>
      <c r="L204" s="338">
        <v>18142.44</v>
      </c>
      <c r="M204" s="338">
        <v>19303.48</v>
      </c>
      <c r="N204" s="339">
        <v>430.73</v>
      </c>
      <c r="O204" s="338">
        <v>6838.92</v>
      </c>
      <c r="P204" s="338">
        <v>26581.7</v>
      </c>
      <c r="Q204" s="338">
        <v>26861.5</v>
      </c>
      <c r="R204" s="339">
        <v>32290</v>
      </c>
      <c r="S204" s="339">
        <v>40364.94</v>
      </c>
      <c r="T204" s="338">
        <v>38100.61</v>
      </c>
      <c r="U204" s="339">
        <v>47130</v>
      </c>
      <c r="V204" s="584">
        <v>5435</v>
      </c>
      <c r="W204" s="584"/>
      <c r="X204" s="585">
        <f t="shared" si="52"/>
        <v>52565</v>
      </c>
      <c r="Z204" s="2"/>
      <c r="AB204" s="2"/>
      <c r="AE204" s="441"/>
    </row>
    <row r="205" spans="1:31" ht="12.75">
      <c r="A205" s="827"/>
      <c r="B205" s="201">
        <v>630</v>
      </c>
      <c r="C205" s="43" t="s">
        <v>242</v>
      </c>
      <c r="D205" s="44"/>
      <c r="E205" s="44">
        <v>4946</v>
      </c>
      <c r="F205" s="44">
        <v>1826</v>
      </c>
      <c r="G205" s="44">
        <v>9000</v>
      </c>
      <c r="H205" s="44">
        <v>6818</v>
      </c>
      <c r="I205" s="44">
        <v>8</v>
      </c>
      <c r="J205" s="44">
        <f>3526+295</f>
        <v>3821</v>
      </c>
      <c r="K205" s="337">
        <v>5011</v>
      </c>
      <c r="L205" s="338">
        <v>4277.15</v>
      </c>
      <c r="M205" s="338">
        <v>4479.7</v>
      </c>
      <c r="N205" s="339">
        <v>5924.07</v>
      </c>
      <c r="O205" s="338">
        <v>2216.64</v>
      </c>
      <c r="P205" s="338">
        <v>18923.11</v>
      </c>
      <c r="Q205" s="338">
        <v>14768.490000000002</v>
      </c>
      <c r="R205" s="339">
        <v>18000</v>
      </c>
      <c r="S205" s="339">
        <v>15653.83</v>
      </c>
      <c r="T205" s="338">
        <v>21635.12</v>
      </c>
      <c r="U205" s="339">
        <v>18000</v>
      </c>
      <c r="V205" s="584">
        <v>-2500</v>
      </c>
      <c r="W205" s="584"/>
      <c r="X205" s="585">
        <f t="shared" si="52"/>
        <v>15500</v>
      </c>
      <c r="Z205" s="2"/>
      <c r="AB205" s="2"/>
      <c r="AE205" s="441"/>
    </row>
    <row r="206" spans="1:31" ht="13.5" thickBot="1">
      <c r="A206" s="827"/>
      <c r="B206" s="323">
        <v>640</v>
      </c>
      <c r="C206" s="296" t="s">
        <v>243</v>
      </c>
      <c r="D206" s="298"/>
      <c r="E206" s="298"/>
      <c r="F206" s="298"/>
      <c r="G206" s="298"/>
      <c r="H206" s="298"/>
      <c r="I206" s="298"/>
      <c r="J206" s="298"/>
      <c r="K206" s="340">
        <v>784</v>
      </c>
      <c r="L206" s="341">
        <v>534.67</v>
      </c>
      <c r="M206" s="341">
        <v>284.78</v>
      </c>
      <c r="N206" s="342"/>
      <c r="O206" s="341"/>
      <c r="P206" s="341"/>
      <c r="Q206" s="341">
        <v>2095.35</v>
      </c>
      <c r="R206" s="342">
        <v>0</v>
      </c>
      <c r="S206" s="342">
        <v>231.98</v>
      </c>
      <c r="T206" s="341">
        <v>1109.3400000000001</v>
      </c>
      <c r="U206" s="495"/>
      <c r="V206" s="620"/>
      <c r="W206" s="620"/>
      <c r="X206" s="621">
        <f t="shared" si="52"/>
        <v>0</v>
      </c>
      <c r="Z206" s="2"/>
      <c r="AB206" s="2"/>
      <c r="AE206" s="441"/>
    </row>
    <row r="207" spans="1:31" ht="12.75">
      <c r="A207" s="827"/>
      <c r="B207" s="343"/>
      <c r="C207" s="316" t="s">
        <v>24</v>
      </c>
      <c r="D207" s="315"/>
      <c r="E207" s="315"/>
      <c r="F207" s="315"/>
      <c r="G207" s="315"/>
      <c r="H207" s="315"/>
      <c r="I207" s="316">
        <v>9265</v>
      </c>
      <c r="J207" s="203">
        <v>11343</v>
      </c>
      <c r="K207" s="44">
        <v>6313</v>
      </c>
      <c r="L207" s="118">
        <v>5404.14</v>
      </c>
      <c r="M207" s="118">
        <v>4327.68</v>
      </c>
      <c r="N207" s="22"/>
      <c r="O207" s="118">
        <v>3575.04</v>
      </c>
      <c r="P207" s="118">
        <v>3928.96</v>
      </c>
      <c r="Q207" s="118">
        <v>5212.52</v>
      </c>
      <c r="R207" s="22">
        <v>3500</v>
      </c>
      <c r="S207" s="22">
        <v>2417</v>
      </c>
      <c r="T207" s="118">
        <v>3205.42</v>
      </c>
      <c r="U207" s="485">
        <v>3500</v>
      </c>
      <c r="V207" s="582"/>
      <c r="W207" s="22"/>
      <c r="X207" s="583">
        <f t="shared" si="52"/>
        <v>3500</v>
      </c>
      <c r="Z207" s="2"/>
      <c r="AB207" s="2"/>
      <c r="AE207" s="441"/>
    </row>
    <row r="208" spans="1:31" ht="12.75">
      <c r="A208" s="827"/>
      <c r="B208" s="344"/>
      <c r="C208" s="223" t="s">
        <v>25</v>
      </c>
      <c r="D208" s="203"/>
      <c r="E208" s="203"/>
      <c r="F208" s="203"/>
      <c r="G208" s="203"/>
      <c r="H208" s="203"/>
      <c r="I208" s="223"/>
      <c r="J208" s="203"/>
      <c r="K208" s="44"/>
      <c r="L208" s="202"/>
      <c r="M208" s="26"/>
      <c r="N208" s="26">
        <v>0</v>
      </c>
      <c r="O208" s="202">
        <v>30265.35</v>
      </c>
      <c r="P208" s="202"/>
      <c r="Q208" s="202"/>
      <c r="R208" s="26">
        <v>0</v>
      </c>
      <c r="S208" s="26">
        <v>937.16</v>
      </c>
      <c r="T208" s="202">
        <v>31667.72</v>
      </c>
      <c r="U208" s="480">
        <v>30000</v>
      </c>
      <c r="V208" s="584"/>
      <c r="W208" s="26"/>
      <c r="X208" s="585">
        <f t="shared" si="52"/>
        <v>30000</v>
      </c>
      <c r="Z208" s="2"/>
      <c r="AB208" s="2"/>
      <c r="AE208" s="441"/>
    </row>
    <row r="209" spans="1:31" ht="12.75" customHeight="1">
      <c r="A209" s="827"/>
      <c r="B209" s="344">
        <v>630</v>
      </c>
      <c r="C209" s="223" t="s">
        <v>25</v>
      </c>
      <c r="D209" s="203"/>
      <c r="E209" s="203"/>
      <c r="F209" s="203"/>
      <c r="G209" s="203"/>
      <c r="H209" s="203"/>
      <c r="I209" s="223"/>
      <c r="J209" s="203"/>
      <c r="K209" s="44"/>
      <c r="L209" s="202"/>
      <c r="M209" s="26"/>
      <c r="N209" s="26">
        <v>0</v>
      </c>
      <c r="O209" s="202"/>
      <c r="P209" s="202"/>
      <c r="Q209" s="202"/>
      <c r="R209" s="26">
        <v>0</v>
      </c>
      <c r="S209" s="26"/>
      <c r="T209" s="202">
        <v>0</v>
      </c>
      <c r="U209" s="480"/>
      <c r="V209" s="584"/>
      <c r="W209" s="26"/>
      <c r="X209" s="585">
        <f t="shared" si="52"/>
        <v>0</v>
      </c>
      <c r="Z209" s="2"/>
      <c r="AB209" s="2"/>
      <c r="AE209" s="441"/>
    </row>
    <row r="210" spans="1:31" ht="12.75" customHeight="1">
      <c r="A210" s="827"/>
      <c r="B210" s="344">
        <v>630</v>
      </c>
      <c r="C210" s="223" t="s">
        <v>26</v>
      </c>
      <c r="D210" s="203"/>
      <c r="E210" s="203"/>
      <c r="F210" s="203"/>
      <c r="G210" s="203"/>
      <c r="H210" s="203"/>
      <c r="I210" s="223">
        <v>66358</v>
      </c>
      <c r="J210" s="203">
        <v>95746</v>
      </c>
      <c r="K210" s="44">
        <f>5530+80179</f>
        <v>85709</v>
      </c>
      <c r="L210" s="202">
        <v>56320.98000000001</v>
      </c>
      <c r="M210" s="202">
        <v>47905.93</v>
      </c>
      <c r="N210" s="26">
        <v>34336.340000000004</v>
      </c>
      <c r="O210" s="202">
        <v>29495.23</v>
      </c>
      <c r="P210" s="202">
        <v>24290.5</v>
      </c>
      <c r="Q210" s="202">
        <v>106460.45</v>
      </c>
      <c r="R210" s="26">
        <v>35000</v>
      </c>
      <c r="S210" s="26"/>
      <c r="T210" s="202"/>
      <c r="U210" s="480">
        <v>0</v>
      </c>
      <c r="V210" s="584"/>
      <c r="W210" s="26"/>
      <c r="X210" s="585">
        <f t="shared" si="52"/>
        <v>0</v>
      </c>
      <c r="Z210" s="2"/>
      <c r="AB210" s="2"/>
      <c r="AE210" s="441"/>
    </row>
    <row r="211" spans="1:31" ht="12.75">
      <c r="A211" s="827"/>
      <c r="B211" s="344">
        <v>630</v>
      </c>
      <c r="C211" s="223" t="s">
        <v>449</v>
      </c>
      <c r="D211" s="203"/>
      <c r="E211" s="203"/>
      <c r="F211" s="203"/>
      <c r="G211" s="203"/>
      <c r="H211" s="203"/>
      <c r="I211" s="44">
        <v>642</v>
      </c>
      <c r="J211" s="203"/>
      <c r="K211" s="44"/>
      <c r="L211" s="202"/>
      <c r="M211" s="202">
        <v>323039.83999999997</v>
      </c>
      <c r="N211" s="26">
        <v>0</v>
      </c>
      <c r="O211" s="202"/>
      <c r="P211" s="202"/>
      <c r="Q211" s="202"/>
      <c r="R211" s="26">
        <v>0</v>
      </c>
      <c r="S211" s="26"/>
      <c r="T211" s="202">
        <v>0</v>
      </c>
      <c r="U211" s="480">
        <v>98987</v>
      </c>
      <c r="V211" s="584"/>
      <c r="W211" s="26"/>
      <c r="X211" s="585">
        <f t="shared" si="52"/>
        <v>98987</v>
      </c>
      <c r="Z211" s="2"/>
      <c r="AB211" s="2"/>
      <c r="AE211" s="441"/>
    </row>
    <row r="212" spans="1:31" ht="12.75">
      <c r="A212" s="827"/>
      <c r="B212" s="344"/>
      <c r="C212" s="223" t="s">
        <v>165</v>
      </c>
      <c r="D212" s="203"/>
      <c r="E212" s="203"/>
      <c r="F212" s="203"/>
      <c r="G212" s="203"/>
      <c r="H212" s="203"/>
      <c r="I212" s="223"/>
      <c r="J212" s="203">
        <v>85602</v>
      </c>
      <c r="K212" s="44">
        <f>4915+388479</f>
        <v>393394</v>
      </c>
      <c r="L212" s="202">
        <v>426977.77</v>
      </c>
      <c r="M212" s="202">
        <v>6176.6</v>
      </c>
      <c r="N212" s="26">
        <v>281171.12</v>
      </c>
      <c r="O212" s="202">
        <v>192626.66999999998</v>
      </c>
      <c r="P212" s="202">
        <v>166083.11</v>
      </c>
      <c r="Q212" s="202">
        <v>128496.68000000001</v>
      </c>
      <c r="R212" s="26">
        <v>150000</v>
      </c>
      <c r="S212" s="26">
        <v>127195.48999999999</v>
      </c>
      <c r="T212" s="202">
        <v>264695.44</v>
      </c>
      <c r="U212" s="480">
        <v>115000</v>
      </c>
      <c r="V212" s="584"/>
      <c r="W212" s="26"/>
      <c r="X212" s="585">
        <f t="shared" si="52"/>
        <v>115000</v>
      </c>
      <c r="Z212" s="2"/>
      <c r="AB212" s="2"/>
      <c r="AE212" s="441"/>
    </row>
    <row r="213" spans="1:31" ht="12.75">
      <c r="A213" s="827"/>
      <c r="B213" s="344">
        <v>630</v>
      </c>
      <c r="C213" s="223" t="s">
        <v>312</v>
      </c>
      <c r="D213" s="203"/>
      <c r="E213" s="203"/>
      <c r="F213" s="203"/>
      <c r="G213" s="203"/>
      <c r="H213" s="203"/>
      <c r="I213" s="223">
        <v>16833</v>
      </c>
      <c r="J213" s="203">
        <v>1809</v>
      </c>
      <c r="K213" s="44">
        <v>1345</v>
      </c>
      <c r="L213" s="202">
        <v>13077.4</v>
      </c>
      <c r="M213" s="202">
        <v>10590.8</v>
      </c>
      <c r="N213" s="26">
        <v>6654.32</v>
      </c>
      <c r="O213" s="202">
        <v>7292.93</v>
      </c>
      <c r="P213" s="202">
        <v>7200.599999999999</v>
      </c>
      <c r="Q213" s="202">
        <v>10049.73</v>
      </c>
      <c r="R213" s="26">
        <v>0</v>
      </c>
      <c r="S213" s="26">
        <v>11104.67</v>
      </c>
      <c r="T213" s="202">
        <v>10768.51</v>
      </c>
      <c r="U213" s="480"/>
      <c r="V213" s="584"/>
      <c r="W213" s="26"/>
      <c r="X213" s="585">
        <f t="shared" si="52"/>
        <v>0</v>
      </c>
      <c r="Z213" s="2"/>
      <c r="AB213" s="2"/>
      <c r="AE213" s="441"/>
    </row>
    <row r="214" spans="1:31" ht="12.75">
      <c r="A214" s="827"/>
      <c r="B214" s="555"/>
      <c r="C214" s="223" t="s">
        <v>27</v>
      </c>
      <c r="D214" s="556"/>
      <c r="E214" s="556"/>
      <c r="F214" s="556"/>
      <c r="G214" s="556"/>
      <c r="H214" s="556"/>
      <c r="I214" s="413"/>
      <c r="J214" s="203"/>
      <c r="K214" s="44"/>
      <c r="L214" s="220"/>
      <c r="M214" s="220"/>
      <c r="N214" s="30">
        <v>9556.68</v>
      </c>
      <c r="O214" s="220">
        <v>7519.8</v>
      </c>
      <c r="P214" s="220">
        <v>6557</v>
      </c>
      <c r="Q214" s="220">
        <v>315.4</v>
      </c>
      <c r="R214" s="30">
        <v>20224</v>
      </c>
      <c r="S214" s="30">
        <v>3353.2</v>
      </c>
      <c r="T214" s="220"/>
      <c r="U214" s="489">
        <v>3500</v>
      </c>
      <c r="V214" s="593"/>
      <c r="W214" s="30"/>
      <c r="X214" s="588">
        <f t="shared" si="52"/>
        <v>3500</v>
      </c>
      <c r="Z214" s="2"/>
      <c r="AB214" s="2"/>
      <c r="AE214" s="441"/>
    </row>
    <row r="215" spans="1:31" ht="13.5" thickBot="1">
      <c r="A215" s="827"/>
      <c r="B215" s="345">
        <v>630</v>
      </c>
      <c r="C215" s="346" t="s">
        <v>28</v>
      </c>
      <c r="D215" s="347"/>
      <c r="E215" s="347"/>
      <c r="F215" s="347"/>
      <c r="G215" s="347"/>
      <c r="H215" s="347"/>
      <c r="I215" s="346"/>
      <c r="J215" s="203">
        <v>60</v>
      </c>
      <c r="K215" s="44"/>
      <c r="L215" s="220">
        <v>110</v>
      </c>
      <c r="M215" s="348"/>
      <c r="N215" s="348">
        <v>2268</v>
      </c>
      <c r="O215" s="645">
        <v>2590</v>
      </c>
      <c r="P215" s="645">
        <v>4333.18</v>
      </c>
      <c r="Q215" s="645">
        <v>3298.7</v>
      </c>
      <c r="R215" s="348">
        <v>2000</v>
      </c>
      <c r="S215" s="348"/>
      <c r="T215" s="645"/>
      <c r="U215" s="496">
        <v>2000</v>
      </c>
      <c r="V215" s="593"/>
      <c r="W215" s="593"/>
      <c r="X215" s="588">
        <f t="shared" si="52"/>
        <v>2000</v>
      </c>
      <c r="Z215" s="2"/>
      <c r="AB215" s="2"/>
      <c r="AE215" s="441"/>
    </row>
    <row r="216" spans="1:31" ht="17.25" thickBot="1" thickTop="1">
      <c r="A216" s="349"/>
      <c r="B216" s="350"/>
      <c r="C216" s="148" t="s">
        <v>29</v>
      </c>
      <c r="D216" s="101">
        <f aca="true" t="shared" si="53" ref="D216:Q216">D4+D10+D14+D26+D28+D30+D36+D38+D43+D52+D58+D72+D77+D84+D90+D95+D114+D116+D130+D135+D150+D153+D159+D175+D180+D190+D196+D201+D119+D19+D45+D82</f>
        <v>5867125</v>
      </c>
      <c r="E216" s="101">
        <f t="shared" si="53"/>
        <v>6460200</v>
      </c>
      <c r="F216" s="101">
        <f t="shared" si="53"/>
        <v>7832271</v>
      </c>
      <c r="G216" s="101">
        <f t="shared" si="53"/>
        <v>8716285.43</v>
      </c>
      <c r="H216" s="101">
        <f t="shared" si="53"/>
        <v>9309387</v>
      </c>
      <c r="I216" s="101">
        <f t="shared" si="53"/>
        <v>8743512.2</v>
      </c>
      <c r="J216" s="101">
        <f t="shared" si="53"/>
        <v>8908071</v>
      </c>
      <c r="K216" s="101">
        <f t="shared" si="53"/>
        <v>8934542</v>
      </c>
      <c r="L216" s="351">
        <f t="shared" si="53"/>
        <v>9572545.38</v>
      </c>
      <c r="M216" s="351">
        <f t="shared" si="53"/>
        <v>9554914.799999999</v>
      </c>
      <c r="N216" s="478">
        <f t="shared" si="53"/>
        <v>9695081.340000002</v>
      </c>
      <c r="O216" s="646">
        <f t="shared" si="53"/>
        <v>10029034.879999999</v>
      </c>
      <c r="P216" s="478">
        <f t="shared" si="53"/>
        <v>10815176.44</v>
      </c>
      <c r="Q216" s="646">
        <f t="shared" si="53"/>
        <v>12072287.610000001</v>
      </c>
      <c r="R216" s="478">
        <f>R4+R10+R14+R19+R26+R28+R30+R36+R38+R43+R45+R52+R58+R72+R77+R84+R90+R95+R114+R116+R119+R130+R135+R150+R153+R159+R180+R190+R196+R201</f>
        <v>12278088</v>
      </c>
      <c r="S216" s="478">
        <f>S4+S10+S14+S19+S26+S28+S30+S36+S38+S43+S45+S52+S58+S72+S77+S84+S90+S95+S114+S116+S119+S130+S135+S150+S153+S159+S180+S190+S196+S201+S128</f>
        <v>13351433.260000002</v>
      </c>
      <c r="T216" s="646">
        <f>T4+T10+T14+T19+T26+T28+T30+T36+T38+T43+T45+T52+T58+T72+T77+T84+T90+T95+T114+T116+T119+T130+T135+T150+T153+T159+T180+T190+T196+T201</f>
        <v>14806830.810000002</v>
      </c>
      <c r="U216" s="478">
        <f>U4+U10+U14+U19+U26+U28+U30+U36+U38+U43+U45+U52+U58+U72+U77+U84+U90+U95+U114+U116+U119+U130+U135+U150+U153+U159+U180+U190+U196+U201</f>
        <v>16419913.469999999</v>
      </c>
      <c r="V216" s="465">
        <f>V4+V10+V14+V19+V26+V28+V30+V36+V38+V43+V45+V52+V58+V72+V77+V84+V90+V95+V114+V116+V119+V130+V135+V150+V153+V159+V180+V190+V196+V201</f>
        <v>0</v>
      </c>
      <c r="W216" s="478">
        <f>W4+W10+W14+W19+W26+W28+W30+W36+W38+W43+W45+W52+W58+W72+W77+W84+W90+W95+W114+W116+W119+W130+W135+W150+W153+W159+W180+W190+W196+W201</f>
        <v>145788</v>
      </c>
      <c r="X216" s="509">
        <f>X4+X10+X14+X19+X26+X28+X30+X36+X38+X43+X45+X52+X58+X72+X77+X84+X90+X95+X114+X116+X119+X130+X135+X150+X153+X159+X180+X190+X196+X201</f>
        <v>16552022.469999999</v>
      </c>
      <c r="Z216" s="2"/>
      <c r="AB216" s="2"/>
      <c r="AE216" s="441"/>
    </row>
    <row r="217" spans="22:31" ht="13.5" thickTop="1">
      <c r="V217" s="751"/>
      <c r="AB217" s="2"/>
      <c r="AE217" s="441"/>
    </row>
    <row r="218" spans="13:31" ht="12.75">
      <c r="M218" s="441"/>
      <c r="U218" s="596"/>
      <c r="V218" s="596"/>
      <c r="W218" s="596"/>
      <c r="X218" s="596"/>
      <c r="AB218" s="2"/>
      <c r="AE218" s="441"/>
    </row>
    <row r="219" spans="14:31" ht="12.75">
      <c r="N219" s="2"/>
      <c r="Q219" s="2"/>
      <c r="R219" s="2"/>
      <c r="S219" s="2"/>
      <c r="T219" s="2"/>
      <c r="U219" s="2"/>
      <c r="V219" s="751"/>
      <c r="W219" s="596"/>
      <c r="X219" s="596"/>
      <c r="AB219" s="2"/>
      <c r="AE219" s="441"/>
    </row>
    <row r="220" spans="13:31" ht="12.75">
      <c r="M220" s="441"/>
      <c r="U220" s="2"/>
      <c r="V220" s="596"/>
      <c r="W220" s="2"/>
      <c r="X220" s="2"/>
      <c r="AB220" s="2"/>
      <c r="AE220" s="441"/>
    </row>
    <row r="221" spans="14:31" ht="12.75">
      <c r="N221" s="2"/>
      <c r="O221" s="2"/>
      <c r="P221" s="2"/>
      <c r="Q221" s="2"/>
      <c r="R221" s="2"/>
      <c r="S221" s="2"/>
      <c r="T221" s="2"/>
      <c r="U221" s="2"/>
      <c r="V221" s="751"/>
      <c r="W221" s="596"/>
      <c r="X221" s="596"/>
      <c r="AB221" s="2"/>
      <c r="AE221" s="441"/>
    </row>
    <row r="222" spans="22:31" ht="12.75">
      <c r="V222" s="751"/>
      <c r="AB222" s="2"/>
      <c r="AE222" s="441"/>
    </row>
    <row r="223" spans="12:31" ht="12.75"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751"/>
      <c r="W223" s="596"/>
      <c r="X223" s="596"/>
      <c r="AB223" s="2"/>
      <c r="AE223" s="441"/>
    </row>
    <row r="224" spans="17:31" ht="12.75">
      <c r="Q224">
        <v>2019</v>
      </c>
      <c r="R224">
        <v>2020</v>
      </c>
      <c r="V224" s="751"/>
      <c r="AB224" s="2"/>
      <c r="AE224" s="441"/>
    </row>
    <row r="225" spans="14:31" ht="12.75">
      <c r="N225" s="2"/>
      <c r="O225" s="2"/>
      <c r="P225" s="2"/>
      <c r="Q225" s="2">
        <f>Q5</f>
        <v>702314.57</v>
      </c>
      <c r="R225" s="2">
        <f>R5</f>
        <v>737427</v>
      </c>
      <c r="S225" s="2"/>
      <c r="T225" s="2"/>
      <c r="U225" s="2"/>
      <c r="V225" s="596"/>
      <c r="W225" s="2"/>
      <c r="X225" s="2"/>
      <c r="AB225" s="2"/>
      <c r="AE225" s="441"/>
    </row>
    <row r="226" spans="17:31" ht="12.75">
      <c r="Q226" s="2">
        <f>Q6</f>
        <v>266731.95</v>
      </c>
      <c r="R226" s="2">
        <f>R6</f>
        <v>273617</v>
      </c>
      <c r="S226" s="2"/>
      <c r="T226" s="2"/>
      <c r="U226" s="2"/>
      <c r="V226" s="751"/>
      <c r="AB226" s="2"/>
      <c r="AE226" s="441"/>
    </row>
    <row r="227" spans="17:31" ht="12.75">
      <c r="Q227" s="2">
        <f>Q7+Q8</f>
        <v>338014.24</v>
      </c>
      <c r="R227" s="2">
        <f>R7+R8</f>
        <v>393065</v>
      </c>
      <c r="S227" s="2"/>
      <c r="T227" s="2"/>
      <c r="U227" s="2"/>
      <c r="V227" s="596"/>
      <c r="W227" s="2"/>
      <c r="X227" s="2"/>
      <c r="AE227" s="441"/>
    </row>
    <row r="228" spans="21:31" ht="12.75">
      <c r="U228" s="2"/>
      <c r="V228" s="751"/>
      <c r="AE228" s="441"/>
    </row>
    <row r="229" spans="22:24" ht="12.75">
      <c r="V229" s="751"/>
      <c r="W229" s="596"/>
      <c r="X229" s="596"/>
    </row>
    <row r="230" spans="21:25" ht="12.75">
      <c r="U230" s="2"/>
      <c r="V230" s="596"/>
      <c r="W230" s="2"/>
      <c r="X230" s="2"/>
      <c r="Y230" s="2"/>
    </row>
    <row r="231" ht="12.75">
      <c r="V231" s="751"/>
    </row>
    <row r="232" ht="12.75">
      <c r="V232" s="751"/>
    </row>
    <row r="233" spans="23:24" ht="12.75">
      <c r="W233"/>
      <c r="X233"/>
    </row>
    <row r="234" spans="21:24" ht="12.75">
      <c r="U234" s="2"/>
      <c r="V234" s="596"/>
      <c r="W234" s="2"/>
      <c r="X234" s="2"/>
    </row>
    <row r="235" ht="12.75">
      <c r="V235" s="751"/>
    </row>
    <row r="236" ht="12.75">
      <c r="V236" s="751"/>
    </row>
    <row r="237" ht="12.75">
      <c r="V237" s="751"/>
    </row>
    <row r="238" ht="12.75">
      <c r="V238" s="751"/>
    </row>
    <row r="239" ht="12.75">
      <c r="V239" s="751"/>
    </row>
    <row r="240" ht="12.75">
      <c r="V240" s="751"/>
    </row>
    <row r="241" ht="12.75">
      <c r="V241" s="751"/>
    </row>
    <row r="242" ht="12.75">
      <c r="V242" s="751"/>
    </row>
    <row r="243" ht="12.75">
      <c r="V243" s="751"/>
    </row>
    <row r="244" ht="12.75">
      <c r="V244" s="751"/>
    </row>
    <row r="245" ht="12.75">
      <c r="V245" s="751"/>
    </row>
    <row r="246" ht="12.75">
      <c r="V246" s="751"/>
    </row>
    <row r="247" ht="12.75">
      <c r="V247" s="751"/>
    </row>
    <row r="248" ht="12.75">
      <c r="V248" s="751"/>
    </row>
    <row r="249" ht="12.75">
      <c r="V249" s="751"/>
    </row>
    <row r="250" ht="12.75">
      <c r="V250" s="751"/>
    </row>
    <row r="251" ht="12.75">
      <c r="V251" s="751"/>
    </row>
    <row r="252" ht="12.75">
      <c r="V252" s="751"/>
    </row>
    <row r="253" ht="12.75">
      <c r="V253" s="751"/>
    </row>
    <row r="254" ht="12.75">
      <c r="V254" s="751"/>
    </row>
    <row r="255" ht="12.75">
      <c r="V255" s="751"/>
    </row>
  </sheetData>
  <sheetProtection/>
  <mergeCells count="91">
    <mergeCell ref="B128:C128"/>
    <mergeCell ref="A120:A127"/>
    <mergeCell ref="A78:A81"/>
    <mergeCell ref="A85:A89"/>
    <mergeCell ref="B90:C90"/>
    <mergeCell ref="B82:C82"/>
    <mergeCell ref="B116:C116"/>
    <mergeCell ref="A96:A113"/>
    <mergeCell ref="H2:H3"/>
    <mergeCell ref="B59:C59"/>
    <mergeCell ref="B45:C45"/>
    <mergeCell ref="B28:C28"/>
    <mergeCell ref="B84:C84"/>
    <mergeCell ref="B119:C119"/>
    <mergeCell ref="G2:G3"/>
    <mergeCell ref="B26:C26"/>
    <mergeCell ref="X2:X3"/>
    <mergeCell ref="J2:J3"/>
    <mergeCell ref="V2:W2"/>
    <mergeCell ref="T2:T3"/>
    <mergeCell ref="C2:C3"/>
    <mergeCell ref="B114:C114"/>
    <mergeCell ref="K2:K3"/>
    <mergeCell ref="D2:D3"/>
    <mergeCell ref="B36:C36"/>
    <mergeCell ref="B14:C14"/>
    <mergeCell ref="U2:U3"/>
    <mergeCell ref="R2:R3"/>
    <mergeCell ref="P2:P3"/>
    <mergeCell ref="L2:L3"/>
    <mergeCell ref="M2:M3"/>
    <mergeCell ref="B181:C181"/>
    <mergeCell ref="B159:C159"/>
    <mergeCell ref="B150:C150"/>
    <mergeCell ref="B153:C153"/>
    <mergeCell ref="B130:C130"/>
    <mergeCell ref="A181:A189"/>
    <mergeCell ref="A176:A179"/>
    <mergeCell ref="B180:C180"/>
    <mergeCell ref="B201:C201"/>
    <mergeCell ref="B188:C188"/>
    <mergeCell ref="A197:A200"/>
    <mergeCell ref="B154:B158"/>
    <mergeCell ref="B166:B174"/>
    <mergeCell ref="O2:O3"/>
    <mergeCell ref="A160:A174"/>
    <mergeCell ref="B160:C160"/>
    <mergeCell ref="B165:C165"/>
    <mergeCell ref="B58:C58"/>
    <mergeCell ref="B95:C95"/>
    <mergeCell ref="B72:C72"/>
    <mergeCell ref="A73:A76"/>
    <mergeCell ref="A131:A134"/>
    <mergeCell ref="A202:A215"/>
    <mergeCell ref="B202:C202"/>
    <mergeCell ref="B190:C190"/>
    <mergeCell ref="A191:A195"/>
    <mergeCell ref="B196:C196"/>
    <mergeCell ref="B135:C135"/>
    <mergeCell ref="A136:A149"/>
    <mergeCell ref="A151:A152"/>
    <mergeCell ref="A154:A158"/>
    <mergeCell ref="A1:C1"/>
    <mergeCell ref="A20:A25"/>
    <mergeCell ref="A15:A18"/>
    <mergeCell ref="B19:C19"/>
    <mergeCell ref="A31:A35"/>
    <mergeCell ref="B175:C175"/>
    <mergeCell ref="B30:C30"/>
    <mergeCell ref="A5:A9"/>
    <mergeCell ref="A2:A3"/>
    <mergeCell ref="B2:B3"/>
    <mergeCell ref="A11:A13"/>
    <mergeCell ref="B10:C10"/>
    <mergeCell ref="B52:C52"/>
    <mergeCell ref="A117:A118"/>
    <mergeCell ref="B77:C77"/>
    <mergeCell ref="A46:A51"/>
    <mergeCell ref="B43:C43"/>
    <mergeCell ref="A91:A94"/>
    <mergeCell ref="A59:A71"/>
    <mergeCell ref="S2:S3"/>
    <mergeCell ref="B4:C4"/>
    <mergeCell ref="I2:I3"/>
    <mergeCell ref="A53:A57"/>
    <mergeCell ref="Q2:Q3"/>
    <mergeCell ref="F2:F3"/>
    <mergeCell ref="N2:N3"/>
    <mergeCell ref="E2:E3"/>
    <mergeCell ref="A39:A42"/>
    <mergeCell ref="B38:C38"/>
  </mergeCells>
  <printOptions/>
  <pageMargins left="0" right="0" top="0.1968503937007874" bottom="0.1968503937007874" header="0" footer="0"/>
  <pageSetup orientation="portrait" paperSize="9" scale="85" r:id="rId1"/>
  <rowBreaks count="3" manualBreakCount="3">
    <brk id="71" max="27" man="1"/>
    <brk id="158" max="255" man="1"/>
    <brk id="216" max="255" man="1"/>
  </rowBreaks>
  <colBreaks count="1" manualBreakCount="1">
    <brk id="24" max="65535" man="1"/>
  </colBreaks>
  <ignoredErrors>
    <ignoredError sqref="U77 B77:M77 B79:B81 C75:M75 C73:M73 C74:M74" numberStoredAsText="1"/>
    <ignoredError sqref="L116:M116 L115 L118 W116:X116 U116 W4:X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Z54"/>
  <sheetViews>
    <sheetView zoomScale="85" zoomScaleNormal="85" zoomScalePageLayoutView="0" workbookViewId="0" topLeftCell="A1">
      <selection activeCell="W60" sqref="W60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9" width="14.00390625" style="0" hidden="1" customWidth="1"/>
    <col min="20" max="20" width="15.8515625" style="0" customWidth="1"/>
    <col min="21" max="21" width="13.7109375" style="0" customWidth="1"/>
    <col min="22" max="22" width="12.00390625" style="0" customWidth="1"/>
    <col min="23" max="23" width="13.421875" style="0" customWidth="1"/>
  </cols>
  <sheetData>
    <row r="1" spans="1:3" ht="12.75">
      <c r="A1" s="725" t="s">
        <v>412</v>
      </c>
      <c r="B1" s="725"/>
      <c r="C1" s="725"/>
    </row>
    <row r="2" spans="1:3" ht="13.5" thickBot="1">
      <c r="A2" s="725" t="s">
        <v>413</v>
      </c>
      <c r="B2" s="725"/>
      <c r="C2" s="725"/>
    </row>
    <row r="3" spans="1:23" ht="14.25" customHeight="1" thickTop="1">
      <c r="A3" s="792" t="s">
        <v>83</v>
      </c>
      <c r="B3" s="777" t="s">
        <v>84</v>
      </c>
      <c r="C3" s="763" t="s">
        <v>85</v>
      </c>
      <c r="D3" s="763" t="s">
        <v>175</v>
      </c>
      <c r="E3" s="763" t="s">
        <v>176</v>
      </c>
      <c r="F3" s="763" t="s">
        <v>177</v>
      </c>
      <c r="G3" s="763" t="s">
        <v>178</v>
      </c>
      <c r="H3" s="763" t="s">
        <v>179</v>
      </c>
      <c r="I3" s="763" t="s">
        <v>91</v>
      </c>
      <c r="J3" s="763" t="s">
        <v>92</v>
      </c>
      <c r="K3" s="763" t="s">
        <v>93</v>
      </c>
      <c r="L3" s="763" t="s">
        <v>94</v>
      </c>
      <c r="M3" s="763" t="s">
        <v>311</v>
      </c>
      <c r="N3" s="763" t="s">
        <v>324</v>
      </c>
      <c r="O3" s="763" t="s">
        <v>340</v>
      </c>
      <c r="P3" s="763" t="s">
        <v>346</v>
      </c>
      <c r="Q3" s="763" t="s">
        <v>359</v>
      </c>
      <c r="R3" s="763" t="s">
        <v>367</v>
      </c>
      <c r="S3" s="763" t="s">
        <v>368</v>
      </c>
      <c r="T3" s="763" t="s">
        <v>369</v>
      </c>
      <c r="U3" s="794" t="s">
        <v>405</v>
      </c>
      <c r="V3" s="697" t="s">
        <v>457</v>
      </c>
      <c r="W3" s="796" t="s">
        <v>404</v>
      </c>
    </row>
    <row r="4" spans="1:23" ht="27.75" customHeight="1" thickBot="1">
      <c r="A4" s="793"/>
      <c r="B4" s="778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95"/>
      <c r="V4" s="690" t="s">
        <v>96</v>
      </c>
      <c r="W4" s="797"/>
    </row>
    <row r="5" spans="1:23" ht="17.25" thickBot="1" thickTop="1">
      <c r="A5" s="103">
        <v>200</v>
      </c>
      <c r="B5" s="779" t="s">
        <v>114</v>
      </c>
      <c r="C5" s="780"/>
      <c r="D5" s="104">
        <f>D6</f>
        <v>355009</v>
      </c>
      <c r="E5" s="104">
        <f>E6</f>
        <v>311359</v>
      </c>
      <c r="F5" s="104">
        <f>F6</f>
        <v>955255</v>
      </c>
      <c r="G5" s="104">
        <f>G6</f>
        <v>1090339</v>
      </c>
      <c r="H5" s="104">
        <f>H6</f>
        <v>496614</v>
      </c>
      <c r="I5" s="104">
        <f aca="true" t="shared" si="0" ref="I5:W5">I6</f>
        <v>174771</v>
      </c>
      <c r="J5" s="104">
        <f t="shared" si="0"/>
        <v>74221</v>
      </c>
      <c r="K5" s="104">
        <f t="shared" si="0"/>
        <v>98051</v>
      </c>
      <c r="L5" s="104">
        <f t="shared" si="0"/>
        <v>223532.5</v>
      </c>
      <c r="M5" s="557">
        <f t="shared" si="0"/>
        <v>61991.15</v>
      </c>
      <c r="N5" s="104">
        <f t="shared" si="0"/>
        <v>87107.9</v>
      </c>
      <c r="O5" s="557">
        <f t="shared" si="0"/>
        <v>542510.87</v>
      </c>
      <c r="P5" s="557">
        <f aca="true" t="shared" si="1" ref="P5:U5">P6</f>
        <v>47974.47</v>
      </c>
      <c r="Q5" s="557">
        <f t="shared" si="1"/>
        <v>147766.67</v>
      </c>
      <c r="R5" s="104">
        <f t="shared" si="1"/>
        <v>177036</v>
      </c>
      <c r="S5" s="104">
        <f t="shared" si="1"/>
        <v>989473.64</v>
      </c>
      <c r="T5" s="557">
        <v>85846.54000000001</v>
      </c>
      <c r="U5" s="104">
        <f t="shared" si="1"/>
        <v>132312</v>
      </c>
      <c r="V5" s="104">
        <f>V6</f>
        <v>20088</v>
      </c>
      <c r="W5" s="105">
        <f t="shared" si="0"/>
        <v>152400</v>
      </c>
    </row>
    <row r="6" spans="1:23" ht="15.75" thickBot="1">
      <c r="A6" s="106">
        <v>230</v>
      </c>
      <c r="B6" s="770" t="s">
        <v>180</v>
      </c>
      <c r="C6" s="771"/>
      <c r="D6" s="107">
        <f aca="true" t="shared" si="2" ref="D6:K6">D7+D11</f>
        <v>355009</v>
      </c>
      <c r="E6" s="107">
        <f t="shared" si="2"/>
        <v>311359</v>
      </c>
      <c r="F6" s="107">
        <f t="shared" si="2"/>
        <v>955255</v>
      </c>
      <c r="G6" s="107">
        <f t="shared" si="2"/>
        <v>1090339</v>
      </c>
      <c r="H6" s="107">
        <f t="shared" si="2"/>
        <v>496614</v>
      </c>
      <c r="I6" s="107">
        <f t="shared" si="2"/>
        <v>174771</v>
      </c>
      <c r="J6" s="107">
        <f t="shared" si="2"/>
        <v>74221</v>
      </c>
      <c r="K6" s="107">
        <f t="shared" si="2"/>
        <v>98051</v>
      </c>
      <c r="L6" s="107">
        <f aca="true" t="shared" si="3" ref="L6:U6">L7+L11</f>
        <v>223532.5</v>
      </c>
      <c r="M6" s="551">
        <f t="shared" si="3"/>
        <v>61991.15</v>
      </c>
      <c r="N6" s="107">
        <f t="shared" si="3"/>
        <v>87107.9</v>
      </c>
      <c r="O6" s="551">
        <f t="shared" si="3"/>
        <v>542510.87</v>
      </c>
      <c r="P6" s="551">
        <f t="shared" si="3"/>
        <v>47974.47</v>
      </c>
      <c r="Q6" s="551">
        <f t="shared" si="3"/>
        <v>147766.67</v>
      </c>
      <c r="R6" s="107">
        <f t="shared" si="3"/>
        <v>177036</v>
      </c>
      <c r="S6" s="107">
        <f>S7+S11</f>
        <v>989473.64</v>
      </c>
      <c r="T6" s="551">
        <v>85846.54000000001</v>
      </c>
      <c r="U6" s="67">
        <f t="shared" si="3"/>
        <v>132312</v>
      </c>
      <c r="V6" s="67">
        <f>V7+V11</f>
        <v>20088</v>
      </c>
      <c r="W6" s="68">
        <f>U6+V6</f>
        <v>152400</v>
      </c>
    </row>
    <row r="7" spans="1:23" ht="13.5" thickBot="1">
      <c r="A7" s="768"/>
      <c r="B7" s="108">
        <v>231</v>
      </c>
      <c r="C7" s="62" t="s">
        <v>181</v>
      </c>
      <c r="D7" s="98">
        <f aca="true" t="shared" si="4" ref="D7:U7">SUM(D8:D10)</f>
        <v>351125</v>
      </c>
      <c r="E7" s="98">
        <f t="shared" si="4"/>
        <v>106121</v>
      </c>
      <c r="F7" s="98">
        <f t="shared" si="4"/>
        <v>227246</v>
      </c>
      <c r="G7" s="98">
        <f t="shared" si="4"/>
        <v>45397</v>
      </c>
      <c r="H7" s="98">
        <f t="shared" si="4"/>
        <v>103200</v>
      </c>
      <c r="I7" s="98">
        <f t="shared" si="4"/>
        <v>85320</v>
      </c>
      <c r="J7" s="98">
        <f t="shared" si="4"/>
        <v>21933</v>
      </c>
      <c r="K7" s="98">
        <f t="shared" si="4"/>
        <v>32153</v>
      </c>
      <c r="L7" s="98">
        <f>SUM(L8:L10)</f>
        <v>84811.72</v>
      </c>
      <c r="M7" s="141">
        <f>SUM(M8:M10)</f>
        <v>23898.96</v>
      </c>
      <c r="N7" s="98">
        <f>SUM(N8:N10)</f>
        <v>33003</v>
      </c>
      <c r="O7" s="141">
        <f>SUM(O8:O10)</f>
        <v>255643.36</v>
      </c>
      <c r="P7" s="141">
        <v>0</v>
      </c>
      <c r="Q7" s="141">
        <v>0</v>
      </c>
      <c r="R7" s="64">
        <f t="shared" si="4"/>
        <v>38955</v>
      </c>
      <c r="S7" s="64">
        <f>SUM(S8:S10)</f>
        <v>5772</v>
      </c>
      <c r="T7" s="155">
        <v>50505</v>
      </c>
      <c r="U7" s="64">
        <f t="shared" si="4"/>
        <v>0</v>
      </c>
      <c r="V7" s="64">
        <f>SUM(V8:V10)</f>
        <v>0</v>
      </c>
      <c r="W7" s="65">
        <f>SUM(W8:W10)</f>
        <v>0</v>
      </c>
    </row>
    <row r="8" spans="1:23" ht="12.75">
      <c r="A8" s="772"/>
      <c r="B8" s="789"/>
      <c r="C8" s="109" t="s">
        <v>182</v>
      </c>
      <c r="D8" s="110">
        <v>192923</v>
      </c>
      <c r="E8" s="110">
        <v>101839</v>
      </c>
      <c r="F8" s="110">
        <v>227246</v>
      </c>
      <c r="G8" s="110">
        <v>45397</v>
      </c>
      <c r="H8" s="110">
        <v>103200</v>
      </c>
      <c r="I8" s="87">
        <v>85320</v>
      </c>
      <c r="J8" s="21">
        <v>21933</v>
      </c>
      <c r="K8" s="22">
        <v>23657</v>
      </c>
      <c r="L8" s="22">
        <v>83346.52</v>
      </c>
      <c r="M8" s="118">
        <v>19336.16</v>
      </c>
      <c r="N8" s="22">
        <v>33003</v>
      </c>
      <c r="O8" s="118">
        <v>251642.36</v>
      </c>
      <c r="P8" s="118"/>
      <c r="Q8" s="118"/>
      <c r="R8" s="22"/>
      <c r="S8" s="22"/>
      <c r="T8" s="118">
        <v>50505</v>
      </c>
      <c r="U8" s="57"/>
      <c r="V8" s="57"/>
      <c r="W8" s="23">
        <f>U8+V8</f>
        <v>0</v>
      </c>
    </row>
    <row r="9" spans="1:23" ht="12.75">
      <c r="A9" s="772"/>
      <c r="B9" s="790"/>
      <c r="C9" s="43" t="s">
        <v>183</v>
      </c>
      <c r="D9" s="111"/>
      <c r="E9" s="111"/>
      <c r="F9" s="111"/>
      <c r="G9" s="111"/>
      <c r="H9" s="111"/>
      <c r="I9" s="112"/>
      <c r="J9" s="113"/>
      <c r="K9" s="70"/>
      <c r="L9" s="114"/>
      <c r="M9" s="118">
        <v>4562.8</v>
      </c>
      <c r="N9" s="22"/>
      <c r="O9" s="118"/>
      <c r="P9" s="118"/>
      <c r="Q9" s="118"/>
      <c r="R9" s="22">
        <v>38955</v>
      </c>
      <c r="S9" s="22">
        <v>5772</v>
      </c>
      <c r="T9" s="118"/>
      <c r="U9" s="57"/>
      <c r="V9" s="57"/>
      <c r="W9" s="23">
        <f>U9+V9</f>
        <v>0</v>
      </c>
    </row>
    <row r="10" spans="1:23" ht="13.5" thickBot="1">
      <c r="A10" s="772"/>
      <c r="B10" s="791"/>
      <c r="C10" s="115" t="s">
        <v>184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6">
        <v>4001</v>
      </c>
      <c r="P10" s="116"/>
      <c r="Q10" s="116"/>
      <c r="R10" s="70"/>
      <c r="S10" s="70"/>
      <c r="T10" s="116"/>
      <c r="U10" s="57"/>
      <c r="V10" s="57"/>
      <c r="W10" s="23">
        <f>U10+V10</f>
        <v>0</v>
      </c>
    </row>
    <row r="11" spans="1:23" ht="13.5" thickBot="1">
      <c r="A11" s="772"/>
      <c r="B11" s="117">
        <v>233</v>
      </c>
      <c r="C11" s="61" t="s">
        <v>185</v>
      </c>
      <c r="D11" s="98">
        <f aca="true" t="shared" si="5" ref="D11:U11">SUM(D12:D16)</f>
        <v>3884</v>
      </c>
      <c r="E11" s="98">
        <f t="shared" si="5"/>
        <v>205238</v>
      </c>
      <c r="F11" s="98">
        <f t="shared" si="5"/>
        <v>728009</v>
      </c>
      <c r="G11" s="98">
        <f t="shared" si="5"/>
        <v>1044942</v>
      </c>
      <c r="H11" s="98">
        <f t="shared" si="5"/>
        <v>393414</v>
      </c>
      <c r="I11" s="98">
        <f t="shared" si="5"/>
        <v>89451</v>
      </c>
      <c r="J11" s="98">
        <f t="shared" si="5"/>
        <v>52288</v>
      </c>
      <c r="K11" s="98">
        <f t="shared" si="5"/>
        <v>65898</v>
      </c>
      <c r="L11" s="98">
        <f t="shared" si="5"/>
        <v>138720.78</v>
      </c>
      <c r="M11" s="141">
        <f t="shared" si="5"/>
        <v>38092.19</v>
      </c>
      <c r="N11" s="98">
        <f t="shared" si="5"/>
        <v>54104.9</v>
      </c>
      <c r="O11" s="141">
        <f>SUM(O12:O16)</f>
        <v>286867.51</v>
      </c>
      <c r="P11" s="98">
        <f>SUM(P12:P16)</f>
        <v>47974.47</v>
      </c>
      <c r="Q11" s="141">
        <f>SUM(Q12:Q16)</f>
        <v>147766.67</v>
      </c>
      <c r="R11" s="64">
        <f t="shared" si="5"/>
        <v>138081</v>
      </c>
      <c r="S11" s="64">
        <f t="shared" si="5"/>
        <v>983701.64</v>
      </c>
      <c r="T11" s="155">
        <v>35341.54</v>
      </c>
      <c r="U11" s="64">
        <f t="shared" si="5"/>
        <v>132312</v>
      </c>
      <c r="V11" s="64">
        <f>SUM(V12:V16)</f>
        <v>20088</v>
      </c>
      <c r="W11" s="65">
        <f>SUM(W12:W16)</f>
        <v>152400</v>
      </c>
    </row>
    <row r="12" spans="1:23" ht="13.5" thickBot="1">
      <c r="A12" s="772"/>
      <c r="B12" s="789"/>
      <c r="C12" s="41" t="s">
        <v>186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58">
        <v>38092.19</v>
      </c>
      <c r="N12" s="568">
        <v>54104.9</v>
      </c>
      <c r="O12" s="647">
        <v>286867.51</v>
      </c>
      <c r="P12" s="647">
        <v>47974.47</v>
      </c>
      <c r="Q12" s="647">
        <v>147766.67</v>
      </c>
      <c r="R12" s="568">
        <v>138081</v>
      </c>
      <c r="S12" s="568">
        <v>983701.64</v>
      </c>
      <c r="T12" s="647">
        <v>35341.54</v>
      </c>
      <c r="U12" s="57">
        <v>132312</v>
      </c>
      <c r="V12" s="57">
        <v>20088</v>
      </c>
      <c r="W12" s="23">
        <f>U12+V12</f>
        <v>152400</v>
      </c>
    </row>
    <row r="13" spans="1:23" ht="13.5" hidden="1" thickBot="1">
      <c r="A13" s="772"/>
      <c r="B13" s="790"/>
      <c r="C13" s="119" t="s">
        <v>187</v>
      </c>
      <c r="D13" s="120"/>
      <c r="E13" s="120"/>
      <c r="F13" s="120"/>
      <c r="G13" s="120"/>
      <c r="H13" s="120"/>
      <c r="I13" s="120"/>
      <c r="J13" s="120"/>
      <c r="K13" s="96"/>
      <c r="L13" s="121"/>
      <c r="M13" s="121"/>
      <c r="N13" s="121"/>
      <c r="O13" s="648"/>
      <c r="P13" s="648"/>
      <c r="Q13" s="648"/>
      <c r="R13" s="121"/>
      <c r="S13" s="121"/>
      <c r="T13" s="648"/>
      <c r="U13" s="184"/>
      <c r="V13" s="184"/>
      <c r="W13" s="122"/>
    </row>
    <row r="14" spans="1:23" ht="13.5" hidden="1" thickBot="1">
      <c r="A14" s="772"/>
      <c r="B14" s="790"/>
      <c r="C14" s="119" t="s">
        <v>188</v>
      </c>
      <c r="D14" s="120"/>
      <c r="E14" s="120"/>
      <c r="F14" s="120"/>
      <c r="G14" s="120"/>
      <c r="H14" s="120"/>
      <c r="I14" s="120"/>
      <c r="J14" s="120"/>
      <c r="K14" s="96"/>
      <c r="L14" s="118"/>
      <c r="M14" s="121"/>
      <c r="N14" s="121"/>
      <c r="O14" s="648"/>
      <c r="P14" s="648"/>
      <c r="Q14" s="648"/>
      <c r="R14" s="121"/>
      <c r="S14" s="121"/>
      <c r="T14" s="648"/>
      <c r="U14" s="184"/>
      <c r="V14" s="184"/>
      <c r="W14" s="122"/>
    </row>
    <row r="15" spans="1:23" ht="13.5" hidden="1" thickBot="1">
      <c r="A15" s="772"/>
      <c r="B15" s="790"/>
      <c r="C15" s="119" t="s">
        <v>189</v>
      </c>
      <c r="D15" s="120"/>
      <c r="E15" s="120"/>
      <c r="F15" s="120"/>
      <c r="G15" s="120"/>
      <c r="H15" s="120"/>
      <c r="I15" s="120"/>
      <c r="J15" s="120"/>
      <c r="K15" s="96"/>
      <c r="L15" s="121"/>
      <c r="M15" s="121"/>
      <c r="N15" s="121"/>
      <c r="O15" s="648"/>
      <c r="P15" s="648"/>
      <c r="Q15" s="648"/>
      <c r="R15" s="121"/>
      <c r="S15" s="121"/>
      <c r="T15" s="648"/>
      <c r="U15" s="184"/>
      <c r="V15" s="184"/>
      <c r="W15" s="122"/>
    </row>
    <row r="16" spans="1:23" ht="13.5" hidden="1" thickBot="1">
      <c r="A16" s="772"/>
      <c r="B16" s="791"/>
      <c r="C16" s="123" t="s">
        <v>190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6"/>
      <c r="P16" s="116"/>
      <c r="Q16" s="116"/>
      <c r="R16" s="70"/>
      <c r="S16" s="70"/>
      <c r="T16" s="116"/>
      <c r="U16" s="57"/>
      <c r="V16" s="57"/>
      <c r="W16" s="23"/>
    </row>
    <row r="17" spans="1:26" ht="16.5" thickBot="1">
      <c r="A17" s="124">
        <v>300</v>
      </c>
      <c r="B17" s="801" t="s">
        <v>146</v>
      </c>
      <c r="C17" s="865"/>
      <c r="D17" s="125">
        <f>D18+D50</f>
        <v>1758083</v>
      </c>
      <c r="E17" s="125">
        <f>E18+E50</f>
        <v>706599</v>
      </c>
      <c r="F17" s="125">
        <f>F18+F50</f>
        <v>290114</v>
      </c>
      <c r="G17" s="125">
        <f>G18+G50</f>
        <v>3301074</v>
      </c>
      <c r="H17" s="125">
        <v>2959527</v>
      </c>
      <c r="I17" s="125">
        <f aca="true" t="shared" si="6" ref="I17:N17">I18+I50</f>
        <v>4474942</v>
      </c>
      <c r="J17" s="125">
        <f t="shared" si="6"/>
        <v>4428553.06</v>
      </c>
      <c r="K17" s="125">
        <f t="shared" si="6"/>
        <v>3580446</v>
      </c>
      <c r="L17" s="125">
        <f t="shared" si="6"/>
        <v>994806.09</v>
      </c>
      <c r="M17" s="559">
        <f t="shared" si="6"/>
        <v>690306.37</v>
      </c>
      <c r="N17" s="125">
        <f t="shared" si="6"/>
        <v>848428.28</v>
      </c>
      <c r="O17" s="559">
        <f>O18+O50</f>
        <v>1153730.93</v>
      </c>
      <c r="P17" s="559">
        <f>P18+P50</f>
        <v>2075273.05</v>
      </c>
      <c r="Q17" s="559">
        <f>Q18+Q50</f>
        <v>1378895.97</v>
      </c>
      <c r="R17" s="125">
        <f>R18+R50</f>
        <v>2461132</v>
      </c>
      <c r="S17" s="125">
        <f>S18+S50</f>
        <v>1872835.86</v>
      </c>
      <c r="T17" s="559">
        <v>3307638</v>
      </c>
      <c r="U17" s="497">
        <f>U18+U50</f>
        <v>247952</v>
      </c>
      <c r="V17" s="497">
        <f>V18+V50</f>
        <v>0</v>
      </c>
      <c r="W17" s="126">
        <f>W18+W50</f>
        <v>247952</v>
      </c>
      <c r="Z17" s="2"/>
    </row>
    <row r="18" spans="1:23" ht="15.75" thickBot="1">
      <c r="A18" s="106">
        <v>320</v>
      </c>
      <c r="B18" s="770" t="s">
        <v>191</v>
      </c>
      <c r="C18" s="771"/>
      <c r="D18" s="127">
        <f>D19</f>
        <v>1758083</v>
      </c>
      <c r="E18" s="127">
        <f>E19</f>
        <v>706599</v>
      </c>
      <c r="F18" s="127">
        <f>F19</f>
        <v>290114</v>
      </c>
      <c r="G18" s="127">
        <f>G19</f>
        <v>3301074</v>
      </c>
      <c r="H18" s="127">
        <v>2959527</v>
      </c>
      <c r="I18" s="127">
        <f aca="true" t="shared" si="7" ref="I18:W18">I19</f>
        <v>4417142</v>
      </c>
      <c r="J18" s="127">
        <f t="shared" si="7"/>
        <v>4408068.06</v>
      </c>
      <c r="K18" s="127">
        <f t="shared" si="7"/>
        <v>3580446</v>
      </c>
      <c r="L18" s="127">
        <f t="shared" si="7"/>
        <v>994806.09</v>
      </c>
      <c r="M18" s="560">
        <f t="shared" si="7"/>
        <v>690306.37</v>
      </c>
      <c r="N18" s="498">
        <f t="shared" si="7"/>
        <v>848428.28</v>
      </c>
      <c r="O18" s="578">
        <f t="shared" si="7"/>
        <v>1153730.93</v>
      </c>
      <c r="P18" s="498">
        <f t="shared" si="7"/>
        <v>2075273.05</v>
      </c>
      <c r="Q18" s="578">
        <v>1378895.97</v>
      </c>
      <c r="R18" s="498">
        <v>2461132</v>
      </c>
      <c r="S18" s="498">
        <f t="shared" si="7"/>
        <v>1872835.86</v>
      </c>
      <c r="T18" s="578">
        <v>1788943.5</v>
      </c>
      <c r="U18" s="498">
        <f t="shared" si="7"/>
        <v>247952</v>
      </c>
      <c r="V18" s="498">
        <f t="shared" si="7"/>
        <v>0</v>
      </c>
      <c r="W18" s="128">
        <f t="shared" si="7"/>
        <v>247952</v>
      </c>
    </row>
    <row r="19" spans="1:23" ht="13.5" customHeight="1" thickBot="1">
      <c r="A19" s="862"/>
      <c r="B19" s="117">
        <v>321</v>
      </c>
      <c r="C19" s="61" t="s">
        <v>148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29">
        <v>4417142</v>
      </c>
      <c r="J19" s="129">
        <v>4408068.06</v>
      </c>
      <c r="K19" s="129">
        <v>3580446</v>
      </c>
      <c r="L19" s="129">
        <v>994806.09</v>
      </c>
      <c r="M19" s="561">
        <f>SUM(M20:M49)</f>
        <v>690306.37</v>
      </c>
      <c r="N19" s="129">
        <f>SUM(N20:N49)</f>
        <v>848428.28</v>
      </c>
      <c r="O19" s="561">
        <v>1153730.93</v>
      </c>
      <c r="P19" s="561">
        <v>2075273.05</v>
      </c>
      <c r="Q19" s="561">
        <v>1378895.97</v>
      </c>
      <c r="R19" s="129">
        <v>2461132</v>
      </c>
      <c r="S19" s="129">
        <v>1872835.86</v>
      </c>
      <c r="T19" s="561">
        <v>1788943.5</v>
      </c>
      <c r="U19" s="37">
        <f>SUM(U20:U23)</f>
        <v>247952</v>
      </c>
      <c r="V19" s="37">
        <f>SUM(V20:V49)</f>
        <v>0</v>
      </c>
      <c r="W19" s="38">
        <f>SUM(W20:W49)</f>
        <v>247952</v>
      </c>
    </row>
    <row r="20" spans="1:23" ht="15.75" customHeight="1">
      <c r="A20" s="863"/>
      <c r="B20" s="866"/>
      <c r="C20" s="130" t="s">
        <v>433</v>
      </c>
      <c r="D20" s="87"/>
      <c r="E20" s="87"/>
      <c r="F20" s="87"/>
      <c r="G20" s="87"/>
      <c r="H20" s="87"/>
      <c r="I20" s="87"/>
      <c r="J20" s="87"/>
      <c r="K20" s="21"/>
      <c r="L20" s="131"/>
      <c r="M20" s="131">
        <v>66064.15</v>
      </c>
      <c r="N20" s="21"/>
      <c r="O20" s="21"/>
      <c r="P20" s="21"/>
      <c r="Q20" s="131"/>
      <c r="R20" s="21"/>
      <c r="S20" s="21"/>
      <c r="T20" s="131"/>
      <c r="U20" s="57">
        <v>27000</v>
      </c>
      <c r="V20" s="57"/>
      <c r="W20" s="23">
        <f>U20+V20</f>
        <v>27000</v>
      </c>
    </row>
    <row r="21" spans="1:23" ht="15.75" customHeight="1">
      <c r="A21" s="863"/>
      <c r="B21" s="866"/>
      <c r="C21" s="20" t="s">
        <v>434</v>
      </c>
      <c r="D21" s="87"/>
      <c r="E21" s="87"/>
      <c r="F21" s="87"/>
      <c r="G21" s="87"/>
      <c r="H21" s="87"/>
      <c r="I21" s="87"/>
      <c r="J21" s="87"/>
      <c r="K21" s="21"/>
      <c r="L21" s="131"/>
      <c r="M21" s="131">
        <v>58454.17</v>
      </c>
      <c r="N21" s="21"/>
      <c r="O21" s="21"/>
      <c r="P21" s="21"/>
      <c r="Q21" s="131"/>
      <c r="R21" s="21"/>
      <c r="S21" s="21"/>
      <c r="T21" s="131"/>
      <c r="U21" s="57">
        <v>15000</v>
      </c>
      <c r="V21" s="57"/>
      <c r="W21" s="23">
        <f>U21+V21</f>
        <v>15000</v>
      </c>
    </row>
    <row r="22" spans="1:23" ht="15.75" customHeight="1">
      <c r="A22" s="863"/>
      <c r="B22" s="866"/>
      <c r="C22" s="20" t="s">
        <v>451</v>
      </c>
      <c r="D22" s="56"/>
      <c r="E22" s="56"/>
      <c r="F22" s="56"/>
      <c r="G22" s="56"/>
      <c r="H22" s="56"/>
      <c r="I22" s="56"/>
      <c r="J22" s="56"/>
      <c r="K22" s="21"/>
      <c r="L22" s="131"/>
      <c r="M22" s="131"/>
      <c r="N22" s="21"/>
      <c r="O22" s="21"/>
      <c r="P22" s="21"/>
      <c r="Q22" s="131"/>
      <c r="R22" s="21"/>
      <c r="S22" s="21"/>
      <c r="T22" s="131"/>
      <c r="U22" s="57">
        <v>182902</v>
      </c>
      <c r="V22" s="57"/>
      <c r="W22" s="23">
        <f>U22+V22</f>
        <v>182902</v>
      </c>
    </row>
    <row r="23" spans="1:25" ht="15.75" customHeight="1">
      <c r="A23" s="863"/>
      <c r="B23" s="866"/>
      <c r="C23" s="20" t="s">
        <v>452</v>
      </c>
      <c r="D23" s="20"/>
      <c r="E23" s="20"/>
      <c r="F23" s="20"/>
      <c r="G23" s="20"/>
      <c r="H23" s="20">
        <v>341897</v>
      </c>
      <c r="I23" s="88">
        <v>341897</v>
      </c>
      <c r="J23" s="88">
        <v>344900</v>
      </c>
      <c r="K23" s="25">
        <v>341900</v>
      </c>
      <c r="L23" s="22">
        <v>341900</v>
      </c>
      <c r="M23" s="131">
        <v>340000</v>
      </c>
      <c r="N23" s="21">
        <v>340000</v>
      </c>
      <c r="O23" s="21"/>
      <c r="P23" s="21"/>
      <c r="Q23" s="131"/>
      <c r="R23" s="21"/>
      <c r="S23" s="21"/>
      <c r="T23" s="131"/>
      <c r="U23" s="57">
        <v>23050</v>
      </c>
      <c r="V23" s="57"/>
      <c r="W23" s="23">
        <f>U23+V23</f>
        <v>23050</v>
      </c>
      <c r="Y23" s="2"/>
    </row>
    <row r="24" spans="1:23" ht="15.75" customHeight="1" thickBot="1">
      <c r="A24" s="863"/>
      <c r="B24" s="866"/>
      <c r="C24" s="43" t="s">
        <v>453</v>
      </c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1">
        <v>6610.12</v>
      </c>
      <c r="N24" s="21"/>
      <c r="O24" s="21"/>
      <c r="P24" s="21"/>
      <c r="Q24" s="131">
        <v>0</v>
      </c>
      <c r="R24" s="21"/>
      <c r="S24" s="21"/>
      <c r="T24" s="131"/>
      <c r="U24" s="57"/>
      <c r="V24" s="57"/>
      <c r="W24" s="23">
        <f>U24+V24</f>
        <v>0</v>
      </c>
    </row>
    <row r="25" spans="1:23" ht="15.75" customHeight="1" hidden="1">
      <c r="A25" s="863"/>
      <c r="B25" s="866"/>
      <c r="C25" s="43"/>
      <c r="D25" s="58"/>
      <c r="E25" s="58"/>
      <c r="F25" s="58"/>
      <c r="G25" s="58"/>
      <c r="H25" s="58"/>
      <c r="I25" s="58"/>
      <c r="J25" s="58"/>
      <c r="K25" s="25"/>
      <c r="L25" s="131"/>
      <c r="M25" s="131">
        <v>9000</v>
      </c>
      <c r="N25" s="21"/>
      <c r="O25" s="21"/>
      <c r="P25" s="21"/>
      <c r="Q25" s="131">
        <v>0</v>
      </c>
      <c r="R25" s="21"/>
      <c r="S25" s="21"/>
      <c r="T25" s="131"/>
      <c r="U25" s="57"/>
      <c r="V25" s="57"/>
      <c r="W25" s="23"/>
    </row>
    <row r="26" spans="1:23" ht="15.75" customHeight="1" hidden="1">
      <c r="A26" s="863"/>
      <c r="B26" s="866"/>
      <c r="C26" s="132"/>
      <c r="D26" s="133"/>
      <c r="E26" s="133"/>
      <c r="F26" s="133"/>
      <c r="G26" s="133"/>
      <c r="H26" s="133"/>
      <c r="I26" s="58"/>
      <c r="J26" s="58"/>
      <c r="K26" s="25"/>
      <c r="L26" s="131"/>
      <c r="M26" s="131">
        <v>8142.7</v>
      </c>
      <c r="N26" s="21"/>
      <c r="O26" s="21"/>
      <c r="P26" s="21"/>
      <c r="Q26" s="131">
        <v>0</v>
      </c>
      <c r="R26" s="21"/>
      <c r="S26" s="21"/>
      <c r="T26" s="131"/>
      <c r="U26" s="57"/>
      <c r="V26" s="57"/>
      <c r="W26" s="23"/>
    </row>
    <row r="27" spans="1:23" ht="15.75" customHeight="1" hidden="1">
      <c r="A27" s="863"/>
      <c r="B27" s="866"/>
      <c r="C27" s="43"/>
      <c r="D27" s="58"/>
      <c r="E27" s="58"/>
      <c r="F27" s="58"/>
      <c r="G27" s="58"/>
      <c r="H27" s="58"/>
      <c r="I27" s="58"/>
      <c r="J27" s="58"/>
      <c r="K27" s="25"/>
      <c r="L27" s="134"/>
      <c r="M27" s="25"/>
      <c r="N27" s="25">
        <v>5221.4</v>
      </c>
      <c r="O27" s="44"/>
      <c r="P27" s="44"/>
      <c r="Q27" s="114">
        <v>0</v>
      </c>
      <c r="R27" s="44"/>
      <c r="S27" s="44"/>
      <c r="T27" s="114"/>
      <c r="U27" s="44"/>
      <c r="V27" s="44"/>
      <c r="W27" s="27"/>
    </row>
    <row r="28" spans="1:23" ht="15.75" customHeight="1" hidden="1">
      <c r="A28" s="863"/>
      <c r="B28" s="866"/>
      <c r="C28" s="43"/>
      <c r="D28" s="58"/>
      <c r="E28" s="58"/>
      <c r="F28" s="58"/>
      <c r="G28" s="58"/>
      <c r="H28" s="58"/>
      <c r="I28" s="58"/>
      <c r="J28" s="58"/>
      <c r="K28" s="25"/>
      <c r="L28" s="134"/>
      <c r="M28" s="25"/>
      <c r="N28" s="25"/>
      <c r="O28" s="25"/>
      <c r="P28" s="25"/>
      <c r="Q28" s="134">
        <v>0</v>
      </c>
      <c r="R28" s="25"/>
      <c r="S28" s="25"/>
      <c r="T28" s="134"/>
      <c r="U28" s="44"/>
      <c r="V28" s="44"/>
      <c r="W28" s="27"/>
    </row>
    <row r="29" spans="1:23" ht="15.75" customHeight="1" hidden="1">
      <c r="A29" s="863"/>
      <c r="B29" s="866"/>
      <c r="C29" s="43"/>
      <c r="D29" s="58"/>
      <c r="E29" s="58"/>
      <c r="F29" s="58"/>
      <c r="G29" s="58"/>
      <c r="H29" s="58"/>
      <c r="I29" s="58"/>
      <c r="J29" s="58"/>
      <c r="K29" s="25"/>
      <c r="L29" s="134"/>
      <c r="M29" s="25"/>
      <c r="N29" s="25"/>
      <c r="O29" s="25"/>
      <c r="P29" s="25"/>
      <c r="Q29" s="134">
        <v>0</v>
      </c>
      <c r="R29" s="25"/>
      <c r="S29" s="25"/>
      <c r="T29" s="134"/>
      <c r="U29" s="44"/>
      <c r="V29" s="44"/>
      <c r="W29" s="27"/>
    </row>
    <row r="30" spans="1:23" ht="15.75" customHeight="1" hidden="1">
      <c r="A30" s="863"/>
      <c r="B30" s="866"/>
      <c r="C30" s="43"/>
      <c r="D30" s="58"/>
      <c r="E30" s="58"/>
      <c r="F30" s="58"/>
      <c r="G30" s="58"/>
      <c r="H30" s="58"/>
      <c r="I30" s="58"/>
      <c r="J30" s="58"/>
      <c r="K30" s="25"/>
      <c r="L30" s="134"/>
      <c r="M30" s="25"/>
      <c r="N30" s="25"/>
      <c r="O30" s="25"/>
      <c r="P30" s="25"/>
      <c r="Q30" s="134">
        <v>0</v>
      </c>
      <c r="R30" s="25"/>
      <c r="S30" s="25"/>
      <c r="T30" s="134"/>
      <c r="U30" s="44"/>
      <c r="V30" s="44"/>
      <c r="W30" s="27"/>
    </row>
    <row r="31" spans="1:23" ht="15.75" customHeight="1" hidden="1">
      <c r="A31" s="863"/>
      <c r="B31" s="866"/>
      <c r="C31" s="72"/>
      <c r="D31" s="66"/>
      <c r="E31" s="66"/>
      <c r="F31" s="66"/>
      <c r="G31" s="66"/>
      <c r="H31" s="66"/>
      <c r="I31" s="58"/>
      <c r="J31" s="58"/>
      <c r="K31" s="25"/>
      <c r="L31" s="134"/>
      <c r="M31" s="25"/>
      <c r="N31" s="25"/>
      <c r="O31" s="25"/>
      <c r="P31" s="25"/>
      <c r="Q31" s="134">
        <v>0</v>
      </c>
      <c r="R31" s="25"/>
      <c r="S31" s="25"/>
      <c r="T31" s="134"/>
      <c r="U31" s="114"/>
      <c r="V31" s="114"/>
      <c r="W31" s="135"/>
    </row>
    <row r="32" spans="1:23" ht="15.75" customHeight="1" hidden="1">
      <c r="A32" s="863"/>
      <c r="B32" s="866"/>
      <c r="C32" s="72"/>
      <c r="D32" s="56"/>
      <c r="E32" s="56"/>
      <c r="F32" s="56"/>
      <c r="G32" s="56"/>
      <c r="H32" s="56"/>
      <c r="I32" s="58"/>
      <c r="J32" s="58"/>
      <c r="K32" s="25"/>
      <c r="L32" s="134"/>
      <c r="M32" s="25"/>
      <c r="N32" s="25"/>
      <c r="O32" s="25"/>
      <c r="P32" s="25"/>
      <c r="Q32" s="134">
        <v>0</v>
      </c>
      <c r="R32" s="25"/>
      <c r="S32" s="25"/>
      <c r="T32" s="134"/>
      <c r="U32" s="114"/>
      <c r="V32" s="114"/>
      <c r="W32" s="135"/>
    </row>
    <row r="33" spans="1:23" ht="15.75" customHeight="1" hidden="1">
      <c r="A33" s="863"/>
      <c r="B33" s="866"/>
      <c r="C33" s="72"/>
      <c r="D33" s="58"/>
      <c r="E33" s="58"/>
      <c r="F33" s="58"/>
      <c r="G33" s="58"/>
      <c r="H33" s="58"/>
      <c r="I33" s="58"/>
      <c r="J33" s="58"/>
      <c r="K33" s="25">
        <v>0</v>
      </c>
      <c r="L33" s="134"/>
      <c r="M33" s="25"/>
      <c r="N33" s="25"/>
      <c r="O33" s="25"/>
      <c r="P33" s="25"/>
      <c r="Q33" s="134">
        <v>0</v>
      </c>
      <c r="R33" s="25"/>
      <c r="S33" s="25"/>
      <c r="T33" s="134"/>
      <c r="U33" s="114"/>
      <c r="V33" s="114"/>
      <c r="W33" s="135"/>
    </row>
    <row r="34" spans="1:23" ht="15.75" customHeight="1" hidden="1">
      <c r="A34" s="863"/>
      <c r="B34" s="866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4"/>
      <c r="M34" s="25"/>
      <c r="N34" s="25"/>
      <c r="O34" s="25"/>
      <c r="P34" s="25"/>
      <c r="Q34" s="134">
        <v>0</v>
      </c>
      <c r="R34" s="25"/>
      <c r="S34" s="25"/>
      <c r="T34" s="134"/>
      <c r="U34" s="114"/>
      <c r="V34" s="114"/>
      <c r="W34" s="135"/>
    </row>
    <row r="35" spans="1:23" ht="15.75" customHeight="1" hidden="1">
      <c r="A35" s="863"/>
      <c r="B35" s="866"/>
      <c r="C35" s="72"/>
      <c r="D35" s="58"/>
      <c r="E35" s="58"/>
      <c r="F35" s="58"/>
      <c r="G35" s="58"/>
      <c r="H35" s="58"/>
      <c r="I35" s="58"/>
      <c r="J35" s="58"/>
      <c r="K35" s="25"/>
      <c r="L35" s="134"/>
      <c r="M35" s="25"/>
      <c r="N35" s="25"/>
      <c r="O35" s="25"/>
      <c r="P35" s="25"/>
      <c r="Q35" s="134">
        <v>0</v>
      </c>
      <c r="R35" s="25"/>
      <c r="S35" s="25"/>
      <c r="T35" s="134"/>
      <c r="U35" s="114"/>
      <c r="V35" s="114"/>
      <c r="W35" s="135"/>
    </row>
    <row r="36" spans="1:23" ht="15.75" customHeight="1" hidden="1">
      <c r="A36" s="863"/>
      <c r="B36" s="866"/>
      <c r="C36" s="43"/>
      <c r="D36" s="58"/>
      <c r="E36" s="58"/>
      <c r="F36" s="58"/>
      <c r="G36" s="58"/>
      <c r="H36" s="58"/>
      <c r="I36" s="58"/>
      <c r="J36" s="58"/>
      <c r="K36" s="25"/>
      <c r="L36" s="134"/>
      <c r="M36" s="25"/>
      <c r="N36" s="25"/>
      <c r="O36" s="25"/>
      <c r="P36" s="25"/>
      <c r="Q36" s="134">
        <v>0</v>
      </c>
      <c r="R36" s="25"/>
      <c r="S36" s="25"/>
      <c r="T36" s="134"/>
      <c r="U36" s="114"/>
      <c r="V36" s="114"/>
      <c r="W36" s="135"/>
    </row>
    <row r="37" spans="1:23" ht="15.75" customHeight="1" hidden="1">
      <c r="A37" s="863"/>
      <c r="B37" s="866"/>
      <c r="C37" s="43"/>
      <c r="D37" s="58"/>
      <c r="E37" s="58"/>
      <c r="F37" s="58"/>
      <c r="G37" s="58"/>
      <c r="H37" s="58"/>
      <c r="I37" s="58"/>
      <c r="J37" s="58"/>
      <c r="K37" s="25"/>
      <c r="L37" s="134"/>
      <c r="M37" s="25"/>
      <c r="N37" s="25"/>
      <c r="O37" s="25"/>
      <c r="P37" s="25"/>
      <c r="Q37" s="134">
        <v>0</v>
      </c>
      <c r="R37" s="25"/>
      <c r="S37" s="25"/>
      <c r="T37" s="134"/>
      <c r="U37" s="114"/>
      <c r="V37" s="114"/>
      <c r="W37" s="135"/>
    </row>
    <row r="38" spans="1:23" ht="15.75" customHeight="1" hidden="1">
      <c r="A38" s="863"/>
      <c r="B38" s="866"/>
      <c r="C38" s="43"/>
      <c r="D38" s="58"/>
      <c r="E38" s="58"/>
      <c r="F38" s="58"/>
      <c r="G38" s="58"/>
      <c r="H38" s="58"/>
      <c r="I38" s="58"/>
      <c r="J38" s="58"/>
      <c r="K38" s="25"/>
      <c r="L38" s="134"/>
      <c r="M38" s="25"/>
      <c r="N38" s="25"/>
      <c r="O38" s="25"/>
      <c r="P38" s="25"/>
      <c r="Q38" s="134">
        <v>0</v>
      </c>
      <c r="R38" s="25"/>
      <c r="S38" s="25"/>
      <c r="T38" s="134"/>
      <c r="U38" s="114"/>
      <c r="V38" s="114"/>
      <c r="W38" s="135"/>
    </row>
    <row r="39" spans="1:23" ht="15.75" customHeight="1" hidden="1">
      <c r="A39" s="863"/>
      <c r="B39" s="866"/>
      <c r="C39" s="43"/>
      <c r="D39" s="58"/>
      <c r="E39" s="58"/>
      <c r="F39" s="58"/>
      <c r="G39" s="58"/>
      <c r="H39" s="58"/>
      <c r="I39" s="58"/>
      <c r="J39" s="58"/>
      <c r="K39" s="25"/>
      <c r="L39" s="134"/>
      <c r="M39" s="25">
        <v>136054.5</v>
      </c>
      <c r="N39" s="25"/>
      <c r="O39" s="25"/>
      <c r="P39" s="25"/>
      <c r="Q39" s="134">
        <v>0</v>
      </c>
      <c r="R39" s="25"/>
      <c r="S39" s="25"/>
      <c r="T39" s="134"/>
      <c r="U39" s="114"/>
      <c r="V39" s="114"/>
      <c r="W39" s="135"/>
    </row>
    <row r="40" spans="1:23" ht="15.75" customHeight="1" hidden="1">
      <c r="A40" s="863"/>
      <c r="B40" s="866"/>
      <c r="C40" s="43"/>
      <c r="D40" s="58"/>
      <c r="E40" s="58"/>
      <c r="F40" s="58"/>
      <c r="G40" s="58"/>
      <c r="H40" s="58"/>
      <c r="I40" s="58"/>
      <c r="J40" s="58"/>
      <c r="K40" s="25"/>
      <c r="L40" s="134"/>
      <c r="M40" s="134">
        <v>65980.73</v>
      </c>
      <c r="N40" s="25"/>
      <c r="O40" s="25"/>
      <c r="P40" s="25"/>
      <c r="Q40" s="134">
        <v>0</v>
      </c>
      <c r="R40" s="25"/>
      <c r="S40" s="25"/>
      <c r="T40" s="134"/>
      <c r="U40" s="44"/>
      <c r="V40" s="44"/>
      <c r="W40" s="27"/>
    </row>
    <row r="41" spans="1:23" ht="15.75" customHeight="1" hidden="1">
      <c r="A41" s="863"/>
      <c r="B41" s="866"/>
      <c r="C41" s="43"/>
      <c r="D41" s="58"/>
      <c r="E41" s="58"/>
      <c r="F41" s="58"/>
      <c r="G41" s="58"/>
      <c r="H41" s="58"/>
      <c r="I41" s="58"/>
      <c r="J41" s="58"/>
      <c r="K41" s="25"/>
      <c r="L41" s="134"/>
      <c r="M41" s="25"/>
      <c r="N41" s="25">
        <v>4000</v>
      </c>
      <c r="O41" s="25"/>
      <c r="P41" s="25"/>
      <c r="Q41" s="134"/>
      <c r="R41" s="25"/>
      <c r="S41" s="25"/>
      <c r="T41" s="134"/>
      <c r="U41" s="44"/>
      <c r="V41" s="44"/>
      <c r="W41" s="27"/>
    </row>
    <row r="42" spans="1:23" ht="15.75" customHeight="1" hidden="1">
      <c r="A42" s="863"/>
      <c r="B42" s="866"/>
      <c r="C42" s="43"/>
      <c r="D42" s="58"/>
      <c r="E42" s="58"/>
      <c r="F42" s="58"/>
      <c r="G42" s="58"/>
      <c r="H42" s="58"/>
      <c r="I42" s="58"/>
      <c r="J42" s="58"/>
      <c r="K42" s="25"/>
      <c r="L42" s="134"/>
      <c r="M42" s="25"/>
      <c r="N42" s="25">
        <v>15000</v>
      </c>
      <c r="O42" s="25"/>
      <c r="P42" s="25"/>
      <c r="Q42" s="134">
        <v>0</v>
      </c>
      <c r="R42" s="25"/>
      <c r="S42" s="25"/>
      <c r="T42" s="134"/>
      <c r="U42" s="44"/>
      <c r="V42" s="44"/>
      <c r="W42" s="27"/>
    </row>
    <row r="43" spans="1:23" ht="15.75" customHeight="1" hidden="1">
      <c r="A43" s="863"/>
      <c r="B43" s="866"/>
      <c r="C43" s="43"/>
      <c r="D43" s="58"/>
      <c r="E43" s="58"/>
      <c r="F43" s="58"/>
      <c r="G43" s="58"/>
      <c r="H43" s="58"/>
      <c r="I43" s="58"/>
      <c r="J43" s="58"/>
      <c r="K43" s="25"/>
      <c r="L43" s="134"/>
      <c r="M43" s="25"/>
      <c r="N43" s="25"/>
      <c r="O43" s="25"/>
      <c r="P43" s="25"/>
      <c r="Q43" s="134"/>
      <c r="R43" s="25"/>
      <c r="S43" s="25"/>
      <c r="T43" s="134"/>
      <c r="U43" s="44"/>
      <c r="V43" s="44"/>
      <c r="W43" s="27"/>
    </row>
    <row r="44" spans="1:23" ht="15.75" customHeight="1" hidden="1">
      <c r="A44" s="863"/>
      <c r="B44" s="866"/>
      <c r="C44" s="43"/>
      <c r="D44" s="58"/>
      <c r="E44" s="58"/>
      <c r="F44" s="58"/>
      <c r="G44" s="58"/>
      <c r="H44" s="58"/>
      <c r="I44" s="58"/>
      <c r="J44" s="58"/>
      <c r="K44" s="25"/>
      <c r="L44" s="134"/>
      <c r="M44" s="25"/>
      <c r="N44" s="25">
        <v>484206.88</v>
      </c>
      <c r="O44" s="25"/>
      <c r="P44" s="25"/>
      <c r="Q44" s="134"/>
      <c r="R44" s="25"/>
      <c r="S44" s="25"/>
      <c r="T44" s="134"/>
      <c r="U44" s="44"/>
      <c r="V44" s="44"/>
      <c r="W44" s="27"/>
    </row>
    <row r="45" spans="1:23" ht="15.75" customHeight="1" hidden="1">
      <c r="A45" s="863"/>
      <c r="B45" s="866"/>
      <c r="C45" s="43"/>
      <c r="D45" s="58"/>
      <c r="E45" s="58"/>
      <c r="F45" s="58"/>
      <c r="G45" s="58"/>
      <c r="H45" s="58"/>
      <c r="I45" s="58"/>
      <c r="J45" s="58"/>
      <c r="K45" s="25"/>
      <c r="L45" s="134"/>
      <c r="M45" s="25"/>
      <c r="N45" s="25"/>
      <c r="O45" s="25"/>
      <c r="P45" s="25"/>
      <c r="Q45" s="134"/>
      <c r="R45" s="25"/>
      <c r="S45" s="25"/>
      <c r="T45" s="134"/>
      <c r="U45" s="44"/>
      <c r="V45" s="44"/>
      <c r="W45" s="27"/>
    </row>
    <row r="46" spans="1:23" ht="15.75" customHeight="1" hidden="1">
      <c r="A46" s="863"/>
      <c r="B46" s="866"/>
      <c r="C46" s="43"/>
      <c r="D46" s="58"/>
      <c r="E46" s="58"/>
      <c r="F46" s="58"/>
      <c r="G46" s="58"/>
      <c r="H46" s="58"/>
      <c r="I46" s="58"/>
      <c r="J46" s="58"/>
      <c r="K46" s="25"/>
      <c r="L46" s="134"/>
      <c r="M46" s="25"/>
      <c r="N46" s="25"/>
      <c r="O46" s="25"/>
      <c r="P46" s="25"/>
      <c r="Q46" s="134"/>
      <c r="R46" s="25"/>
      <c r="S46" s="25"/>
      <c r="T46" s="134"/>
      <c r="U46" s="44"/>
      <c r="V46" s="44"/>
      <c r="W46" s="27"/>
    </row>
    <row r="47" spans="1:23" ht="15.75" customHeight="1" hidden="1">
      <c r="A47" s="863"/>
      <c r="B47" s="866"/>
      <c r="C47" s="43"/>
      <c r="D47" s="58"/>
      <c r="E47" s="58"/>
      <c r="F47" s="58"/>
      <c r="G47" s="58"/>
      <c r="H47" s="58"/>
      <c r="I47" s="58"/>
      <c r="J47" s="58"/>
      <c r="K47" s="25"/>
      <c r="L47" s="134"/>
      <c r="M47" s="25"/>
      <c r="N47" s="25"/>
      <c r="O47" s="25"/>
      <c r="P47" s="25"/>
      <c r="Q47" s="134"/>
      <c r="R47" s="25"/>
      <c r="S47" s="25"/>
      <c r="T47" s="134"/>
      <c r="U47" s="44"/>
      <c r="V47" s="44"/>
      <c r="W47" s="27"/>
    </row>
    <row r="48" spans="1:23" ht="15.75" customHeight="1" hidden="1">
      <c r="A48" s="863"/>
      <c r="B48" s="866"/>
      <c r="C48" s="43"/>
      <c r="D48" s="58"/>
      <c r="E48" s="58"/>
      <c r="F48" s="58"/>
      <c r="G48" s="58"/>
      <c r="H48" s="58"/>
      <c r="I48" s="58"/>
      <c r="J48" s="58"/>
      <c r="K48" s="25"/>
      <c r="L48" s="134"/>
      <c r="M48" s="25"/>
      <c r="N48" s="25"/>
      <c r="O48" s="25"/>
      <c r="P48" s="25"/>
      <c r="Q48" s="134"/>
      <c r="R48" s="25"/>
      <c r="S48" s="25"/>
      <c r="T48" s="134"/>
      <c r="U48" s="44"/>
      <c r="V48" s="44"/>
      <c r="W48" s="27"/>
    </row>
    <row r="49" spans="1:23" ht="15.75" customHeight="1" hidden="1" thickBot="1">
      <c r="A49" s="864"/>
      <c r="B49" s="866"/>
      <c r="C49" s="43"/>
      <c r="D49" s="58"/>
      <c r="E49" s="58"/>
      <c r="F49" s="58"/>
      <c r="G49" s="58"/>
      <c r="H49" s="58"/>
      <c r="I49" s="58"/>
      <c r="J49" s="58"/>
      <c r="K49" s="25"/>
      <c r="L49" s="134"/>
      <c r="M49" s="25"/>
      <c r="N49" s="25"/>
      <c r="O49" s="25"/>
      <c r="P49" s="25"/>
      <c r="Q49" s="134"/>
      <c r="R49" s="25"/>
      <c r="S49" s="25"/>
      <c r="T49" s="134"/>
      <c r="U49" s="114"/>
      <c r="V49" s="114"/>
      <c r="W49" s="135"/>
    </row>
    <row r="50" spans="1:23" ht="15.75" thickBot="1">
      <c r="A50" s="136">
        <v>330</v>
      </c>
      <c r="B50" s="770" t="s">
        <v>172</v>
      </c>
      <c r="C50" s="771"/>
      <c r="D50" s="137">
        <f aca="true" t="shared" si="8" ref="D50:K51">D51</f>
        <v>0</v>
      </c>
      <c r="E50" s="137">
        <f t="shared" si="8"/>
        <v>0</v>
      </c>
      <c r="F50" s="137">
        <f t="shared" si="8"/>
        <v>0</v>
      </c>
      <c r="G50" s="137">
        <f t="shared" si="8"/>
        <v>0</v>
      </c>
      <c r="H50" s="137">
        <f t="shared" si="8"/>
        <v>0</v>
      </c>
      <c r="I50" s="137">
        <f t="shared" si="8"/>
        <v>57800</v>
      </c>
      <c r="J50" s="138">
        <f t="shared" si="8"/>
        <v>20485</v>
      </c>
      <c r="K50" s="137">
        <f t="shared" si="8"/>
        <v>0</v>
      </c>
      <c r="L50" s="139"/>
      <c r="M50" s="137">
        <f aca="true" t="shared" si="9" ref="M50:O51">M51</f>
        <v>0</v>
      </c>
      <c r="N50" s="137">
        <f t="shared" si="9"/>
        <v>0</v>
      </c>
      <c r="O50" s="137">
        <f t="shared" si="9"/>
        <v>0</v>
      </c>
      <c r="P50" s="137"/>
      <c r="Q50" s="139">
        <f>Q51</f>
        <v>0</v>
      </c>
      <c r="R50" s="231"/>
      <c r="S50" s="231"/>
      <c r="T50" s="139">
        <v>1518694.5</v>
      </c>
      <c r="U50" s="499">
        <f>U51</f>
        <v>0</v>
      </c>
      <c r="V50" s="499">
        <f>V51</f>
        <v>0</v>
      </c>
      <c r="W50" s="140">
        <f>W51</f>
        <v>0</v>
      </c>
    </row>
    <row r="51" spans="1:23" ht="13.5" thickBot="1">
      <c r="A51" s="803"/>
      <c r="B51" s="117">
        <v>332</v>
      </c>
      <c r="C51" s="61" t="s">
        <v>226</v>
      </c>
      <c r="D51" s="62">
        <f t="shared" si="8"/>
        <v>0</v>
      </c>
      <c r="E51" s="62">
        <f t="shared" si="8"/>
        <v>0</v>
      </c>
      <c r="F51" s="62">
        <f t="shared" si="8"/>
        <v>0</v>
      </c>
      <c r="G51" s="62">
        <f t="shared" si="8"/>
        <v>0</v>
      </c>
      <c r="H51" s="62">
        <f t="shared" si="8"/>
        <v>0</v>
      </c>
      <c r="I51" s="62">
        <f t="shared" si="8"/>
        <v>57800</v>
      </c>
      <c r="J51" s="98">
        <f t="shared" si="8"/>
        <v>20485</v>
      </c>
      <c r="K51" s="62">
        <f t="shared" si="8"/>
        <v>0</v>
      </c>
      <c r="L51" s="141"/>
      <c r="M51" s="62">
        <f t="shared" si="9"/>
        <v>0</v>
      </c>
      <c r="N51" s="62">
        <f t="shared" si="9"/>
        <v>0</v>
      </c>
      <c r="O51" s="62">
        <f t="shared" si="9"/>
        <v>0</v>
      </c>
      <c r="P51" s="62"/>
      <c r="Q51" s="141">
        <f>Q52</f>
        <v>0</v>
      </c>
      <c r="R51" s="98"/>
      <c r="S51" s="98"/>
      <c r="T51" s="141">
        <v>1518694.5</v>
      </c>
      <c r="U51" s="98">
        <f>U52</f>
        <v>0</v>
      </c>
      <c r="V51" s="155"/>
      <c r="W51" s="142"/>
    </row>
    <row r="52" spans="1:23" ht="12.75">
      <c r="A52" s="804"/>
      <c r="B52" s="789"/>
      <c r="C52" s="130" t="s">
        <v>227</v>
      </c>
      <c r="D52" s="85"/>
      <c r="E52" s="85"/>
      <c r="F52" s="85"/>
      <c r="G52" s="85"/>
      <c r="H52" s="85"/>
      <c r="I52" s="85">
        <v>57800</v>
      </c>
      <c r="J52" s="143">
        <v>20485</v>
      </c>
      <c r="K52" s="143"/>
      <c r="L52" s="21"/>
      <c r="M52" s="21"/>
      <c r="N52" s="21"/>
      <c r="O52" s="21"/>
      <c r="P52" s="21"/>
      <c r="Q52" s="131"/>
      <c r="R52" s="21"/>
      <c r="S52" s="21"/>
      <c r="T52" s="131"/>
      <c r="U52" s="73"/>
      <c r="V52" s="73"/>
      <c r="W52" s="144"/>
    </row>
    <row r="53" spans="1:23" ht="13.5" thickBot="1">
      <c r="A53" s="804"/>
      <c r="B53" s="790"/>
      <c r="C53" s="145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116"/>
      <c r="R53" s="70"/>
      <c r="S53" s="70"/>
      <c r="T53" s="116"/>
      <c r="U53" s="73"/>
      <c r="V53" s="73"/>
      <c r="W53" s="144"/>
    </row>
    <row r="54" spans="1:23" ht="17.25" thickBot="1" thickTop="1">
      <c r="A54" s="146"/>
      <c r="B54" s="147"/>
      <c r="C54" s="148" t="s">
        <v>228</v>
      </c>
      <c r="D54" s="101">
        <f aca="true" t="shared" si="10" ref="D54:U54">D17+D5</f>
        <v>2113092</v>
      </c>
      <c r="E54" s="101">
        <f t="shared" si="10"/>
        <v>1017958</v>
      </c>
      <c r="F54" s="101">
        <f t="shared" si="10"/>
        <v>1245369</v>
      </c>
      <c r="G54" s="101">
        <f t="shared" si="10"/>
        <v>4391413</v>
      </c>
      <c r="H54" s="101">
        <f t="shared" si="10"/>
        <v>3456141</v>
      </c>
      <c r="I54" s="101">
        <f t="shared" si="10"/>
        <v>4649713</v>
      </c>
      <c r="J54" s="101">
        <f t="shared" si="10"/>
        <v>4502774.06</v>
      </c>
      <c r="K54" s="101">
        <f t="shared" si="10"/>
        <v>3678497</v>
      </c>
      <c r="L54" s="101">
        <f t="shared" si="10"/>
        <v>1218338.5899999999</v>
      </c>
      <c r="M54" s="351">
        <f t="shared" si="10"/>
        <v>752297.52</v>
      </c>
      <c r="N54" s="101">
        <f t="shared" si="10"/>
        <v>935536.18</v>
      </c>
      <c r="O54" s="101">
        <f aca="true" t="shared" si="11" ref="O54:T54">O17+O5</f>
        <v>1696241.7999999998</v>
      </c>
      <c r="P54" s="101">
        <f t="shared" si="11"/>
        <v>2123247.52</v>
      </c>
      <c r="Q54" s="351">
        <f t="shared" si="11"/>
        <v>1526662.64</v>
      </c>
      <c r="R54" s="101">
        <f t="shared" si="11"/>
        <v>2638168</v>
      </c>
      <c r="S54" s="101">
        <f t="shared" si="11"/>
        <v>2862309.5</v>
      </c>
      <c r="T54" s="351">
        <f t="shared" si="11"/>
        <v>3393484.54</v>
      </c>
      <c r="U54" s="101">
        <f t="shared" si="10"/>
        <v>380264</v>
      </c>
      <c r="V54" s="101">
        <f>V17+V5</f>
        <v>20088</v>
      </c>
      <c r="W54" s="102">
        <f>W17+W5</f>
        <v>400352</v>
      </c>
    </row>
    <row r="55" ht="13.5" thickTop="1"/>
  </sheetData>
  <sheetProtection/>
  <mergeCells count="34">
    <mergeCell ref="R3:R4"/>
    <mergeCell ref="M3:M4"/>
    <mergeCell ref="I3:I4"/>
    <mergeCell ref="N3:N4"/>
    <mergeCell ref="S3:S4"/>
    <mergeCell ref="T3:T4"/>
    <mergeCell ref="W3:W4"/>
    <mergeCell ref="U3:U4"/>
    <mergeCell ref="O3:O4"/>
    <mergeCell ref="Q3:Q4"/>
    <mergeCell ref="P3:P4"/>
    <mergeCell ref="A51:A53"/>
    <mergeCell ref="B52:B53"/>
    <mergeCell ref="B18:C18"/>
    <mergeCell ref="B20:B49"/>
    <mergeCell ref="B50:C50"/>
    <mergeCell ref="D3:D4"/>
    <mergeCell ref="K3:K4"/>
    <mergeCell ref="L3:L4"/>
    <mergeCell ref="E3:E4"/>
    <mergeCell ref="F3:F4"/>
    <mergeCell ref="G3:G4"/>
    <mergeCell ref="H3:H4"/>
    <mergeCell ref="J3:J4"/>
    <mergeCell ref="A3:A4"/>
    <mergeCell ref="B3:B4"/>
    <mergeCell ref="C3:C4"/>
    <mergeCell ref="A19:A49"/>
    <mergeCell ref="B17:C17"/>
    <mergeCell ref="B5:C5"/>
    <mergeCell ref="A7:A16"/>
    <mergeCell ref="B8:B10"/>
    <mergeCell ref="B6:C6"/>
    <mergeCell ref="B12:B16"/>
  </mergeCells>
  <printOptions/>
  <pageMargins left="0.15748031496062992" right="0" top="0.3937007874015748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H157"/>
  <sheetViews>
    <sheetView zoomScalePageLayoutView="0" workbookViewId="0" topLeftCell="T13">
      <selection activeCell="AA83" sqref="AA83"/>
    </sheetView>
  </sheetViews>
  <sheetFormatPr defaultColWidth="9.140625" defaultRowHeight="12.75"/>
  <cols>
    <col min="1" max="1" width="10.8515625" style="0" customWidth="1"/>
    <col min="3" max="3" width="40.281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18" width="15.28125" style="0" hidden="1" customWidth="1"/>
    <col min="19" max="19" width="16.00390625" style="0" hidden="1" customWidth="1"/>
    <col min="20" max="20" width="12.140625" style="0" customWidth="1"/>
    <col min="21" max="21" width="11.28125" style="1" customWidth="1"/>
    <col min="22" max="22" width="10.28125" style="0" customWidth="1"/>
    <col min="23" max="23" width="10.140625" style="0" customWidth="1"/>
    <col min="24" max="24" width="12.140625" style="0" customWidth="1"/>
    <col min="26" max="26" width="9.421875" style="441" customWidth="1"/>
    <col min="27" max="29" width="9.421875" style="0" customWidth="1"/>
  </cols>
  <sheetData>
    <row r="1" spans="1:10" ht="13.5" thickBot="1">
      <c r="A1" s="876" t="s">
        <v>327</v>
      </c>
      <c r="B1" s="876"/>
      <c r="C1" s="876"/>
      <c r="D1" s="876"/>
      <c r="E1" s="876"/>
      <c r="F1" s="876"/>
      <c r="G1" s="876"/>
      <c r="H1" s="876"/>
      <c r="I1" s="876"/>
      <c r="J1" s="876"/>
    </row>
    <row r="2" spans="1:34" ht="13.5" customHeight="1" thickBot="1" thickTop="1">
      <c r="A2" s="823" t="s">
        <v>43</v>
      </c>
      <c r="B2" s="878" t="s">
        <v>84</v>
      </c>
      <c r="C2" s="852" t="s">
        <v>44</v>
      </c>
      <c r="D2" s="763" t="s">
        <v>175</v>
      </c>
      <c r="E2" s="763" t="s">
        <v>176</v>
      </c>
      <c r="F2" s="763" t="s">
        <v>177</v>
      </c>
      <c r="G2" s="763" t="s">
        <v>178</v>
      </c>
      <c r="H2" s="763" t="s">
        <v>179</v>
      </c>
      <c r="I2" s="763" t="s">
        <v>91</v>
      </c>
      <c r="J2" s="763" t="s">
        <v>92</v>
      </c>
      <c r="K2" s="763" t="s">
        <v>93</v>
      </c>
      <c r="L2" s="763" t="s">
        <v>94</v>
      </c>
      <c r="M2" s="871" t="s">
        <v>95</v>
      </c>
      <c r="N2" s="871" t="s">
        <v>324</v>
      </c>
      <c r="O2" s="763" t="s">
        <v>340</v>
      </c>
      <c r="P2" s="763" t="s">
        <v>346</v>
      </c>
      <c r="Q2" s="763" t="s">
        <v>359</v>
      </c>
      <c r="R2" s="763" t="s">
        <v>367</v>
      </c>
      <c r="S2" s="763" t="s">
        <v>368</v>
      </c>
      <c r="T2" s="763" t="s">
        <v>369</v>
      </c>
      <c r="U2" s="794" t="s">
        <v>405</v>
      </c>
      <c r="V2" s="850" t="s">
        <v>457</v>
      </c>
      <c r="W2" s="851"/>
      <c r="X2" s="796" t="s">
        <v>404</v>
      </c>
      <c r="Z2" s="665"/>
      <c r="AA2" s="665"/>
      <c r="AB2" s="665"/>
      <c r="AC2" s="665"/>
      <c r="AD2" s="665"/>
      <c r="AE2" s="665"/>
      <c r="AF2" s="665"/>
      <c r="AG2" s="665"/>
      <c r="AH2" s="665"/>
    </row>
    <row r="3" spans="1:34" ht="30" customHeight="1" thickBot="1">
      <c r="A3" s="824"/>
      <c r="B3" s="879"/>
      <c r="C3" s="853"/>
      <c r="D3" s="764"/>
      <c r="E3" s="764"/>
      <c r="F3" s="764"/>
      <c r="G3" s="764"/>
      <c r="H3" s="764"/>
      <c r="I3" s="764"/>
      <c r="J3" s="764"/>
      <c r="K3" s="764"/>
      <c r="L3" s="764"/>
      <c r="M3" s="872"/>
      <c r="N3" s="872"/>
      <c r="O3" s="764"/>
      <c r="P3" s="764"/>
      <c r="Q3" s="764"/>
      <c r="R3" s="764"/>
      <c r="S3" s="764"/>
      <c r="T3" s="764"/>
      <c r="U3" s="795"/>
      <c r="V3" s="692" t="s">
        <v>233</v>
      </c>
      <c r="W3" s="693" t="s">
        <v>237</v>
      </c>
      <c r="X3" s="797"/>
      <c r="Z3" s="665"/>
      <c r="AA3" s="665"/>
      <c r="AB3" s="665"/>
      <c r="AC3" s="665"/>
      <c r="AD3" s="665"/>
      <c r="AE3" s="665"/>
      <c r="AF3" s="665"/>
      <c r="AG3" s="665"/>
      <c r="AH3" s="665"/>
    </row>
    <row r="4" spans="1:24" ht="16.5" thickBot="1" thickTop="1">
      <c r="A4" s="264" t="s">
        <v>238</v>
      </c>
      <c r="B4" s="877" t="s">
        <v>30</v>
      </c>
      <c r="C4" s="877"/>
      <c r="D4" s="352">
        <v>372735</v>
      </c>
      <c r="E4" s="352">
        <v>64629</v>
      </c>
      <c r="F4" s="352">
        <v>39833</v>
      </c>
      <c r="G4" s="352">
        <v>3383</v>
      </c>
      <c r="H4" s="352"/>
      <c r="I4" s="353">
        <v>18260</v>
      </c>
      <c r="J4" s="353">
        <v>0</v>
      </c>
      <c r="K4" s="353">
        <v>0</v>
      </c>
      <c r="L4" s="353">
        <v>0</v>
      </c>
      <c r="M4" s="353">
        <v>0</v>
      </c>
      <c r="N4" s="352">
        <v>6946.8</v>
      </c>
      <c r="O4" s="352">
        <v>10541.5</v>
      </c>
      <c r="P4" s="529">
        <v>23813.83</v>
      </c>
      <c r="Q4" s="529">
        <v>0</v>
      </c>
      <c r="R4" s="352">
        <v>16560</v>
      </c>
      <c r="S4" s="352">
        <v>9109</v>
      </c>
      <c r="T4" s="352">
        <v>0</v>
      </c>
      <c r="U4" s="352">
        <f>U5+U6+U8+U7</f>
        <v>95000</v>
      </c>
      <c r="V4" s="352">
        <f>V5+V6+V8+V7</f>
        <v>0</v>
      </c>
      <c r="W4" s="352">
        <f>W5+W6+W8</f>
        <v>0</v>
      </c>
      <c r="X4" s="354">
        <f>X5+X6+X8</f>
        <v>95000</v>
      </c>
    </row>
    <row r="5" spans="1:24" ht="12.75">
      <c r="A5" s="817"/>
      <c r="B5" s="873"/>
      <c r="C5" s="72" t="s">
        <v>391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18"/>
      <c r="Q5" s="118"/>
      <c r="R5" s="22">
        <v>16560</v>
      </c>
      <c r="S5" s="22"/>
      <c r="T5" s="22"/>
      <c r="U5" s="57">
        <v>45000</v>
      </c>
      <c r="V5" s="57"/>
      <c r="W5" s="57"/>
      <c r="X5" s="23">
        <f>U5+V5+W5</f>
        <v>45000</v>
      </c>
    </row>
    <row r="6" spans="1:24" ht="13.5" thickBot="1">
      <c r="A6" s="818"/>
      <c r="B6" s="874"/>
      <c r="C6" s="72" t="s">
        <v>395</v>
      </c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18"/>
      <c r="Q6" s="118"/>
      <c r="R6" s="22"/>
      <c r="S6" s="22"/>
      <c r="T6" s="22"/>
      <c r="U6" s="57">
        <v>50000</v>
      </c>
      <c r="V6" s="57"/>
      <c r="W6" s="57"/>
      <c r="X6" s="23">
        <f>U6+V6+W6</f>
        <v>50000</v>
      </c>
    </row>
    <row r="7" spans="1:24" ht="13.5" hidden="1" thickBot="1">
      <c r="A7" s="818"/>
      <c r="B7" s="874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18"/>
      <c r="Q7" s="118"/>
      <c r="R7" s="22"/>
      <c r="S7" s="22"/>
      <c r="T7" s="22"/>
      <c r="U7" s="57"/>
      <c r="V7" s="57">
        <f aca="true" t="shared" si="0" ref="V7:V35">IF(S7=0,0,U7/S7)</f>
        <v>0</v>
      </c>
      <c r="W7" s="57"/>
      <c r="X7" s="23"/>
    </row>
    <row r="8" spans="1:24" ht="13.5" hidden="1" thickBot="1">
      <c r="A8" s="819"/>
      <c r="B8" s="875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18"/>
      <c r="Q8" s="118"/>
      <c r="R8" s="22"/>
      <c r="S8" s="22"/>
      <c r="T8" s="22"/>
      <c r="U8" s="57"/>
      <c r="V8" s="57">
        <f t="shared" si="0"/>
        <v>0</v>
      </c>
      <c r="W8" s="73"/>
      <c r="X8" s="144"/>
    </row>
    <row r="9" spans="1:24" ht="15.75" hidden="1" thickBot="1">
      <c r="A9" s="209" t="s">
        <v>68</v>
      </c>
      <c r="B9" s="870" t="s">
        <v>69</v>
      </c>
      <c r="C9" s="870"/>
      <c r="D9" s="231">
        <v>17958</v>
      </c>
      <c r="E9" s="231">
        <v>0</v>
      </c>
      <c r="F9" s="231">
        <v>19916</v>
      </c>
      <c r="G9" s="231">
        <v>18253</v>
      </c>
      <c r="H9" s="231">
        <v>16675</v>
      </c>
      <c r="I9" s="137">
        <v>3031</v>
      </c>
      <c r="J9" s="137">
        <v>0</v>
      </c>
      <c r="K9" s="67">
        <f>SUM(K10:K11)</f>
        <v>10398</v>
      </c>
      <c r="L9" s="67"/>
      <c r="M9" s="67">
        <f>SUM(M10:M11)</f>
        <v>0</v>
      </c>
      <c r="N9" s="67">
        <v>5666.4</v>
      </c>
      <c r="O9" s="67">
        <v>10703.82</v>
      </c>
      <c r="P9" s="211">
        <v>12513.86</v>
      </c>
      <c r="Q9" s="211">
        <v>14947.44</v>
      </c>
      <c r="R9" s="67"/>
      <c r="S9" s="67">
        <v>5729.45</v>
      </c>
      <c r="T9" s="67"/>
      <c r="U9" s="67">
        <f>SUM(U10:U11)</f>
        <v>0</v>
      </c>
      <c r="V9" s="67">
        <f t="shared" si="0"/>
        <v>0</v>
      </c>
      <c r="W9" s="67">
        <f>SUM(W10:W11)</f>
        <v>0</v>
      </c>
      <c r="X9" s="68">
        <f>SUM(X10:X11)</f>
        <v>0</v>
      </c>
    </row>
    <row r="10" spans="1:24" ht="13.5" hidden="1" thickBot="1">
      <c r="A10" s="355"/>
      <c r="B10" s="873"/>
      <c r="C10" s="41" t="s">
        <v>31</v>
      </c>
      <c r="D10" s="93"/>
      <c r="E10" s="93"/>
      <c r="F10" s="93"/>
      <c r="G10" s="93"/>
      <c r="H10" s="55"/>
      <c r="I10" s="55"/>
      <c r="J10" s="55"/>
      <c r="K10" s="93">
        <v>10398</v>
      </c>
      <c r="L10" s="93"/>
      <c r="M10" s="93"/>
      <c r="N10" s="93"/>
      <c r="O10" s="93"/>
      <c r="P10" s="200"/>
      <c r="Q10" s="200"/>
      <c r="R10" s="93"/>
      <c r="S10" s="93"/>
      <c r="T10" s="93"/>
      <c r="U10" s="42"/>
      <c r="V10" s="42"/>
      <c r="W10" s="42"/>
      <c r="X10" s="94">
        <f>U10+V10+W10</f>
        <v>0</v>
      </c>
    </row>
    <row r="11" spans="1:24" ht="13.5" hidden="1" thickBot="1">
      <c r="A11" s="355"/>
      <c r="B11" s="875"/>
      <c r="C11" s="145" t="s">
        <v>205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6"/>
      <c r="Q11" s="116"/>
      <c r="R11" s="70"/>
      <c r="S11" s="70"/>
      <c r="T11" s="70"/>
      <c r="U11" s="57"/>
      <c r="V11" s="57">
        <f t="shared" si="0"/>
        <v>0</v>
      </c>
      <c r="W11" s="57"/>
      <c r="X11" s="23"/>
    </row>
    <row r="12" spans="1:24" ht="15.75" thickBot="1">
      <c r="A12" s="209" t="s">
        <v>63</v>
      </c>
      <c r="B12" s="870" t="s">
        <v>64</v>
      </c>
      <c r="C12" s="870"/>
      <c r="D12" s="231">
        <v>894211</v>
      </c>
      <c r="E12" s="231">
        <v>382958</v>
      </c>
      <c r="F12" s="231">
        <v>343590</v>
      </c>
      <c r="G12" s="231">
        <v>610914</v>
      </c>
      <c r="H12" s="231">
        <v>1718795</v>
      </c>
      <c r="I12" s="137">
        <v>495900</v>
      </c>
      <c r="J12" s="231">
        <v>421522</v>
      </c>
      <c r="K12" s="67">
        <f>SUM(K13:K29)</f>
        <v>2058954</v>
      </c>
      <c r="L12" s="67">
        <v>108548.12</v>
      </c>
      <c r="M12" s="211">
        <f>SUM(M13:M29)</f>
        <v>187078.06</v>
      </c>
      <c r="N12" s="67">
        <v>923357.06</v>
      </c>
      <c r="O12" s="67">
        <v>421573.23</v>
      </c>
      <c r="P12" s="211">
        <v>904828.37</v>
      </c>
      <c r="Q12" s="211">
        <v>1191812.5499999998</v>
      </c>
      <c r="R12" s="67">
        <v>1949425</v>
      </c>
      <c r="S12" s="67">
        <v>1324755.3800000001</v>
      </c>
      <c r="T12" s="67">
        <v>85680.63</v>
      </c>
      <c r="U12" s="67">
        <f>SUM(U13:U29)</f>
        <v>105500</v>
      </c>
      <c r="V12" s="67">
        <f>SUM(V13:V29)</f>
        <v>0</v>
      </c>
      <c r="W12" s="67">
        <f>SUM(W13:W29)</f>
        <v>0</v>
      </c>
      <c r="X12" s="68">
        <f>SUM(X13:X29)</f>
        <v>105500</v>
      </c>
    </row>
    <row r="13" spans="1:24" ht="13.5" thickBot="1">
      <c r="A13" s="818"/>
      <c r="B13" s="886"/>
      <c r="C13" s="72" t="s">
        <v>32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18">
        <v>11397.78</v>
      </c>
      <c r="N13" s="22"/>
      <c r="O13" s="22"/>
      <c r="P13" s="118"/>
      <c r="Q13" s="118"/>
      <c r="R13" s="22"/>
      <c r="S13" s="22">
        <v>1324755.3800000001</v>
      </c>
      <c r="T13" s="22">
        <v>85680.63</v>
      </c>
      <c r="U13" s="57">
        <v>105500</v>
      </c>
      <c r="V13" s="57"/>
      <c r="W13" s="57"/>
      <c r="X13" s="23">
        <f>U13+V13+W13</f>
        <v>105500</v>
      </c>
    </row>
    <row r="14" spans="1:24" ht="13.5" hidden="1" thickBot="1">
      <c r="A14" s="818"/>
      <c r="B14" s="886"/>
      <c r="C14" s="72"/>
      <c r="D14" s="22"/>
      <c r="E14" s="22"/>
      <c r="F14" s="22"/>
      <c r="G14" s="22"/>
      <c r="H14" s="56"/>
      <c r="I14" s="56"/>
      <c r="J14" s="22"/>
      <c r="K14" s="22"/>
      <c r="L14" s="22"/>
      <c r="M14" s="118"/>
      <c r="N14" s="22"/>
      <c r="O14" s="22"/>
      <c r="P14" s="118"/>
      <c r="Q14" s="118"/>
      <c r="R14" s="22"/>
      <c r="S14" s="22"/>
      <c r="T14" s="22"/>
      <c r="U14" s="57"/>
      <c r="V14" s="57">
        <f t="shared" si="0"/>
        <v>0</v>
      </c>
      <c r="W14" s="57"/>
      <c r="X14" s="23"/>
    </row>
    <row r="15" spans="1:24" ht="13.5" hidden="1" thickBot="1">
      <c r="A15" s="818"/>
      <c r="B15" s="886"/>
      <c r="C15" s="43"/>
      <c r="D15" s="26"/>
      <c r="E15" s="26"/>
      <c r="F15" s="26"/>
      <c r="G15" s="26"/>
      <c r="H15" s="58"/>
      <c r="I15" s="58"/>
      <c r="J15" s="26"/>
      <c r="K15" s="26"/>
      <c r="L15" s="22"/>
      <c r="M15" s="118">
        <v>4562.8</v>
      </c>
      <c r="N15" s="22"/>
      <c r="O15" s="22"/>
      <c r="P15" s="118"/>
      <c r="Q15" s="118"/>
      <c r="R15" s="22"/>
      <c r="S15" s="22"/>
      <c r="T15" s="22"/>
      <c r="U15" s="57"/>
      <c r="V15" s="57">
        <f t="shared" si="0"/>
        <v>0</v>
      </c>
      <c r="W15" s="57"/>
      <c r="X15" s="23"/>
    </row>
    <row r="16" spans="1:24" ht="13.5" hidden="1" thickBot="1">
      <c r="A16" s="818"/>
      <c r="B16" s="886"/>
      <c r="C16" s="47"/>
      <c r="D16" s="30"/>
      <c r="E16" s="30"/>
      <c r="F16" s="30"/>
      <c r="G16" s="30"/>
      <c r="H16" s="66"/>
      <c r="I16" s="66"/>
      <c r="J16" s="30"/>
      <c r="K16" s="30"/>
      <c r="L16" s="22"/>
      <c r="M16" s="118"/>
      <c r="N16" s="22"/>
      <c r="O16" s="22"/>
      <c r="P16" s="118"/>
      <c r="Q16" s="118"/>
      <c r="R16" s="22"/>
      <c r="S16" s="22"/>
      <c r="T16" s="22"/>
      <c r="U16" s="57"/>
      <c r="V16" s="57">
        <f t="shared" si="0"/>
        <v>0</v>
      </c>
      <c r="W16" s="57"/>
      <c r="X16" s="23"/>
    </row>
    <row r="17" spans="1:24" ht="13.5" hidden="1" thickBot="1">
      <c r="A17" s="818"/>
      <c r="B17" s="886"/>
      <c r="C17" s="47"/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4">
        <v>0</v>
      </c>
      <c r="N17" s="57"/>
      <c r="O17" s="57"/>
      <c r="P17" s="73"/>
      <c r="Q17" s="73"/>
      <c r="R17" s="57"/>
      <c r="S17" s="57"/>
      <c r="T17" s="57"/>
      <c r="U17" s="57"/>
      <c r="V17" s="57">
        <f t="shared" si="0"/>
        <v>0</v>
      </c>
      <c r="W17" s="57"/>
      <c r="X17" s="23"/>
    </row>
    <row r="18" spans="1:24" ht="13.5" hidden="1" thickBot="1">
      <c r="A18" s="818"/>
      <c r="B18" s="886"/>
      <c r="C18" s="47"/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18"/>
      <c r="N18" s="22"/>
      <c r="O18" s="22"/>
      <c r="P18" s="118"/>
      <c r="Q18" s="118"/>
      <c r="R18" s="22"/>
      <c r="S18" s="22"/>
      <c r="T18" s="22"/>
      <c r="U18" s="57"/>
      <c r="V18" s="57">
        <f t="shared" si="0"/>
        <v>0</v>
      </c>
      <c r="W18" s="57"/>
      <c r="X18" s="23"/>
    </row>
    <row r="19" spans="1:24" ht="13.5" hidden="1" thickBot="1">
      <c r="A19" s="818"/>
      <c r="B19" s="886"/>
      <c r="C19" s="43"/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18">
        <v>13200</v>
      </c>
      <c r="N19" s="22"/>
      <c r="O19" s="22"/>
      <c r="P19" s="118"/>
      <c r="Q19" s="118"/>
      <c r="R19" s="22"/>
      <c r="S19" s="22"/>
      <c r="T19" s="22"/>
      <c r="U19" s="57"/>
      <c r="V19" s="57">
        <f t="shared" si="0"/>
        <v>0</v>
      </c>
      <c r="W19" s="57"/>
      <c r="X19" s="23"/>
    </row>
    <row r="20" spans="1:27" ht="13.5" hidden="1" thickBot="1">
      <c r="A20" s="818"/>
      <c r="B20" s="886"/>
      <c r="C20" s="43"/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18"/>
      <c r="N20" s="22"/>
      <c r="O20" s="22"/>
      <c r="P20" s="118"/>
      <c r="Q20" s="118"/>
      <c r="R20" s="22"/>
      <c r="S20" s="22"/>
      <c r="T20" s="22"/>
      <c r="U20" s="57"/>
      <c r="V20" s="57">
        <f t="shared" si="0"/>
        <v>0</v>
      </c>
      <c r="W20" s="57"/>
      <c r="X20" s="23"/>
      <c r="AA20" s="2"/>
    </row>
    <row r="21" spans="1:24" ht="13.5" hidden="1" thickBot="1">
      <c r="A21" s="818"/>
      <c r="B21" s="886"/>
      <c r="C21" s="43" t="s">
        <v>225</v>
      </c>
      <c r="D21" s="26"/>
      <c r="E21" s="26"/>
      <c r="F21" s="26"/>
      <c r="G21" s="26"/>
      <c r="H21" s="58"/>
      <c r="I21" s="58"/>
      <c r="J21" s="26"/>
      <c r="K21" s="26"/>
      <c r="L21" s="22"/>
      <c r="M21" s="118">
        <v>144897.48</v>
      </c>
      <c r="N21" s="22"/>
      <c r="O21" s="22"/>
      <c r="P21" s="118"/>
      <c r="Q21" s="118"/>
      <c r="R21" s="22"/>
      <c r="S21" s="22"/>
      <c r="T21" s="22"/>
      <c r="U21" s="57"/>
      <c r="V21" s="57">
        <f t="shared" si="0"/>
        <v>0</v>
      </c>
      <c r="W21" s="57"/>
      <c r="X21" s="23"/>
    </row>
    <row r="22" spans="1:24" ht="13.5" hidden="1" thickBot="1">
      <c r="A22" s="818"/>
      <c r="B22" s="886"/>
      <c r="C22" s="43" t="s">
        <v>197</v>
      </c>
      <c r="D22" s="26"/>
      <c r="E22" s="26"/>
      <c r="F22" s="26"/>
      <c r="G22" s="26"/>
      <c r="H22" s="58"/>
      <c r="I22" s="58"/>
      <c r="J22" s="26"/>
      <c r="K22" s="26"/>
      <c r="L22" s="22"/>
      <c r="M22" s="118"/>
      <c r="N22" s="22"/>
      <c r="O22" s="22"/>
      <c r="P22" s="118"/>
      <c r="Q22" s="118"/>
      <c r="R22" s="22"/>
      <c r="S22" s="22"/>
      <c r="T22" s="22"/>
      <c r="U22" s="57"/>
      <c r="V22" s="57">
        <f t="shared" si="0"/>
        <v>0</v>
      </c>
      <c r="W22" s="57"/>
      <c r="X22" s="23"/>
    </row>
    <row r="23" spans="1:24" ht="13.5" hidden="1" thickBot="1">
      <c r="A23" s="818"/>
      <c r="B23" s="886"/>
      <c r="C23" s="43" t="s">
        <v>309</v>
      </c>
      <c r="D23" s="26"/>
      <c r="E23" s="26"/>
      <c r="F23" s="26"/>
      <c r="G23" s="26"/>
      <c r="H23" s="58"/>
      <c r="I23" s="58"/>
      <c r="J23" s="26"/>
      <c r="K23" s="26"/>
      <c r="L23" s="26"/>
      <c r="M23" s="202"/>
      <c r="N23" s="26"/>
      <c r="O23" s="26"/>
      <c r="P23" s="202"/>
      <c r="Q23" s="202"/>
      <c r="R23" s="26"/>
      <c r="S23" s="26"/>
      <c r="T23" s="26"/>
      <c r="U23" s="26"/>
      <c r="V23" s="57">
        <f t="shared" si="0"/>
        <v>0</v>
      </c>
      <c r="W23" s="44"/>
      <c r="X23" s="27"/>
    </row>
    <row r="24" spans="1:24" ht="13.5" hidden="1" thickBot="1">
      <c r="A24" s="818"/>
      <c r="B24" s="886"/>
      <c r="C24" s="43" t="s">
        <v>196</v>
      </c>
      <c r="D24" s="26"/>
      <c r="E24" s="26"/>
      <c r="F24" s="26"/>
      <c r="G24" s="26"/>
      <c r="H24" s="58"/>
      <c r="I24" s="58"/>
      <c r="J24" s="26"/>
      <c r="K24" s="26"/>
      <c r="L24" s="26"/>
      <c r="M24" s="202"/>
      <c r="N24" s="26"/>
      <c r="O24" s="26"/>
      <c r="P24" s="202"/>
      <c r="Q24" s="202"/>
      <c r="R24" s="26"/>
      <c r="S24" s="26"/>
      <c r="T24" s="26"/>
      <c r="U24" s="44"/>
      <c r="V24" s="57">
        <f t="shared" si="0"/>
        <v>0</v>
      </c>
      <c r="W24" s="44"/>
      <c r="X24" s="27"/>
    </row>
    <row r="25" spans="1:24" ht="13.5" hidden="1" thickBot="1">
      <c r="A25" s="818"/>
      <c r="B25" s="886"/>
      <c r="C25" s="43" t="s">
        <v>310</v>
      </c>
      <c r="D25" s="26"/>
      <c r="E25" s="26"/>
      <c r="F25" s="26"/>
      <c r="G25" s="26"/>
      <c r="H25" s="58"/>
      <c r="I25" s="58"/>
      <c r="J25" s="26"/>
      <c r="K25" s="26"/>
      <c r="L25" s="26"/>
      <c r="M25" s="202">
        <v>1500</v>
      </c>
      <c r="N25" s="26"/>
      <c r="O25" s="26"/>
      <c r="P25" s="202"/>
      <c r="Q25" s="202"/>
      <c r="R25" s="26"/>
      <c r="S25" s="26"/>
      <c r="T25" s="26"/>
      <c r="U25" s="44"/>
      <c r="V25" s="44">
        <f t="shared" si="0"/>
        <v>0</v>
      </c>
      <c r="W25" s="44"/>
      <c r="X25" s="27"/>
    </row>
    <row r="26" spans="1:24" ht="13.5" hidden="1" thickBot="1">
      <c r="A26" s="818"/>
      <c r="B26" s="886"/>
      <c r="C26" s="43" t="s">
        <v>319</v>
      </c>
      <c r="D26" s="26"/>
      <c r="E26" s="26"/>
      <c r="F26" s="26"/>
      <c r="G26" s="26"/>
      <c r="H26" s="58"/>
      <c r="I26" s="58"/>
      <c r="J26" s="26"/>
      <c r="K26" s="26"/>
      <c r="L26" s="26"/>
      <c r="M26" s="202"/>
      <c r="N26" s="26"/>
      <c r="O26" s="26"/>
      <c r="P26" s="202"/>
      <c r="Q26" s="202"/>
      <c r="R26" s="26"/>
      <c r="S26" s="26"/>
      <c r="T26" s="26"/>
      <c r="U26" s="44"/>
      <c r="V26" s="44">
        <f t="shared" si="0"/>
        <v>0</v>
      </c>
      <c r="W26" s="57"/>
      <c r="X26" s="23"/>
    </row>
    <row r="27" spans="1:24" ht="13.5" hidden="1" thickBot="1">
      <c r="A27" s="818"/>
      <c r="B27" s="886"/>
      <c r="C27" s="43" t="s">
        <v>316</v>
      </c>
      <c r="D27" s="26"/>
      <c r="E27" s="26"/>
      <c r="F27" s="26"/>
      <c r="G27" s="26"/>
      <c r="H27" s="58"/>
      <c r="I27" s="58"/>
      <c r="J27" s="26"/>
      <c r="K27" s="26"/>
      <c r="L27" s="26"/>
      <c r="M27" s="202"/>
      <c r="N27" s="26"/>
      <c r="O27" s="26"/>
      <c r="P27" s="202"/>
      <c r="Q27" s="202"/>
      <c r="R27" s="26"/>
      <c r="S27" s="26"/>
      <c r="T27" s="26"/>
      <c r="U27" s="44"/>
      <c r="V27" s="44">
        <f t="shared" si="0"/>
        <v>0</v>
      </c>
      <c r="W27" s="57"/>
      <c r="X27" s="23"/>
    </row>
    <row r="28" spans="1:24" ht="13.5" hidden="1" thickBot="1">
      <c r="A28" s="818"/>
      <c r="B28" s="886"/>
      <c r="C28" s="43" t="s">
        <v>196</v>
      </c>
      <c r="D28" s="26"/>
      <c r="E28" s="26"/>
      <c r="F28" s="26"/>
      <c r="G28" s="26"/>
      <c r="H28" s="58"/>
      <c r="I28" s="58"/>
      <c r="J28" s="26"/>
      <c r="K28" s="26"/>
      <c r="L28" s="26"/>
      <c r="M28" s="202"/>
      <c r="N28" s="26"/>
      <c r="O28" s="26"/>
      <c r="P28" s="202"/>
      <c r="Q28" s="202"/>
      <c r="R28" s="26"/>
      <c r="S28" s="26"/>
      <c r="T28" s="26"/>
      <c r="U28" s="44"/>
      <c r="V28" s="44">
        <f t="shared" si="0"/>
        <v>0</v>
      </c>
      <c r="W28" s="57"/>
      <c r="X28" s="23"/>
    </row>
    <row r="29" spans="1:24" ht="13.5" hidden="1" thickBot="1">
      <c r="A29" s="819"/>
      <c r="B29" s="887"/>
      <c r="C29" s="145" t="s">
        <v>193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6">
        <v>11520</v>
      </c>
      <c r="N29" s="70"/>
      <c r="O29" s="70"/>
      <c r="P29" s="116"/>
      <c r="Q29" s="116"/>
      <c r="R29" s="70"/>
      <c r="S29" s="70"/>
      <c r="T29" s="70"/>
      <c r="U29" s="57"/>
      <c r="V29" s="57">
        <f t="shared" si="0"/>
        <v>0</v>
      </c>
      <c r="W29" s="57"/>
      <c r="X29" s="23"/>
    </row>
    <row r="30" spans="1:24" ht="15.75" thickBot="1">
      <c r="A30" s="356" t="s">
        <v>212</v>
      </c>
      <c r="B30" s="770" t="s">
        <v>33</v>
      </c>
      <c r="C30" s="771"/>
      <c r="D30" s="231">
        <v>154053</v>
      </c>
      <c r="E30" s="231">
        <v>194317</v>
      </c>
      <c r="F30" s="231">
        <v>340238</v>
      </c>
      <c r="G30" s="231">
        <v>484191</v>
      </c>
      <c r="H30" s="231">
        <v>181309</v>
      </c>
      <c r="I30" s="137">
        <v>33695</v>
      </c>
      <c r="J30" s="231">
        <v>79908</v>
      </c>
      <c r="K30" s="67">
        <f>SUM(K31:K50)</f>
        <v>0</v>
      </c>
      <c r="L30" s="67">
        <f>SUM(L31:L50)</f>
        <v>75693</v>
      </c>
      <c r="M30" s="211">
        <f>SUM(M31:M46)</f>
        <v>107849.53999999998</v>
      </c>
      <c r="N30" s="67">
        <v>206988.84</v>
      </c>
      <c r="O30" s="67">
        <v>350387.76999999996</v>
      </c>
      <c r="P30" s="211">
        <v>405936.13</v>
      </c>
      <c r="Q30" s="211">
        <v>500251.95999999996</v>
      </c>
      <c r="R30" s="67">
        <v>637934</v>
      </c>
      <c r="S30" s="67">
        <v>149635.12</v>
      </c>
      <c r="T30" s="67">
        <v>446723.64</v>
      </c>
      <c r="U30" s="67">
        <f>SUM(U31:U50)</f>
        <v>1186519</v>
      </c>
      <c r="V30" s="67">
        <f>SUM(V31:V50)</f>
        <v>0</v>
      </c>
      <c r="W30" s="67">
        <f>SUM(W31:W46)</f>
        <v>0</v>
      </c>
      <c r="X30" s="68">
        <f>SUM(X31:X46)</f>
        <v>1186519</v>
      </c>
    </row>
    <row r="31" spans="1:24" ht="12.75" hidden="1">
      <c r="A31" s="355"/>
      <c r="B31" s="357"/>
      <c r="C31" s="43" t="s">
        <v>328</v>
      </c>
      <c r="D31" s="26"/>
      <c r="E31" s="26"/>
      <c r="F31" s="26"/>
      <c r="G31" s="26"/>
      <c r="H31" s="58"/>
      <c r="I31" s="358"/>
      <c r="J31" s="359"/>
      <c r="K31" s="26"/>
      <c r="L31" s="22">
        <v>23757.12</v>
      </c>
      <c r="M31" s="118"/>
      <c r="N31" s="22"/>
      <c r="O31" s="22"/>
      <c r="P31" s="118"/>
      <c r="Q31" s="118"/>
      <c r="R31" s="22"/>
      <c r="S31" s="22"/>
      <c r="T31" s="22"/>
      <c r="U31" s="57"/>
      <c r="V31" s="57">
        <f t="shared" si="0"/>
        <v>0</v>
      </c>
      <c r="W31" s="57"/>
      <c r="X31" s="23"/>
    </row>
    <row r="32" spans="1:24" ht="12.75" hidden="1">
      <c r="A32" s="355"/>
      <c r="B32" s="357"/>
      <c r="C32" s="43" t="s">
        <v>333</v>
      </c>
      <c r="D32" s="26"/>
      <c r="E32" s="26"/>
      <c r="F32" s="26"/>
      <c r="G32" s="26"/>
      <c r="H32" s="58"/>
      <c r="I32" s="358"/>
      <c r="J32" s="359"/>
      <c r="K32" s="26"/>
      <c r="L32" s="22"/>
      <c r="M32" s="118"/>
      <c r="N32" s="22"/>
      <c r="O32" s="22"/>
      <c r="P32" s="118"/>
      <c r="Q32" s="118"/>
      <c r="R32" s="22"/>
      <c r="S32" s="22"/>
      <c r="T32" s="22"/>
      <c r="U32" s="57"/>
      <c r="V32" s="57">
        <f t="shared" si="0"/>
        <v>0</v>
      </c>
      <c r="W32" s="57"/>
      <c r="X32" s="23"/>
    </row>
    <row r="33" spans="1:24" ht="12.75" hidden="1">
      <c r="A33" s="355"/>
      <c r="B33" s="357"/>
      <c r="C33" s="43" t="s">
        <v>81</v>
      </c>
      <c r="D33" s="26"/>
      <c r="E33" s="26"/>
      <c r="F33" s="26"/>
      <c r="G33" s="26"/>
      <c r="H33" s="58"/>
      <c r="I33" s="358"/>
      <c r="J33" s="359"/>
      <c r="K33" s="26"/>
      <c r="L33" s="22"/>
      <c r="M33" s="118"/>
      <c r="N33" s="22"/>
      <c r="O33" s="22"/>
      <c r="P33" s="118"/>
      <c r="Q33" s="118"/>
      <c r="R33" s="22"/>
      <c r="S33" s="22"/>
      <c r="T33" s="22"/>
      <c r="U33" s="57"/>
      <c r="V33" s="57">
        <f t="shared" si="0"/>
        <v>0</v>
      </c>
      <c r="W33" s="57"/>
      <c r="X33" s="23"/>
    </row>
    <row r="34" spans="1:24" ht="12.75" hidden="1">
      <c r="A34" s="355"/>
      <c r="B34" s="357"/>
      <c r="C34" s="43" t="s">
        <v>82</v>
      </c>
      <c r="D34" s="26"/>
      <c r="E34" s="26"/>
      <c r="F34" s="26"/>
      <c r="G34" s="26"/>
      <c r="H34" s="58"/>
      <c r="I34" s="358"/>
      <c r="J34" s="359"/>
      <c r="K34" s="26"/>
      <c r="L34" s="22"/>
      <c r="M34" s="118"/>
      <c r="N34" s="22"/>
      <c r="O34" s="22"/>
      <c r="P34" s="118"/>
      <c r="Q34" s="118"/>
      <c r="R34" s="22"/>
      <c r="S34" s="22"/>
      <c r="T34" s="22"/>
      <c r="U34" s="57"/>
      <c r="V34" s="57">
        <f t="shared" si="0"/>
        <v>0</v>
      </c>
      <c r="W34" s="57"/>
      <c r="X34" s="23"/>
    </row>
    <row r="35" spans="1:24" ht="12.75" hidden="1">
      <c r="A35" s="355"/>
      <c r="B35" s="357"/>
      <c r="C35" s="43" t="s">
        <v>317</v>
      </c>
      <c r="D35" s="26"/>
      <c r="E35" s="26"/>
      <c r="F35" s="26"/>
      <c r="G35" s="26"/>
      <c r="H35" s="58"/>
      <c r="I35" s="358"/>
      <c r="J35" s="359"/>
      <c r="K35" s="26"/>
      <c r="L35" s="22"/>
      <c r="M35" s="118"/>
      <c r="N35" s="22"/>
      <c r="O35" s="22"/>
      <c r="P35" s="118"/>
      <c r="Q35" s="118"/>
      <c r="R35" s="22"/>
      <c r="S35" s="22"/>
      <c r="T35" s="22"/>
      <c r="U35" s="57"/>
      <c r="V35" s="57">
        <f t="shared" si="0"/>
        <v>0</v>
      </c>
      <c r="W35" s="57"/>
      <c r="X35" s="23"/>
    </row>
    <row r="36" spans="1:24" ht="12.75" hidden="1">
      <c r="A36" s="355"/>
      <c r="B36" s="357"/>
      <c r="C36" s="43" t="s">
        <v>171</v>
      </c>
      <c r="D36" s="26"/>
      <c r="E36" s="26"/>
      <c r="F36" s="26"/>
      <c r="G36" s="26"/>
      <c r="H36" s="58"/>
      <c r="I36" s="358"/>
      <c r="J36" s="359"/>
      <c r="K36" s="26"/>
      <c r="L36" s="22"/>
      <c r="M36" s="118"/>
      <c r="N36" s="22"/>
      <c r="O36" s="22"/>
      <c r="P36" s="118"/>
      <c r="Q36" s="118"/>
      <c r="R36" s="22"/>
      <c r="S36" s="22"/>
      <c r="T36" s="22"/>
      <c r="U36" s="57"/>
      <c r="V36" s="57">
        <f>IF(S36=0,0,U36/S36)</f>
        <v>0</v>
      </c>
      <c r="W36" s="57"/>
      <c r="X36" s="23"/>
    </row>
    <row r="37" spans="1:24" ht="12.75">
      <c r="A37" s="818"/>
      <c r="B37" s="874"/>
      <c r="C37" s="43" t="s">
        <v>364</v>
      </c>
      <c r="D37" s="26"/>
      <c r="E37" s="26"/>
      <c r="F37" s="26"/>
      <c r="G37" s="26"/>
      <c r="H37" s="58"/>
      <c r="I37" s="358"/>
      <c r="J37" s="359"/>
      <c r="K37" s="26"/>
      <c r="L37" s="22"/>
      <c r="M37" s="118"/>
      <c r="N37" s="22"/>
      <c r="O37" s="22"/>
      <c r="P37" s="118"/>
      <c r="Q37" s="118"/>
      <c r="R37" s="22"/>
      <c r="S37" s="22"/>
      <c r="T37" s="22"/>
      <c r="U37" s="57">
        <v>550156</v>
      </c>
      <c r="V37" s="57"/>
      <c r="W37" s="57"/>
      <c r="X37" s="23">
        <f aca="true" t="shared" si="1" ref="X37:X52">U37+V37+W37</f>
        <v>550156</v>
      </c>
    </row>
    <row r="38" spans="1:24" ht="12.75" hidden="1">
      <c r="A38" s="818"/>
      <c r="B38" s="874"/>
      <c r="C38" s="43" t="s">
        <v>374</v>
      </c>
      <c r="D38" s="26"/>
      <c r="E38" s="26"/>
      <c r="F38" s="26"/>
      <c r="G38" s="26"/>
      <c r="H38" s="58"/>
      <c r="I38" s="358"/>
      <c r="J38" s="359"/>
      <c r="K38" s="26"/>
      <c r="L38" s="22"/>
      <c r="M38" s="118"/>
      <c r="N38" s="22"/>
      <c r="O38" s="22"/>
      <c r="P38" s="118"/>
      <c r="Q38" s="118"/>
      <c r="R38" s="22"/>
      <c r="S38" s="22"/>
      <c r="T38" s="22"/>
      <c r="U38" s="57">
        <v>0</v>
      </c>
      <c r="V38" s="57"/>
      <c r="W38" s="57"/>
      <c r="X38" s="23">
        <f t="shared" si="1"/>
        <v>0</v>
      </c>
    </row>
    <row r="39" spans="1:24" ht="12.75" customHeight="1">
      <c r="A39" s="818"/>
      <c r="B39" s="874"/>
      <c r="C39" s="43" t="s">
        <v>375</v>
      </c>
      <c r="D39" s="26"/>
      <c r="E39" s="26"/>
      <c r="F39" s="26"/>
      <c r="G39" s="26"/>
      <c r="H39" s="58"/>
      <c r="I39" s="358"/>
      <c r="J39" s="359"/>
      <c r="K39" s="26"/>
      <c r="L39" s="22"/>
      <c r="M39" s="118"/>
      <c r="N39" s="22"/>
      <c r="O39" s="22"/>
      <c r="P39" s="118"/>
      <c r="Q39" s="118"/>
      <c r="R39" s="22"/>
      <c r="S39" s="22"/>
      <c r="T39" s="22"/>
      <c r="U39" s="57">
        <v>137500</v>
      </c>
      <c r="V39" s="57"/>
      <c r="W39" s="57"/>
      <c r="X39" s="23">
        <f t="shared" si="1"/>
        <v>137500</v>
      </c>
    </row>
    <row r="40" spans="1:24" ht="12.75" customHeight="1">
      <c r="A40" s="818"/>
      <c r="B40" s="874"/>
      <c r="C40" s="43" t="s">
        <v>376</v>
      </c>
      <c r="D40" s="26"/>
      <c r="E40" s="26"/>
      <c r="F40" s="26"/>
      <c r="G40" s="26"/>
      <c r="H40" s="58"/>
      <c r="I40" s="358"/>
      <c r="J40" s="359"/>
      <c r="K40" s="26"/>
      <c r="L40" s="22">
        <v>29104.44</v>
      </c>
      <c r="M40" s="118"/>
      <c r="N40" s="22"/>
      <c r="O40" s="22"/>
      <c r="P40" s="118"/>
      <c r="Q40" s="118"/>
      <c r="R40" s="22"/>
      <c r="S40" s="22"/>
      <c r="T40" s="22"/>
      <c r="U40" s="57">
        <v>90000</v>
      </c>
      <c r="V40" s="57"/>
      <c r="W40" s="57"/>
      <c r="X40" s="23">
        <f t="shared" si="1"/>
        <v>90000</v>
      </c>
    </row>
    <row r="41" spans="1:27" ht="12.75" customHeight="1">
      <c r="A41" s="818"/>
      <c r="B41" s="874"/>
      <c r="C41" s="43" t="s">
        <v>397</v>
      </c>
      <c r="D41" s="26"/>
      <c r="E41" s="26"/>
      <c r="F41" s="26"/>
      <c r="G41" s="26"/>
      <c r="H41" s="58"/>
      <c r="I41" s="358"/>
      <c r="J41" s="359"/>
      <c r="K41" s="26"/>
      <c r="L41" s="22"/>
      <c r="M41" s="118">
        <v>35969.53</v>
      </c>
      <c r="N41" s="22"/>
      <c r="O41" s="22"/>
      <c r="P41" s="118"/>
      <c r="Q41" s="118"/>
      <c r="R41" s="22"/>
      <c r="S41" s="22"/>
      <c r="T41" s="22"/>
      <c r="U41" s="57">
        <v>99957</v>
      </c>
      <c r="V41" s="57"/>
      <c r="W41" s="57"/>
      <c r="X41" s="23">
        <f t="shared" si="1"/>
        <v>99957</v>
      </c>
      <c r="AA41" s="2"/>
    </row>
    <row r="42" spans="1:24" ht="12.75" customHeight="1">
      <c r="A42" s="818"/>
      <c r="B42" s="874"/>
      <c r="C42" s="43" t="s">
        <v>398</v>
      </c>
      <c r="D42" s="30"/>
      <c r="E42" s="30"/>
      <c r="F42" s="30"/>
      <c r="G42" s="30"/>
      <c r="H42" s="66"/>
      <c r="I42" s="360"/>
      <c r="J42" s="361"/>
      <c r="K42" s="30"/>
      <c r="L42" s="30"/>
      <c r="M42" s="118">
        <v>2200</v>
      </c>
      <c r="N42" s="22"/>
      <c r="O42" s="22"/>
      <c r="P42" s="118"/>
      <c r="Q42" s="118"/>
      <c r="R42" s="22"/>
      <c r="S42" s="22"/>
      <c r="T42" s="22"/>
      <c r="U42" s="57">
        <v>106521</v>
      </c>
      <c r="V42" s="57"/>
      <c r="W42" s="57"/>
      <c r="X42" s="23">
        <f t="shared" si="1"/>
        <v>106521</v>
      </c>
    </row>
    <row r="43" spans="1:24" ht="12.75" customHeight="1">
      <c r="A43" s="818"/>
      <c r="B43" s="874"/>
      <c r="C43" s="43" t="s">
        <v>396</v>
      </c>
      <c r="D43" s="30"/>
      <c r="E43" s="30"/>
      <c r="F43" s="30"/>
      <c r="G43" s="30"/>
      <c r="H43" s="66"/>
      <c r="I43" s="360"/>
      <c r="J43" s="361"/>
      <c r="K43" s="30"/>
      <c r="L43" s="30"/>
      <c r="M43" s="118">
        <v>28928.71</v>
      </c>
      <c r="N43" s="22"/>
      <c r="O43" s="22"/>
      <c r="P43" s="118"/>
      <c r="Q43" s="118"/>
      <c r="R43" s="22"/>
      <c r="S43" s="22"/>
      <c r="T43" s="22"/>
      <c r="U43" s="57">
        <v>122385</v>
      </c>
      <c r="V43" s="57"/>
      <c r="W43" s="57"/>
      <c r="X43" s="23">
        <f t="shared" si="1"/>
        <v>122385</v>
      </c>
    </row>
    <row r="44" spans="1:24" ht="12.75" customHeight="1">
      <c r="A44" s="818"/>
      <c r="B44" s="874"/>
      <c r="C44" s="43" t="s">
        <v>420</v>
      </c>
      <c r="D44" s="30"/>
      <c r="E44" s="30"/>
      <c r="F44" s="30"/>
      <c r="G44" s="30"/>
      <c r="H44" s="66"/>
      <c r="I44" s="360"/>
      <c r="J44" s="361"/>
      <c r="K44" s="30"/>
      <c r="L44" s="30"/>
      <c r="M44" s="202">
        <v>19756.98</v>
      </c>
      <c r="N44" s="22"/>
      <c r="O44" s="22"/>
      <c r="P44" s="118"/>
      <c r="Q44" s="118"/>
      <c r="R44" s="22"/>
      <c r="S44" s="22"/>
      <c r="T44" s="22"/>
      <c r="U44" s="57">
        <v>50000</v>
      </c>
      <c r="V44" s="57"/>
      <c r="W44" s="57"/>
      <c r="X44" s="23">
        <f t="shared" si="1"/>
        <v>50000</v>
      </c>
    </row>
    <row r="45" spans="1:24" ht="12.75" customHeight="1" thickBot="1">
      <c r="A45" s="818"/>
      <c r="B45" s="874"/>
      <c r="C45" s="43" t="s">
        <v>423</v>
      </c>
      <c r="D45" s="30"/>
      <c r="E45" s="30"/>
      <c r="F45" s="30"/>
      <c r="G45" s="30"/>
      <c r="H45" s="66"/>
      <c r="I45" s="360"/>
      <c r="J45" s="361"/>
      <c r="K45" s="30"/>
      <c r="L45" s="30"/>
      <c r="M45" s="202">
        <v>20994.32</v>
      </c>
      <c r="N45" s="22"/>
      <c r="O45" s="22"/>
      <c r="P45" s="118"/>
      <c r="Q45" s="118"/>
      <c r="R45" s="22"/>
      <c r="S45" s="22"/>
      <c r="T45" s="22"/>
      <c r="U45" s="57">
        <v>30000</v>
      </c>
      <c r="V45" s="57"/>
      <c r="W45" s="57"/>
      <c r="X45" s="23">
        <f t="shared" si="1"/>
        <v>30000</v>
      </c>
    </row>
    <row r="46" spans="1:24" ht="12.75" customHeight="1" hidden="1">
      <c r="A46" s="818"/>
      <c r="B46" s="874"/>
      <c r="C46" s="43"/>
      <c r="D46" s="30"/>
      <c r="E46" s="30"/>
      <c r="F46" s="30"/>
      <c r="G46" s="30"/>
      <c r="H46" s="66"/>
      <c r="I46" s="360"/>
      <c r="J46" s="361"/>
      <c r="K46" s="30"/>
      <c r="L46" s="30">
        <v>22831.440000000002</v>
      </c>
      <c r="M46" s="26">
        <v>0</v>
      </c>
      <c r="N46" s="22"/>
      <c r="O46" s="22"/>
      <c r="P46" s="118"/>
      <c r="Q46" s="118"/>
      <c r="R46" s="22"/>
      <c r="S46" s="22"/>
      <c r="T46" s="22"/>
      <c r="U46" s="57"/>
      <c r="V46" s="57"/>
      <c r="W46" s="57"/>
      <c r="X46" s="23">
        <f t="shared" si="1"/>
        <v>0</v>
      </c>
    </row>
    <row r="47" spans="1:24" ht="12.75" customHeight="1" hidden="1">
      <c r="A47" s="818"/>
      <c r="B47" s="874"/>
      <c r="C47" s="43"/>
      <c r="D47" s="30"/>
      <c r="E47" s="30"/>
      <c r="F47" s="30"/>
      <c r="G47" s="30"/>
      <c r="H47" s="66"/>
      <c r="I47" s="360"/>
      <c r="J47" s="361"/>
      <c r="K47" s="30"/>
      <c r="L47" s="30"/>
      <c r="M47" s="26"/>
      <c r="N47" s="22"/>
      <c r="O47" s="22"/>
      <c r="P47" s="118"/>
      <c r="Q47" s="118"/>
      <c r="R47" s="22"/>
      <c r="S47" s="22"/>
      <c r="T47" s="22"/>
      <c r="U47" s="57"/>
      <c r="V47" s="57"/>
      <c r="W47" s="57"/>
      <c r="X47" s="23">
        <f t="shared" si="1"/>
        <v>0</v>
      </c>
    </row>
    <row r="48" spans="1:24" ht="12.75" customHeight="1" hidden="1">
      <c r="A48" s="818"/>
      <c r="B48" s="874"/>
      <c r="C48" s="43"/>
      <c r="D48" s="30"/>
      <c r="E48" s="30"/>
      <c r="F48" s="30"/>
      <c r="G48" s="30"/>
      <c r="H48" s="66"/>
      <c r="I48" s="360"/>
      <c r="J48" s="361"/>
      <c r="K48" s="30"/>
      <c r="L48" s="30"/>
      <c r="M48" s="30"/>
      <c r="N48" s="26"/>
      <c r="O48" s="44"/>
      <c r="P48" s="73"/>
      <c r="Q48" s="73"/>
      <c r="R48" s="57"/>
      <c r="S48" s="57"/>
      <c r="T48" s="57"/>
      <c r="U48" s="57"/>
      <c r="V48" s="57"/>
      <c r="W48" s="57"/>
      <c r="X48" s="23">
        <f t="shared" si="1"/>
        <v>0</v>
      </c>
    </row>
    <row r="49" spans="1:24" ht="13.5" hidden="1" thickBot="1">
      <c r="A49" s="818"/>
      <c r="B49" s="874"/>
      <c r="C49" s="43"/>
      <c r="D49" s="30"/>
      <c r="E49" s="30"/>
      <c r="F49" s="30"/>
      <c r="G49" s="30"/>
      <c r="H49" s="66"/>
      <c r="I49" s="360"/>
      <c r="J49" s="361"/>
      <c r="K49" s="30"/>
      <c r="L49" s="30"/>
      <c r="M49" s="30"/>
      <c r="N49" s="26"/>
      <c r="O49" s="44"/>
      <c r="P49" s="73"/>
      <c r="Q49" s="73"/>
      <c r="R49" s="57"/>
      <c r="S49" s="57"/>
      <c r="T49" s="57"/>
      <c r="U49" s="57"/>
      <c r="V49" s="57"/>
      <c r="W49" s="57"/>
      <c r="X49" s="23">
        <f t="shared" si="1"/>
        <v>0</v>
      </c>
    </row>
    <row r="50" spans="1:24" ht="13.5" hidden="1" thickBot="1">
      <c r="A50" s="355"/>
      <c r="B50" s="357"/>
      <c r="C50" s="43"/>
      <c r="D50" s="30"/>
      <c r="E50" s="30"/>
      <c r="F50" s="30"/>
      <c r="G50" s="30"/>
      <c r="H50" s="66"/>
      <c r="I50" s="360"/>
      <c r="J50" s="361"/>
      <c r="K50" s="30"/>
      <c r="L50" s="30"/>
      <c r="M50" s="48"/>
      <c r="N50" s="48"/>
      <c r="O50" s="60"/>
      <c r="P50" s="530"/>
      <c r="Q50" s="530"/>
      <c r="R50" s="239"/>
      <c r="S50" s="239"/>
      <c r="T50" s="239"/>
      <c r="U50" s="57"/>
      <c r="V50" s="57"/>
      <c r="W50" s="57"/>
      <c r="X50" s="23">
        <f t="shared" si="1"/>
        <v>0</v>
      </c>
    </row>
    <row r="51" spans="1:24" ht="15.75" thickBot="1">
      <c r="A51" s="362" t="s">
        <v>70</v>
      </c>
      <c r="B51" s="770" t="s">
        <v>34</v>
      </c>
      <c r="C51" s="771"/>
      <c r="D51" s="363">
        <v>80894</v>
      </c>
      <c r="E51" s="231">
        <v>8298</v>
      </c>
      <c r="F51" s="231">
        <v>71666</v>
      </c>
      <c r="G51" s="231">
        <v>1330064</v>
      </c>
      <c r="H51" s="231">
        <v>2147096</v>
      </c>
      <c r="I51" s="137">
        <v>8121</v>
      </c>
      <c r="J51" s="231">
        <v>93729</v>
      </c>
      <c r="K51" s="67">
        <f>SUM(K52:K57)</f>
        <v>28919</v>
      </c>
      <c r="L51" s="67">
        <f>SUM(L52:L57)</f>
        <v>0</v>
      </c>
      <c r="M51" s="211">
        <f>SUM(M52:M57)</f>
        <v>69453.41</v>
      </c>
      <c r="N51" s="67">
        <v>5501</v>
      </c>
      <c r="O51" s="67">
        <v>396374.4</v>
      </c>
      <c r="P51" s="211">
        <v>215644.72</v>
      </c>
      <c r="Q51" s="211">
        <v>36876</v>
      </c>
      <c r="R51" s="67">
        <v>19548</v>
      </c>
      <c r="S51" s="67">
        <v>86260</v>
      </c>
      <c r="T51" s="67"/>
      <c r="U51" s="67">
        <f>SUM(U52:U57)</f>
        <v>46200</v>
      </c>
      <c r="V51" s="67">
        <f>SUM(V52:V57)</f>
        <v>0</v>
      </c>
      <c r="W51" s="67">
        <f>SUM(W52:W57)</f>
        <v>0</v>
      </c>
      <c r="X51" s="68">
        <f>SUM(X52:X57)</f>
        <v>46200</v>
      </c>
    </row>
    <row r="52" spans="1:24" ht="13.5" thickBot="1">
      <c r="A52" s="364"/>
      <c r="B52" s="365"/>
      <c r="C52" s="41" t="s">
        <v>419</v>
      </c>
      <c r="D52" s="93"/>
      <c r="E52" s="93"/>
      <c r="F52" s="93"/>
      <c r="G52" s="93"/>
      <c r="H52" s="55"/>
      <c r="I52" s="366"/>
      <c r="J52" s="367"/>
      <c r="K52" s="93">
        <v>28919</v>
      </c>
      <c r="L52" s="22"/>
      <c r="M52" s="118"/>
      <c r="N52" s="22"/>
      <c r="O52" s="22"/>
      <c r="P52" s="118"/>
      <c r="Q52" s="118"/>
      <c r="R52" s="22"/>
      <c r="S52" s="22"/>
      <c r="T52" s="22"/>
      <c r="U52" s="57">
        <v>46200</v>
      </c>
      <c r="V52" s="57"/>
      <c r="W52" s="57"/>
      <c r="X52" s="23">
        <f t="shared" si="1"/>
        <v>46200</v>
      </c>
    </row>
    <row r="53" spans="1:24" ht="13.5" hidden="1" thickBot="1">
      <c r="A53" s="355"/>
      <c r="B53" s="357"/>
      <c r="C53" s="72"/>
      <c r="D53" s="22"/>
      <c r="E53" s="22"/>
      <c r="F53" s="22"/>
      <c r="G53" s="22"/>
      <c r="H53" s="56"/>
      <c r="I53" s="368"/>
      <c r="J53" s="369"/>
      <c r="K53" s="22"/>
      <c r="L53" s="22"/>
      <c r="M53" s="118">
        <v>69453.41</v>
      </c>
      <c r="N53" s="22"/>
      <c r="O53" s="22"/>
      <c r="P53" s="118"/>
      <c r="Q53" s="118"/>
      <c r="R53" s="22"/>
      <c r="S53" s="22"/>
      <c r="T53" s="22"/>
      <c r="U53" s="57"/>
      <c r="V53" s="57">
        <f aca="true" t="shared" si="2" ref="V53:V59">IF(S53=0,0,U53/S53)</f>
        <v>0</v>
      </c>
      <c r="W53" s="57"/>
      <c r="X53" s="23"/>
    </row>
    <row r="54" spans="1:24" ht="13.5" hidden="1" thickBot="1">
      <c r="A54" s="355"/>
      <c r="B54" s="357"/>
      <c r="C54" s="43"/>
      <c r="D54" s="22"/>
      <c r="E54" s="22"/>
      <c r="F54" s="22"/>
      <c r="G54" s="22"/>
      <c r="H54" s="56"/>
      <c r="I54" s="368"/>
      <c r="J54" s="369"/>
      <c r="K54" s="22"/>
      <c r="L54" s="22"/>
      <c r="M54" s="22"/>
      <c r="N54" s="22"/>
      <c r="O54" s="22"/>
      <c r="P54" s="118"/>
      <c r="Q54" s="118"/>
      <c r="R54" s="22"/>
      <c r="S54" s="22"/>
      <c r="T54" s="22"/>
      <c r="U54" s="57"/>
      <c r="V54" s="57">
        <f t="shared" si="2"/>
        <v>0</v>
      </c>
      <c r="W54" s="57"/>
      <c r="X54" s="23"/>
    </row>
    <row r="55" spans="1:24" ht="13.5" hidden="1" thickBot="1">
      <c r="A55" s="355"/>
      <c r="B55" s="357"/>
      <c r="C55" s="43"/>
      <c r="D55" s="26"/>
      <c r="E55" s="26"/>
      <c r="F55" s="26"/>
      <c r="G55" s="26"/>
      <c r="H55" s="58"/>
      <c r="I55" s="358"/>
      <c r="J55" s="359"/>
      <c r="K55" s="26"/>
      <c r="L55" s="26"/>
      <c r="M55" s="26"/>
      <c r="N55" s="26"/>
      <c r="O55" s="26"/>
      <c r="P55" s="202"/>
      <c r="Q55" s="202"/>
      <c r="R55" s="26"/>
      <c r="S55" s="26"/>
      <c r="T55" s="26"/>
      <c r="U55" s="44"/>
      <c r="V55" s="44">
        <f t="shared" si="2"/>
        <v>0</v>
      </c>
      <c r="W55" s="44"/>
      <c r="X55" s="27"/>
    </row>
    <row r="56" spans="1:24" ht="13.5" hidden="1" thickBot="1">
      <c r="A56" s="355"/>
      <c r="B56" s="357"/>
      <c r="C56" s="43"/>
      <c r="D56" s="26"/>
      <c r="E56" s="26"/>
      <c r="F56" s="26"/>
      <c r="G56" s="26"/>
      <c r="H56" s="58"/>
      <c r="I56" s="358"/>
      <c r="J56" s="359"/>
      <c r="K56" s="26"/>
      <c r="L56" s="26"/>
      <c r="M56" s="26"/>
      <c r="N56" s="26"/>
      <c r="O56" s="26"/>
      <c r="P56" s="202"/>
      <c r="Q56" s="202"/>
      <c r="R56" s="26"/>
      <c r="S56" s="26"/>
      <c r="T56" s="26"/>
      <c r="U56" s="44"/>
      <c r="V56" s="44">
        <f t="shared" si="2"/>
        <v>0</v>
      </c>
      <c r="W56" s="44"/>
      <c r="X56" s="27"/>
    </row>
    <row r="57" spans="1:24" ht="13.5" hidden="1" thickBot="1">
      <c r="A57" s="372"/>
      <c r="B57" s="373"/>
      <c r="C57" s="72"/>
      <c r="D57" s="70"/>
      <c r="E57" s="70"/>
      <c r="F57" s="70"/>
      <c r="G57" s="70"/>
      <c r="H57" s="69"/>
      <c r="I57" s="370"/>
      <c r="J57" s="371"/>
      <c r="K57" s="77"/>
      <c r="L57" s="70"/>
      <c r="M57" s="70"/>
      <c r="N57" s="70"/>
      <c r="O57" s="70"/>
      <c r="P57" s="116"/>
      <c r="Q57" s="116"/>
      <c r="R57" s="70"/>
      <c r="S57" s="70"/>
      <c r="T57" s="70"/>
      <c r="U57" s="239"/>
      <c r="V57" s="239">
        <f t="shared" si="2"/>
        <v>0</v>
      </c>
      <c r="W57" s="239"/>
      <c r="X57" s="71"/>
    </row>
    <row r="58" spans="1:24" ht="15.75" thickBot="1">
      <c r="A58" s="374" t="s">
        <v>223</v>
      </c>
      <c r="B58" s="870" t="s">
        <v>224</v>
      </c>
      <c r="C58" s="870"/>
      <c r="D58" s="375"/>
      <c r="E58" s="375"/>
      <c r="F58" s="375"/>
      <c r="G58" s="375"/>
      <c r="H58" s="376">
        <v>182399</v>
      </c>
      <c r="I58" s="376"/>
      <c r="J58" s="377"/>
      <c r="K58" s="107"/>
      <c r="L58" s="107"/>
      <c r="M58" s="107"/>
      <c r="N58" s="107"/>
      <c r="O58" s="107"/>
      <c r="P58" s="551"/>
      <c r="Q58" s="551"/>
      <c r="R58" s="107"/>
      <c r="S58" s="107"/>
      <c r="T58" s="107"/>
      <c r="U58" s="67"/>
      <c r="V58" s="67">
        <f t="shared" si="2"/>
        <v>0</v>
      </c>
      <c r="W58" s="67"/>
      <c r="X58" s="68">
        <v>0</v>
      </c>
    </row>
    <row r="59" spans="1:24" ht="13.5" thickBot="1">
      <c r="A59" s="355"/>
      <c r="B59" s="357"/>
      <c r="C59" s="69"/>
      <c r="D59" s="70"/>
      <c r="E59" s="70"/>
      <c r="F59" s="70"/>
      <c r="G59" s="70"/>
      <c r="H59" s="69"/>
      <c r="I59" s="370"/>
      <c r="J59" s="371"/>
      <c r="K59" s="70"/>
      <c r="L59" s="70"/>
      <c r="M59" s="70"/>
      <c r="N59" s="70"/>
      <c r="O59" s="70"/>
      <c r="P59" s="116"/>
      <c r="Q59" s="116"/>
      <c r="R59" s="70"/>
      <c r="S59" s="70"/>
      <c r="T59" s="70"/>
      <c r="U59" s="239"/>
      <c r="V59" s="239">
        <f t="shared" si="2"/>
        <v>0</v>
      </c>
      <c r="W59" s="239"/>
      <c r="X59" s="71">
        <v>0</v>
      </c>
    </row>
    <row r="60" spans="1:24" ht="15.75" thickBot="1">
      <c r="A60" s="209" t="s">
        <v>46</v>
      </c>
      <c r="B60" s="770" t="s">
        <v>47</v>
      </c>
      <c r="C60" s="771"/>
      <c r="D60" s="210">
        <v>0</v>
      </c>
      <c r="E60" s="210">
        <v>0</v>
      </c>
      <c r="F60" s="210">
        <v>6639</v>
      </c>
      <c r="G60" s="210">
        <v>113606</v>
      </c>
      <c r="H60" s="210">
        <v>254005</v>
      </c>
      <c r="I60" s="275">
        <v>2699311</v>
      </c>
      <c r="J60" s="210">
        <v>3603230</v>
      </c>
      <c r="K60" s="67">
        <f>SUM(K67:K67)</f>
        <v>1781346</v>
      </c>
      <c r="L60" s="67">
        <f>SUM(L61:L67)</f>
        <v>11891.04</v>
      </c>
      <c r="M60" s="211">
        <f>SUM(M61:M67)</f>
        <v>1099.52</v>
      </c>
      <c r="N60" s="67">
        <v>9688.17</v>
      </c>
      <c r="O60" s="67">
        <v>125008.29000000001</v>
      </c>
      <c r="P60" s="211">
        <v>30038.8</v>
      </c>
      <c r="Q60" s="211">
        <v>3055</v>
      </c>
      <c r="R60" s="68">
        <v>23579</v>
      </c>
      <c r="S60" s="107">
        <v>5554</v>
      </c>
      <c r="T60" s="107"/>
      <c r="U60" s="67">
        <f>SUM(U61:U67)</f>
        <v>30000</v>
      </c>
      <c r="V60" s="67">
        <f>SUM(V61:V67)</f>
        <v>0</v>
      </c>
      <c r="W60" s="67">
        <f>SUM(W61:W67)</f>
        <v>0</v>
      </c>
      <c r="X60" s="68">
        <f>SUM(X61:X67)</f>
        <v>30000</v>
      </c>
    </row>
    <row r="61" spans="1:24" ht="15.75" thickBot="1">
      <c r="A61" s="814"/>
      <c r="B61" s="867"/>
      <c r="C61" s="378" t="s">
        <v>321</v>
      </c>
      <c r="D61" s="379"/>
      <c r="E61" s="379"/>
      <c r="F61" s="379"/>
      <c r="G61" s="379"/>
      <c r="H61" s="378"/>
      <c r="I61" s="380"/>
      <c r="J61" s="381"/>
      <c r="K61" s="302"/>
      <c r="L61" s="86">
        <v>11891.04</v>
      </c>
      <c r="M61" s="382">
        <v>1099.52</v>
      </c>
      <c r="N61" s="382"/>
      <c r="O61" s="382"/>
      <c r="P61" s="382"/>
      <c r="Q61" s="382"/>
      <c r="R61" s="382"/>
      <c r="S61" s="382"/>
      <c r="T61" s="382"/>
      <c r="U61" s="86">
        <v>30000</v>
      </c>
      <c r="V61" s="86"/>
      <c r="W61" s="500"/>
      <c r="X61" s="383">
        <f>U61+V61+W61</f>
        <v>30000</v>
      </c>
    </row>
    <row r="62" spans="1:24" ht="15.75" hidden="1" thickBot="1">
      <c r="A62" s="815"/>
      <c r="B62" s="868"/>
      <c r="C62" s="384" t="s">
        <v>318</v>
      </c>
      <c r="D62" s="385"/>
      <c r="E62" s="385"/>
      <c r="F62" s="385"/>
      <c r="G62" s="385"/>
      <c r="H62" s="384"/>
      <c r="I62" s="386"/>
      <c r="J62" s="387"/>
      <c r="K62" s="304"/>
      <c r="L62" s="88"/>
      <c r="M62" s="532"/>
      <c r="N62" s="532"/>
      <c r="O62" s="88"/>
      <c r="P62" s="532"/>
      <c r="Q62" s="532"/>
      <c r="R62" s="88"/>
      <c r="S62" s="88"/>
      <c r="T62" s="88"/>
      <c r="U62" s="88"/>
      <c r="V62" s="88">
        <f aca="true" t="shared" si="3" ref="V62:V67">IF(S62=0,0,U62/S62)</f>
        <v>0</v>
      </c>
      <c r="W62" s="575"/>
      <c r="X62" s="576"/>
    </row>
    <row r="63" spans="1:24" ht="15.75" hidden="1" thickBot="1">
      <c r="A63" s="815"/>
      <c r="B63" s="868"/>
      <c r="C63" s="384" t="s">
        <v>313</v>
      </c>
      <c r="D63" s="385"/>
      <c r="E63" s="385"/>
      <c r="F63" s="385"/>
      <c r="G63" s="385"/>
      <c r="H63" s="384"/>
      <c r="I63" s="386"/>
      <c r="J63" s="387"/>
      <c r="K63" s="304"/>
      <c r="L63" s="304"/>
      <c r="M63" s="388"/>
      <c r="N63" s="88"/>
      <c r="O63" s="388"/>
      <c r="P63" s="531"/>
      <c r="Q63" s="531"/>
      <c r="R63" s="388"/>
      <c r="S63" s="388"/>
      <c r="T63" s="388"/>
      <c r="U63" s="88"/>
      <c r="V63" s="388">
        <f t="shared" si="3"/>
        <v>0</v>
      </c>
      <c r="W63" s="388"/>
      <c r="X63" s="389"/>
    </row>
    <row r="64" spans="1:24" ht="15.75" hidden="1" thickBot="1">
      <c r="A64" s="815"/>
      <c r="B64" s="868"/>
      <c r="C64" s="384" t="s">
        <v>321</v>
      </c>
      <c r="D64" s="385"/>
      <c r="E64" s="385"/>
      <c r="F64" s="385"/>
      <c r="G64" s="385"/>
      <c r="H64" s="384"/>
      <c r="I64" s="386"/>
      <c r="J64" s="387"/>
      <c r="K64" s="304"/>
      <c r="L64" s="304"/>
      <c r="M64" s="304"/>
      <c r="N64" s="575"/>
      <c r="O64" s="88"/>
      <c r="P64" s="532"/>
      <c r="Q64" s="532"/>
      <c r="R64" s="88"/>
      <c r="S64" s="88"/>
      <c r="T64" s="88"/>
      <c r="U64" s="88"/>
      <c r="V64" s="88">
        <f t="shared" si="3"/>
        <v>0</v>
      </c>
      <c r="W64" s="575"/>
      <c r="X64" s="576"/>
    </row>
    <row r="65" spans="1:24" ht="15.75" hidden="1" thickBot="1">
      <c r="A65" s="815"/>
      <c r="B65" s="868"/>
      <c r="C65" s="390" t="s">
        <v>280</v>
      </c>
      <c r="D65" s="391"/>
      <c r="E65" s="391"/>
      <c r="F65" s="391"/>
      <c r="G65" s="391"/>
      <c r="H65" s="390"/>
      <c r="I65" s="392"/>
      <c r="J65" s="393"/>
      <c r="K65" s="394"/>
      <c r="L65" s="394"/>
      <c r="M65" s="394"/>
      <c r="N65" s="394"/>
      <c r="O65" s="394"/>
      <c r="P65" s="679"/>
      <c r="Q65" s="679"/>
      <c r="R65" s="394"/>
      <c r="S65" s="394"/>
      <c r="T65" s="394"/>
      <c r="U65" s="609"/>
      <c r="V65" s="90">
        <f t="shared" si="3"/>
        <v>0</v>
      </c>
      <c r="W65" s="394"/>
      <c r="X65" s="395"/>
    </row>
    <row r="66" spans="1:24" ht="15.75" hidden="1" thickBot="1">
      <c r="A66" s="815"/>
      <c r="B66" s="868"/>
      <c r="C66" s="390" t="s">
        <v>195</v>
      </c>
      <c r="D66" s="391"/>
      <c r="E66" s="391"/>
      <c r="F66" s="391"/>
      <c r="G66" s="391"/>
      <c r="H66" s="390"/>
      <c r="I66" s="392"/>
      <c r="J66" s="393"/>
      <c r="K66" s="394"/>
      <c r="L66" s="394"/>
      <c r="M66" s="394"/>
      <c r="N66" s="394"/>
      <c r="O66" s="394"/>
      <c r="P66" s="679"/>
      <c r="Q66" s="679"/>
      <c r="R66" s="394"/>
      <c r="S66" s="394"/>
      <c r="T66" s="394"/>
      <c r="U66" s="609"/>
      <c r="V66" s="90">
        <f t="shared" si="3"/>
        <v>0</v>
      </c>
      <c r="W66" s="394"/>
      <c r="X66" s="395"/>
    </row>
    <row r="67" spans="1:24" ht="13.5" hidden="1" thickBot="1">
      <c r="A67" s="816"/>
      <c r="B67" s="869"/>
      <c r="C67" s="46" t="s">
        <v>329</v>
      </c>
      <c r="D67" s="48"/>
      <c r="E67" s="48"/>
      <c r="F67" s="48"/>
      <c r="G67" s="48"/>
      <c r="H67" s="59"/>
      <c r="I67" s="396"/>
      <c r="J67" s="397"/>
      <c r="K67" s="48">
        <v>1781346</v>
      </c>
      <c r="L67" s="77"/>
      <c r="M67" s="77"/>
      <c r="N67" s="77"/>
      <c r="O67" s="77"/>
      <c r="P67" s="208"/>
      <c r="Q67" s="208"/>
      <c r="R67" s="77"/>
      <c r="S67" s="77"/>
      <c r="T67" s="77"/>
      <c r="U67" s="207"/>
      <c r="V67" s="207">
        <f t="shared" si="3"/>
        <v>0</v>
      </c>
      <c r="W67" s="207"/>
      <c r="X67" s="78"/>
    </row>
    <row r="68" spans="1:24" ht="15.75" thickBot="1">
      <c r="A68" s="356" t="s">
        <v>308</v>
      </c>
      <c r="B68" s="870" t="s">
        <v>307</v>
      </c>
      <c r="C68" s="870"/>
      <c r="D68" s="231">
        <v>38040</v>
      </c>
      <c r="E68" s="231">
        <v>144792</v>
      </c>
      <c r="F68" s="231">
        <v>36414</v>
      </c>
      <c r="G68" s="231">
        <v>3228</v>
      </c>
      <c r="H68" s="231">
        <v>15058</v>
      </c>
      <c r="I68" s="376"/>
      <c r="J68" s="377"/>
      <c r="K68" s="107">
        <f>SUM(K69:K71)</f>
        <v>5000</v>
      </c>
      <c r="L68" s="107">
        <f>SUM(L69:L71)</f>
        <v>35480.8</v>
      </c>
      <c r="M68" s="551">
        <f>SUM(M69:M71)</f>
        <v>555131.6</v>
      </c>
      <c r="N68" s="107">
        <v>10197.6</v>
      </c>
      <c r="O68" s="107">
        <v>323.6</v>
      </c>
      <c r="P68" s="551">
        <v>16171.269999999999</v>
      </c>
      <c r="Q68" s="551">
        <v>27465.02</v>
      </c>
      <c r="R68" s="107">
        <v>159050</v>
      </c>
      <c r="S68" s="107">
        <v>22014.41</v>
      </c>
      <c r="T68" s="107">
        <v>11409.12</v>
      </c>
      <c r="U68" s="67">
        <f>U69+U70+U71</f>
        <v>14500</v>
      </c>
      <c r="V68" s="67">
        <f>V69+V70+V71</f>
        <v>0</v>
      </c>
      <c r="W68" s="67">
        <f>W69+W70+W71</f>
        <v>0</v>
      </c>
      <c r="X68" s="68">
        <f>X69+X70+X71</f>
        <v>14500</v>
      </c>
    </row>
    <row r="69" spans="1:24" ht="14.25">
      <c r="A69" s="814"/>
      <c r="B69" s="888"/>
      <c r="C69" s="41" t="s">
        <v>455</v>
      </c>
      <c r="D69" s="93"/>
      <c r="E69" s="93"/>
      <c r="F69" s="93"/>
      <c r="G69" s="93"/>
      <c r="H69" s="55"/>
      <c r="I69" s="366"/>
      <c r="J69" s="367"/>
      <c r="K69" s="399">
        <v>5000</v>
      </c>
      <c r="L69" s="399">
        <v>20503.12</v>
      </c>
      <c r="M69" s="563"/>
      <c r="N69" s="399"/>
      <c r="O69" s="399"/>
      <c r="P69" s="563"/>
      <c r="Q69" s="563"/>
      <c r="R69" s="399"/>
      <c r="S69" s="399"/>
      <c r="T69" s="399"/>
      <c r="U69" s="42">
        <v>14500</v>
      </c>
      <c r="V69" s="501"/>
      <c r="W69" s="501"/>
      <c r="X69" s="729">
        <f>U69+V69+W69</f>
        <v>14500</v>
      </c>
    </row>
    <row r="70" spans="1:24" ht="14.25">
      <c r="A70" s="815"/>
      <c r="B70" s="889"/>
      <c r="C70" s="72"/>
      <c r="D70" s="70"/>
      <c r="E70" s="70"/>
      <c r="F70" s="70"/>
      <c r="G70" s="70"/>
      <c r="H70" s="69"/>
      <c r="I70" s="370"/>
      <c r="J70" s="371"/>
      <c r="K70" s="562"/>
      <c r="L70" s="597"/>
      <c r="M70" s="598">
        <v>555131.6</v>
      </c>
      <c r="N70" s="597"/>
      <c r="O70" s="597"/>
      <c r="P70" s="597"/>
      <c r="Q70" s="598"/>
      <c r="R70" s="597"/>
      <c r="S70" s="597"/>
      <c r="T70" s="597"/>
      <c r="U70" s="599"/>
      <c r="V70" s="599"/>
      <c r="W70" s="599"/>
      <c r="X70" s="730">
        <f>U70+V70+W70</f>
        <v>0</v>
      </c>
    </row>
    <row r="71" spans="1:24" ht="13.5" thickBot="1">
      <c r="A71" s="816"/>
      <c r="B71" s="890"/>
      <c r="C71" s="43"/>
      <c r="D71" s="70"/>
      <c r="E71" s="70"/>
      <c r="F71" s="70"/>
      <c r="G71" s="70"/>
      <c r="H71" s="69"/>
      <c r="I71" s="370"/>
      <c r="J71" s="371"/>
      <c r="K71" s="70"/>
      <c r="L71" s="70">
        <v>14977.68</v>
      </c>
      <c r="M71" s="116"/>
      <c r="N71" s="70"/>
      <c r="O71" s="70"/>
      <c r="P71" s="70"/>
      <c r="Q71" s="116"/>
      <c r="R71" s="70"/>
      <c r="S71" s="70"/>
      <c r="T71" s="70"/>
      <c r="U71" s="239"/>
      <c r="V71" s="239"/>
      <c r="W71" s="239"/>
      <c r="X71" s="71">
        <f>U71+V71+W71</f>
        <v>0</v>
      </c>
    </row>
    <row r="72" spans="1:24" ht="15.75" thickBot="1">
      <c r="A72" s="356" t="s">
        <v>60</v>
      </c>
      <c r="B72" s="870" t="s">
        <v>291</v>
      </c>
      <c r="C72" s="870"/>
      <c r="D72" s="231">
        <v>326960</v>
      </c>
      <c r="E72" s="231">
        <v>144858</v>
      </c>
      <c r="F72" s="231">
        <v>123880</v>
      </c>
      <c r="G72" s="231">
        <v>20761</v>
      </c>
      <c r="H72" s="231">
        <v>158221</v>
      </c>
      <c r="I72" s="137">
        <v>92051</v>
      </c>
      <c r="J72" s="231">
        <v>68225</v>
      </c>
      <c r="K72" s="67">
        <f>SUM(K73:K101)</f>
        <v>16198</v>
      </c>
      <c r="L72" s="67">
        <f>SUM(L73:L101)</f>
        <v>1305435.64</v>
      </c>
      <c r="M72" s="211">
        <f>SUM(M73:M101)</f>
        <v>139207.66</v>
      </c>
      <c r="N72" s="67">
        <v>44614.21</v>
      </c>
      <c r="O72" s="211">
        <v>60675.76000000001</v>
      </c>
      <c r="P72" s="211">
        <v>54775.5</v>
      </c>
      <c r="Q72" s="211">
        <v>566821.34</v>
      </c>
      <c r="R72" s="67">
        <v>6378869</v>
      </c>
      <c r="S72" s="67">
        <v>4461136.199999999</v>
      </c>
      <c r="T72" s="67">
        <v>2803985.6499999994</v>
      </c>
      <c r="U72" s="67">
        <f>SUM(U73:U99)</f>
        <v>1987450</v>
      </c>
      <c r="V72" s="67">
        <f>SUM(V73:V99)</f>
        <v>0</v>
      </c>
      <c r="W72" s="67">
        <f>SUM(W73:W99)</f>
        <v>10000</v>
      </c>
      <c r="X72" s="68">
        <f>SUM(X73:X99)</f>
        <v>1997450</v>
      </c>
    </row>
    <row r="73" spans="1:24" ht="12.75" hidden="1">
      <c r="A73" s="817"/>
      <c r="B73" s="873"/>
      <c r="C73" s="400" t="s">
        <v>36</v>
      </c>
      <c r="D73" s="401"/>
      <c r="E73" s="401"/>
      <c r="F73" s="401"/>
      <c r="G73" s="401"/>
      <c r="H73" s="402"/>
      <c r="I73" s="403"/>
      <c r="J73" s="404"/>
      <c r="K73" s="93"/>
      <c r="L73" s="93"/>
      <c r="M73" s="200">
        <v>1289.08</v>
      </c>
      <c r="N73" s="22"/>
      <c r="O73" s="22"/>
      <c r="P73" s="22"/>
      <c r="Q73" s="118"/>
      <c r="R73" s="22"/>
      <c r="S73" s="22"/>
      <c r="T73" s="22"/>
      <c r="U73" s="44"/>
      <c r="V73" s="44">
        <f>IF(S73=0,0,U73/S73)</f>
        <v>0</v>
      </c>
      <c r="W73" s="44"/>
      <c r="X73" s="27"/>
    </row>
    <row r="74" spans="1:24" ht="12.75">
      <c r="A74" s="818"/>
      <c r="B74" s="874"/>
      <c r="C74" s="223" t="s">
        <v>377</v>
      </c>
      <c r="D74" s="405"/>
      <c r="E74" s="405"/>
      <c r="F74" s="405"/>
      <c r="G74" s="405"/>
      <c r="H74" s="406"/>
      <c r="I74" s="407"/>
      <c r="J74" s="284"/>
      <c r="K74" s="26"/>
      <c r="L74" s="22"/>
      <c r="M74" s="118">
        <v>0</v>
      </c>
      <c r="N74" s="22"/>
      <c r="O74" s="22"/>
      <c r="P74" s="22"/>
      <c r="Q74" s="118"/>
      <c r="R74" s="22"/>
      <c r="S74" s="22"/>
      <c r="T74" s="22"/>
      <c r="U74" s="44">
        <v>259552</v>
      </c>
      <c r="V74" s="44"/>
      <c r="W74" s="44"/>
      <c r="X74" s="27">
        <f aca="true" t="shared" si="4" ref="X74:X93">U74+V74+W74</f>
        <v>259552</v>
      </c>
    </row>
    <row r="75" spans="1:24" ht="12.75">
      <c r="A75" s="818"/>
      <c r="B75" s="874"/>
      <c r="C75" s="223" t="s">
        <v>378</v>
      </c>
      <c r="D75" s="405"/>
      <c r="E75" s="405"/>
      <c r="F75" s="405"/>
      <c r="G75" s="405"/>
      <c r="H75" s="406"/>
      <c r="I75" s="407"/>
      <c r="J75" s="284"/>
      <c r="K75" s="26"/>
      <c r="L75" s="22"/>
      <c r="M75" s="118">
        <v>0</v>
      </c>
      <c r="N75" s="22"/>
      <c r="O75" s="22"/>
      <c r="P75" s="22"/>
      <c r="Q75" s="118"/>
      <c r="R75" s="22"/>
      <c r="S75" s="22"/>
      <c r="T75" s="22"/>
      <c r="U75" s="44">
        <v>338544</v>
      </c>
      <c r="V75" s="44"/>
      <c r="W75" s="44"/>
      <c r="X75" s="27">
        <f t="shared" si="4"/>
        <v>338544</v>
      </c>
    </row>
    <row r="76" spans="1:24" ht="12.75">
      <c r="A76" s="818"/>
      <c r="B76" s="874"/>
      <c r="C76" s="223" t="s">
        <v>379</v>
      </c>
      <c r="D76" s="405"/>
      <c r="E76" s="405"/>
      <c r="F76" s="405"/>
      <c r="G76" s="405"/>
      <c r="H76" s="406"/>
      <c r="I76" s="407"/>
      <c r="J76" s="284"/>
      <c r="K76" s="26"/>
      <c r="L76" s="22"/>
      <c r="M76" s="118">
        <v>0</v>
      </c>
      <c r="N76" s="22"/>
      <c r="O76" s="22"/>
      <c r="P76" s="22"/>
      <c r="Q76" s="118"/>
      <c r="R76" s="22"/>
      <c r="S76" s="22"/>
      <c r="T76" s="22"/>
      <c r="U76" s="44">
        <v>147474</v>
      </c>
      <c r="V76" s="44"/>
      <c r="W76" s="44"/>
      <c r="X76" s="27">
        <f t="shared" si="4"/>
        <v>147474</v>
      </c>
    </row>
    <row r="77" spans="1:24" ht="12.75">
      <c r="A77" s="818"/>
      <c r="B77" s="874"/>
      <c r="C77" s="223" t="s">
        <v>380</v>
      </c>
      <c r="D77" s="405"/>
      <c r="E77" s="405"/>
      <c r="F77" s="405"/>
      <c r="G77" s="405"/>
      <c r="H77" s="406"/>
      <c r="I77" s="407"/>
      <c r="J77" s="284"/>
      <c r="K77" s="26"/>
      <c r="L77" s="22"/>
      <c r="M77" s="118">
        <v>0</v>
      </c>
      <c r="N77" s="26"/>
      <c r="O77" s="44"/>
      <c r="P77" s="44"/>
      <c r="Q77" s="114"/>
      <c r="R77" s="44"/>
      <c r="S77" s="44"/>
      <c r="T77" s="44"/>
      <c r="U77" s="44">
        <v>10200</v>
      </c>
      <c r="V77" s="44"/>
      <c r="W77" s="44"/>
      <c r="X77" s="27">
        <f t="shared" si="4"/>
        <v>10200</v>
      </c>
    </row>
    <row r="78" spans="1:24" ht="12.75">
      <c r="A78" s="818"/>
      <c r="B78" s="874"/>
      <c r="C78" s="408" t="s">
        <v>381</v>
      </c>
      <c r="D78" s="409"/>
      <c r="E78" s="409"/>
      <c r="F78" s="409"/>
      <c r="G78" s="409"/>
      <c r="H78" s="410"/>
      <c r="I78" s="411"/>
      <c r="J78" s="412"/>
      <c r="K78" s="30"/>
      <c r="L78" s="70"/>
      <c r="M78" s="116">
        <v>0</v>
      </c>
      <c r="N78" s="26"/>
      <c r="O78" s="44"/>
      <c r="P78" s="44"/>
      <c r="Q78" s="114"/>
      <c r="R78" s="44"/>
      <c r="S78" s="44"/>
      <c r="T78" s="44"/>
      <c r="U78" s="44">
        <v>20000</v>
      </c>
      <c r="V78" s="44"/>
      <c r="W78" s="44"/>
      <c r="X78" s="27">
        <f t="shared" si="4"/>
        <v>20000</v>
      </c>
    </row>
    <row r="79" spans="1:28" ht="12.75">
      <c r="A79" s="818"/>
      <c r="B79" s="874"/>
      <c r="C79" s="408" t="s">
        <v>388</v>
      </c>
      <c r="D79" s="414"/>
      <c r="E79" s="414"/>
      <c r="F79" s="414"/>
      <c r="G79" s="414"/>
      <c r="H79" s="415"/>
      <c r="I79" s="416"/>
      <c r="J79" s="417"/>
      <c r="K79" s="30"/>
      <c r="L79" s="70"/>
      <c r="M79" s="116">
        <v>0</v>
      </c>
      <c r="N79" s="26"/>
      <c r="O79" s="44"/>
      <c r="P79" s="44"/>
      <c r="Q79" s="114"/>
      <c r="R79" s="44"/>
      <c r="S79" s="44"/>
      <c r="T79" s="44"/>
      <c r="U79" s="44">
        <v>2262</v>
      </c>
      <c r="V79" s="44"/>
      <c r="W79" s="44"/>
      <c r="X79" s="27">
        <f t="shared" si="4"/>
        <v>2262</v>
      </c>
      <c r="AB79" s="2"/>
    </row>
    <row r="80" spans="1:28" ht="12.75">
      <c r="A80" s="818"/>
      <c r="B80" s="874"/>
      <c r="C80" s="408" t="s">
        <v>439</v>
      </c>
      <c r="D80" s="414"/>
      <c r="E80" s="414"/>
      <c r="F80" s="414"/>
      <c r="G80" s="414"/>
      <c r="H80" s="415"/>
      <c r="I80" s="416"/>
      <c r="J80" s="417"/>
      <c r="K80" s="30"/>
      <c r="L80" s="70"/>
      <c r="M80" s="116"/>
      <c r="N80" s="26"/>
      <c r="O80" s="44"/>
      <c r="P80" s="44"/>
      <c r="Q80" s="114"/>
      <c r="R80" s="44"/>
      <c r="S80" s="44"/>
      <c r="T80" s="44"/>
      <c r="U80" s="44">
        <v>19800</v>
      </c>
      <c r="V80" s="44"/>
      <c r="W80" s="44"/>
      <c r="X80" s="27">
        <f t="shared" si="4"/>
        <v>19800</v>
      </c>
      <c r="AB80" s="2"/>
    </row>
    <row r="81" spans="1:28" ht="12.75">
      <c r="A81" s="818"/>
      <c r="B81" s="874"/>
      <c r="C81" s="408" t="s">
        <v>440</v>
      </c>
      <c r="D81" s="414"/>
      <c r="E81" s="414"/>
      <c r="F81" s="414"/>
      <c r="G81" s="414"/>
      <c r="H81" s="415"/>
      <c r="I81" s="416"/>
      <c r="J81" s="417"/>
      <c r="K81" s="30"/>
      <c r="L81" s="70"/>
      <c r="M81" s="116"/>
      <c r="N81" s="26"/>
      <c r="O81" s="44"/>
      <c r="P81" s="44"/>
      <c r="Q81" s="114"/>
      <c r="R81" s="44"/>
      <c r="S81" s="44"/>
      <c r="T81" s="44"/>
      <c r="U81" s="44">
        <v>17900</v>
      </c>
      <c r="V81" s="44"/>
      <c r="W81" s="44"/>
      <c r="X81" s="27">
        <f t="shared" si="4"/>
        <v>17900</v>
      </c>
      <c r="AB81" s="2"/>
    </row>
    <row r="82" spans="1:28" ht="12.75">
      <c r="A82" s="818"/>
      <c r="B82" s="874"/>
      <c r="C82" s="408" t="s">
        <v>281</v>
      </c>
      <c r="D82" s="414"/>
      <c r="E82" s="414"/>
      <c r="F82" s="414"/>
      <c r="G82" s="414"/>
      <c r="H82" s="415"/>
      <c r="I82" s="416"/>
      <c r="J82" s="417"/>
      <c r="K82" s="30"/>
      <c r="L82" s="70"/>
      <c r="M82" s="116"/>
      <c r="N82" s="26"/>
      <c r="O82" s="44"/>
      <c r="P82" s="44"/>
      <c r="Q82" s="114"/>
      <c r="R82" s="44"/>
      <c r="S82" s="44"/>
      <c r="T82" s="44"/>
      <c r="U82" s="44">
        <v>51834</v>
      </c>
      <c r="V82" s="44"/>
      <c r="W82" s="44"/>
      <c r="X82" s="27">
        <f t="shared" si="4"/>
        <v>51834</v>
      </c>
      <c r="AB82" s="2"/>
    </row>
    <row r="83" spans="1:28" ht="12.75">
      <c r="A83" s="818"/>
      <c r="B83" s="874"/>
      <c r="C83" s="408" t="s">
        <v>433</v>
      </c>
      <c r="D83" s="414"/>
      <c r="E83" s="414"/>
      <c r="F83" s="414"/>
      <c r="G83" s="414"/>
      <c r="H83" s="415"/>
      <c r="I83" s="416"/>
      <c r="J83" s="417"/>
      <c r="K83" s="30"/>
      <c r="L83" s="70"/>
      <c r="M83" s="116"/>
      <c r="N83" s="26"/>
      <c r="O83" s="44"/>
      <c r="P83" s="44"/>
      <c r="Q83" s="114"/>
      <c r="R83" s="44"/>
      <c r="S83" s="44"/>
      <c r="T83" s="44"/>
      <c r="U83" s="44">
        <v>35000</v>
      </c>
      <c r="V83" s="44"/>
      <c r="W83" s="44"/>
      <c r="X83" s="27">
        <f t="shared" si="4"/>
        <v>35000</v>
      </c>
      <c r="Y83" s="2"/>
      <c r="AB83" s="2"/>
    </row>
    <row r="84" spans="1:28" ht="12.75">
      <c r="A84" s="818"/>
      <c r="B84" s="874"/>
      <c r="C84" s="408" t="s">
        <v>434</v>
      </c>
      <c r="D84" s="414"/>
      <c r="E84" s="414"/>
      <c r="F84" s="414"/>
      <c r="G84" s="414"/>
      <c r="H84" s="415"/>
      <c r="I84" s="416"/>
      <c r="J84" s="417"/>
      <c r="K84" s="30"/>
      <c r="L84" s="70"/>
      <c r="M84" s="116"/>
      <c r="N84" s="26"/>
      <c r="O84" s="44"/>
      <c r="P84" s="44"/>
      <c r="Q84" s="114"/>
      <c r="R84" s="44"/>
      <c r="S84" s="44"/>
      <c r="T84" s="44"/>
      <c r="U84" s="44">
        <v>24000</v>
      </c>
      <c r="V84" s="44"/>
      <c r="W84" s="44"/>
      <c r="X84" s="27">
        <f t="shared" si="4"/>
        <v>24000</v>
      </c>
      <c r="Y84" s="2"/>
      <c r="AB84" s="2"/>
    </row>
    <row r="85" spans="1:28" ht="12.75" customHeight="1">
      <c r="A85" s="818"/>
      <c r="B85" s="874"/>
      <c r="C85" s="223" t="s">
        <v>383</v>
      </c>
      <c r="D85" s="414"/>
      <c r="E85" s="414"/>
      <c r="F85" s="414"/>
      <c r="G85" s="414"/>
      <c r="H85" s="415"/>
      <c r="I85" s="416"/>
      <c r="J85" s="417"/>
      <c r="K85" s="30"/>
      <c r="L85" s="70"/>
      <c r="M85" s="116">
        <v>0</v>
      </c>
      <c r="N85" s="26"/>
      <c r="O85" s="44"/>
      <c r="P85" s="44"/>
      <c r="Q85" s="114"/>
      <c r="R85" s="44"/>
      <c r="S85" s="44"/>
      <c r="T85" s="44"/>
      <c r="U85" s="44">
        <v>8000</v>
      </c>
      <c r="V85" s="44"/>
      <c r="W85" s="44"/>
      <c r="X85" s="27">
        <f t="shared" si="4"/>
        <v>8000</v>
      </c>
      <c r="AB85" s="2"/>
    </row>
    <row r="86" spans="1:24" ht="12.75" customHeight="1">
      <c r="A86" s="818"/>
      <c r="B86" s="874"/>
      <c r="C86" s="223" t="s">
        <v>382</v>
      </c>
      <c r="D86" s="26"/>
      <c r="E86" s="26"/>
      <c r="F86" s="26"/>
      <c r="G86" s="26"/>
      <c r="H86" s="58"/>
      <c r="I86" s="358"/>
      <c r="J86" s="359"/>
      <c r="K86" s="26"/>
      <c r="L86" s="26"/>
      <c r="M86" s="202">
        <v>0</v>
      </c>
      <c r="N86" s="26"/>
      <c r="O86" s="44"/>
      <c r="P86" s="44"/>
      <c r="Q86" s="114"/>
      <c r="R86" s="44"/>
      <c r="S86" s="44"/>
      <c r="T86" s="44"/>
      <c r="U86" s="44">
        <v>492884</v>
      </c>
      <c r="V86" s="44"/>
      <c r="W86" s="44"/>
      <c r="X86" s="27">
        <f t="shared" si="4"/>
        <v>492884</v>
      </c>
    </row>
    <row r="87" spans="1:24" ht="12.75" customHeight="1">
      <c r="A87" s="818"/>
      <c r="B87" s="874"/>
      <c r="C87" s="43" t="s">
        <v>384</v>
      </c>
      <c r="D87" s="26"/>
      <c r="E87" s="26"/>
      <c r="F87" s="26"/>
      <c r="G87" s="26"/>
      <c r="H87" s="58"/>
      <c r="I87" s="358"/>
      <c r="J87" s="359"/>
      <c r="K87" s="26">
        <v>7632</v>
      </c>
      <c r="L87" s="26"/>
      <c r="M87" s="202">
        <v>0</v>
      </c>
      <c r="N87" s="26"/>
      <c r="O87" s="44"/>
      <c r="P87" s="44"/>
      <c r="Q87" s="114"/>
      <c r="R87" s="44"/>
      <c r="S87" s="44"/>
      <c r="T87" s="44"/>
      <c r="U87" s="44">
        <v>402000</v>
      </c>
      <c r="V87" s="44"/>
      <c r="W87" s="44"/>
      <c r="X87" s="27">
        <f t="shared" si="4"/>
        <v>402000</v>
      </c>
    </row>
    <row r="88" spans="1:24" ht="12.75" customHeight="1">
      <c r="A88" s="818"/>
      <c r="B88" s="874"/>
      <c r="C88" s="43" t="s">
        <v>462</v>
      </c>
      <c r="D88" s="26"/>
      <c r="E88" s="26"/>
      <c r="F88" s="26"/>
      <c r="G88" s="26"/>
      <c r="H88" s="58"/>
      <c r="I88" s="358"/>
      <c r="J88" s="359"/>
      <c r="K88" s="26"/>
      <c r="L88" s="26"/>
      <c r="M88" s="202"/>
      <c r="N88" s="26"/>
      <c r="O88" s="44"/>
      <c r="P88" s="44"/>
      <c r="Q88" s="114"/>
      <c r="R88" s="44"/>
      <c r="S88" s="44"/>
      <c r="T88" s="44"/>
      <c r="U88" s="44"/>
      <c r="V88" s="44"/>
      <c r="W88" s="44">
        <v>10000</v>
      </c>
      <c r="X88" s="27">
        <f t="shared" si="4"/>
        <v>10000</v>
      </c>
    </row>
    <row r="89" spans="1:24" ht="12.75">
      <c r="A89" s="818"/>
      <c r="B89" s="874"/>
      <c r="C89" s="43" t="s">
        <v>37</v>
      </c>
      <c r="D89" s="26"/>
      <c r="E89" s="26"/>
      <c r="F89" s="26"/>
      <c r="G89" s="26"/>
      <c r="H89" s="58"/>
      <c r="I89" s="358"/>
      <c r="J89" s="359"/>
      <c r="K89" s="26"/>
      <c r="L89" s="26"/>
      <c r="M89" s="202">
        <v>0</v>
      </c>
      <c r="N89" s="26"/>
      <c r="O89" s="44"/>
      <c r="P89" s="44"/>
      <c r="Q89" s="114"/>
      <c r="R89" s="44"/>
      <c r="S89" s="44"/>
      <c r="T89" s="44"/>
      <c r="U89" s="44">
        <v>10000</v>
      </c>
      <c r="V89" s="44"/>
      <c r="W89" s="44"/>
      <c r="X89" s="27">
        <f t="shared" si="4"/>
        <v>10000</v>
      </c>
    </row>
    <row r="90" spans="1:24" ht="12.75">
      <c r="A90" s="818"/>
      <c r="B90" s="874"/>
      <c r="C90" s="43" t="s">
        <v>456</v>
      </c>
      <c r="D90" s="26"/>
      <c r="E90" s="26"/>
      <c r="F90" s="26"/>
      <c r="G90" s="26"/>
      <c r="H90" s="58"/>
      <c r="I90" s="358"/>
      <c r="J90" s="359"/>
      <c r="K90" s="26"/>
      <c r="L90" s="26"/>
      <c r="M90" s="202"/>
      <c r="N90" s="26"/>
      <c r="O90" s="26"/>
      <c r="P90" s="26"/>
      <c r="Q90" s="202"/>
      <c r="R90" s="26"/>
      <c r="S90" s="26"/>
      <c r="T90" s="26"/>
      <c r="U90" s="44">
        <v>23000</v>
      </c>
      <c r="V90" s="44"/>
      <c r="W90" s="44"/>
      <c r="X90" s="27">
        <f t="shared" si="4"/>
        <v>23000</v>
      </c>
    </row>
    <row r="91" spans="1:24" ht="12.75" customHeight="1">
      <c r="A91" s="818"/>
      <c r="B91" s="874"/>
      <c r="C91" s="43" t="s">
        <v>408</v>
      </c>
      <c r="D91" s="26"/>
      <c r="E91" s="26"/>
      <c r="F91" s="26"/>
      <c r="G91" s="26"/>
      <c r="H91" s="58"/>
      <c r="I91" s="358"/>
      <c r="J91" s="359"/>
      <c r="K91" s="26">
        <v>0</v>
      </c>
      <c r="L91" s="26"/>
      <c r="M91" s="202">
        <v>0</v>
      </c>
      <c r="N91" s="26"/>
      <c r="O91" s="26"/>
      <c r="P91" s="26"/>
      <c r="Q91" s="202"/>
      <c r="R91" s="26"/>
      <c r="S91" s="26"/>
      <c r="T91" s="26"/>
      <c r="U91" s="44">
        <v>90000</v>
      </c>
      <c r="V91" s="44"/>
      <c r="W91" s="44"/>
      <c r="X91" s="27">
        <f t="shared" si="4"/>
        <v>90000</v>
      </c>
    </row>
    <row r="92" spans="1:24" ht="13.5" thickBot="1">
      <c r="A92" s="818"/>
      <c r="B92" s="874"/>
      <c r="C92" s="43" t="s">
        <v>432</v>
      </c>
      <c r="D92" s="26"/>
      <c r="E92" s="26"/>
      <c r="F92" s="26"/>
      <c r="G92" s="26"/>
      <c r="H92" s="58"/>
      <c r="I92" s="358"/>
      <c r="J92" s="359"/>
      <c r="K92" s="26">
        <v>0</v>
      </c>
      <c r="L92" s="26">
        <v>1302435.64</v>
      </c>
      <c r="M92" s="202">
        <v>95467.84</v>
      </c>
      <c r="N92" s="26"/>
      <c r="O92" s="26"/>
      <c r="P92" s="26"/>
      <c r="Q92" s="202"/>
      <c r="R92" s="26"/>
      <c r="S92" s="26"/>
      <c r="T92" s="26"/>
      <c r="U92" s="44">
        <v>35000</v>
      </c>
      <c r="V92" s="44"/>
      <c r="W92" s="44"/>
      <c r="X92" s="27">
        <f t="shared" si="4"/>
        <v>35000</v>
      </c>
    </row>
    <row r="93" spans="1:24" ht="13.5" hidden="1" thickBot="1">
      <c r="A93" s="818"/>
      <c r="B93" s="874"/>
      <c r="C93" s="43"/>
      <c r="D93" s="26"/>
      <c r="E93" s="26"/>
      <c r="F93" s="26"/>
      <c r="G93" s="26"/>
      <c r="H93" s="58"/>
      <c r="I93" s="358"/>
      <c r="J93" s="359"/>
      <c r="K93" s="26"/>
      <c r="L93" s="26"/>
      <c r="M93" s="202">
        <v>38905.74</v>
      </c>
      <c r="N93" s="26"/>
      <c r="O93" s="26"/>
      <c r="P93" s="26"/>
      <c r="Q93" s="202"/>
      <c r="R93" s="26"/>
      <c r="S93" s="26"/>
      <c r="T93" s="26"/>
      <c r="U93" s="44"/>
      <c r="V93" s="44"/>
      <c r="W93" s="44"/>
      <c r="X93" s="27">
        <f t="shared" si="4"/>
        <v>0</v>
      </c>
    </row>
    <row r="94" spans="1:24" ht="12.75" customHeight="1" hidden="1">
      <c r="A94" s="818"/>
      <c r="B94" s="874"/>
      <c r="C94" s="43"/>
      <c r="D94" s="26"/>
      <c r="E94" s="26"/>
      <c r="F94" s="26"/>
      <c r="G94" s="26"/>
      <c r="H94" s="58"/>
      <c r="I94" s="358"/>
      <c r="J94" s="359"/>
      <c r="K94" s="26"/>
      <c r="L94" s="26"/>
      <c r="M94" s="202">
        <v>0</v>
      </c>
      <c r="N94" s="26"/>
      <c r="O94" s="26"/>
      <c r="P94" s="26"/>
      <c r="Q94" s="202"/>
      <c r="R94" s="26"/>
      <c r="S94" s="26"/>
      <c r="T94" s="26"/>
      <c r="U94" s="44"/>
      <c r="V94" s="44"/>
      <c r="W94" s="44"/>
      <c r="X94" s="27"/>
    </row>
    <row r="95" spans="1:24" ht="12.75" customHeight="1" hidden="1">
      <c r="A95" s="818"/>
      <c r="B95" s="874"/>
      <c r="C95" s="43"/>
      <c r="D95" s="26"/>
      <c r="E95" s="26"/>
      <c r="F95" s="26"/>
      <c r="G95" s="26"/>
      <c r="H95" s="58"/>
      <c r="I95" s="358"/>
      <c r="J95" s="359"/>
      <c r="K95" s="26"/>
      <c r="L95" s="26"/>
      <c r="M95" s="202">
        <v>0</v>
      </c>
      <c r="N95" s="26"/>
      <c r="O95" s="26"/>
      <c r="P95" s="26"/>
      <c r="Q95" s="202"/>
      <c r="R95" s="26"/>
      <c r="S95" s="26"/>
      <c r="T95" s="26"/>
      <c r="U95" s="44"/>
      <c r="V95" s="44"/>
      <c r="W95" s="44"/>
      <c r="X95" s="27"/>
    </row>
    <row r="96" spans="1:24" ht="12.75" customHeight="1" hidden="1">
      <c r="A96" s="818"/>
      <c r="B96" s="874"/>
      <c r="C96" s="43"/>
      <c r="D96" s="26"/>
      <c r="E96" s="26"/>
      <c r="F96" s="26"/>
      <c r="G96" s="26"/>
      <c r="H96" s="58"/>
      <c r="I96" s="358"/>
      <c r="J96" s="359"/>
      <c r="K96" s="26">
        <v>8090</v>
      </c>
      <c r="L96" s="26"/>
      <c r="M96" s="202">
        <v>0</v>
      </c>
      <c r="N96" s="26"/>
      <c r="O96" s="26"/>
      <c r="P96" s="26"/>
      <c r="Q96" s="202"/>
      <c r="R96" s="26"/>
      <c r="S96" s="26"/>
      <c r="T96" s="26"/>
      <c r="U96" s="44"/>
      <c r="V96" s="44"/>
      <c r="W96" s="44"/>
      <c r="X96" s="27"/>
    </row>
    <row r="97" spans="1:24" ht="13.5" hidden="1" thickBot="1">
      <c r="A97" s="818"/>
      <c r="B97" s="874"/>
      <c r="C97" s="43"/>
      <c r="D97" s="26"/>
      <c r="E97" s="26"/>
      <c r="F97" s="26"/>
      <c r="G97" s="26"/>
      <c r="H97" s="58"/>
      <c r="I97" s="358"/>
      <c r="J97" s="359"/>
      <c r="K97" s="26"/>
      <c r="L97" s="26"/>
      <c r="M97" s="202"/>
      <c r="N97" s="26"/>
      <c r="O97" s="26"/>
      <c r="P97" s="26"/>
      <c r="Q97" s="202"/>
      <c r="R97" s="26"/>
      <c r="S97" s="26"/>
      <c r="T97" s="26"/>
      <c r="U97" s="44"/>
      <c r="V97" s="44"/>
      <c r="W97" s="44"/>
      <c r="X97" s="27"/>
    </row>
    <row r="98" spans="1:24" ht="13.5" hidden="1" thickBot="1">
      <c r="A98" s="818"/>
      <c r="B98" s="874"/>
      <c r="C98" s="43"/>
      <c r="D98" s="30"/>
      <c r="E98" s="30"/>
      <c r="F98" s="30"/>
      <c r="G98" s="30"/>
      <c r="H98" s="66"/>
      <c r="I98" s="360"/>
      <c r="J98" s="361"/>
      <c r="K98" s="30"/>
      <c r="L98" s="30"/>
      <c r="M98" s="220"/>
      <c r="N98" s="30"/>
      <c r="O98" s="30"/>
      <c r="P98" s="30"/>
      <c r="Q98" s="220"/>
      <c r="R98" s="30"/>
      <c r="S98" s="30"/>
      <c r="T98" s="30"/>
      <c r="U98" s="44"/>
      <c r="V98" s="44"/>
      <c r="W98" s="44"/>
      <c r="X98" s="27"/>
    </row>
    <row r="99" spans="1:24" ht="0.75" customHeight="1" hidden="1" thickBot="1">
      <c r="A99" s="819"/>
      <c r="B99" s="875"/>
      <c r="C99" s="145"/>
      <c r="D99" s="30"/>
      <c r="E99" s="30"/>
      <c r="F99" s="30"/>
      <c r="G99" s="30"/>
      <c r="H99" s="66"/>
      <c r="I99" s="360"/>
      <c r="J99" s="361"/>
      <c r="K99" s="30"/>
      <c r="L99" s="30"/>
      <c r="M99" s="220"/>
      <c r="N99" s="30"/>
      <c r="O99" s="30"/>
      <c r="P99" s="30"/>
      <c r="Q99" s="220"/>
      <c r="R99" s="30"/>
      <c r="S99" s="30"/>
      <c r="T99" s="30"/>
      <c r="U99" s="74"/>
      <c r="V99" s="44">
        <f aca="true" t="shared" si="5" ref="V99:V105">IF(S99=0,0,U99/S99)</f>
        <v>0</v>
      </c>
      <c r="W99" s="74"/>
      <c r="X99" s="31"/>
    </row>
    <row r="100" spans="1:26" s="610" customFormat="1" ht="15.75" hidden="1" thickBot="1">
      <c r="A100" s="288" t="s">
        <v>342</v>
      </c>
      <c r="B100" s="883" t="s">
        <v>343</v>
      </c>
      <c r="C100" s="859"/>
      <c r="D100" s="659"/>
      <c r="E100" s="659"/>
      <c r="F100" s="659"/>
      <c r="G100" s="659"/>
      <c r="H100" s="660"/>
      <c r="I100" s="661"/>
      <c r="J100" s="662"/>
      <c r="K100" s="659"/>
      <c r="L100" s="659"/>
      <c r="M100" s="663"/>
      <c r="N100" s="107"/>
      <c r="O100" s="107"/>
      <c r="P100" s="551">
        <v>5880</v>
      </c>
      <c r="Q100" s="551">
        <v>44123.79</v>
      </c>
      <c r="R100" s="107"/>
      <c r="S100" s="107"/>
      <c r="T100" s="107"/>
      <c r="U100" s="67">
        <f>U101</f>
        <v>0</v>
      </c>
      <c r="V100" s="67">
        <f t="shared" si="5"/>
        <v>0</v>
      </c>
      <c r="W100" s="67"/>
      <c r="X100" s="68"/>
      <c r="Z100" s="664"/>
    </row>
    <row r="101" spans="1:24" ht="13.5" hidden="1" thickBot="1">
      <c r="A101" s="372"/>
      <c r="B101" s="373"/>
      <c r="C101" s="115" t="s">
        <v>344</v>
      </c>
      <c r="D101" s="48"/>
      <c r="E101" s="48"/>
      <c r="F101" s="48"/>
      <c r="G101" s="48"/>
      <c r="H101" s="59"/>
      <c r="I101" s="396"/>
      <c r="J101" s="397"/>
      <c r="K101" s="48">
        <v>476</v>
      </c>
      <c r="L101" s="48">
        <v>3000</v>
      </c>
      <c r="M101" s="252">
        <v>3545</v>
      </c>
      <c r="N101" s="12"/>
      <c r="O101" s="12"/>
      <c r="P101" s="12"/>
      <c r="Q101" s="243"/>
      <c r="R101" s="239"/>
      <c r="S101" s="239"/>
      <c r="T101" s="239"/>
      <c r="U101" s="239"/>
      <c r="V101" s="239">
        <f t="shared" si="5"/>
        <v>0</v>
      </c>
      <c r="W101" s="239"/>
      <c r="X101" s="71"/>
    </row>
    <row r="102" spans="1:24" ht="15.75" hidden="1" thickBot="1">
      <c r="A102" s="288" t="s">
        <v>38</v>
      </c>
      <c r="B102" s="798" t="s">
        <v>0</v>
      </c>
      <c r="C102" s="799"/>
      <c r="D102" s="418"/>
      <c r="E102" s="418"/>
      <c r="F102" s="418"/>
      <c r="G102" s="418"/>
      <c r="H102" s="265"/>
      <c r="I102" s="419"/>
      <c r="J102" s="420"/>
      <c r="K102" s="398"/>
      <c r="L102" s="398"/>
      <c r="M102" s="398"/>
      <c r="N102" s="398"/>
      <c r="O102" s="398"/>
      <c r="P102" s="398"/>
      <c r="Q102" s="649"/>
      <c r="R102" s="398"/>
      <c r="S102" s="398"/>
      <c r="T102" s="398"/>
      <c r="U102" s="67"/>
      <c r="V102" s="67">
        <f t="shared" si="5"/>
        <v>0</v>
      </c>
      <c r="W102" s="67"/>
      <c r="X102" s="68"/>
    </row>
    <row r="103" spans="1:24" ht="13.5" hidden="1" thickBot="1">
      <c r="A103" s="355"/>
      <c r="B103" s="357"/>
      <c r="C103" s="43"/>
      <c r="D103" s="26"/>
      <c r="E103" s="26"/>
      <c r="F103" s="26"/>
      <c r="G103" s="26"/>
      <c r="H103" s="58"/>
      <c r="I103" s="358"/>
      <c r="J103" s="359"/>
      <c r="K103" s="26"/>
      <c r="L103" s="26"/>
      <c r="M103" s="26"/>
      <c r="N103" s="26"/>
      <c r="O103" s="26"/>
      <c r="P103" s="26"/>
      <c r="Q103" s="202"/>
      <c r="R103" s="26"/>
      <c r="S103" s="26"/>
      <c r="T103" s="26"/>
      <c r="U103" s="44"/>
      <c r="V103" s="44">
        <f t="shared" si="5"/>
        <v>0</v>
      </c>
      <c r="W103" s="44"/>
      <c r="X103" s="27"/>
    </row>
    <row r="104" spans="1:24" ht="13.5" hidden="1" thickBot="1">
      <c r="A104" s="355"/>
      <c r="B104" s="357"/>
      <c r="C104" s="43"/>
      <c r="D104" s="26"/>
      <c r="E104" s="26"/>
      <c r="F104" s="26"/>
      <c r="G104" s="26"/>
      <c r="H104" s="58"/>
      <c r="I104" s="358"/>
      <c r="J104" s="359"/>
      <c r="K104" s="26"/>
      <c r="L104" s="26"/>
      <c r="M104" s="26"/>
      <c r="N104" s="26"/>
      <c r="O104" s="26"/>
      <c r="P104" s="26"/>
      <c r="Q104" s="202"/>
      <c r="R104" s="26"/>
      <c r="S104" s="26"/>
      <c r="T104" s="26"/>
      <c r="U104" s="44"/>
      <c r="V104" s="44">
        <f t="shared" si="5"/>
        <v>0</v>
      </c>
      <c r="W104" s="44"/>
      <c r="X104" s="27"/>
    </row>
    <row r="105" spans="1:24" ht="13.5" hidden="1" thickBot="1">
      <c r="A105" s="355"/>
      <c r="B105" s="357"/>
      <c r="C105" s="47"/>
      <c r="D105" s="30"/>
      <c r="E105" s="30"/>
      <c r="F105" s="30"/>
      <c r="G105" s="30"/>
      <c r="H105" s="66"/>
      <c r="I105" s="360"/>
      <c r="J105" s="361"/>
      <c r="K105" s="30"/>
      <c r="L105" s="30"/>
      <c r="M105" s="30"/>
      <c r="N105" s="30"/>
      <c r="O105" s="30"/>
      <c r="P105" s="30"/>
      <c r="Q105" s="220"/>
      <c r="R105" s="30"/>
      <c r="S105" s="30"/>
      <c r="T105" s="30"/>
      <c r="U105" s="74"/>
      <c r="V105" s="74">
        <f t="shared" si="5"/>
        <v>0</v>
      </c>
      <c r="W105" s="74"/>
      <c r="X105" s="31"/>
    </row>
    <row r="106" spans="1:24" ht="15.75" thickBot="1">
      <c r="A106" s="356" t="s">
        <v>221</v>
      </c>
      <c r="B106" s="870" t="s">
        <v>222</v>
      </c>
      <c r="C106" s="870"/>
      <c r="D106" s="231">
        <v>8298</v>
      </c>
      <c r="E106" s="231">
        <v>3983</v>
      </c>
      <c r="F106" s="231">
        <v>175065</v>
      </c>
      <c r="G106" s="231">
        <v>138049</v>
      </c>
      <c r="H106" s="231">
        <v>127764</v>
      </c>
      <c r="I106" s="137">
        <v>149292</v>
      </c>
      <c r="J106" s="231">
        <v>3000</v>
      </c>
      <c r="K106" s="67">
        <f>SUM(K111:K113)</f>
        <v>6455</v>
      </c>
      <c r="L106" s="67">
        <f>SUM(L107:L113)</f>
        <v>131475.39</v>
      </c>
      <c r="M106" s="211">
        <f>SUM(M107:M113)</f>
        <v>1775474.1500000001</v>
      </c>
      <c r="N106" s="67">
        <v>12967.75</v>
      </c>
      <c r="O106" s="211">
        <v>2000</v>
      </c>
      <c r="P106" s="211">
        <v>138793.75</v>
      </c>
      <c r="Q106" s="211">
        <v>36288</v>
      </c>
      <c r="R106" s="67">
        <v>84304</v>
      </c>
      <c r="S106" s="67"/>
      <c r="T106" s="67"/>
      <c r="U106" s="67">
        <f>SUM(U107:U113)</f>
        <v>174000</v>
      </c>
      <c r="V106" s="67">
        <f>SUM(V107:V113)</f>
        <v>0</v>
      </c>
      <c r="W106" s="67">
        <f>SUM(W107:W113)</f>
        <v>0</v>
      </c>
      <c r="X106" s="68">
        <f>SUM(X107:X113)</f>
        <v>174000</v>
      </c>
    </row>
    <row r="107" spans="1:24" ht="12.75">
      <c r="A107" s="814"/>
      <c r="B107" s="867"/>
      <c r="C107" s="378" t="s">
        <v>421</v>
      </c>
      <c r="D107" s="421"/>
      <c r="E107" s="421"/>
      <c r="F107" s="421"/>
      <c r="G107" s="421"/>
      <c r="H107" s="422"/>
      <c r="I107" s="423"/>
      <c r="J107" s="424"/>
      <c r="K107" s="143"/>
      <c r="L107" s="143">
        <v>123141.28</v>
      </c>
      <c r="M107" s="214">
        <v>1602434.8900000001</v>
      </c>
      <c r="N107" s="143"/>
      <c r="O107" s="143"/>
      <c r="P107" s="143"/>
      <c r="Q107" s="214"/>
      <c r="R107" s="143"/>
      <c r="S107" s="143"/>
      <c r="T107" s="143"/>
      <c r="U107" s="86">
        <v>160000</v>
      </c>
      <c r="V107" s="86"/>
      <c r="W107" s="86"/>
      <c r="X107" s="425">
        <f aca="true" t="shared" si="6" ref="X107:X113">U107+V107+W107</f>
        <v>160000</v>
      </c>
    </row>
    <row r="108" spans="1:24" ht="13.5" thickBot="1">
      <c r="A108" s="815"/>
      <c r="B108" s="868"/>
      <c r="C108" s="384" t="s">
        <v>437</v>
      </c>
      <c r="D108" s="426"/>
      <c r="E108" s="426"/>
      <c r="F108" s="426"/>
      <c r="G108" s="426"/>
      <c r="H108" s="427"/>
      <c r="I108" s="428"/>
      <c r="J108" s="429"/>
      <c r="K108" s="21"/>
      <c r="L108" s="21"/>
      <c r="M108" s="131">
        <v>18092.39</v>
      </c>
      <c r="N108" s="21"/>
      <c r="O108" s="21"/>
      <c r="P108" s="21"/>
      <c r="Q108" s="131"/>
      <c r="R108" s="21"/>
      <c r="S108" s="21"/>
      <c r="T108" s="21"/>
      <c r="U108" s="88">
        <v>14000</v>
      </c>
      <c r="V108" s="88"/>
      <c r="W108" s="88"/>
      <c r="X108" s="430">
        <f t="shared" si="6"/>
        <v>14000</v>
      </c>
    </row>
    <row r="109" spans="1:24" ht="13.5" hidden="1" thickBot="1">
      <c r="A109" s="815"/>
      <c r="B109" s="868"/>
      <c r="C109" s="384"/>
      <c r="D109" s="426"/>
      <c r="E109" s="426"/>
      <c r="F109" s="426"/>
      <c r="G109" s="426"/>
      <c r="H109" s="427"/>
      <c r="I109" s="428"/>
      <c r="J109" s="429"/>
      <c r="K109" s="21"/>
      <c r="L109" s="21"/>
      <c r="M109" s="131">
        <v>16624.5</v>
      </c>
      <c r="N109" s="21"/>
      <c r="O109" s="21"/>
      <c r="P109" s="21"/>
      <c r="Q109" s="131"/>
      <c r="R109" s="21"/>
      <c r="S109" s="21"/>
      <c r="T109" s="21"/>
      <c r="U109" s="88"/>
      <c r="V109" s="88"/>
      <c r="W109" s="88"/>
      <c r="X109" s="430">
        <f t="shared" si="6"/>
        <v>0</v>
      </c>
    </row>
    <row r="110" spans="1:24" ht="13.5" hidden="1" thickBot="1">
      <c r="A110" s="815"/>
      <c r="B110" s="868"/>
      <c r="C110" s="384"/>
      <c r="D110" s="426"/>
      <c r="E110" s="426"/>
      <c r="F110" s="426"/>
      <c r="G110" s="426"/>
      <c r="H110" s="427"/>
      <c r="I110" s="428"/>
      <c r="J110" s="429"/>
      <c r="K110" s="21"/>
      <c r="L110" s="21"/>
      <c r="M110" s="131">
        <v>120000</v>
      </c>
      <c r="N110" s="21"/>
      <c r="O110" s="21"/>
      <c r="P110" s="21"/>
      <c r="Q110" s="131"/>
      <c r="R110" s="21"/>
      <c r="S110" s="21"/>
      <c r="T110" s="21"/>
      <c r="U110" s="88"/>
      <c r="V110" s="88"/>
      <c r="W110" s="88"/>
      <c r="X110" s="430">
        <f t="shared" si="6"/>
        <v>0</v>
      </c>
    </row>
    <row r="111" spans="1:24" ht="13.5" hidden="1" thickBot="1">
      <c r="A111" s="815"/>
      <c r="B111" s="868"/>
      <c r="C111" s="72"/>
      <c r="D111" s="22"/>
      <c r="E111" s="22"/>
      <c r="F111" s="22"/>
      <c r="G111" s="22"/>
      <c r="H111" s="56"/>
      <c r="I111" s="368"/>
      <c r="J111" s="369"/>
      <c r="K111" s="22">
        <v>6455</v>
      </c>
      <c r="L111" s="22"/>
      <c r="M111" s="118">
        <v>14992.37</v>
      </c>
      <c r="N111" s="22"/>
      <c r="O111" s="22"/>
      <c r="P111" s="22"/>
      <c r="Q111" s="118"/>
      <c r="R111" s="22"/>
      <c r="S111" s="22"/>
      <c r="T111" s="22"/>
      <c r="U111" s="57"/>
      <c r="V111" s="57"/>
      <c r="W111" s="57"/>
      <c r="X111" s="23">
        <f t="shared" si="6"/>
        <v>0</v>
      </c>
    </row>
    <row r="112" spans="1:24" ht="13.5" hidden="1" thickBot="1">
      <c r="A112" s="815"/>
      <c r="B112" s="868"/>
      <c r="C112" s="145"/>
      <c r="D112" s="70"/>
      <c r="E112" s="70"/>
      <c r="F112" s="70"/>
      <c r="G112" s="70"/>
      <c r="H112" s="69"/>
      <c r="I112" s="370"/>
      <c r="J112" s="371"/>
      <c r="K112" s="70"/>
      <c r="L112" s="44"/>
      <c r="M112" s="202"/>
      <c r="N112" s="22"/>
      <c r="O112" s="22"/>
      <c r="P112" s="22"/>
      <c r="Q112" s="118"/>
      <c r="R112" s="22"/>
      <c r="S112" s="22"/>
      <c r="T112" s="22"/>
      <c r="U112" s="57"/>
      <c r="V112" s="57"/>
      <c r="W112" s="57"/>
      <c r="X112" s="23">
        <f t="shared" si="6"/>
        <v>0</v>
      </c>
    </row>
    <row r="113" spans="1:24" ht="13.5" hidden="1" thickBot="1">
      <c r="A113" s="816"/>
      <c r="B113" s="869"/>
      <c r="C113" s="46"/>
      <c r="D113" s="48"/>
      <c r="E113" s="48"/>
      <c r="F113" s="48"/>
      <c r="G113" s="48"/>
      <c r="H113" s="59"/>
      <c r="I113" s="396"/>
      <c r="J113" s="397"/>
      <c r="K113" s="48"/>
      <c r="L113" s="77">
        <v>8334.11</v>
      </c>
      <c r="M113" s="208">
        <v>3330</v>
      </c>
      <c r="N113" s="77"/>
      <c r="O113" s="77"/>
      <c r="P113" s="77"/>
      <c r="Q113" s="208"/>
      <c r="R113" s="77"/>
      <c r="S113" s="77"/>
      <c r="T113" s="77"/>
      <c r="U113" s="207"/>
      <c r="V113" s="207"/>
      <c r="W113" s="207"/>
      <c r="X113" s="78">
        <f t="shared" si="6"/>
        <v>0</v>
      </c>
    </row>
    <row r="114" spans="1:24" ht="15.75" thickBot="1">
      <c r="A114" s="356" t="s">
        <v>54</v>
      </c>
      <c r="B114" s="870" t="s">
        <v>75</v>
      </c>
      <c r="C114" s="870"/>
      <c r="D114" s="231"/>
      <c r="E114" s="231">
        <v>22472</v>
      </c>
      <c r="F114" s="231">
        <v>20713</v>
      </c>
      <c r="G114" s="231">
        <v>11074</v>
      </c>
      <c r="H114" s="231">
        <v>15914</v>
      </c>
      <c r="I114" s="137">
        <v>116842</v>
      </c>
      <c r="J114" s="231">
        <v>38905</v>
      </c>
      <c r="K114" s="67">
        <f>SUM(K115:K119)</f>
        <v>15848</v>
      </c>
      <c r="L114" s="67">
        <f>SUM(L115:L119)</f>
        <v>26915.190000000002</v>
      </c>
      <c r="M114" s="211">
        <f>SUM(M115:M119)</f>
        <v>9771.24</v>
      </c>
      <c r="N114" s="67">
        <v>62531.63</v>
      </c>
      <c r="O114" s="211">
        <v>193266.02</v>
      </c>
      <c r="P114" s="211">
        <v>3920.81</v>
      </c>
      <c r="Q114" s="211"/>
      <c r="R114" s="67"/>
      <c r="S114" s="67"/>
      <c r="T114" s="67">
        <v>12820.31</v>
      </c>
      <c r="U114" s="67">
        <f>SUM(U115:U119)</f>
        <v>5245</v>
      </c>
      <c r="V114" s="67">
        <f>SUM(V115:V119)</f>
        <v>0</v>
      </c>
      <c r="W114" s="67">
        <f>SUM(W115:W119)</f>
        <v>0</v>
      </c>
      <c r="X114" s="68">
        <f>SUM(X115:X119)</f>
        <v>5245</v>
      </c>
    </row>
    <row r="115" spans="1:24" ht="13.5" thickBot="1">
      <c r="A115" s="818"/>
      <c r="B115" s="874"/>
      <c r="C115" s="43" t="s">
        <v>438</v>
      </c>
      <c r="D115" s="26"/>
      <c r="E115" s="26"/>
      <c r="F115" s="26"/>
      <c r="G115" s="26"/>
      <c r="H115" s="58"/>
      <c r="I115" s="358"/>
      <c r="J115" s="359"/>
      <c r="K115" s="26">
        <v>7000</v>
      </c>
      <c r="L115" s="26">
        <v>16662.2</v>
      </c>
      <c r="M115" s="202"/>
      <c r="N115" s="26"/>
      <c r="O115" s="26"/>
      <c r="P115" s="22"/>
      <c r="Q115" s="118"/>
      <c r="R115" s="22"/>
      <c r="S115" s="22"/>
      <c r="T115" s="22"/>
      <c r="U115" s="57">
        <v>5245</v>
      </c>
      <c r="V115" s="57"/>
      <c r="W115" s="57"/>
      <c r="X115" s="23">
        <v>5245</v>
      </c>
    </row>
    <row r="116" spans="1:24" ht="13.5" hidden="1" thickBot="1">
      <c r="A116" s="818"/>
      <c r="B116" s="874"/>
      <c r="C116" s="43"/>
      <c r="D116" s="26"/>
      <c r="E116" s="26"/>
      <c r="F116" s="26"/>
      <c r="G116" s="26"/>
      <c r="H116" s="58"/>
      <c r="I116" s="358"/>
      <c r="J116" s="359"/>
      <c r="K116" s="26"/>
      <c r="L116" s="26"/>
      <c r="M116" s="202"/>
      <c r="N116" s="26"/>
      <c r="O116" s="26"/>
      <c r="P116" s="26"/>
      <c r="Q116" s="202"/>
      <c r="R116" s="26"/>
      <c r="S116" s="26"/>
      <c r="T116" s="26"/>
      <c r="U116" s="44"/>
      <c r="V116" s="44"/>
      <c r="W116" s="44"/>
      <c r="X116" s="27"/>
    </row>
    <row r="117" spans="1:24" ht="13.5" hidden="1" thickBot="1">
      <c r="A117" s="818"/>
      <c r="B117" s="874"/>
      <c r="C117" s="43"/>
      <c r="D117" s="26"/>
      <c r="E117" s="26"/>
      <c r="F117" s="26"/>
      <c r="G117" s="26"/>
      <c r="H117" s="58"/>
      <c r="I117" s="358"/>
      <c r="J117" s="359"/>
      <c r="K117" s="26"/>
      <c r="L117" s="26"/>
      <c r="M117" s="202"/>
      <c r="N117" s="26"/>
      <c r="O117" s="26"/>
      <c r="P117" s="26"/>
      <c r="Q117" s="202"/>
      <c r="R117" s="26"/>
      <c r="S117" s="26"/>
      <c r="T117" s="26"/>
      <c r="U117" s="44"/>
      <c r="V117" s="44"/>
      <c r="W117" s="44"/>
      <c r="X117" s="27">
        <f>U117+V117+W117</f>
        <v>0</v>
      </c>
    </row>
    <row r="118" spans="1:24" ht="13.5" hidden="1" thickBot="1">
      <c r="A118" s="818"/>
      <c r="B118" s="874"/>
      <c r="C118" s="46"/>
      <c r="D118" s="48"/>
      <c r="E118" s="48"/>
      <c r="F118" s="48"/>
      <c r="G118" s="48"/>
      <c r="H118" s="59"/>
      <c r="I118" s="396"/>
      <c r="J118" s="397"/>
      <c r="K118" s="48"/>
      <c r="L118" s="48"/>
      <c r="M118" s="252">
        <v>9771.24</v>
      </c>
      <c r="N118" s="48"/>
      <c r="O118" s="48"/>
      <c r="P118" s="48"/>
      <c r="Q118" s="252"/>
      <c r="R118" s="48"/>
      <c r="S118" s="48"/>
      <c r="T118" s="48"/>
      <c r="U118" s="273"/>
      <c r="V118" s="273"/>
      <c r="W118" s="273"/>
      <c r="X118" s="627">
        <f>U118+V118+W118</f>
        <v>0</v>
      </c>
    </row>
    <row r="119" spans="1:24" ht="13.5" hidden="1" thickBot="1">
      <c r="A119" s="819"/>
      <c r="B119" s="875"/>
      <c r="C119" s="115" t="s">
        <v>39</v>
      </c>
      <c r="D119" s="77"/>
      <c r="E119" s="77"/>
      <c r="F119" s="77"/>
      <c r="G119" s="77"/>
      <c r="H119" s="76"/>
      <c r="I119" s="625"/>
      <c r="J119" s="626"/>
      <c r="K119" s="77">
        <v>8848</v>
      </c>
      <c r="L119" s="77">
        <v>10252.99</v>
      </c>
      <c r="M119" s="208"/>
      <c r="N119" s="77"/>
      <c r="O119" s="77"/>
      <c r="P119" s="77"/>
      <c r="Q119" s="208"/>
      <c r="R119" s="77"/>
      <c r="S119" s="77"/>
      <c r="T119" s="77"/>
      <c r="U119" s="207"/>
      <c r="V119" s="207">
        <f aca="true" t="shared" si="7" ref="V119:V130">IF(S119=0,0,U119/S119)</f>
        <v>0</v>
      </c>
      <c r="W119" s="207"/>
      <c r="X119" s="78">
        <f>U119+V119+W119</f>
        <v>0</v>
      </c>
    </row>
    <row r="120" spans="1:24" ht="17.25" customHeight="1" thickBot="1">
      <c r="A120" s="374" t="s">
        <v>40</v>
      </c>
      <c r="B120" s="770" t="s">
        <v>2</v>
      </c>
      <c r="C120" s="771"/>
      <c r="D120" s="418"/>
      <c r="E120" s="418"/>
      <c r="F120" s="418"/>
      <c r="G120" s="418"/>
      <c r="H120" s="265"/>
      <c r="I120" s="419"/>
      <c r="J120" s="420"/>
      <c r="K120" s="398">
        <v>5500</v>
      </c>
      <c r="L120" s="398"/>
      <c r="M120" s="398">
        <f>M121</f>
        <v>0</v>
      </c>
      <c r="N120" s="398"/>
      <c r="O120" s="649">
        <v>10000</v>
      </c>
      <c r="P120" s="649">
        <v>2238</v>
      </c>
      <c r="Q120" s="649">
        <v>21924.4</v>
      </c>
      <c r="R120" s="398">
        <v>1080</v>
      </c>
      <c r="S120" s="398"/>
      <c r="T120" s="398">
        <v>84299</v>
      </c>
      <c r="U120" s="79">
        <f>U121</f>
        <v>123660</v>
      </c>
      <c r="V120" s="79">
        <f>V121</f>
        <v>0</v>
      </c>
      <c r="W120" s="79">
        <f>W121</f>
        <v>0</v>
      </c>
      <c r="X120" s="731">
        <f>X121</f>
        <v>123660</v>
      </c>
    </row>
    <row r="121" spans="1:24" ht="17.25" customHeight="1" thickBot="1">
      <c r="A121" s="355"/>
      <c r="B121" s="357"/>
      <c r="C121" s="115" t="s">
        <v>35</v>
      </c>
      <c r="D121" s="70"/>
      <c r="E121" s="70"/>
      <c r="F121" s="70"/>
      <c r="G121" s="70"/>
      <c r="H121" s="69"/>
      <c r="I121" s="370"/>
      <c r="J121" s="371"/>
      <c r="K121" s="70">
        <v>5500</v>
      </c>
      <c r="L121" s="70"/>
      <c r="M121" s="70"/>
      <c r="N121" s="70"/>
      <c r="O121" s="116"/>
      <c r="P121" s="116"/>
      <c r="Q121" s="116"/>
      <c r="R121" s="70"/>
      <c r="S121" s="70"/>
      <c r="T121" s="70"/>
      <c r="U121" s="44">
        <v>123660</v>
      </c>
      <c r="V121" s="44"/>
      <c r="W121" s="44"/>
      <c r="X121" s="27">
        <f>U121+V121+W121</f>
        <v>123660</v>
      </c>
    </row>
    <row r="122" spans="1:24" ht="17.25" customHeight="1" thickBot="1">
      <c r="A122" s="431" t="s">
        <v>6</v>
      </c>
      <c r="B122" s="882" t="s">
        <v>7</v>
      </c>
      <c r="C122" s="882"/>
      <c r="D122" s="231">
        <v>666567</v>
      </c>
      <c r="E122" s="231">
        <v>223164</v>
      </c>
      <c r="F122" s="231">
        <v>527019</v>
      </c>
      <c r="G122" s="231">
        <v>279677</v>
      </c>
      <c r="H122" s="231">
        <v>1160065</v>
      </c>
      <c r="I122" s="432">
        <v>2097438</v>
      </c>
      <c r="J122" s="231">
        <v>344577</v>
      </c>
      <c r="K122" s="67">
        <f>SUM(K123:K137)</f>
        <v>11076</v>
      </c>
      <c r="L122" s="67">
        <f>SUM(L123:L137)</f>
        <v>22611.84</v>
      </c>
      <c r="M122" s="211">
        <f>SUM(M123:M137)</f>
        <v>52135.36</v>
      </c>
      <c r="N122" s="67">
        <v>60359.19</v>
      </c>
      <c r="O122" s="211">
        <v>319793.29</v>
      </c>
      <c r="P122" s="211">
        <v>478985.9</v>
      </c>
      <c r="Q122" s="211">
        <v>204385.99</v>
      </c>
      <c r="R122" s="67">
        <v>195114</v>
      </c>
      <c r="S122" s="67">
        <v>196595</v>
      </c>
      <c r="T122" s="67">
        <v>410130.78</v>
      </c>
      <c r="U122" s="67">
        <f>SUM(U123:U137)</f>
        <v>16777</v>
      </c>
      <c r="V122" s="67">
        <f>SUM(V123:V137)</f>
        <v>0</v>
      </c>
      <c r="W122" s="67">
        <f>SUM(W123:W137)</f>
        <v>0</v>
      </c>
      <c r="X122" s="68">
        <f>SUM(X123:X137)</f>
        <v>16777</v>
      </c>
    </row>
    <row r="123" spans="1:24" ht="12.75" hidden="1">
      <c r="A123" s="817"/>
      <c r="B123" s="873"/>
      <c r="C123" s="43"/>
      <c r="D123" s="58"/>
      <c r="E123" s="58"/>
      <c r="F123" s="58"/>
      <c r="G123" s="58"/>
      <c r="H123" s="58"/>
      <c r="I123" s="358"/>
      <c r="J123" s="359"/>
      <c r="K123" s="26">
        <v>11076</v>
      </c>
      <c r="L123" s="22"/>
      <c r="M123" s="22"/>
      <c r="N123" s="22"/>
      <c r="O123" s="22"/>
      <c r="P123" s="22"/>
      <c r="Q123" s="118"/>
      <c r="R123" s="22"/>
      <c r="S123" s="22"/>
      <c r="T123" s="22"/>
      <c r="U123" s="57"/>
      <c r="V123" s="57">
        <f t="shared" si="7"/>
        <v>0</v>
      </c>
      <c r="W123" s="57"/>
      <c r="X123" s="23"/>
    </row>
    <row r="124" spans="1:24" ht="12.75" hidden="1">
      <c r="A124" s="818"/>
      <c r="B124" s="874"/>
      <c r="C124" s="43"/>
      <c r="D124" s="58"/>
      <c r="E124" s="58"/>
      <c r="F124" s="58"/>
      <c r="G124" s="58"/>
      <c r="H124" s="58"/>
      <c r="I124" s="358"/>
      <c r="J124" s="359"/>
      <c r="K124" s="26"/>
      <c r="L124" s="22"/>
      <c r="M124" s="22"/>
      <c r="N124" s="22"/>
      <c r="O124" s="22"/>
      <c r="P124" s="22"/>
      <c r="Q124" s="118"/>
      <c r="R124" s="22"/>
      <c r="S124" s="22"/>
      <c r="T124" s="22"/>
      <c r="U124" s="57"/>
      <c r="V124" s="57">
        <f t="shared" si="7"/>
        <v>0</v>
      </c>
      <c r="W124" s="57"/>
      <c r="X124" s="23"/>
    </row>
    <row r="125" spans="1:24" ht="12.75" hidden="1">
      <c r="A125" s="818"/>
      <c r="B125" s="874"/>
      <c r="C125" s="43" t="s">
        <v>341</v>
      </c>
      <c r="D125" s="58"/>
      <c r="E125" s="58"/>
      <c r="F125" s="58"/>
      <c r="G125" s="58"/>
      <c r="H125" s="58"/>
      <c r="I125" s="358"/>
      <c r="J125" s="359"/>
      <c r="K125" s="26"/>
      <c r="L125" s="22"/>
      <c r="M125" s="22"/>
      <c r="N125" s="22"/>
      <c r="O125" s="22"/>
      <c r="P125" s="22"/>
      <c r="Q125" s="118"/>
      <c r="R125" s="22"/>
      <c r="S125" s="22"/>
      <c r="T125" s="22"/>
      <c r="U125" s="57"/>
      <c r="V125" s="57">
        <f t="shared" si="7"/>
        <v>0</v>
      </c>
      <c r="W125" s="57"/>
      <c r="X125" s="23"/>
    </row>
    <row r="126" spans="1:24" ht="12.75" hidden="1">
      <c r="A126" s="818"/>
      <c r="B126" s="874"/>
      <c r="C126" s="43" t="s">
        <v>330</v>
      </c>
      <c r="D126" s="58"/>
      <c r="E126" s="58"/>
      <c r="F126" s="58"/>
      <c r="G126" s="58"/>
      <c r="H126" s="58"/>
      <c r="I126" s="358"/>
      <c r="J126" s="359"/>
      <c r="K126" s="26"/>
      <c r="L126" s="22"/>
      <c r="M126" s="22"/>
      <c r="N126" s="22"/>
      <c r="O126" s="22"/>
      <c r="P126" s="22"/>
      <c r="Q126" s="118"/>
      <c r="R126" s="22"/>
      <c r="S126" s="22"/>
      <c r="T126" s="22"/>
      <c r="U126" s="57"/>
      <c r="V126" s="57">
        <f t="shared" si="7"/>
        <v>0</v>
      </c>
      <c r="W126" s="57"/>
      <c r="X126" s="23"/>
    </row>
    <row r="127" spans="1:24" ht="12.75" hidden="1">
      <c r="A127" s="818"/>
      <c r="B127" s="874"/>
      <c r="C127" s="43" t="s">
        <v>315</v>
      </c>
      <c r="D127" s="58"/>
      <c r="E127" s="58"/>
      <c r="F127" s="58"/>
      <c r="G127" s="58"/>
      <c r="H127" s="58"/>
      <c r="I127" s="358"/>
      <c r="J127" s="359"/>
      <c r="K127" s="26"/>
      <c r="L127" s="22"/>
      <c r="M127" s="22"/>
      <c r="N127" s="22"/>
      <c r="O127" s="22"/>
      <c r="P127" s="22"/>
      <c r="Q127" s="118"/>
      <c r="R127" s="22"/>
      <c r="S127" s="22"/>
      <c r="T127" s="22"/>
      <c r="U127" s="57"/>
      <c r="V127" s="57">
        <f t="shared" si="7"/>
        <v>0</v>
      </c>
      <c r="W127" s="57"/>
      <c r="X127" s="23"/>
    </row>
    <row r="128" spans="1:24" ht="12.75" hidden="1">
      <c r="A128" s="818"/>
      <c r="B128" s="874"/>
      <c r="C128" s="43"/>
      <c r="D128" s="58"/>
      <c r="E128" s="58"/>
      <c r="F128" s="58"/>
      <c r="G128" s="58"/>
      <c r="H128" s="58"/>
      <c r="I128" s="358"/>
      <c r="J128" s="359"/>
      <c r="K128" s="26"/>
      <c r="L128" s="22"/>
      <c r="M128" s="22"/>
      <c r="N128" s="22"/>
      <c r="O128" s="22"/>
      <c r="P128" s="22"/>
      <c r="Q128" s="118"/>
      <c r="R128" s="22"/>
      <c r="S128" s="22"/>
      <c r="T128" s="22"/>
      <c r="U128" s="57"/>
      <c r="V128" s="57">
        <f t="shared" si="7"/>
        <v>0</v>
      </c>
      <c r="W128" s="57"/>
      <c r="X128" s="23"/>
    </row>
    <row r="129" spans="1:24" ht="12.75" hidden="1">
      <c r="A129" s="818"/>
      <c r="B129" s="874"/>
      <c r="C129" s="43"/>
      <c r="D129" s="58"/>
      <c r="E129" s="58"/>
      <c r="F129" s="58"/>
      <c r="G129" s="58"/>
      <c r="H129" s="58"/>
      <c r="I129" s="358"/>
      <c r="J129" s="359"/>
      <c r="K129" s="26"/>
      <c r="L129" s="22"/>
      <c r="M129" s="22"/>
      <c r="N129" s="22"/>
      <c r="O129" s="22"/>
      <c r="P129" s="22"/>
      <c r="Q129" s="118"/>
      <c r="R129" s="22"/>
      <c r="S129" s="22"/>
      <c r="T129" s="22"/>
      <c r="U129" s="57"/>
      <c r="V129" s="57">
        <f t="shared" si="7"/>
        <v>0</v>
      </c>
      <c r="W129" s="57"/>
      <c r="X129" s="23"/>
    </row>
    <row r="130" spans="1:24" ht="12.75" hidden="1">
      <c r="A130" s="818"/>
      <c r="B130" s="874"/>
      <c r="C130" s="43"/>
      <c r="D130" s="58"/>
      <c r="E130" s="58"/>
      <c r="F130" s="58"/>
      <c r="G130" s="58"/>
      <c r="H130" s="58"/>
      <c r="I130" s="358"/>
      <c r="J130" s="359"/>
      <c r="K130" s="26"/>
      <c r="L130" s="22">
        <v>22611.84</v>
      </c>
      <c r="M130" s="118"/>
      <c r="N130" s="22"/>
      <c r="O130" s="22"/>
      <c r="P130" s="22"/>
      <c r="Q130" s="118"/>
      <c r="R130" s="22"/>
      <c r="S130" s="22"/>
      <c r="T130" s="22"/>
      <c r="U130" s="57"/>
      <c r="V130" s="57">
        <f t="shared" si="7"/>
        <v>0</v>
      </c>
      <c r="W130" s="57"/>
      <c r="X130" s="23"/>
    </row>
    <row r="131" spans="1:24" ht="12.75">
      <c r="A131" s="818"/>
      <c r="B131" s="874"/>
      <c r="C131" s="43" t="s">
        <v>315</v>
      </c>
      <c r="D131" s="58"/>
      <c r="E131" s="58"/>
      <c r="F131" s="58"/>
      <c r="G131" s="58"/>
      <c r="H131" s="58"/>
      <c r="I131" s="358"/>
      <c r="J131" s="359"/>
      <c r="K131" s="26"/>
      <c r="L131" s="22"/>
      <c r="M131" s="118">
        <v>31200</v>
      </c>
      <c r="N131" s="22"/>
      <c r="O131" s="22"/>
      <c r="P131" s="22"/>
      <c r="Q131" s="118"/>
      <c r="R131" s="22"/>
      <c r="S131" s="22"/>
      <c r="T131" s="22"/>
      <c r="U131" s="57">
        <v>13777</v>
      </c>
      <c r="V131" s="57"/>
      <c r="W131" s="57"/>
      <c r="X131" s="23">
        <f>U131+V131+W131</f>
        <v>13777</v>
      </c>
    </row>
    <row r="132" spans="1:24" ht="13.5" thickBot="1">
      <c r="A132" s="818"/>
      <c r="B132" s="874"/>
      <c r="C132" s="43" t="s">
        <v>454</v>
      </c>
      <c r="D132" s="58"/>
      <c r="E132" s="58"/>
      <c r="F132" s="58"/>
      <c r="G132" s="58"/>
      <c r="H132" s="58"/>
      <c r="I132" s="358"/>
      <c r="J132" s="359"/>
      <c r="K132" s="26"/>
      <c r="L132" s="22"/>
      <c r="M132" s="118"/>
      <c r="N132" s="22"/>
      <c r="O132" s="22"/>
      <c r="P132" s="22"/>
      <c r="Q132" s="118"/>
      <c r="R132" s="22"/>
      <c r="S132" s="22"/>
      <c r="T132" s="22"/>
      <c r="U132" s="57">
        <v>3000</v>
      </c>
      <c r="V132" s="57"/>
      <c r="W132" s="57"/>
      <c r="X132" s="23">
        <f>U132+V132+W132</f>
        <v>3000</v>
      </c>
    </row>
    <row r="133" spans="1:24" ht="12.75" hidden="1">
      <c r="A133" s="818"/>
      <c r="B133" s="874"/>
      <c r="C133" s="43"/>
      <c r="D133" s="58"/>
      <c r="E133" s="58"/>
      <c r="F133" s="58"/>
      <c r="G133" s="58"/>
      <c r="H133" s="58"/>
      <c r="I133" s="358"/>
      <c r="J133" s="359"/>
      <c r="K133" s="26"/>
      <c r="L133" s="22"/>
      <c r="M133" s="118">
        <v>12085.36</v>
      </c>
      <c r="N133" s="22"/>
      <c r="O133" s="22"/>
      <c r="P133" s="22"/>
      <c r="Q133" s="118"/>
      <c r="R133" s="22"/>
      <c r="S133" s="22"/>
      <c r="T133" s="22"/>
      <c r="U133" s="57"/>
      <c r="V133" s="57"/>
      <c r="W133" s="57"/>
      <c r="X133" s="23"/>
    </row>
    <row r="134" spans="1:24" ht="12.75" hidden="1">
      <c r="A134" s="818"/>
      <c r="B134" s="874"/>
      <c r="C134" s="43"/>
      <c r="D134" s="66"/>
      <c r="E134" s="66"/>
      <c r="F134" s="66"/>
      <c r="G134" s="66"/>
      <c r="H134" s="66"/>
      <c r="I134" s="360"/>
      <c r="J134" s="361"/>
      <c r="K134" s="30"/>
      <c r="L134" s="22"/>
      <c r="M134" s="118"/>
      <c r="N134" s="22"/>
      <c r="O134" s="22"/>
      <c r="P134" s="22"/>
      <c r="Q134" s="118"/>
      <c r="R134" s="22"/>
      <c r="S134" s="22"/>
      <c r="T134" s="22"/>
      <c r="U134" s="57"/>
      <c r="V134" s="57"/>
      <c r="W134" s="57"/>
      <c r="X134" s="23"/>
    </row>
    <row r="135" spans="1:24" ht="12.75" hidden="1">
      <c r="A135" s="818"/>
      <c r="B135" s="874"/>
      <c r="C135" s="43"/>
      <c r="D135" s="66"/>
      <c r="E135" s="66"/>
      <c r="F135" s="66"/>
      <c r="G135" s="66"/>
      <c r="H135" s="66"/>
      <c r="I135" s="360"/>
      <c r="J135" s="361"/>
      <c r="K135" s="30"/>
      <c r="L135" s="26"/>
      <c r="M135" s="202">
        <v>8850</v>
      </c>
      <c r="N135" s="44"/>
      <c r="O135" s="57"/>
      <c r="P135" s="57"/>
      <c r="Q135" s="73"/>
      <c r="R135" s="57"/>
      <c r="S135" s="57"/>
      <c r="T135" s="57"/>
      <c r="U135" s="57"/>
      <c r="V135" s="57"/>
      <c r="W135" s="57"/>
      <c r="X135" s="23"/>
    </row>
    <row r="136" spans="1:24" ht="12.75" hidden="1">
      <c r="A136" s="818"/>
      <c r="B136" s="874"/>
      <c r="C136" s="47"/>
      <c r="D136" s="66"/>
      <c r="E136" s="66"/>
      <c r="F136" s="66"/>
      <c r="G136" s="66"/>
      <c r="H136" s="66"/>
      <c r="I136" s="360"/>
      <c r="J136" s="361"/>
      <c r="K136" s="30"/>
      <c r="L136" s="70"/>
      <c r="M136" s="116"/>
      <c r="N136" s="70"/>
      <c r="O136" s="70"/>
      <c r="P136" s="70"/>
      <c r="Q136" s="116"/>
      <c r="R136" s="70"/>
      <c r="S136" s="70"/>
      <c r="T136" s="70"/>
      <c r="U136" s="57"/>
      <c r="V136" s="57"/>
      <c r="W136" s="57"/>
      <c r="X136" s="23"/>
    </row>
    <row r="137" spans="1:24" ht="13.5" hidden="1" thickBot="1">
      <c r="A137" s="819"/>
      <c r="B137" s="875"/>
      <c r="C137" s="47"/>
      <c r="D137" s="66"/>
      <c r="E137" s="66"/>
      <c r="F137" s="66"/>
      <c r="G137" s="66"/>
      <c r="H137" s="66"/>
      <c r="I137" s="360"/>
      <c r="J137" s="361"/>
      <c r="K137" s="30"/>
      <c r="L137" s="30"/>
      <c r="M137" s="220"/>
      <c r="N137" s="30"/>
      <c r="O137" s="30"/>
      <c r="P137" s="30"/>
      <c r="Q137" s="220"/>
      <c r="R137" s="30"/>
      <c r="S137" s="30"/>
      <c r="T137" s="30"/>
      <c r="U137" s="44"/>
      <c r="V137" s="44"/>
      <c r="W137" s="44"/>
      <c r="X137" s="27"/>
    </row>
    <row r="138" spans="1:24" ht="15.75" thickBot="1">
      <c r="A138" s="209" t="s">
        <v>15</v>
      </c>
      <c r="B138" s="770" t="s">
        <v>16</v>
      </c>
      <c r="C138" s="771"/>
      <c r="D138" s="6"/>
      <c r="E138" s="6"/>
      <c r="F138" s="6"/>
      <c r="G138" s="6"/>
      <c r="H138" s="6"/>
      <c r="I138" s="275">
        <v>104542</v>
      </c>
      <c r="J138" s="210">
        <v>66000</v>
      </c>
      <c r="K138" s="67">
        <f>K139+K142</f>
        <v>0</v>
      </c>
      <c r="L138" s="107"/>
      <c r="M138" s="107"/>
      <c r="N138" s="107"/>
      <c r="O138" s="107"/>
      <c r="P138" s="107">
        <v>35641.19</v>
      </c>
      <c r="Q138" s="551">
        <v>17</v>
      </c>
      <c r="R138" s="107"/>
      <c r="S138" s="107"/>
      <c r="T138" s="107"/>
      <c r="U138" s="67">
        <f>U139</f>
        <v>16500</v>
      </c>
      <c r="V138" s="67">
        <f aca="true" t="shared" si="8" ref="V138:V144">IF(S138=0,0,U138/S138)</f>
        <v>0</v>
      </c>
      <c r="W138" s="67">
        <f>W139</f>
        <v>0</v>
      </c>
      <c r="X138" s="68">
        <f>X139</f>
        <v>16500</v>
      </c>
    </row>
    <row r="139" spans="1:24" ht="13.5" thickBot="1">
      <c r="A139" s="433"/>
      <c r="B139" s="569"/>
      <c r="C139" s="569" t="s">
        <v>422</v>
      </c>
      <c r="D139" s="434"/>
      <c r="E139" s="434"/>
      <c r="F139" s="434"/>
      <c r="G139" s="434"/>
      <c r="H139" s="434"/>
      <c r="I139" s="434"/>
      <c r="J139" s="434"/>
      <c r="K139" s="434"/>
      <c r="L139" s="570"/>
      <c r="M139" s="569"/>
      <c r="N139" s="571"/>
      <c r="O139" s="571"/>
      <c r="P139" s="571"/>
      <c r="Q139" s="572"/>
      <c r="R139" s="569"/>
      <c r="S139" s="569"/>
      <c r="T139" s="569"/>
      <c r="U139" s="569">
        <v>16500</v>
      </c>
      <c r="V139" s="698"/>
      <c r="W139" s="569"/>
      <c r="X139" s="573">
        <f>U139+V139+W139</f>
        <v>16500</v>
      </c>
    </row>
    <row r="140" spans="1:24" ht="15.75" hidden="1" thickBot="1">
      <c r="A140" s="431" t="s">
        <v>21</v>
      </c>
      <c r="B140" s="830" t="s">
        <v>52</v>
      </c>
      <c r="C140" s="799"/>
      <c r="D140" s="434"/>
      <c r="E140" s="434"/>
      <c r="F140" s="434"/>
      <c r="G140" s="434"/>
      <c r="H140" s="434"/>
      <c r="I140" s="434"/>
      <c r="J140" s="434"/>
      <c r="K140" s="434"/>
      <c r="L140" s="541"/>
      <c r="M140" s="133"/>
      <c r="N140" s="434"/>
      <c r="O140" s="434"/>
      <c r="P140" s="569"/>
      <c r="Q140" s="572">
        <v>1550</v>
      </c>
      <c r="R140" s="571"/>
      <c r="S140" s="569"/>
      <c r="T140" s="571"/>
      <c r="U140" s="510">
        <f>U141</f>
        <v>0</v>
      </c>
      <c r="V140" s="499">
        <f t="shared" si="8"/>
        <v>0</v>
      </c>
      <c r="W140" s="569"/>
      <c r="X140" s="573"/>
    </row>
    <row r="141" spans="1:24" ht="13.5" hidden="1" thickBot="1">
      <c r="A141" s="433"/>
      <c r="B141" s="434"/>
      <c r="C141" s="132" t="s">
        <v>352</v>
      </c>
      <c r="D141" s="434"/>
      <c r="E141" s="434"/>
      <c r="F141" s="434"/>
      <c r="G141" s="434"/>
      <c r="H141" s="434"/>
      <c r="I141" s="434"/>
      <c r="J141" s="434"/>
      <c r="K141" s="434"/>
      <c r="L141" s="541"/>
      <c r="M141" s="133"/>
      <c r="N141" s="434"/>
      <c r="O141" s="434"/>
      <c r="P141" s="434"/>
      <c r="Q141" s="680"/>
      <c r="R141" s="132"/>
      <c r="S141" s="132"/>
      <c r="T141" s="132"/>
      <c r="U141" s="132"/>
      <c r="V141" s="699">
        <f t="shared" si="8"/>
        <v>0</v>
      </c>
      <c r="W141" s="132"/>
      <c r="X141" s="435"/>
    </row>
    <row r="142" spans="1:24" ht="13.5" hidden="1" thickBot="1">
      <c r="A142" s="355"/>
      <c r="B142" s="357"/>
      <c r="C142" s="145"/>
      <c r="D142" s="69"/>
      <c r="E142" s="69"/>
      <c r="F142" s="69"/>
      <c r="G142" s="69"/>
      <c r="H142" s="69"/>
      <c r="I142" s="69"/>
      <c r="J142" s="69"/>
      <c r="K142" s="70"/>
      <c r="L142" s="70"/>
      <c r="M142" s="70"/>
      <c r="N142" s="70"/>
      <c r="O142" s="70"/>
      <c r="P142" s="70"/>
      <c r="Q142" s="327"/>
      <c r="R142" s="239"/>
      <c r="S142" s="239"/>
      <c r="T142" s="239"/>
      <c r="U142" s="239"/>
      <c r="V142" s="239">
        <f t="shared" si="8"/>
        <v>0</v>
      </c>
      <c r="W142" s="239"/>
      <c r="X142" s="71"/>
    </row>
    <row r="143" spans="1:24" ht="13.5" hidden="1" thickBot="1">
      <c r="A143" s="436" t="s">
        <v>41</v>
      </c>
      <c r="B143" s="884" t="s">
        <v>23</v>
      </c>
      <c r="C143" s="885"/>
      <c r="D143" s="437"/>
      <c r="E143" s="437"/>
      <c r="F143" s="437"/>
      <c r="G143" s="437"/>
      <c r="H143" s="437"/>
      <c r="I143" s="129">
        <f>I144</f>
        <v>0</v>
      </c>
      <c r="J143" s="129">
        <f>J144</f>
        <v>0</v>
      </c>
      <c r="K143" s="129">
        <f>K144</f>
        <v>0</v>
      </c>
      <c r="L143" s="129">
        <f>L144</f>
        <v>82887.77</v>
      </c>
      <c r="M143" s="561">
        <v>7399.64</v>
      </c>
      <c r="N143" s="502">
        <v>0</v>
      </c>
      <c r="O143" s="502">
        <f>O144</f>
        <v>0</v>
      </c>
      <c r="P143" s="502"/>
      <c r="Q143" s="320"/>
      <c r="R143" s="502"/>
      <c r="S143" s="502"/>
      <c r="T143" s="502"/>
      <c r="U143" s="502">
        <f>U144</f>
        <v>0</v>
      </c>
      <c r="V143" s="37">
        <f t="shared" si="8"/>
        <v>0</v>
      </c>
      <c r="W143" s="502"/>
      <c r="X143" s="438"/>
    </row>
    <row r="144" spans="1:24" ht="13.5" hidden="1" thickBot="1">
      <c r="A144" s="355"/>
      <c r="B144" s="357"/>
      <c r="C144" s="434" t="s">
        <v>192</v>
      </c>
      <c r="D144" s="434"/>
      <c r="E144" s="434"/>
      <c r="F144" s="434"/>
      <c r="G144" s="434"/>
      <c r="H144" s="434"/>
      <c r="I144" s="69"/>
      <c r="J144" s="69"/>
      <c r="K144" s="70"/>
      <c r="L144" s="70">
        <v>82887.77</v>
      </c>
      <c r="M144" s="116">
        <v>7399.64</v>
      </c>
      <c r="N144" s="70"/>
      <c r="O144" s="70"/>
      <c r="P144" s="70"/>
      <c r="Q144" s="116"/>
      <c r="R144" s="70"/>
      <c r="S144" s="70"/>
      <c r="T144" s="70"/>
      <c r="U144" s="239"/>
      <c r="V144" s="239">
        <f t="shared" si="8"/>
        <v>0</v>
      </c>
      <c r="W144" s="239"/>
      <c r="X144" s="71"/>
    </row>
    <row r="145" spans="1:24" ht="17.25" thickBot="1" thickTop="1">
      <c r="A145" s="880" t="s">
        <v>42</v>
      </c>
      <c r="B145" s="881"/>
      <c r="C145" s="881"/>
      <c r="D145" s="101">
        <v>2988050</v>
      </c>
      <c r="E145" s="101">
        <v>1793069</v>
      </c>
      <c r="F145" s="101">
        <v>2942409</v>
      </c>
      <c r="G145" s="101">
        <v>4880528</v>
      </c>
      <c r="H145" s="101">
        <f aca="true" t="shared" si="9" ref="H145:O145">H122+H106+H114+H102+H72+H68+H60+H58+H51+H30+H12+H9+H4+H120+H138+H143</f>
        <v>5977301</v>
      </c>
      <c r="I145" s="101">
        <f t="shared" si="9"/>
        <v>5818483</v>
      </c>
      <c r="J145" s="101">
        <f t="shared" si="9"/>
        <v>4719096</v>
      </c>
      <c r="K145" s="101">
        <f t="shared" si="9"/>
        <v>3939694</v>
      </c>
      <c r="L145" s="101">
        <f t="shared" si="9"/>
        <v>1800938.79</v>
      </c>
      <c r="M145" s="351">
        <f t="shared" si="9"/>
        <v>2904600.1800000006</v>
      </c>
      <c r="N145" s="101">
        <f t="shared" si="9"/>
        <v>1348818.6500000001</v>
      </c>
      <c r="O145" s="351">
        <f t="shared" si="9"/>
        <v>1900647.68</v>
      </c>
      <c r="P145" s="101">
        <f>P122+P106+P114+P102+P72+P68+P60+P58+P51+P30+P12+P9+P4+P120+P138+P143+P100</f>
        <v>2329182.13</v>
      </c>
      <c r="Q145" s="351">
        <f>Q122+Q106+Q114+Q102+Q72+Q68+Q60+Q58+Q51+Q30+Q12+Q9+Q4+Q120+Q138+Q143+Q100+Q140</f>
        <v>2649518.4899999998</v>
      </c>
      <c r="R145" s="101">
        <f>R122+R106+R114+R102+R72+R68+R60+R58+R51+R30+R12+R9+R4+R120+R138+R143+R100+R140</f>
        <v>9465463</v>
      </c>
      <c r="S145" s="101">
        <v>6260788.56</v>
      </c>
      <c r="T145" s="101">
        <v>3770750.1299999994</v>
      </c>
      <c r="U145" s="101">
        <f>U122+U106+U114+U102+U72+U68+U60+U58+U51+U30+U12+U9+U4+U120+U138+U143+U100+U140</f>
        <v>3801351</v>
      </c>
      <c r="V145" s="101">
        <f>V122+V106+V114+V102+V72+V68+V60+V58+V51+V30+V12+V9+V4+V120+V138+V143+V100+V140</f>
        <v>0</v>
      </c>
      <c r="W145" s="101">
        <f>W122+W106+W114+W102+W72+W68+W60+W58+W51+W30+W12+W9+W4+W120+W138+W143+W100+W140</f>
        <v>10000</v>
      </c>
      <c r="X145" s="102">
        <f>X122+X106+X114+X102+X72+X68+X60+X58+X51+X30+X12+X9+X4+X120+X138+X143</f>
        <v>3811351</v>
      </c>
    </row>
    <row r="146" ht="13.5" thickTop="1"/>
    <row r="147" ht="9" customHeight="1"/>
    <row r="148" spans="17:24" ht="9" customHeight="1">
      <c r="Q148">
        <v>4970127</v>
      </c>
      <c r="U148" s="596"/>
      <c r="V148" s="2"/>
      <c r="W148" s="2"/>
      <c r="X148" s="2"/>
    </row>
    <row r="150" ht="18" customHeight="1"/>
    <row r="151" spans="17:24" ht="18" customHeight="1">
      <c r="Q151" s="2">
        <f>Q148-Q145</f>
        <v>2320608.5100000002</v>
      </c>
      <c r="R151" s="2"/>
      <c r="S151" s="2"/>
      <c r="T151" s="2"/>
      <c r="U151" s="596"/>
      <c r="V151" s="2"/>
      <c r="W151" s="2"/>
      <c r="X151" s="2"/>
    </row>
    <row r="157" spans="18:20" ht="12.75">
      <c r="R157" s="2"/>
      <c r="S157" s="2"/>
      <c r="T157" s="2"/>
    </row>
  </sheetData>
  <sheetProtection/>
  <mergeCells count="62">
    <mergeCell ref="A69:A71"/>
    <mergeCell ref="A115:A119"/>
    <mergeCell ref="B115:B119"/>
    <mergeCell ref="A107:A113"/>
    <mergeCell ref="B107:B113"/>
    <mergeCell ref="B72:C72"/>
    <mergeCell ref="B106:C106"/>
    <mergeCell ref="A73:A99"/>
    <mergeCell ref="B69:B71"/>
    <mergeCell ref="R2:R3"/>
    <mergeCell ref="B37:B49"/>
    <mergeCell ref="O2:O3"/>
    <mergeCell ref="N2:N3"/>
    <mergeCell ref="B13:B29"/>
    <mergeCell ref="B12:C12"/>
    <mergeCell ref="X2:X3"/>
    <mergeCell ref="Q2:Q3"/>
    <mergeCell ref="U2:U3"/>
    <mergeCell ref="P2:P3"/>
    <mergeCell ref="B143:C143"/>
    <mergeCell ref="B102:C102"/>
    <mergeCell ref="E2:E3"/>
    <mergeCell ref="B30:C30"/>
    <mergeCell ref="C2:C3"/>
    <mergeCell ref="B73:B99"/>
    <mergeCell ref="A145:C145"/>
    <mergeCell ref="B120:C120"/>
    <mergeCell ref="B122:C122"/>
    <mergeCell ref="A123:A137"/>
    <mergeCell ref="B123:B137"/>
    <mergeCell ref="B100:C100"/>
    <mergeCell ref="B140:C140"/>
    <mergeCell ref="B138:C138"/>
    <mergeCell ref="A1:J1"/>
    <mergeCell ref="I2:I3"/>
    <mergeCell ref="J2:J3"/>
    <mergeCell ref="H2:H3"/>
    <mergeCell ref="F2:F3"/>
    <mergeCell ref="B4:C4"/>
    <mergeCell ref="D2:D3"/>
    <mergeCell ref="A2:A3"/>
    <mergeCell ref="B2:B3"/>
    <mergeCell ref="V2:W2"/>
    <mergeCell ref="T2:T3"/>
    <mergeCell ref="S2:S3"/>
    <mergeCell ref="L2:L3"/>
    <mergeCell ref="B60:C60"/>
    <mergeCell ref="M2:M3"/>
    <mergeCell ref="B5:B8"/>
    <mergeCell ref="B10:B11"/>
    <mergeCell ref="B9:C9"/>
    <mergeCell ref="K2:K3"/>
    <mergeCell ref="B61:B67"/>
    <mergeCell ref="B68:C68"/>
    <mergeCell ref="B51:C51"/>
    <mergeCell ref="A61:A67"/>
    <mergeCell ref="G2:G3"/>
    <mergeCell ref="B114:C114"/>
    <mergeCell ref="A13:A29"/>
    <mergeCell ref="A5:A8"/>
    <mergeCell ref="A37:A49"/>
    <mergeCell ref="B58:C58"/>
  </mergeCells>
  <printOptions/>
  <pageMargins left="0" right="0" top="0.3937007874015748" bottom="0.984251968503937" header="0.5118110236220472" footer="0.5118110236220472"/>
  <pageSetup orientation="portrait" paperSize="9" scale="88" r:id="rId1"/>
  <ignoredErrors>
    <ignoredError sqref="U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AD43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7.8515625" style="0" customWidth="1"/>
    <col min="3" max="3" width="39.281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9" width="13.57421875" style="0" hidden="1" customWidth="1"/>
    <col min="20" max="20" width="13.421875" style="0" customWidth="1"/>
    <col min="21" max="23" width="12.00390625" style="0" customWidth="1"/>
    <col min="25" max="25" width="10.140625" style="0" bestFit="1" customWidth="1"/>
  </cols>
  <sheetData>
    <row r="1" ht="15">
      <c r="A1" s="726" t="s">
        <v>414</v>
      </c>
    </row>
    <row r="2" spans="1:10" ht="15.75" thickBot="1">
      <c r="A2" s="726" t="s">
        <v>415</v>
      </c>
      <c r="B2" s="725"/>
      <c r="C2" s="725"/>
      <c r="D2" s="725"/>
      <c r="E2" s="725"/>
      <c r="F2" s="725"/>
      <c r="G2" s="725"/>
      <c r="H2" s="725"/>
      <c r="I2" s="725"/>
      <c r="J2" s="725"/>
    </row>
    <row r="3" spans="1:23" ht="14.25" customHeight="1" thickTop="1">
      <c r="A3" s="792" t="s">
        <v>83</v>
      </c>
      <c r="B3" s="777" t="s">
        <v>84</v>
      </c>
      <c r="C3" s="763" t="s">
        <v>85</v>
      </c>
      <c r="D3" s="763" t="s">
        <v>175</v>
      </c>
      <c r="E3" s="763" t="s">
        <v>176</v>
      </c>
      <c r="F3" s="763" t="s">
        <v>177</v>
      </c>
      <c r="G3" s="763" t="s">
        <v>178</v>
      </c>
      <c r="H3" s="763" t="s">
        <v>179</v>
      </c>
      <c r="I3" s="763" t="s">
        <v>91</v>
      </c>
      <c r="J3" s="763" t="s">
        <v>92</v>
      </c>
      <c r="K3" s="763" t="s">
        <v>93</v>
      </c>
      <c r="L3" s="763" t="s">
        <v>94</v>
      </c>
      <c r="M3" s="763" t="s">
        <v>311</v>
      </c>
      <c r="N3" s="763" t="s">
        <v>324</v>
      </c>
      <c r="O3" s="763" t="s">
        <v>340</v>
      </c>
      <c r="P3" s="763" t="s">
        <v>346</v>
      </c>
      <c r="Q3" s="763" t="s">
        <v>359</v>
      </c>
      <c r="R3" s="763" t="s">
        <v>367</v>
      </c>
      <c r="S3" s="763" t="s">
        <v>368</v>
      </c>
      <c r="T3" s="763" t="s">
        <v>369</v>
      </c>
      <c r="U3" s="794" t="s">
        <v>405</v>
      </c>
      <c r="V3" s="697" t="s">
        <v>457</v>
      </c>
      <c r="W3" s="796" t="s">
        <v>404</v>
      </c>
    </row>
    <row r="4" spans="1:23" ht="27.75" customHeight="1" thickBot="1">
      <c r="A4" s="793"/>
      <c r="B4" s="778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95"/>
      <c r="V4" s="690" t="s">
        <v>96</v>
      </c>
      <c r="W4" s="797"/>
    </row>
    <row r="5" spans="1:23" ht="14.25" thickBot="1" thickTop="1">
      <c r="A5" s="39">
        <v>519</v>
      </c>
      <c r="B5" s="896" t="s">
        <v>53</v>
      </c>
      <c r="C5" s="897"/>
      <c r="D5" s="16">
        <f aca="true" t="shared" si="0" ref="D5:M5">SUM(D6:D11)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49">
        <f t="shared" si="0"/>
        <v>1041848.1</v>
      </c>
      <c r="M5" s="149">
        <f t="shared" si="0"/>
        <v>1842801.75</v>
      </c>
      <c r="N5" s="16">
        <f aca="true" t="shared" si="1" ref="N5:U5">SUM(N6:N11)</f>
        <v>1578149.94</v>
      </c>
      <c r="O5" s="149">
        <f t="shared" si="1"/>
        <v>597135.82</v>
      </c>
      <c r="P5" s="16">
        <f t="shared" si="1"/>
        <v>61339.119999999995</v>
      </c>
      <c r="Q5" s="149">
        <f t="shared" si="1"/>
        <v>493589.98</v>
      </c>
      <c r="R5" s="16">
        <f t="shared" si="1"/>
        <v>6345941</v>
      </c>
      <c r="S5" s="16">
        <v>5473933.26</v>
      </c>
      <c r="T5" s="149">
        <v>3663651.06</v>
      </c>
      <c r="U5" s="16">
        <f t="shared" si="1"/>
        <v>1870562</v>
      </c>
      <c r="V5" s="16">
        <f>SUM(V6:V11)</f>
        <v>-71755</v>
      </c>
      <c r="W5" s="17">
        <f>SUM(W6:W11)</f>
        <v>1798807</v>
      </c>
    </row>
    <row r="6" spans="1:23" ht="12.75">
      <c r="A6" s="768"/>
      <c r="B6" s="150"/>
      <c r="C6" s="41" t="s">
        <v>230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1">
        <v>96973.2</v>
      </c>
      <c r="M6" s="151">
        <v>633655.25</v>
      </c>
      <c r="N6" s="42">
        <v>1495900</v>
      </c>
      <c r="O6" s="151">
        <v>363308.49</v>
      </c>
      <c r="P6" s="151">
        <v>47962.56</v>
      </c>
      <c r="Q6" s="151">
        <v>347415</v>
      </c>
      <c r="R6" s="42">
        <v>3158344</v>
      </c>
      <c r="S6" s="42"/>
      <c r="T6" s="151">
        <v>74.89</v>
      </c>
      <c r="U6" s="42">
        <v>1277678</v>
      </c>
      <c r="V6" s="42">
        <v>-71755</v>
      </c>
      <c r="W6" s="94">
        <f aca="true" t="shared" si="2" ref="W6:W11">U6+V6</f>
        <v>1205923</v>
      </c>
    </row>
    <row r="7" spans="1:26" ht="12.75">
      <c r="A7" s="772"/>
      <c r="B7" s="682"/>
      <c r="C7" s="43" t="s">
        <v>428</v>
      </c>
      <c r="D7" s="43"/>
      <c r="E7" s="43"/>
      <c r="F7" s="43"/>
      <c r="G7" s="43"/>
      <c r="H7" s="43"/>
      <c r="I7" s="43"/>
      <c r="J7" s="44"/>
      <c r="K7" s="44"/>
      <c r="L7" s="114"/>
      <c r="M7" s="114"/>
      <c r="N7" s="44"/>
      <c r="O7" s="114"/>
      <c r="P7" s="114"/>
      <c r="Q7" s="114"/>
      <c r="R7" s="44"/>
      <c r="S7" s="44"/>
      <c r="T7" s="114"/>
      <c r="U7" s="44">
        <v>160000</v>
      </c>
      <c r="V7" s="44"/>
      <c r="W7" s="27">
        <f t="shared" si="2"/>
        <v>160000</v>
      </c>
      <c r="Z7" s="2"/>
    </row>
    <row r="8" spans="1:23" ht="12.75">
      <c r="A8" s="772"/>
      <c r="B8" s="682"/>
      <c r="C8" s="43" t="s">
        <v>363</v>
      </c>
      <c r="D8" s="43"/>
      <c r="E8" s="43"/>
      <c r="F8" s="43"/>
      <c r="G8" s="43"/>
      <c r="H8" s="43"/>
      <c r="I8" s="43"/>
      <c r="J8" s="44"/>
      <c r="K8" s="44"/>
      <c r="L8" s="114"/>
      <c r="M8" s="114"/>
      <c r="N8" s="44"/>
      <c r="O8" s="114"/>
      <c r="P8" s="114"/>
      <c r="Q8" s="114"/>
      <c r="R8" s="44"/>
      <c r="S8" s="44"/>
      <c r="T8" s="114"/>
      <c r="U8" s="44">
        <v>0</v>
      </c>
      <c r="V8" s="44"/>
      <c r="W8" s="27">
        <f t="shared" si="2"/>
        <v>0</v>
      </c>
    </row>
    <row r="9" spans="1:23" ht="12.75">
      <c r="A9" s="772"/>
      <c r="B9" s="682"/>
      <c r="C9" s="43" t="s">
        <v>362</v>
      </c>
      <c r="D9" s="43"/>
      <c r="E9" s="43"/>
      <c r="F9" s="43"/>
      <c r="G9" s="43"/>
      <c r="H9" s="43"/>
      <c r="I9" s="43"/>
      <c r="J9" s="44"/>
      <c r="K9" s="44"/>
      <c r="L9" s="114"/>
      <c r="M9" s="114"/>
      <c r="N9" s="44"/>
      <c r="O9" s="114"/>
      <c r="P9" s="114"/>
      <c r="Q9" s="114"/>
      <c r="R9" s="44"/>
      <c r="S9" s="44"/>
      <c r="T9" s="114"/>
      <c r="U9" s="44">
        <v>0</v>
      </c>
      <c r="V9" s="44"/>
      <c r="W9" s="27">
        <f t="shared" si="2"/>
        <v>0</v>
      </c>
    </row>
    <row r="10" spans="1:23" ht="12.75">
      <c r="A10" s="772"/>
      <c r="B10" s="682"/>
      <c r="C10" s="43" t="s">
        <v>450</v>
      </c>
      <c r="D10" s="43"/>
      <c r="E10" s="43"/>
      <c r="F10" s="43"/>
      <c r="G10" s="43"/>
      <c r="H10" s="43"/>
      <c r="I10" s="43"/>
      <c r="J10" s="44"/>
      <c r="K10" s="44"/>
      <c r="L10" s="114"/>
      <c r="M10" s="114"/>
      <c r="N10" s="44"/>
      <c r="O10" s="114"/>
      <c r="P10" s="114"/>
      <c r="Q10" s="114"/>
      <c r="R10" s="44"/>
      <c r="S10" s="44"/>
      <c r="T10" s="114">
        <v>3663576.17</v>
      </c>
      <c r="U10" s="44">
        <v>0</v>
      </c>
      <c r="V10" s="44"/>
      <c r="W10" s="27">
        <f t="shared" si="2"/>
        <v>0</v>
      </c>
    </row>
    <row r="11" spans="1:23" ht="13.5" thickBot="1">
      <c r="A11" s="788"/>
      <c r="B11" s="152"/>
      <c r="C11" s="673" t="s">
        <v>402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3">
        <v>250321</v>
      </c>
      <c r="L11" s="154">
        <v>944874.9</v>
      </c>
      <c r="M11" s="154">
        <v>1209146.5</v>
      </c>
      <c r="N11" s="153">
        <v>82249.94</v>
      </c>
      <c r="O11" s="154">
        <v>233827.33</v>
      </c>
      <c r="P11" s="154">
        <v>13376.56</v>
      </c>
      <c r="Q11" s="154">
        <v>146174.98</v>
      </c>
      <c r="R11" s="153">
        <v>3187597</v>
      </c>
      <c r="S11" s="153"/>
      <c r="T11" s="154"/>
      <c r="U11" s="60">
        <v>432884</v>
      </c>
      <c r="V11" s="60"/>
      <c r="W11" s="49">
        <f t="shared" si="2"/>
        <v>432884</v>
      </c>
    </row>
    <row r="12" spans="1:23" ht="13.5" thickBot="1">
      <c r="A12" s="18">
        <v>450</v>
      </c>
      <c r="B12" s="895" t="s">
        <v>141</v>
      </c>
      <c r="C12" s="841"/>
      <c r="D12" s="64">
        <f>SUM(D13:D22)</f>
        <v>499436</v>
      </c>
      <c r="E12" s="64">
        <v>313085</v>
      </c>
      <c r="F12" s="64">
        <v>834018</v>
      </c>
      <c r="G12" s="64">
        <f aca="true" t="shared" si="3" ref="G12:M12">SUM(G13:G22)</f>
        <v>822908</v>
      </c>
      <c r="H12" s="64">
        <f t="shared" si="3"/>
        <v>3260676</v>
      </c>
      <c r="I12" s="64">
        <f t="shared" si="3"/>
        <v>553863</v>
      </c>
      <c r="J12" s="64">
        <f t="shared" si="3"/>
        <v>509280</v>
      </c>
      <c r="K12" s="64">
        <f t="shared" si="3"/>
        <v>620269</v>
      </c>
      <c r="L12" s="155">
        <f t="shared" si="3"/>
        <v>259121.03000000003</v>
      </c>
      <c r="M12" s="155">
        <f t="shared" si="3"/>
        <v>923759.61</v>
      </c>
      <c r="N12" s="64">
        <f aca="true" t="shared" si="4" ref="N12:U12">SUM(N13:N22)</f>
        <v>913983.99</v>
      </c>
      <c r="O12" s="155">
        <f t="shared" si="4"/>
        <v>670041.3</v>
      </c>
      <c r="P12" s="64">
        <f t="shared" si="4"/>
        <v>1328239.53</v>
      </c>
      <c r="Q12" s="155">
        <f t="shared" si="4"/>
        <v>1106855.59</v>
      </c>
      <c r="R12" s="64">
        <f t="shared" si="4"/>
        <v>1237073</v>
      </c>
      <c r="S12" s="64">
        <v>2002013.71</v>
      </c>
      <c r="T12" s="155">
        <v>3964102.07</v>
      </c>
      <c r="U12" s="64">
        <f t="shared" si="4"/>
        <v>2356176</v>
      </c>
      <c r="V12" s="64">
        <f>SUM(V13:V22)</f>
        <v>71755</v>
      </c>
      <c r="W12" s="65">
        <f>SUM(W13:W22)</f>
        <v>2427931</v>
      </c>
    </row>
    <row r="13" spans="1:23" ht="12.75">
      <c r="A13" s="768"/>
      <c r="B13" s="150"/>
      <c r="C13" s="156" t="s">
        <v>56</v>
      </c>
      <c r="D13" s="156">
        <v>190367</v>
      </c>
      <c r="E13" s="156"/>
      <c r="F13" s="156"/>
      <c r="G13" s="42">
        <f>265551+398</f>
        <v>265949</v>
      </c>
      <c r="H13" s="156">
        <v>1534133</v>
      </c>
      <c r="I13" s="156">
        <v>43800</v>
      </c>
      <c r="J13" s="157"/>
      <c r="K13" s="158">
        <v>9775</v>
      </c>
      <c r="L13" s="159">
        <v>16185.64</v>
      </c>
      <c r="M13" s="159"/>
      <c r="N13" s="158">
        <v>191699.89</v>
      </c>
      <c r="O13" s="159"/>
      <c r="P13" s="159">
        <v>0</v>
      </c>
      <c r="Q13" s="159"/>
      <c r="R13" s="158"/>
      <c r="S13" s="158"/>
      <c r="T13" s="159">
        <v>187220.19</v>
      </c>
      <c r="U13" s="42">
        <v>0</v>
      </c>
      <c r="V13" s="42"/>
      <c r="W13" s="94">
        <f aca="true" t="shared" si="5" ref="W13:W22">U13+V13</f>
        <v>0</v>
      </c>
    </row>
    <row r="14" spans="1:23" ht="12.75">
      <c r="A14" s="772"/>
      <c r="B14" s="160"/>
      <c r="C14" s="161" t="s">
        <v>393</v>
      </c>
      <c r="D14" s="161"/>
      <c r="E14" s="161"/>
      <c r="F14" s="161"/>
      <c r="G14" s="57"/>
      <c r="H14" s="161"/>
      <c r="I14" s="161"/>
      <c r="J14" s="162"/>
      <c r="K14" s="163"/>
      <c r="L14" s="164"/>
      <c r="M14" s="164"/>
      <c r="N14" s="163"/>
      <c r="O14" s="164"/>
      <c r="P14" s="164"/>
      <c r="Q14" s="164"/>
      <c r="R14" s="163"/>
      <c r="S14" s="163"/>
      <c r="T14" s="164">
        <v>900947.68</v>
      </c>
      <c r="U14" s="57">
        <v>0</v>
      </c>
      <c r="V14" s="57"/>
      <c r="W14" s="23">
        <f t="shared" si="5"/>
        <v>0</v>
      </c>
    </row>
    <row r="15" spans="1:23" ht="12.75">
      <c r="A15" s="772"/>
      <c r="B15" s="160"/>
      <c r="C15" s="161" t="s">
        <v>394</v>
      </c>
      <c r="D15" s="161"/>
      <c r="E15" s="161"/>
      <c r="F15" s="161"/>
      <c r="G15" s="57"/>
      <c r="H15" s="161"/>
      <c r="I15" s="161"/>
      <c r="J15" s="162"/>
      <c r="K15" s="163"/>
      <c r="L15" s="164"/>
      <c r="M15" s="164"/>
      <c r="N15" s="163"/>
      <c r="O15" s="164"/>
      <c r="P15" s="164"/>
      <c r="Q15" s="164"/>
      <c r="R15" s="163"/>
      <c r="S15" s="163"/>
      <c r="T15" s="164">
        <v>2018383.84</v>
      </c>
      <c r="U15" s="57">
        <v>548863</v>
      </c>
      <c r="V15" s="57"/>
      <c r="W15" s="23">
        <f t="shared" si="5"/>
        <v>548863</v>
      </c>
    </row>
    <row r="16" spans="1:27" ht="12.75">
      <c r="A16" s="772"/>
      <c r="B16" s="160"/>
      <c r="C16" s="161" t="s">
        <v>57</v>
      </c>
      <c r="D16" s="161"/>
      <c r="E16" s="161"/>
      <c r="F16" s="161"/>
      <c r="G16" s="57"/>
      <c r="H16" s="161">
        <v>921499</v>
      </c>
      <c r="I16" s="161">
        <v>220604</v>
      </c>
      <c r="J16" s="162">
        <v>192501</v>
      </c>
      <c r="K16" s="163">
        <v>494</v>
      </c>
      <c r="L16" s="164">
        <v>208144.39</v>
      </c>
      <c r="M16" s="164">
        <v>907789.61</v>
      </c>
      <c r="N16" s="163">
        <v>686557.48</v>
      </c>
      <c r="O16" s="164">
        <v>142213.04</v>
      </c>
      <c r="P16" s="164">
        <v>663985.27</v>
      </c>
      <c r="Q16" s="164">
        <v>756524.1</v>
      </c>
      <c r="R16" s="163">
        <v>1033501</v>
      </c>
      <c r="S16" s="163"/>
      <c r="T16" s="164"/>
      <c r="U16" s="57">
        <v>663480</v>
      </c>
      <c r="V16" s="57"/>
      <c r="W16" s="23">
        <f t="shared" si="5"/>
        <v>663480</v>
      </c>
      <c r="AA16" s="2"/>
    </row>
    <row r="17" spans="1:23" ht="12.75">
      <c r="A17" s="772"/>
      <c r="B17" s="160"/>
      <c r="C17" s="161" t="s">
        <v>58</v>
      </c>
      <c r="D17" s="161"/>
      <c r="E17" s="161"/>
      <c r="F17" s="161"/>
      <c r="G17" s="57">
        <v>545044</v>
      </c>
      <c r="H17" s="161">
        <v>545044</v>
      </c>
      <c r="I17" s="161"/>
      <c r="J17" s="162"/>
      <c r="K17" s="163"/>
      <c r="L17" s="164"/>
      <c r="M17" s="164">
        <v>12870</v>
      </c>
      <c r="N17" s="163">
        <v>1275.2</v>
      </c>
      <c r="O17" s="164">
        <v>132643.71</v>
      </c>
      <c r="P17" s="164">
        <v>34091.29</v>
      </c>
      <c r="Q17" s="164"/>
      <c r="R17" s="163">
        <v>17000</v>
      </c>
      <c r="S17" s="163"/>
      <c r="T17" s="164">
        <v>847550.36</v>
      </c>
      <c r="U17" s="57">
        <v>0</v>
      </c>
      <c r="V17" s="57"/>
      <c r="W17" s="23">
        <f t="shared" si="5"/>
        <v>0</v>
      </c>
    </row>
    <row r="18" spans="1:23" ht="12.75">
      <c r="A18" s="772"/>
      <c r="B18" s="160"/>
      <c r="C18" s="161" t="s">
        <v>331</v>
      </c>
      <c r="D18" s="161"/>
      <c r="E18" s="161"/>
      <c r="F18" s="161"/>
      <c r="G18" s="57"/>
      <c r="H18" s="161"/>
      <c r="I18" s="161"/>
      <c r="J18" s="162"/>
      <c r="K18" s="163"/>
      <c r="L18" s="164"/>
      <c r="M18" s="164"/>
      <c r="N18" s="163">
        <v>34451.42</v>
      </c>
      <c r="O18" s="164"/>
      <c r="P18" s="164">
        <v>38214.90000000001</v>
      </c>
      <c r="Q18" s="164">
        <v>92167.17</v>
      </c>
      <c r="R18" s="163">
        <v>0</v>
      </c>
      <c r="S18" s="163"/>
      <c r="T18" s="164"/>
      <c r="U18" s="57">
        <v>0</v>
      </c>
      <c r="V18" s="57"/>
      <c r="W18" s="23">
        <f t="shared" si="5"/>
        <v>0</v>
      </c>
    </row>
    <row r="19" spans="1:30" ht="15.75">
      <c r="A19" s="772"/>
      <c r="B19" s="160"/>
      <c r="C19" s="161" t="s">
        <v>59</v>
      </c>
      <c r="D19" s="161">
        <v>309069</v>
      </c>
      <c r="E19" s="161"/>
      <c r="F19" s="161"/>
      <c r="G19" s="57"/>
      <c r="H19" s="161">
        <v>260000</v>
      </c>
      <c r="I19" s="161">
        <v>277803</v>
      </c>
      <c r="J19" s="162">
        <v>316779</v>
      </c>
      <c r="K19" s="163">
        <v>610000</v>
      </c>
      <c r="L19" s="164">
        <v>34791</v>
      </c>
      <c r="M19" s="164">
        <v>3100</v>
      </c>
      <c r="N19" s="163"/>
      <c r="O19" s="164">
        <v>365184.55000000005</v>
      </c>
      <c r="P19" s="164">
        <v>591948.07</v>
      </c>
      <c r="Q19" s="164">
        <v>258164.32</v>
      </c>
      <c r="R19" s="163">
        <v>186572</v>
      </c>
      <c r="S19" s="163"/>
      <c r="T19" s="164">
        <v>9999.999999999993</v>
      </c>
      <c r="U19" s="57">
        <v>712349</v>
      </c>
      <c r="V19" s="57">
        <f>82667+88</f>
        <v>82755</v>
      </c>
      <c r="W19" s="23">
        <f t="shared" si="5"/>
        <v>795104</v>
      </c>
      <c r="Y19" s="733"/>
      <c r="AB19" s="2"/>
      <c r="AD19" s="2"/>
    </row>
    <row r="20" spans="1:27" ht="12.75">
      <c r="A20" s="772"/>
      <c r="B20" s="160"/>
      <c r="C20" s="161" t="s">
        <v>390</v>
      </c>
      <c r="D20" s="161"/>
      <c r="E20" s="161"/>
      <c r="F20" s="161"/>
      <c r="G20" s="161">
        <v>11915</v>
      </c>
      <c r="H20" s="161"/>
      <c r="I20" s="161">
        <v>11656</v>
      </c>
      <c r="J20" s="162"/>
      <c r="K20" s="57"/>
      <c r="L20" s="73"/>
      <c r="M20" s="73">
        <v>0</v>
      </c>
      <c r="N20" s="57"/>
      <c r="O20" s="73">
        <v>30000</v>
      </c>
      <c r="P20" s="73">
        <v>0</v>
      </c>
      <c r="Q20" s="73"/>
      <c r="R20" s="57"/>
      <c r="S20" s="57"/>
      <c r="T20" s="57"/>
      <c r="U20" s="57">
        <v>431484</v>
      </c>
      <c r="V20" s="57">
        <v>-11000</v>
      </c>
      <c r="W20" s="23">
        <f t="shared" si="5"/>
        <v>420484</v>
      </c>
      <c r="Y20" s="2"/>
      <c r="AA20" s="2"/>
    </row>
    <row r="21" spans="1:23" ht="12.75">
      <c r="A21" s="772"/>
      <c r="B21" s="165"/>
      <c r="C21" s="166"/>
      <c r="D21" s="166"/>
      <c r="E21" s="166"/>
      <c r="F21" s="166"/>
      <c r="G21" s="166"/>
      <c r="H21" s="166"/>
      <c r="I21" s="166"/>
      <c r="J21" s="166"/>
      <c r="K21" s="44"/>
      <c r="L21" s="114"/>
      <c r="M21" s="114"/>
      <c r="N21" s="44"/>
      <c r="O21" s="114"/>
      <c r="P21" s="114">
        <v>0</v>
      </c>
      <c r="Q21" s="114"/>
      <c r="R21" s="44"/>
      <c r="S21" s="44"/>
      <c r="T21" s="44"/>
      <c r="U21" s="44">
        <v>0</v>
      </c>
      <c r="V21" s="44"/>
      <c r="W21" s="27">
        <f t="shared" si="5"/>
        <v>0</v>
      </c>
    </row>
    <row r="22" spans="1:26" ht="13.5" thickBot="1">
      <c r="A22" s="769"/>
      <c r="B22" s="165"/>
      <c r="C22" s="166"/>
      <c r="D22" s="166"/>
      <c r="E22" s="166"/>
      <c r="F22" s="166"/>
      <c r="G22" s="166"/>
      <c r="H22" s="166"/>
      <c r="I22" s="166"/>
      <c r="J22" s="166"/>
      <c r="K22" s="44"/>
      <c r="L22" s="114"/>
      <c r="M22" s="114"/>
      <c r="N22" s="44"/>
      <c r="O22" s="114"/>
      <c r="P22" s="114">
        <v>0</v>
      </c>
      <c r="Q22" s="114"/>
      <c r="R22" s="44"/>
      <c r="S22" s="44"/>
      <c r="T22" s="44"/>
      <c r="U22" s="44">
        <v>0</v>
      </c>
      <c r="V22" s="44"/>
      <c r="W22" s="27">
        <f t="shared" si="5"/>
        <v>0</v>
      </c>
      <c r="Y22" s="2"/>
      <c r="Z22" s="2"/>
    </row>
    <row r="23" spans="1:23" ht="14.25" thickBot="1" thickTop="1">
      <c r="A23" s="891" t="s">
        <v>231</v>
      </c>
      <c r="B23" s="892"/>
      <c r="C23" s="893"/>
      <c r="D23" s="167">
        <f aca="true" t="shared" si="6" ref="D23:M23">D12+D5</f>
        <v>499436</v>
      </c>
      <c r="E23" s="167">
        <f t="shared" si="6"/>
        <v>313085</v>
      </c>
      <c r="F23" s="167">
        <f t="shared" si="6"/>
        <v>1640749</v>
      </c>
      <c r="G23" s="167">
        <f t="shared" si="6"/>
        <v>2754938</v>
      </c>
      <c r="H23" s="167">
        <f t="shared" si="6"/>
        <v>4479434</v>
      </c>
      <c r="I23" s="167">
        <f t="shared" si="6"/>
        <v>2266668</v>
      </c>
      <c r="J23" s="167">
        <f t="shared" si="6"/>
        <v>1305406</v>
      </c>
      <c r="K23" s="167">
        <f t="shared" si="6"/>
        <v>1509534</v>
      </c>
      <c r="L23" s="168">
        <f t="shared" si="6"/>
        <v>1300969.13</v>
      </c>
      <c r="M23" s="168">
        <f t="shared" si="6"/>
        <v>2766561.36</v>
      </c>
      <c r="N23" s="167">
        <f aca="true" t="shared" si="7" ref="N23:U23">N12+N5</f>
        <v>2492133.9299999997</v>
      </c>
      <c r="O23" s="168">
        <f t="shared" si="7"/>
        <v>1267177.12</v>
      </c>
      <c r="P23" s="167">
        <f t="shared" si="7"/>
        <v>1389578.65</v>
      </c>
      <c r="Q23" s="168">
        <f t="shared" si="7"/>
        <v>1600445.57</v>
      </c>
      <c r="R23" s="167">
        <f t="shared" si="7"/>
        <v>7583014</v>
      </c>
      <c r="S23" s="167">
        <f t="shared" si="7"/>
        <v>7475946.97</v>
      </c>
      <c r="T23" s="168">
        <f t="shared" si="7"/>
        <v>7627753.13</v>
      </c>
      <c r="U23" s="167">
        <f t="shared" si="7"/>
        <v>4226738</v>
      </c>
      <c r="V23" s="167">
        <f>V12+V5</f>
        <v>0</v>
      </c>
      <c r="W23" s="169">
        <f>W12+W5</f>
        <v>4226738</v>
      </c>
    </row>
    <row r="24" spans="1:25" ht="13.5" thickTop="1">
      <c r="A24" s="894"/>
      <c r="B24" s="894"/>
      <c r="C24" s="894"/>
      <c r="D24" s="894"/>
      <c r="E24" s="894"/>
      <c r="F24" s="894"/>
      <c r="G24" s="894"/>
      <c r="H24" s="894"/>
      <c r="I24" s="894"/>
      <c r="J24" s="894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  <c r="Y24" s="2"/>
    </row>
    <row r="25" ht="12.75">
      <c r="U25" s="2"/>
    </row>
    <row r="28" spans="21:22" ht="12.75">
      <c r="U28" s="2"/>
      <c r="V28" s="2"/>
    </row>
    <row r="32" spans="19:25" ht="12.75">
      <c r="S32">
        <v>2616183</v>
      </c>
      <c r="Y32" s="2"/>
    </row>
    <row r="33" ht="12.75">
      <c r="S33" s="2">
        <f>U5+U16+U19</f>
        <v>3246391</v>
      </c>
    </row>
    <row r="38" ht="12.75">
      <c r="P38">
        <v>201116.24</v>
      </c>
    </row>
    <row r="39" ht="12.75">
      <c r="P39">
        <v>35159.37</v>
      </c>
    </row>
    <row r="40" spans="16:18" ht="12.75">
      <c r="P40">
        <f>SUM(P38:P39)</f>
        <v>236275.61</v>
      </c>
      <c r="R40">
        <v>643000</v>
      </c>
    </row>
    <row r="43" ht="12.75">
      <c r="S43">
        <f>R40-P40</f>
        <v>406724.39</v>
      </c>
    </row>
  </sheetData>
  <sheetProtection/>
  <mergeCells count="28">
    <mergeCell ref="P3:P4"/>
    <mergeCell ref="B3:B4"/>
    <mergeCell ref="C3:C4"/>
    <mergeCell ref="D3:D4"/>
    <mergeCell ref="N3:N4"/>
    <mergeCell ref="L3:L4"/>
    <mergeCell ref="M3:M4"/>
    <mergeCell ref="E3:E4"/>
    <mergeCell ref="A23:C23"/>
    <mergeCell ref="A24:J24"/>
    <mergeCell ref="B12:C12"/>
    <mergeCell ref="A13:A22"/>
    <mergeCell ref="F3:F4"/>
    <mergeCell ref="A6:A11"/>
    <mergeCell ref="B5:C5"/>
    <mergeCell ref="I3:I4"/>
    <mergeCell ref="J3:J4"/>
    <mergeCell ref="A3:A4"/>
    <mergeCell ref="T3:T4"/>
    <mergeCell ref="S3:S4"/>
    <mergeCell ref="W3:W4"/>
    <mergeCell ref="G3:G4"/>
    <mergeCell ref="H3:H4"/>
    <mergeCell ref="K3:K4"/>
    <mergeCell ref="U3:U4"/>
    <mergeCell ref="O3:O4"/>
    <mergeCell ref="Q3:Q4"/>
    <mergeCell ref="R3:R4"/>
  </mergeCells>
  <printOptions/>
  <pageMargins left="0.15748031496062992" right="0.7480314960629921" top="0.3937007874015748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Z17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7.8515625" style="0" customWidth="1"/>
    <col min="3" max="3" width="35.140625" style="0" customWidth="1"/>
    <col min="4" max="10" width="9.140625" style="0" hidden="1" customWidth="1"/>
    <col min="11" max="11" width="0" style="0" hidden="1" customWidth="1"/>
    <col min="12" max="19" width="11.7109375" style="0" hidden="1" customWidth="1"/>
    <col min="20" max="20" width="11.421875" style="0" customWidth="1"/>
    <col min="21" max="21" width="10.57421875" style="0" customWidth="1"/>
    <col min="22" max="23" width="9.57421875" style="0" customWidth="1"/>
    <col min="24" max="24" width="10.57421875" style="0" customWidth="1"/>
    <col min="26" max="26" width="10.140625" style="0" bestFit="1" customWidth="1"/>
  </cols>
  <sheetData>
    <row r="1" spans="1:22" ht="13.5" thickBot="1">
      <c r="A1" s="876" t="s">
        <v>232</v>
      </c>
      <c r="B1" s="876"/>
      <c r="C1" s="876"/>
      <c r="D1" s="876"/>
      <c r="E1" s="876"/>
      <c r="F1" s="876"/>
      <c r="G1" s="876"/>
      <c r="H1" s="876"/>
      <c r="I1" s="876"/>
      <c r="J1" s="876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1"/>
      <c r="V1" s="171"/>
    </row>
    <row r="2" spans="1:24" ht="14.25" customHeight="1" thickBot="1" thickTop="1">
      <c r="A2" s="898" t="s">
        <v>43</v>
      </c>
      <c r="B2" s="878" t="s">
        <v>84</v>
      </c>
      <c r="C2" s="852" t="s">
        <v>44</v>
      </c>
      <c r="D2" s="763" t="s">
        <v>175</v>
      </c>
      <c r="E2" s="763" t="s">
        <v>176</v>
      </c>
      <c r="F2" s="763" t="s">
        <v>177</v>
      </c>
      <c r="G2" s="763" t="s">
        <v>178</v>
      </c>
      <c r="H2" s="763" t="s">
        <v>179</v>
      </c>
      <c r="I2" s="763" t="s">
        <v>91</v>
      </c>
      <c r="J2" s="763" t="s">
        <v>92</v>
      </c>
      <c r="K2" s="763" t="s">
        <v>93</v>
      </c>
      <c r="L2" s="763" t="s">
        <v>94</v>
      </c>
      <c r="M2" s="763" t="s">
        <v>311</v>
      </c>
      <c r="N2" s="763" t="s">
        <v>324</v>
      </c>
      <c r="O2" s="763" t="s">
        <v>340</v>
      </c>
      <c r="P2" s="763" t="s">
        <v>346</v>
      </c>
      <c r="Q2" s="763" t="s">
        <v>359</v>
      </c>
      <c r="R2" s="763" t="s">
        <v>367</v>
      </c>
      <c r="S2" s="763" t="s">
        <v>368</v>
      </c>
      <c r="T2" s="763" t="s">
        <v>369</v>
      </c>
      <c r="U2" s="794" t="s">
        <v>405</v>
      </c>
      <c r="V2" s="850" t="s">
        <v>457</v>
      </c>
      <c r="W2" s="851"/>
      <c r="X2" s="796" t="s">
        <v>404</v>
      </c>
    </row>
    <row r="3" spans="1:24" ht="25.5" customHeight="1" thickBot="1">
      <c r="A3" s="899"/>
      <c r="B3" s="879"/>
      <c r="C3" s="853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95"/>
      <c r="V3" s="692" t="s">
        <v>233</v>
      </c>
      <c r="W3" s="693" t="s">
        <v>229</v>
      </c>
      <c r="X3" s="797"/>
    </row>
    <row r="4" spans="1:24" ht="14.25" thickBot="1" thickTop="1">
      <c r="A4" s="173" t="s">
        <v>61</v>
      </c>
      <c r="B4" s="896" t="s">
        <v>53</v>
      </c>
      <c r="C4" s="897"/>
      <c r="D4" s="174">
        <f aca="true" t="shared" si="0" ref="D4:V4">SUM(D5:D11)</f>
        <v>477793</v>
      </c>
      <c r="E4" s="174">
        <f t="shared" si="0"/>
        <v>470856</v>
      </c>
      <c r="F4" s="174">
        <f t="shared" si="0"/>
        <v>334085</v>
      </c>
      <c r="G4" s="174">
        <f t="shared" si="0"/>
        <v>1303204</v>
      </c>
      <c r="H4" s="174">
        <f t="shared" si="0"/>
        <v>978096</v>
      </c>
      <c r="I4" s="174">
        <f t="shared" si="0"/>
        <v>1356608</v>
      </c>
      <c r="J4" s="174">
        <f t="shared" si="0"/>
        <v>1191263</v>
      </c>
      <c r="K4" s="174">
        <f t="shared" si="0"/>
        <v>977990</v>
      </c>
      <c r="L4" s="175">
        <f t="shared" si="0"/>
        <v>439019.94999999995</v>
      </c>
      <c r="M4" s="175">
        <f t="shared" si="0"/>
        <v>540080.3</v>
      </c>
      <c r="N4" s="655">
        <f>SUM(N5:N11)</f>
        <v>2548753.6599999997</v>
      </c>
      <c r="O4" s="655">
        <f>SUM(O5:O11)</f>
        <v>484835.82</v>
      </c>
      <c r="P4" s="654">
        <f>SUM(P5:P11)</f>
        <v>849215.54</v>
      </c>
      <c r="Q4" s="655">
        <f>SUM(Q5:Q11)</f>
        <v>553837.26</v>
      </c>
      <c r="R4" s="654">
        <f t="shared" si="0"/>
        <v>919778</v>
      </c>
      <c r="S4" s="654">
        <f>SUM(S5:S11)</f>
        <v>614297.92</v>
      </c>
      <c r="T4" s="655">
        <v>5533098.83</v>
      </c>
      <c r="U4" s="654">
        <f t="shared" si="0"/>
        <v>706391</v>
      </c>
      <c r="V4" s="654">
        <f t="shared" si="0"/>
        <v>0</v>
      </c>
      <c r="W4" s="174">
        <f>SUM(W5:W11)</f>
        <v>0</v>
      </c>
      <c r="X4" s="176">
        <f>SUM(X5:X11)</f>
        <v>706391</v>
      </c>
    </row>
    <row r="5" spans="1:26" ht="12.75">
      <c r="A5" s="900"/>
      <c r="B5" s="177"/>
      <c r="C5" s="177" t="s">
        <v>234</v>
      </c>
      <c r="D5" s="177">
        <v>307741</v>
      </c>
      <c r="E5" s="177">
        <v>188873</v>
      </c>
      <c r="F5" s="177">
        <v>209516</v>
      </c>
      <c r="G5" s="177">
        <v>326854</v>
      </c>
      <c r="H5" s="177">
        <v>199897</v>
      </c>
      <c r="I5" s="177">
        <v>22394</v>
      </c>
      <c r="J5" s="178">
        <v>122620</v>
      </c>
      <c r="K5" s="179">
        <v>207083</v>
      </c>
      <c r="L5" s="180">
        <v>173080.99</v>
      </c>
      <c r="M5" s="180">
        <v>233161.19</v>
      </c>
      <c r="N5" s="650">
        <v>1839260.43</v>
      </c>
      <c r="O5" s="650">
        <v>338571.97</v>
      </c>
      <c r="P5" s="650">
        <v>367612.56</v>
      </c>
      <c r="Q5" s="650">
        <v>378931.96</v>
      </c>
      <c r="R5" s="564">
        <v>428301</v>
      </c>
      <c r="S5" s="564">
        <v>444893.33</v>
      </c>
      <c r="T5" s="650"/>
      <c r="U5" s="534">
        <f>159432+184116</f>
        <v>343548</v>
      </c>
      <c r="V5" s="700"/>
      <c r="W5" s="534"/>
      <c r="X5" s="181">
        <f>U5+V5+W5</f>
        <v>343548</v>
      </c>
      <c r="Z5" s="441"/>
    </row>
    <row r="6" spans="1:24" ht="12.75">
      <c r="A6" s="901"/>
      <c r="B6" s="182"/>
      <c r="C6" s="183" t="s">
        <v>235</v>
      </c>
      <c r="D6" s="183"/>
      <c r="E6" s="183"/>
      <c r="F6" s="183"/>
      <c r="G6" s="183"/>
      <c r="H6" s="183">
        <v>490783</v>
      </c>
      <c r="I6" s="183">
        <v>1098574</v>
      </c>
      <c r="J6" s="184">
        <v>733308</v>
      </c>
      <c r="K6" s="185">
        <v>631012</v>
      </c>
      <c r="L6" s="186">
        <v>171789.61</v>
      </c>
      <c r="M6" s="186">
        <v>233027.7</v>
      </c>
      <c r="N6" s="651">
        <v>497600.75</v>
      </c>
      <c r="O6" s="651"/>
      <c r="P6" s="651">
        <v>363308.49</v>
      </c>
      <c r="Q6" s="651"/>
      <c r="R6" s="565">
        <v>400000</v>
      </c>
      <c r="S6" s="565">
        <v>18960</v>
      </c>
      <c r="T6" s="651">
        <v>74.39</v>
      </c>
      <c r="U6" s="95">
        <v>205952</v>
      </c>
      <c r="V6" s="701"/>
      <c r="W6" s="95"/>
      <c r="X6" s="97">
        <f aca="true" t="shared" si="1" ref="X6:X11">U6+V6+W6</f>
        <v>205952</v>
      </c>
    </row>
    <row r="7" spans="1:24" ht="12.75">
      <c r="A7" s="901"/>
      <c r="B7" s="187"/>
      <c r="C7" s="119" t="s">
        <v>236</v>
      </c>
      <c r="D7" s="119"/>
      <c r="E7" s="119"/>
      <c r="F7" s="119"/>
      <c r="G7" s="119"/>
      <c r="H7" s="119">
        <v>52527</v>
      </c>
      <c r="I7" s="119">
        <v>53214</v>
      </c>
      <c r="J7" s="95">
        <v>53736</v>
      </c>
      <c r="K7" s="185">
        <v>54692</v>
      </c>
      <c r="L7" s="186">
        <v>59829.25</v>
      </c>
      <c r="M7" s="186">
        <v>73891.41</v>
      </c>
      <c r="N7" s="651">
        <v>74759.43</v>
      </c>
      <c r="O7" s="651">
        <v>75808.05</v>
      </c>
      <c r="P7" s="651">
        <v>76653.59</v>
      </c>
      <c r="Q7" s="651">
        <v>77863.88</v>
      </c>
      <c r="R7" s="565">
        <v>91477</v>
      </c>
      <c r="S7" s="565">
        <v>133280.82</v>
      </c>
      <c r="T7" s="651">
        <v>134390.62</v>
      </c>
      <c r="U7" s="185">
        <v>156891</v>
      </c>
      <c r="V7" s="702"/>
      <c r="W7" s="185"/>
      <c r="X7" s="188">
        <f t="shared" si="1"/>
        <v>156891</v>
      </c>
    </row>
    <row r="8" spans="1:26" ht="12.75">
      <c r="A8" s="901"/>
      <c r="B8" s="189"/>
      <c r="C8" s="183" t="s">
        <v>235</v>
      </c>
      <c r="D8" s="190">
        <v>2622</v>
      </c>
      <c r="E8" s="190">
        <v>6805</v>
      </c>
      <c r="F8" s="190">
        <v>5206</v>
      </c>
      <c r="G8" s="190">
        <v>73230</v>
      </c>
      <c r="H8" s="190">
        <v>22330</v>
      </c>
      <c r="I8" s="190">
        <v>7462</v>
      </c>
      <c r="J8" s="191"/>
      <c r="K8" s="95"/>
      <c r="L8" s="192"/>
      <c r="M8" s="192"/>
      <c r="N8" s="641">
        <v>114400.25</v>
      </c>
      <c r="O8" s="641"/>
      <c r="P8" s="641"/>
      <c r="Q8" s="641">
        <v>44078.86</v>
      </c>
      <c r="R8" s="96"/>
      <c r="S8" s="96"/>
      <c r="T8" s="641">
        <v>1671513.3</v>
      </c>
      <c r="U8" s="95"/>
      <c r="V8" s="701"/>
      <c r="W8" s="95"/>
      <c r="X8" s="97">
        <f t="shared" si="1"/>
        <v>0</v>
      </c>
      <c r="Z8" s="2"/>
    </row>
    <row r="9" spans="1:26" ht="12.75">
      <c r="A9" s="901"/>
      <c r="B9" s="189"/>
      <c r="C9" s="183" t="s">
        <v>235</v>
      </c>
      <c r="D9" s="190"/>
      <c r="E9" s="190"/>
      <c r="F9" s="190"/>
      <c r="G9" s="190"/>
      <c r="H9" s="190"/>
      <c r="I9" s="190"/>
      <c r="J9" s="191"/>
      <c r="K9" s="95"/>
      <c r="L9" s="192"/>
      <c r="M9" s="192"/>
      <c r="N9" s="641">
        <v>11332.8</v>
      </c>
      <c r="O9" s="641"/>
      <c r="P9" s="641">
        <v>14992.5</v>
      </c>
      <c r="Q9" s="641"/>
      <c r="R9" s="96"/>
      <c r="S9" s="96"/>
      <c r="T9" s="641">
        <v>3717120.52</v>
      </c>
      <c r="U9" s="95"/>
      <c r="V9" s="701"/>
      <c r="W9" s="95"/>
      <c r="X9" s="97">
        <f t="shared" si="1"/>
        <v>0</v>
      </c>
      <c r="Z9" s="2"/>
    </row>
    <row r="10" spans="1:24" ht="12.75">
      <c r="A10" s="901"/>
      <c r="B10" s="187"/>
      <c r="C10" s="187" t="s">
        <v>395</v>
      </c>
      <c r="D10" s="187"/>
      <c r="E10" s="187">
        <v>275178</v>
      </c>
      <c r="F10" s="187"/>
      <c r="G10" s="187">
        <v>903120</v>
      </c>
      <c r="H10" s="187">
        <v>212559</v>
      </c>
      <c r="I10" s="187">
        <v>174964</v>
      </c>
      <c r="J10" s="193">
        <v>281599</v>
      </c>
      <c r="K10" s="193">
        <v>85203</v>
      </c>
      <c r="L10" s="194">
        <v>34320.1</v>
      </c>
      <c r="M10" s="194">
        <v>0</v>
      </c>
      <c r="N10" s="652"/>
      <c r="O10" s="652">
        <v>70455.80000000005</v>
      </c>
      <c r="P10" s="652"/>
      <c r="Q10" s="652">
        <v>47962.56</v>
      </c>
      <c r="R10" s="566"/>
      <c r="S10" s="566"/>
      <c r="T10" s="652"/>
      <c r="U10" s="193">
        <v>0</v>
      </c>
      <c r="V10" s="703"/>
      <c r="W10" s="193"/>
      <c r="X10" s="195">
        <f t="shared" si="1"/>
        <v>0</v>
      </c>
    </row>
    <row r="11" spans="1:24" ht="13.5" thickBot="1">
      <c r="A11" s="902"/>
      <c r="B11" s="196"/>
      <c r="C11" s="187" t="s">
        <v>331</v>
      </c>
      <c r="D11" s="196">
        <v>167430</v>
      </c>
      <c r="E11" s="196">
        <v>0</v>
      </c>
      <c r="F11" s="196">
        <v>119363</v>
      </c>
      <c r="G11" s="196"/>
      <c r="H11" s="196"/>
      <c r="I11" s="196"/>
      <c r="J11" s="197"/>
      <c r="K11" s="197"/>
      <c r="L11" s="198"/>
      <c r="M11" s="198">
        <v>0</v>
      </c>
      <c r="N11" s="653">
        <v>11400</v>
      </c>
      <c r="O11" s="653"/>
      <c r="P11" s="653">
        <v>26648.4</v>
      </c>
      <c r="Q11" s="653">
        <v>5000</v>
      </c>
      <c r="R11" s="567"/>
      <c r="S11" s="567">
        <v>17163.77</v>
      </c>
      <c r="T11" s="653">
        <v>10000</v>
      </c>
      <c r="U11" s="197">
        <v>0</v>
      </c>
      <c r="V11" s="704"/>
      <c r="W11" s="197"/>
      <c r="X11" s="447">
        <f t="shared" si="1"/>
        <v>0</v>
      </c>
    </row>
    <row r="12" spans="1:24" ht="14.25" thickBot="1" thickTop="1">
      <c r="A12" s="891" t="s">
        <v>231</v>
      </c>
      <c r="B12" s="892"/>
      <c r="C12" s="893"/>
      <c r="D12" s="167">
        <f aca="true" t="shared" si="2" ref="D12:V12">D4</f>
        <v>477793</v>
      </c>
      <c r="E12" s="167">
        <f t="shared" si="2"/>
        <v>470856</v>
      </c>
      <c r="F12" s="167">
        <f t="shared" si="2"/>
        <v>334085</v>
      </c>
      <c r="G12" s="167">
        <f t="shared" si="2"/>
        <v>1303204</v>
      </c>
      <c r="H12" s="167">
        <f t="shared" si="2"/>
        <v>978096</v>
      </c>
      <c r="I12" s="167">
        <f t="shared" si="2"/>
        <v>1356608</v>
      </c>
      <c r="J12" s="167">
        <f t="shared" si="2"/>
        <v>1191263</v>
      </c>
      <c r="K12" s="167">
        <f t="shared" si="2"/>
        <v>977990</v>
      </c>
      <c r="L12" s="168">
        <f t="shared" si="2"/>
        <v>439019.94999999995</v>
      </c>
      <c r="M12" s="168">
        <f t="shared" si="2"/>
        <v>540080.3</v>
      </c>
      <c r="N12" s="657">
        <f t="shared" si="2"/>
        <v>2548753.6599999997</v>
      </c>
      <c r="O12" s="168">
        <f t="shared" si="2"/>
        <v>484835.82</v>
      </c>
      <c r="P12" s="656">
        <f t="shared" si="2"/>
        <v>849215.54</v>
      </c>
      <c r="Q12" s="168">
        <f t="shared" si="2"/>
        <v>553837.26</v>
      </c>
      <c r="R12" s="167">
        <f t="shared" si="2"/>
        <v>919778</v>
      </c>
      <c r="S12" s="167">
        <f t="shared" si="2"/>
        <v>614297.92</v>
      </c>
      <c r="T12" s="168">
        <f t="shared" si="2"/>
        <v>5533098.83</v>
      </c>
      <c r="U12" s="167">
        <f t="shared" si="2"/>
        <v>706391</v>
      </c>
      <c r="V12" s="167">
        <f t="shared" si="2"/>
        <v>0</v>
      </c>
      <c r="W12" s="167">
        <f>W4</f>
        <v>0</v>
      </c>
      <c r="X12" s="169">
        <f>X4</f>
        <v>706391</v>
      </c>
    </row>
    <row r="13" ht="13.5" thickTop="1"/>
    <row r="14" spans="18:21" ht="12.75">
      <c r="R14" s="2">
        <f>R7+R5</f>
        <v>519778</v>
      </c>
      <c r="S14" s="2"/>
      <c r="T14" s="2"/>
      <c r="U14" s="2"/>
    </row>
    <row r="16" ht="12.75">
      <c r="Z16" s="2"/>
    </row>
    <row r="17" ht="12.75">
      <c r="T17" s="2"/>
    </row>
  </sheetData>
  <sheetProtection/>
  <mergeCells count="27">
    <mergeCell ref="A1:J1"/>
    <mergeCell ref="H2:H3"/>
    <mergeCell ref="U2:U3"/>
    <mergeCell ref="L2:L3"/>
    <mergeCell ref="J2:J3"/>
    <mergeCell ref="K2:K3"/>
    <mergeCell ref="E2:E3"/>
    <mergeCell ref="O2:O3"/>
    <mergeCell ref="Q2:Q3"/>
    <mergeCell ref="R2:R3"/>
    <mergeCell ref="X2:X3"/>
    <mergeCell ref="A5:A11"/>
    <mergeCell ref="G2:G3"/>
    <mergeCell ref="N2:N3"/>
    <mergeCell ref="I2:I3"/>
    <mergeCell ref="P2:P3"/>
    <mergeCell ref="S2:S3"/>
    <mergeCell ref="T2:T3"/>
    <mergeCell ref="V2:W2"/>
    <mergeCell ref="A12:C12"/>
    <mergeCell ref="B4:C4"/>
    <mergeCell ref="M2:M3"/>
    <mergeCell ref="A2:A3"/>
    <mergeCell ref="B2:B3"/>
    <mergeCell ref="C2:C3"/>
    <mergeCell ref="F2:F3"/>
    <mergeCell ref="D2:D3"/>
  </mergeCells>
  <printOptions/>
  <pageMargins left="0.75" right="0.75" top="1" bottom="1" header="0.4921259845" footer="0.4921259845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H83"/>
  <sheetViews>
    <sheetView zoomScalePageLayoutView="0" workbookViewId="0" topLeftCell="A1">
      <selection activeCell="A1" sqref="A1:W1"/>
    </sheetView>
  </sheetViews>
  <sheetFormatPr defaultColWidth="9.140625" defaultRowHeight="12.75"/>
  <cols>
    <col min="1" max="1" width="47.00390625" style="0" customWidth="1"/>
    <col min="2" max="16" width="14.421875" style="0" hidden="1" customWidth="1"/>
    <col min="17" max="18" width="14.421875" style="0" customWidth="1"/>
    <col min="19" max="19" width="13.140625" style="0" customWidth="1"/>
    <col min="20" max="20" width="11.8515625" style="0" customWidth="1"/>
    <col min="21" max="21" width="10.421875" style="0" customWidth="1"/>
    <col min="22" max="23" width="13.28125" style="0" customWidth="1"/>
    <col min="25" max="25" width="9.7109375" style="0" bestFit="1" customWidth="1"/>
    <col min="26" max="26" width="10.140625" style="0" hidden="1" customWidth="1"/>
    <col min="27" max="27" width="11.421875" style="0" hidden="1" customWidth="1"/>
    <col min="28" max="28" width="0" style="0" hidden="1" customWidth="1"/>
    <col min="29" max="29" width="12.140625" style="0" hidden="1" customWidth="1"/>
    <col min="30" max="30" width="10.140625" style="0" bestFit="1" customWidth="1"/>
  </cols>
  <sheetData>
    <row r="1" spans="1:23" ht="15">
      <c r="A1" s="926" t="s">
        <v>297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</row>
    <row r="2" spans="1:21" ht="13.5" thickBot="1">
      <c r="A2" s="608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170"/>
      <c r="M2" s="170"/>
      <c r="N2" s="170"/>
      <c r="O2" s="170"/>
      <c r="P2" s="170"/>
      <c r="Q2" s="170"/>
      <c r="R2" s="170"/>
      <c r="S2" s="171"/>
      <c r="T2" s="171"/>
      <c r="U2" s="171"/>
    </row>
    <row r="3" spans="1:23" ht="13.5" customHeight="1" thickTop="1">
      <c r="A3" s="927" t="s">
        <v>85</v>
      </c>
      <c r="B3" s="763" t="s">
        <v>175</v>
      </c>
      <c r="C3" s="763" t="s">
        <v>176</v>
      </c>
      <c r="D3" s="763" t="s">
        <v>177</v>
      </c>
      <c r="E3" s="763" t="s">
        <v>178</v>
      </c>
      <c r="F3" s="763" t="s">
        <v>179</v>
      </c>
      <c r="G3" s="763" t="s">
        <v>91</v>
      </c>
      <c r="H3" s="763" t="s">
        <v>92</v>
      </c>
      <c r="I3" s="763" t="s">
        <v>93</v>
      </c>
      <c r="J3" s="763" t="s">
        <v>94</v>
      </c>
      <c r="K3" s="763" t="s">
        <v>311</v>
      </c>
      <c r="L3" s="763" t="s">
        <v>324</v>
      </c>
      <c r="M3" s="763" t="s">
        <v>340</v>
      </c>
      <c r="N3" s="763" t="s">
        <v>346</v>
      </c>
      <c r="O3" s="763" t="s">
        <v>359</v>
      </c>
      <c r="P3" s="763" t="s">
        <v>367</v>
      </c>
      <c r="Q3" s="763" t="s">
        <v>368</v>
      </c>
      <c r="R3" s="763" t="s">
        <v>369</v>
      </c>
      <c r="S3" s="922" t="s">
        <v>405</v>
      </c>
      <c r="T3" s="913" t="s">
        <v>457</v>
      </c>
      <c r="U3" s="914"/>
      <c r="V3" s="871"/>
      <c r="W3" s="919" t="s">
        <v>404</v>
      </c>
    </row>
    <row r="4" spans="1:23" ht="12.75">
      <c r="A4" s="928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23"/>
      <c r="T4" s="915" t="s">
        <v>96</v>
      </c>
      <c r="U4" s="916"/>
      <c r="V4" s="917"/>
      <c r="W4" s="920"/>
    </row>
    <row r="5" spans="1:23" ht="13.5" thickBot="1">
      <c r="A5" s="928"/>
      <c r="B5" s="764"/>
      <c r="C5" s="764"/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924"/>
      <c r="T5" s="691" t="s">
        <v>233</v>
      </c>
      <c r="U5" s="689" t="s">
        <v>237</v>
      </c>
      <c r="V5" s="705" t="s">
        <v>229</v>
      </c>
      <c r="W5" s="921"/>
    </row>
    <row r="6" spans="1:29" ht="13.5" thickTop="1">
      <c r="A6" s="443" t="s">
        <v>298</v>
      </c>
      <c r="B6" s="444">
        <f>'Bežné príjmy'!D114</f>
        <v>7125871</v>
      </c>
      <c r="C6" s="444">
        <f>'Bežné príjmy'!E114</f>
        <v>7561840</v>
      </c>
      <c r="D6" s="444">
        <f>'Bežné príjmy'!F114</f>
        <v>9082354</v>
      </c>
      <c r="E6" s="444">
        <f>'Bežné príjmy'!G114</f>
        <v>9080838</v>
      </c>
      <c r="F6" s="444">
        <f>'Bežné príjmy'!H114</f>
        <v>8537685</v>
      </c>
      <c r="G6" s="444">
        <f>'Bežné príjmy'!I114</f>
        <v>9096722</v>
      </c>
      <c r="H6" s="444">
        <f>'Bežné príjmy'!J114</f>
        <v>9101831</v>
      </c>
      <c r="I6" s="444">
        <f>'Bežné príjmy'!K114</f>
        <v>9711561</v>
      </c>
      <c r="J6" s="444">
        <f>'Bežné príjmy'!L114</f>
        <v>9640328.239999998</v>
      </c>
      <c r="K6" s="511">
        <f>'Bežné príjmy'!M114</f>
        <v>10013437.42</v>
      </c>
      <c r="L6" s="511">
        <f>'Bežné príjmy'!N114</f>
        <v>10746706.560000002</v>
      </c>
      <c r="M6" s="511">
        <f>'Bežné príjmy'!O114</f>
        <v>10947354.260000002</v>
      </c>
      <c r="N6" s="444">
        <f>'Bežné príjmy'!P114</f>
        <v>11835790.83</v>
      </c>
      <c r="O6" s="511">
        <f>'Bežné príjmy'!Q114</f>
        <v>12870365.969999999</v>
      </c>
      <c r="P6" s="511">
        <f>'Bežné príjmy'!R114</f>
        <v>13601928.51</v>
      </c>
      <c r="Q6" s="511">
        <f>'Bežné príjmy'!S114</f>
        <v>14215260.54</v>
      </c>
      <c r="R6" s="511">
        <f>'Bežné príjmy'!T114</f>
        <v>15098744.33</v>
      </c>
      <c r="S6" s="444">
        <f>'Bežné príjmy'!U114</f>
        <v>16320653.469999999</v>
      </c>
      <c r="T6" s="904">
        <f>'Bežné príjmy'!V114</f>
        <v>135700.3</v>
      </c>
      <c r="U6" s="905"/>
      <c r="V6" s="906"/>
      <c r="W6" s="445">
        <f>S6+T6</f>
        <v>16456353.77</v>
      </c>
      <c r="X6" s="2"/>
      <c r="Y6" s="2"/>
      <c r="Z6" s="2"/>
      <c r="AA6" s="2"/>
      <c r="AB6" s="2"/>
      <c r="AC6" s="2"/>
    </row>
    <row r="7" spans="1:31" ht="13.5" thickBot="1">
      <c r="A7" s="446" t="s">
        <v>299</v>
      </c>
      <c r="B7" s="197">
        <f>'bežné výdavky'!D216</f>
        <v>5867125</v>
      </c>
      <c r="C7" s="197">
        <f>'bežné výdavky'!E216</f>
        <v>6460200</v>
      </c>
      <c r="D7" s="197">
        <f>'bežné výdavky'!F216</f>
        <v>7832271</v>
      </c>
      <c r="E7" s="197">
        <f>'bežné výdavky'!G216</f>
        <v>8716285.43</v>
      </c>
      <c r="F7" s="197">
        <f>'bežné výdavky'!H216</f>
        <v>9309387</v>
      </c>
      <c r="G7" s="197">
        <f>'bežné výdavky'!I216</f>
        <v>8743512.2</v>
      </c>
      <c r="H7" s="197">
        <f>'bežné výdavky'!J216</f>
        <v>8908071</v>
      </c>
      <c r="I7" s="197">
        <f>'bežné výdavky'!K216</f>
        <v>8934542</v>
      </c>
      <c r="J7" s="197">
        <f>'bežné výdavky'!L216</f>
        <v>9572545.38</v>
      </c>
      <c r="K7" s="198">
        <f>'bežné výdavky'!M216</f>
        <v>9554914.799999999</v>
      </c>
      <c r="L7" s="198">
        <f>'bežné výdavky'!N216</f>
        <v>9695081.340000002</v>
      </c>
      <c r="M7" s="198">
        <f>'bežné výdavky'!O216</f>
        <v>10029034.879999999</v>
      </c>
      <c r="N7" s="197">
        <f>'bežné výdavky'!P216</f>
        <v>10815176.44</v>
      </c>
      <c r="O7" s="198">
        <f>'bežné výdavky'!Q216</f>
        <v>12072287.610000001</v>
      </c>
      <c r="P7" s="198">
        <f>'bežné výdavky'!R216</f>
        <v>12278088</v>
      </c>
      <c r="Q7" s="198">
        <f>'bežné výdavky'!S216</f>
        <v>13351433.260000002</v>
      </c>
      <c r="R7" s="198">
        <f>'bežné výdavky'!T216</f>
        <v>14806830.810000002</v>
      </c>
      <c r="S7" s="197">
        <f>'bežné výdavky'!U216</f>
        <v>16419913.469999999</v>
      </c>
      <c r="T7" s="197">
        <f>'bežné výdavky'!V216</f>
        <v>0</v>
      </c>
      <c r="U7" s="197">
        <f>'bežné výdavky'!W216</f>
        <v>145788</v>
      </c>
      <c r="V7" s="197"/>
      <c r="W7" s="447">
        <f>S7+T7+U7</f>
        <v>16565701.469999999</v>
      </c>
      <c r="X7" s="2"/>
      <c r="Y7" s="2"/>
      <c r="Z7" s="2"/>
      <c r="AA7" s="2"/>
      <c r="AB7" s="2"/>
      <c r="AC7" s="2"/>
      <c r="AD7" s="2"/>
      <c r="AE7" s="2"/>
    </row>
    <row r="8" spans="1:33" ht="15.75" thickBot="1">
      <c r="A8" s="448" t="s">
        <v>300</v>
      </c>
      <c r="B8" s="449">
        <f aca="true" t="shared" si="0" ref="B8:K8">B6-B7</f>
        <v>1258746</v>
      </c>
      <c r="C8" s="449">
        <f t="shared" si="0"/>
        <v>1101640</v>
      </c>
      <c r="D8" s="449">
        <f t="shared" si="0"/>
        <v>1250083</v>
      </c>
      <c r="E8" s="449">
        <f t="shared" si="0"/>
        <v>364552.5700000003</v>
      </c>
      <c r="F8" s="449">
        <f t="shared" si="0"/>
        <v>-771702</v>
      </c>
      <c r="G8" s="449">
        <f t="shared" si="0"/>
        <v>353209.80000000075</v>
      </c>
      <c r="H8" s="449">
        <f t="shared" si="0"/>
        <v>193760</v>
      </c>
      <c r="I8" s="449">
        <f t="shared" si="0"/>
        <v>777019</v>
      </c>
      <c r="J8" s="450">
        <f t="shared" si="0"/>
        <v>67782.85999999754</v>
      </c>
      <c r="K8" s="450">
        <f t="shared" si="0"/>
        <v>458522.62000000104</v>
      </c>
      <c r="L8" s="450">
        <f aca="true" t="shared" si="1" ref="L8:S8">L6-L7</f>
        <v>1051625.2200000007</v>
      </c>
      <c r="M8" s="450">
        <f t="shared" si="1"/>
        <v>918319.3800000027</v>
      </c>
      <c r="N8" s="449">
        <f t="shared" si="1"/>
        <v>1020614.3900000006</v>
      </c>
      <c r="O8" s="450">
        <f t="shared" si="1"/>
        <v>798078.3599999975</v>
      </c>
      <c r="P8" s="450">
        <f t="shared" si="1"/>
        <v>1323840.5099999998</v>
      </c>
      <c r="Q8" s="450">
        <f t="shared" si="1"/>
        <v>863827.2799999975</v>
      </c>
      <c r="R8" s="450">
        <f t="shared" si="1"/>
        <v>291913.5199999977</v>
      </c>
      <c r="S8" s="449">
        <f t="shared" si="1"/>
        <v>-99260</v>
      </c>
      <c r="T8" s="907">
        <f>T6-(U7+T7)</f>
        <v>-10087.700000000012</v>
      </c>
      <c r="U8" s="908"/>
      <c r="V8" s="909"/>
      <c r="W8" s="451">
        <f>W6-W7</f>
        <v>-109347.69999999925</v>
      </c>
      <c r="Y8" s="2"/>
      <c r="Z8" s="2"/>
      <c r="AA8" s="2"/>
      <c r="AD8" s="2"/>
      <c r="AE8" s="2"/>
      <c r="AG8" s="2"/>
    </row>
    <row r="9" spans="1:30" ht="14.25" thickBot="1" thickTop="1">
      <c r="A9" s="938"/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40"/>
      <c r="Z9" s="2"/>
      <c r="AA9" s="2"/>
      <c r="AD9" s="2"/>
    </row>
    <row r="10" spans="1:33" ht="13.5" thickTop="1">
      <c r="A10" s="443" t="s">
        <v>301</v>
      </c>
      <c r="B10" s="444">
        <f>'Kapitálové príjmy'!D54</f>
        <v>2113092</v>
      </c>
      <c r="C10" s="444">
        <f>'Kapitálové príjmy'!E54</f>
        <v>1017958</v>
      </c>
      <c r="D10" s="444">
        <f>'Kapitálové príjmy'!F54</f>
        <v>1245369</v>
      </c>
      <c r="E10" s="444">
        <f>'Kapitálové príjmy'!G54</f>
        <v>4391413</v>
      </c>
      <c r="F10" s="444">
        <f>'Kapitálové príjmy'!H54</f>
        <v>3456141</v>
      </c>
      <c r="G10" s="444">
        <f>'Kapitálové príjmy'!I54</f>
        <v>4649713</v>
      </c>
      <c r="H10" s="444">
        <f>'Kapitálové príjmy'!J54</f>
        <v>4502774.06</v>
      </c>
      <c r="I10" s="444">
        <f>'Kapitálové príjmy'!K54</f>
        <v>3678497</v>
      </c>
      <c r="J10" s="444">
        <f>'Kapitálové príjmy'!L54</f>
        <v>1218338.5899999999</v>
      </c>
      <c r="K10" s="511">
        <f>'Kapitálové príjmy'!M54</f>
        <v>752297.52</v>
      </c>
      <c r="L10" s="511">
        <f>'Kapitálové príjmy'!N54</f>
        <v>935536.18</v>
      </c>
      <c r="M10" s="511">
        <f>'Kapitálové príjmy'!O54</f>
        <v>1696241.7999999998</v>
      </c>
      <c r="N10" s="444">
        <f>'Kapitálové príjmy'!P54</f>
        <v>2123247.52</v>
      </c>
      <c r="O10" s="511">
        <f>'Kapitálové príjmy'!Q54</f>
        <v>1526662.64</v>
      </c>
      <c r="P10" s="511">
        <f>'Kapitálové príjmy'!R54</f>
        <v>2638168</v>
      </c>
      <c r="Q10" s="511">
        <f>'Kapitálové príjmy'!S54</f>
        <v>2862309.5</v>
      </c>
      <c r="R10" s="511">
        <f>'Kapitálové príjmy'!T54</f>
        <v>3393484.54</v>
      </c>
      <c r="S10" s="444">
        <f>'Kapitálové príjmy'!U54</f>
        <v>380264</v>
      </c>
      <c r="T10" s="904">
        <f>'Kapitálové príjmy'!V54</f>
        <v>20088</v>
      </c>
      <c r="U10" s="905"/>
      <c r="V10" s="906"/>
      <c r="W10" s="445">
        <f>S10+T10</f>
        <v>400352</v>
      </c>
      <c r="Z10" s="2"/>
      <c r="AA10" s="2"/>
      <c r="AB10" s="2"/>
      <c r="AC10" s="2"/>
      <c r="AG10" s="2"/>
    </row>
    <row r="11" spans="1:30" ht="13.5" thickBot="1">
      <c r="A11" s="446" t="s">
        <v>302</v>
      </c>
      <c r="B11" s="197">
        <f>'Kapitálové výdavky'!D145</f>
        <v>2988050</v>
      </c>
      <c r="C11" s="197">
        <f>'Kapitálové výdavky'!E145</f>
        <v>1793069</v>
      </c>
      <c r="D11" s="197">
        <f>'Kapitálové výdavky'!F145</f>
        <v>2942409</v>
      </c>
      <c r="E11" s="197">
        <f>'Kapitálové výdavky'!G145</f>
        <v>4880528</v>
      </c>
      <c r="F11" s="197">
        <f>'Kapitálové výdavky'!H145</f>
        <v>5977301</v>
      </c>
      <c r="G11" s="197">
        <f>'Kapitálové výdavky'!I145</f>
        <v>5818483</v>
      </c>
      <c r="H11" s="197">
        <f>'Kapitálové výdavky'!J145</f>
        <v>4719096</v>
      </c>
      <c r="I11" s="197">
        <f>'Kapitálové výdavky'!K145</f>
        <v>3939694</v>
      </c>
      <c r="J11" s="197">
        <f>'Kapitálové výdavky'!L145</f>
        <v>1800938.79</v>
      </c>
      <c r="K11" s="198">
        <f>'Kapitálové výdavky'!M145</f>
        <v>2904600.1800000006</v>
      </c>
      <c r="L11" s="198">
        <f>'Kapitálové výdavky'!N145</f>
        <v>1348818.6500000001</v>
      </c>
      <c r="M11" s="198">
        <f>'Kapitálové výdavky'!O145</f>
        <v>1900647.68</v>
      </c>
      <c r="N11" s="197">
        <f>'Kapitálové výdavky'!P145</f>
        <v>2329182.13</v>
      </c>
      <c r="O11" s="198">
        <f>'Kapitálové výdavky'!Q145</f>
        <v>2649518.4899999998</v>
      </c>
      <c r="P11" s="198">
        <f>'Kapitálové výdavky'!R145</f>
        <v>9465463</v>
      </c>
      <c r="Q11" s="198">
        <f>'Kapitálové výdavky'!S145</f>
        <v>6260788.56</v>
      </c>
      <c r="R11" s="198">
        <f>'Kapitálové výdavky'!T145</f>
        <v>3770750.1299999994</v>
      </c>
      <c r="S11" s="197">
        <f>'Kapitálové výdavky'!U145</f>
        <v>3801351</v>
      </c>
      <c r="T11" s="197">
        <f>'Kapitálové výdavky'!V145</f>
        <v>0</v>
      </c>
      <c r="U11" s="197">
        <f>'Kapitálové výdavky'!W145</f>
        <v>10000</v>
      </c>
      <c r="V11" s="197">
        <f>'bežné výdavky'!W220</f>
        <v>0</v>
      </c>
      <c r="W11" s="447">
        <f>S11+T11+U11</f>
        <v>3811351</v>
      </c>
      <c r="Z11" s="2"/>
      <c r="AA11" s="2"/>
      <c r="AB11" s="2"/>
      <c r="AC11" s="2"/>
      <c r="AD11" s="2"/>
    </row>
    <row r="12" spans="1:31" ht="15.75" thickBot="1">
      <c r="A12" s="452" t="s">
        <v>303</v>
      </c>
      <c r="B12" s="453">
        <f aca="true" t="shared" si="2" ref="B12:K12">B10-B11</f>
        <v>-874958</v>
      </c>
      <c r="C12" s="453">
        <f t="shared" si="2"/>
        <v>-775111</v>
      </c>
      <c r="D12" s="453">
        <f t="shared" si="2"/>
        <v>-1697040</v>
      </c>
      <c r="E12" s="453">
        <f t="shared" si="2"/>
        <v>-489115</v>
      </c>
      <c r="F12" s="453">
        <f t="shared" si="2"/>
        <v>-2521160</v>
      </c>
      <c r="G12" s="453">
        <f t="shared" si="2"/>
        <v>-1168770</v>
      </c>
      <c r="H12" s="453">
        <f t="shared" si="2"/>
        <v>-216321.9400000004</v>
      </c>
      <c r="I12" s="453">
        <f t="shared" si="2"/>
        <v>-261197</v>
      </c>
      <c r="J12" s="454">
        <f t="shared" si="2"/>
        <v>-582600.2000000002</v>
      </c>
      <c r="K12" s="454">
        <f t="shared" si="2"/>
        <v>-2152302.6600000006</v>
      </c>
      <c r="L12" s="454">
        <f aca="true" t="shared" si="3" ref="L12:S12">L10-L11</f>
        <v>-413282.4700000001</v>
      </c>
      <c r="M12" s="454">
        <f t="shared" si="3"/>
        <v>-204405.88000000012</v>
      </c>
      <c r="N12" s="453">
        <f t="shared" si="3"/>
        <v>-205934.60999999987</v>
      </c>
      <c r="O12" s="454">
        <f t="shared" si="3"/>
        <v>-1122855.8499999999</v>
      </c>
      <c r="P12" s="454">
        <f t="shared" si="3"/>
        <v>-6827295</v>
      </c>
      <c r="Q12" s="454">
        <f t="shared" si="3"/>
        <v>-3398479.0599999996</v>
      </c>
      <c r="R12" s="454">
        <f t="shared" si="3"/>
        <v>-377265.5899999994</v>
      </c>
      <c r="S12" s="453">
        <f t="shared" si="3"/>
        <v>-3421087</v>
      </c>
      <c r="T12" s="907">
        <f>T10-(U11+T11)</f>
        <v>10088</v>
      </c>
      <c r="U12" s="908"/>
      <c r="V12" s="909"/>
      <c r="W12" s="455">
        <f>W10-W11</f>
        <v>-3410999</v>
      </c>
      <c r="Y12" s="2"/>
      <c r="Z12" s="2"/>
      <c r="AA12" s="2"/>
      <c r="AC12" s="2"/>
      <c r="AD12" s="2"/>
      <c r="AE12" s="2"/>
    </row>
    <row r="13" spans="1:30" ht="14.25" thickBot="1" thickTop="1">
      <c r="A13" s="938"/>
      <c r="B13" s="939"/>
      <c r="C13" s="939"/>
      <c r="D13" s="939"/>
      <c r="E13" s="939"/>
      <c r="F13" s="939"/>
      <c r="G13" s="939"/>
      <c r="H13" s="939"/>
      <c r="I13" s="939"/>
      <c r="J13" s="939"/>
      <c r="K13" s="939"/>
      <c r="L13" s="939"/>
      <c r="M13" s="939"/>
      <c r="N13" s="939"/>
      <c r="O13" s="939"/>
      <c r="P13" s="939"/>
      <c r="Q13" s="939"/>
      <c r="R13" s="939"/>
      <c r="S13" s="939"/>
      <c r="T13" s="939"/>
      <c r="U13" s="939"/>
      <c r="V13" s="939"/>
      <c r="W13" s="940"/>
      <c r="Z13" s="2"/>
      <c r="AA13" s="2"/>
      <c r="AD13" s="2"/>
    </row>
    <row r="14" spans="1:29" ht="13.5" thickTop="1">
      <c r="A14" s="443" t="s">
        <v>304</v>
      </c>
      <c r="B14" s="444">
        <f>'Fin operácie - príjmy'!D23</f>
        <v>499436</v>
      </c>
      <c r="C14" s="444">
        <f>'Fin operácie - príjmy'!E23</f>
        <v>313085</v>
      </c>
      <c r="D14" s="444">
        <f>'Fin operácie - príjmy'!F23</f>
        <v>1640749</v>
      </c>
      <c r="E14" s="444">
        <f>'Fin operácie - príjmy'!G23</f>
        <v>2754938</v>
      </c>
      <c r="F14" s="444">
        <f>'Fin operácie - príjmy'!H23</f>
        <v>4479434</v>
      </c>
      <c r="G14" s="444">
        <f>'Fin operácie - príjmy'!I23</f>
        <v>2266668</v>
      </c>
      <c r="H14" s="444">
        <f>'Fin operácie - príjmy'!J23</f>
        <v>1305406</v>
      </c>
      <c r="I14" s="444">
        <f>'Fin operácie - príjmy'!K23</f>
        <v>1509534</v>
      </c>
      <c r="J14" s="444">
        <f>'Fin operácie - príjmy'!L23</f>
        <v>1300969.13</v>
      </c>
      <c r="K14" s="511">
        <f>'Fin operácie - príjmy'!M23</f>
        <v>2766561.36</v>
      </c>
      <c r="L14" s="511">
        <f>'Fin operácie - príjmy'!N23</f>
        <v>2492133.9299999997</v>
      </c>
      <c r="M14" s="511">
        <f>'Fin operácie - príjmy'!O23</f>
        <v>1267177.12</v>
      </c>
      <c r="N14" s="444">
        <f>'Fin operácie - príjmy'!P23</f>
        <v>1389578.65</v>
      </c>
      <c r="O14" s="511">
        <f>'Fin operácie - príjmy'!Q23</f>
        <v>1600445.57</v>
      </c>
      <c r="P14" s="511">
        <f>'Fin operácie - príjmy'!R23</f>
        <v>7583014</v>
      </c>
      <c r="Q14" s="511">
        <f>'Fin operácie - príjmy'!S23</f>
        <v>7475946.97</v>
      </c>
      <c r="R14" s="511">
        <f>'Fin operácie - príjmy'!T23</f>
        <v>7627753.13</v>
      </c>
      <c r="S14" s="444">
        <f>'Fin operácie - príjmy'!U23</f>
        <v>4226738</v>
      </c>
      <c r="T14" s="904">
        <f>'Fin operácie - príjmy'!V23</f>
        <v>0</v>
      </c>
      <c r="U14" s="905"/>
      <c r="V14" s="906"/>
      <c r="W14" s="445">
        <f>S14+T14</f>
        <v>4226738</v>
      </c>
      <c r="Y14" s="2"/>
      <c r="Z14" s="2"/>
      <c r="AA14" s="2"/>
      <c r="AB14" s="2"/>
      <c r="AC14" s="2"/>
    </row>
    <row r="15" spans="1:30" ht="13.5" thickBot="1">
      <c r="A15" s="446" t="s">
        <v>305</v>
      </c>
      <c r="B15" s="197">
        <f>'Finančné operácie - výdavky'!D12</f>
        <v>477793</v>
      </c>
      <c r="C15" s="197">
        <f>'Finančné operácie - výdavky'!E12</f>
        <v>470856</v>
      </c>
      <c r="D15" s="197">
        <f>'Finančné operácie - výdavky'!F12</f>
        <v>334085</v>
      </c>
      <c r="E15" s="197">
        <f>'Finančné operácie - výdavky'!G12</f>
        <v>1303204</v>
      </c>
      <c r="F15" s="197">
        <f>'Finančné operácie - výdavky'!H12</f>
        <v>978096</v>
      </c>
      <c r="G15" s="197">
        <f>'Finančné operácie - výdavky'!I12</f>
        <v>1356608</v>
      </c>
      <c r="H15" s="197">
        <f>'Finančné operácie - výdavky'!J12</f>
        <v>1191263</v>
      </c>
      <c r="I15" s="197">
        <f>'Finančné operácie - výdavky'!K12</f>
        <v>977990</v>
      </c>
      <c r="J15" s="197">
        <f>'Finančné operácie - výdavky'!L12</f>
        <v>439019.94999999995</v>
      </c>
      <c r="K15" s="198">
        <f>'Finančné operácie - výdavky'!M12</f>
        <v>540080.3</v>
      </c>
      <c r="L15" s="198">
        <f>'Finančné operácie - výdavky'!N12</f>
        <v>2548753.6599999997</v>
      </c>
      <c r="M15" s="198">
        <f>'Finančné operácie - výdavky'!O12</f>
        <v>484835.82</v>
      </c>
      <c r="N15" s="197">
        <f>'Finančné operácie - výdavky'!P12</f>
        <v>849215.54</v>
      </c>
      <c r="O15" s="198">
        <f>'Finančné operácie - výdavky'!Q12</f>
        <v>553837.26</v>
      </c>
      <c r="P15" s="198">
        <f>'Finančné operácie - výdavky'!R12</f>
        <v>919778</v>
      </c>
      <c r="Q15" s="198">
        <f>'Finančné operácie - výdavky'!S12</f>
        <v>614297.92</v>
      </c>
      <c r="R15" s="198">
        <f>'Finančné operácie - výdavky'!T12</f>
        <v>5533098.83</v>
      </c>
      <c r="S15" s="197">
        <f>'Finančné operácie - výdavky'!U12</f>
        <v>706391</v>
      </c>
      <c r="T15" s="197">
        <f>'Finančné operácie - výdavky'!V12</f>
        <v>0</v>
      </c>
      <c r="U15" s="198"/>
      <c r="V15" s="197">
        <f>'Finančné operácie - výdavky'!W12</f>
        <v>0</v>
      </c>
      <c r="W15" s="447">
        <f>S15+T15+U15+V15</f>
        <v>706391</v>
      </c>
      <c r="Z15" s="2"/>
      <c r="AA15" s="2"/>
      <c r="AB15" s="2"/>
      <c r="AC15" s="2"/>
      <c r="AD15" s="2"/>
    </row>
    <row r="16" spans="1:30" ht="15.75" thickBot="1">
      <c r="A16" s="452" t="s">
        <v>216</v>
      </c>
      <c r="B16" s="453">
        <f aca="true" t="shared" si="4" ref="B16:K16">B14-B15</f>
        <v>21643</v>
      </c>
      <c r="C16" s="453">
        <f t="shared" si="4"/>
        <v>-157771</v>
      </c>
      <c r="D16" s="453">
        <f t="shared" si="4"/>
        <v>1306664</v>
      </c>
      <c r="E16" s="453">
        <f t="shared" si="4"/>
        <v>1451734</v>
      </c>
      <c r="F16" s="453">
        <f t="shared" si="4"/>
        <v>3501338</v>
      </c>
      <c r="G16" s="453">
        <f t="shared" si="4"/>
        <v>910060</v>
      </c>
      <c r="H16" s="453">
        <f t="shared" si="4"/>
        <v>114143</v>
      </c>
      <c r="I16" s="453">
        <f t="shared" si="4"/>
        <v>531544</v>
      </c>
      <c r="J16" s="454">
        <f t="shared" si="4"/>
        <v>861949.1799999999</v>
      </c>
      <c r="K16" s="454">
        <f t="shared" si="4"/>
        <v>2226481.0599999996</v>
      </c>
      <c r="L16" s="454">
        <f aca="true" t="shared" si="5" ref="L16:S16">L14-L15</f>
        <v>-56619.72999999998</v>
      </c>
      <c r="M16" s="454">
        <f t="shared" si="5"/>
        <v>782341.3</v>
      </c>
      <c r="N16" s="453">
        <f t="shared" si="5"/>
        <v>540363.1099999999</v>
      </c>
      <c r="O16" s="454">
        <f t="shared" si="5"/>
        <v>1046608.31</v>
      </c>
      <c r="P16" s="454">
        <f t="shared" si="5"/>
        <v>6663236</v>
      </c>
      <c r="Q16" s="454">
        <f>Q14-Q15</f>
        <v>6861649.05</v>
      </c>
      <c r="R16" s="454">
        <f>R14-R15</f>
        <v>2094654.2999999998</v>
      </c>
      <c r="S16" s="453">
        <f t="shared" si="5"/>
        <v>3520347</v>
      </c>
      <c r="T16" s="907">
        <f>T14-(T15+V15)</f>
        <v>0</v>
      </c>
      <c r="U16" s="908"/>
      <c r="V16" s="909"/>
      <c r="W16" s="455">
        <f>W14-W15</f>
        <v>3520347</v>
      </c>
      <c r="AA16" s="2"/>
      <c r="AB16" s="2"/>
      <c r="AD16" s="2"/>
    </row>
    <row r="17" spans="1:29" ht="14.25" thickBot="1" thickTop="1">
      <c r="A17" s="935"/>
      <c r="B17" s="936"/>
      <c r="C17" s="936"/>
      <c r="D17" s="936"/>
      <c r="E17" s="936"/>
      <c r="F17" s="936"/>
      <c r="G17" s="936"/>
      <c r="H17" s="936"/>
      <c r="I17" s="936"/>
      <c r="J17" s="936"/>
      <c r="K17" s="936"/>
      <c r="L17" s="936"/>
      <c r="M17" s="936"/>
      <c r="N17" s="936"/>
      <c r="O17" s="936"/>
      <c r="P17" s="936"/>
      <c r="Q17" s="936"/>
      <c r="R17" s="936"/>
      <c r="S17" s="936"/>
      <c r="T17" s="936"/>
      <c r="U17" s="936"/>
      <c r="V17" s="936"/>
      <c r="W17" s="937"/>
      <c r="Z17" s="2"/>
      <c r="AB17" s="2"/>
      <c r="AC17" s="2"/>
    </row>
    <row r="18" spans="1:29" ht="16.5" customHeight="1" thickTop="1">
      <c r="A18" s="929" t="s">
        <v>217</v>
      </c>
      <c r="B18" s="930"/>
      <c r="C18" s="930"/>
      <c r="D18" s="930"/>
      <c r="E18" s="930"/>
      <c r="F18" s="930"/>
      <c r="G18" s="930"/>
      <c r="H18" s="930"/>
      <c r="I18" s="930"/>
      <c r="J18" s="930"/>
      <c r="K18" s="930"/>
      <c r="L18" s="930"/>
      <c r="M18" s="930"/>
      <c r="N18" s="930"/>
      <c r="O18" s="930"/>
      <c r="P18" s="930"/>
      <c r="Q18" s="930"/>
      <c r="R18" s="930"/>
      <c r="S18" s="930"/>
      <c r="T18" s="930"/>
      <c r="U18" s="930"/>
      <c r="V18" s="930"/>
      <c r="W18" s="931"/>
      <c r="Z18" s="2"/>
      <c r="AB18" s="2"/>
      <c r="AC18" s="2"/>
    </row>
    <row r="19" spans="1:34" ht="13.5" thickBot="1">
      <c r="A19" s="932"/>
      <c r="B19" s="933"/>
      <c r="C19" s="933"/>
      <c r="D19" s="933"/>
      <c r="E19" s="933"/>
      <c r="F19" s="933"/>
      <c r="G19" s="933"/>
      <c r="H19" s="933"/>
      <c r="I19" s="933"/>
      <c r="J19" s="933"/>
      <c r="K19" s="933"/>
      <c r="L19" s="933"/>
      <c r="M19" s="933"/>
      <c r="N19" s="933"/>
      <c r="O19" s="933"/>
      <c r="P19" s="933"/>
      <c r="Q19" s="933"/>
      <c r="R19" s="933"/>
      <c r="S19" s="933"/>
      <c r="T19" s="933"/>
      <c r="U19" s="933"/>
      <c r="V19" s="933"/>
      <c r="W19" s="934"/>
      <c r="AH19" s="2"/>
    </row>
    <row r="20" spans="1:23" ht="17.25" thickBot="1" thickTop="1">
      <c r="A20" s="456" t="s">
        <v>218</v>
      </c>
      <c r="B20" s="457">
        <f aca="true" t="shared" si="6" ref="B20:J20">B8+B12+B16</f>
        <v>405431</v>
      </c>
      <c r="C20" s="457">
        <f t="shared" si="6"/>
        <v>168758</v>
      </c>
      <c r="D20" s="457">
        <f t="shared" si="6"/>
        <v>859707</v>
      </c>
      <c r="E20" s="457">
        <f t="shared" si="6"/>
        <v>1327171.5700000003</v>
      </c>
      <c r="F20" s="457">
        <f t="shared" si="6"/>
        <v>208476</v>
      </c>
      <c r="G20" s="457">
        <f t="shared" si="6"/>
        <v>94499.80000000075</v>
      </c>
      <c r="H20" s="457">
        <f t="shared" si="6"/>
        <v>91581.05999999959</v>
      </c>
      <c r="I20" s="457">
        <f t="shared" si="6"/>
        <v>1047366</v>
      </c>
      <c r="J20" s="458">
        <f t="shared" si="6"/>
        <v>347131.8399999973</v>
      </c>
      <c r="K20" s="458">
        <f aca="true" t="shared" si="7" ref="K20:Q20">K8+K12+K16</f>
        <v>532701.02</v>
      </c>
      <c r="L20" s="458">
        <f t="shared" si="7"/>
        <v>581723.0200000006</v>
      </c>
      <c r="M20" s="458">
        <f t="shared" si="7"/>
        <v>1496254.8000000026</v>
      </c>
      <c r="N20" s="457">
        <f t="shared" si="7"/>
        <v>1355042.8900000006</v>
      </c>
      <c r="O20" s="458">
        <f t="shared" si="7"/>
        <v>721830.8199999977</v>
      </c>
      <c r="P20" s="457">
        <f t="shared" si="7"/>
        <v>1159781.5099999998</v>
      </c>
      <c r="Q20" s="457">
        <f t="shared" si="7"/>
        <v>4326997.269999998</v>
      </c>
      <c r="R20" s="457">
        <f>R8+R12+R16</f>
        <v>2009302.2299999981</v>
      </c>
      <c r="S20" s="536">
        <f>S16+S12+S8</f>
        <v>0</v>
      </c>
      <c r="T20" s="910">
        <f>T8+T12+T16</f>
        <v>0.29999999998835847</v>
      </c>
      <c r="U20" s="911"/>
      <c r="V20" s="912"/>
      <c r="W20" s="535">
        <f>W16+W12+W8</f>
        <v>0.30000000074505806</v>
      </c>
    </row>
    <row r="21" spans="1:23" ht="16.5" thickTop="1">
      <c r="A21" s="734"/>
      <c r="B21" s="735"/>
      <c r="C21" s="735"/>
      <c r="D21" s="735"/>
      <c r="E21" s="735"/>
      <c r="F21" s="735"/>
      <c r="G21" s="735"/>
      <c r="H21" s="735"/>
      <c r="I21" s="735"/>
      <c r="J21" s="736"/>
      <c r="K21" s="736"/>
      <c r="L21" s="736"/>
      <c r="M21" s="736"/>
      <c r="N21" s="735"/>
      <c r="O21" s="736"/>
      <c r="P21" s="735"/>
      <c r="Q21" s="735"/>
      <c r="R21" s="735"/>
      <c r="S21" s="735"/>
      <c r="T21" s="737"/>
      <c r="U21" s="737"/>
      <c r="V21" s="737"/>
      <c r="W21" s="735"/>
    </row>
    <row r="22" ht="24.75" customHeight="1">
      <c r="AA22" s="2"/>
    </row>
    <row r="23" spans="1:26" ht="12.75">
      <c r="A23" t="s">
        <v>464</v>
      </c>
      <c r="S23" s="2"/>
      <c r="T23" s="2"/>
      <c r="U23" s="2"/>
      <c r="V23" s="2"/>
      <c r="W23" s="2"/>
      <c r="Z23" s="2"/>
    </row>
    <row r="24" spans="1:27" ht="12.75" customHeight="1">
      <c r="A24" t="s">
        <v>463</v>
      </c>
      <c r="S24" s="580"/>
      <c r="T24" s="580"/>
      <c r="U24" s="580"/>
      <c r="V24" s="580"/>
      <c r="W24" s="580"/>
      <c r="AA24" s="2"/>
    </row>
    <row r="25" spans="19:23" ht="15.75" customHeight="1">
      <c r="S25" s="683"/>
      <c r="T25" s="683"/>
      <c r="U25" s="683"/>
      <c r="V25" s="683"/>
      <c r="W25" s="683"/>
    </row>
    <row r="26" spans="11:23" ht="15.75">
      <c r="K26" s="2"/>
      <c r="M26" s="2"/>
      <c r="N26" s="2"/>
      <c r="O26" s="2"/>
      <c r="P26" s="2"/>
      <c r="Q26" s="2"/>
      <c r="R26" s="2"/>
      <c r="S26" s="2"/>
      <c r="V26" s="580"/>
      <c r="W26" s="580"/>
    </row>
    <row r="27" spans="22:30" ht="15.75">
      <c r="V27" s="580"/>
      <c r="W27" s="580"/>
      <c r="Y27" s="2"/>
      <c r="AD27" s="2"/>
    </row>
    <row r="28" spans="20:23" ht="12.75">
      <c r="T28" s="925" t="s">
        <v>425</v>
      </c>
      <c r="U28" s="925"/>
      <c r="V28" s="925"/>
      <c r="W28" s="2"/>
    </row>
    <row r="29" spans="19:25" ht="12.75">
      <c r="S29" s="2"/>
      <c r="T29" s="903" t="s">
        <v>426</v>
      </c>
      <c r="U29" s="903"/>
      <c r="V29" s="903"/>
      <c r="W29" s="2"/>
      <c r="Y29" s="2"/>
    </row>
    <row r="30" spans="19:30" ht="12.75">
      <c r="S30" s="2"/>
      <c r="T30" s="2"/>
      <c r="U30" s="2"/>
      <c r="V30" s="2"/>
      <c r="W30" s="2"/>
      <c r="AD30" s="2"/>
    </row>
    <row r="31" ht="12.75">
      <c r="W31" s="2"/>
    </row>
    <row r="32" spans="10:23" ht="13.5" customHeight="1">
      <c r="J32" s="577"/>
      <c r="S32" s="2"/>
      <c r="T32" s="2"/>
      <c r="U32" s="2"/>
      <c r="V32" s="2"/>
      <c r="W32" s="2"/>
    </row>
    <row r="33" spans="19:23" ht="12.75">
      <c r="S33" s="2"/>
      <c r="T33" s="2"/>
      <c r="U33" s="2"/>
      <c r="V33" s="2"/>
      <c r="W33" s="2"/>
    </row>
    <row r="34" ht="12.75">
      <c r="W34" s="2"/>
    </row>
    <row r="35" ht="12.75">
      <c r="J35" s="2"/>
    </row>
    <row r="36" spans="21:23" ht="12.75">
      <c r="U36" s="2"/>
      <c r="W36" s="630"/>
    </row>
    <row r="39" spans="19:23" ht="12.75">
      <c r="S39" s="2"/>
      <c r="T39" s="2"/>
      <c r="U39" s="2"/>
      <c r="V39" s="2"/>
      <c r="W39" s="2"/>
    </row>
    <row r="42" spans="27:29" ht="12.75">
      <c r="AA42" s="2"/>
      <c r="AB42" s="2"/>
      <c r="AC42" s="2"/>
    </row>
    <row r="48" spans="19:23" ht="12.75">
      <c r="S48" s="2"/>
      <c r="T48" s="2"/>
      <c r="U48" s="2"/>
      <c r="V48" s="2"/>
      <c r="W48" s="2"/>
    </row>
    <row r="63" spans="19:22" ht="12.75">
      <c r="S63" s="2"/>
      <c r="T63" s="2"/>
      <c r="U63" s="2"/>
      <c r="V63" s="2"/>
    </row>
    <row r="64" spans="19:22" ht="12.75">
      <c r="S64" s="2"/>
      <c r="T64" s="2"/>
      <c r="U64" s="2"/>
      <c r="V64" s="2"/>
    </row>
    <row r="70" ht="12.75">
      <c r="J70">
        <f>SUM(J56:J69)</f>
        <v>0</v>
      </c>
    </row>
    <row r="71" spans="19:22" ht="12.75">
      <c r="S71" s="2"/>
      <c r="T71" s="2"/>
      <c r="U71" s="2"/>
      <c r="V71" s="2"/>
    </row>
    <row r="72" spans="19:22" ht="12.75">
      <c r="S72" s="2"/>
      <c r="T72" s="2"/>
      <c r="U72" s="2"/>
      <c r="V72" s="2"/>
    </row>
    <row r="74" spans="1:10" ht="12.75">
      <c r="A74" s="574"/>
      <c r="J74">
        <v>12000</v>
      </c>
    </row>
    <row r="75" ht="12.75">
      <c r="J75">
        <v>5000</v>
      </c>
    </row>
    <row r="76" ht="12.75">
      <c r="J76">
        <v>5000</v>
      </c>
    </row>
    <row r="77" ht="12.75">
      <c r="J77">
        <v>7000</v>
      </c>
    </row>
    <row r="83" ht="12.75">
      <c r="J83">
        <f>SUM(J74:J82)</f>
        <v>29000</v>
      </c>
    </row>
  </sheetData>
  <sheetProtection/>
  <mergeCells count="36">
    <mergeCell ref="T28:V28"/>
    <mergeCell ref="A1:W1"/>
    <mergeCell ref="I3:I5"/>
    <mergeCell ref="H3:H5"/>
    <mergeCell ref="A3:A5"/>
    <mergeCell ref="B3:B5"/>
    <mergeCell ref="A18:W19"/>
    <mergeCell ref="A17:W17"/>
    <mergeCell ref="A9:W9"/>
    <mergeCell ref="A13:W13"/>
    <mergeCell ref="O3:O5"/>
    <mergeCell ref="W3:W5"/>
    <mergeCell ref="L3:L5"/>
    <mergeCell ref="S3:S5"/>
    <mergeCell ref="N3:N5"/>
    <mergeCell ref="P3:P5"/>
    <mergeCell ref="Q3:Q5"/>
    <mergeCell ref="R3:R5"/>
    <mergeCell ref="D3:D5"/>
    <mergeCell ref="C3:C5"/>
    <mergeCell ref="J3:J5"/>
    <mergeCell ref="K3:K5"/>
    <mergeCell ref="M3:M5"/>
    <mergeCell ref="F3:F5"/>
    <mergeCell ref="G3:G5"/>
    <mergeCell ref="E3:E5"/>
    <mergeCell ref="T29:V29"/>
    <mergeCell ref="T14:V14"/>
    <mergeCell ref="T16:V16"/>
    <mergeCell ref="T20:V20"/>
    <mergeCell ref="T3:V3"/>
    <mergeCell ref="T4:V4"/>
    <mergeCell ref="T6:V6"/>
    <mergeCell ref="T8:V8"/>
    <mergeCell ref="T10:V10"/>
    <mergeCell ref="T12:V12"/>
  </mergeCells>
  <printOptions/>
  <pageMargins left="0.75" right="0.75" top="1" bottom="1" header="0.4921259845" footer="0.4921259845"/>
  <pageSetup orientation="landscape" paperSize="9" scale="94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Z50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41.140625" style="0" customWidth="1"/>
    <col min="2" max="2" width="13.140625" style="0" customWidth="1"/>
    <col min="3" max="3" width="12.8515625" style="0" hidden="1" customWidth="1"/>
    <col min="4" max="4" width="13.57421875" style="0" customWidth="1"/>
    <col min="5" max="5" width="11.00390625" style="0" customWidth="1"/>
    <col min="6" max="6" width="11.28125" style="0" customWidth="1"/>
    <col min="7" max="7" width="12.57421875" style="0" customWidth="1"/>
    <col min="8" max="10" width="11.421875" style="0" customWidth="1"/>
    <col min="26" max="26" width="9.57421875" style="0" bestFit="1" customWidth="1"/>
  </cols>
  <sheetData>
    <row r="1" spans="1:10" ht="24.75" customHeight="1" thickBot="1">
      <c r="A1" s="941" t="s">
        <v>416</v>
      </c>
      <c r="B1" s="941"/>
      <c r="C1" s="941"/>
      <c r="D1" s="941"/>
      <c r="E1" s="941"/>
      <c r="F1" s="941"/>
      <c r="G1" s="941"/>
      <c r="H1" s="941"/>
      <c r="I1" s="941"/>
      <c r="J1" s="941"/>
    </row>
    <row r="2" ht="13.5" hidden="1" thickBot="1">
      <c r="A2" t="s">
        <v>116</v>
      </c>
    </row>
    <row r="3" spans="1:10" ht="13.5" customHeight="1" thickBot="1" thickTop="1">
      <c r="A3" s="947" t="s">
        <v>44</v>
      </c>
      <c r="B3" s="945" t="s">
        <v>361</v>
      </c>
      <c r="C3" s="942" t="s">
        <v>77</v>
      </c>
      <c r="D3" s="942"/>
      <c r="E3" s="942"/>
      <c r="F3" s="942"/>
      <c r="G3" s="942"/>
      <c r="H3" s="942"/>
      <c r="I3" s="942"/>
      <c r="J3" s="943" t="s">
        <v>55</v>
      </c>
    </row>
    <row r="4" spans="1:10" ht="49.5" customHeight="1" thickBot="1">
      <c r="A4" s="948"/>
      <c r="B4" s="946"/>
      <c r="C4" s="537" t="s">
        <v>78</v>
      </c>
      <c r="D4" s="579" t="s">
        <v>79</v>
      </c>
      <c r="E4" s="579" t="s">
        <v>80</v>
      </c>
      <c r="F4" s="579" t="s">
        <v>385</v>
      </c>
      <c r="G4" s="579" t="s">
        <v>353</v>
      </c>
      <c r="H4" s="579" t="s">
        <v>356</v>
      </c>
      <c r="I4" s="579" t="s">
        <v>386</v>
      </c>
      <c r="J4" s="944"/>
    </row>
    <row r="5" spans="1:10" ht="12.75" customHeight="1" thickTop="1">
      <c r="A5" s="666" t="s">
        <v>32</v>
      </c>
      <c r="B5" s="57">
        <f>148000-42500</f>
        <v>105500</v>
      </c>
      <c r="C5" s="57"/>
      <c r="D5" s="57"/>
      <c r="E5" s="57"/>
      <c r="F5" s="57"/>
      <c r="G5" s="57">
        <f>115000-42500</f>
        <v>72500</v>
      </c>
      <c r="H5" s="57"/>
      <c r="I5" s="57">
        <v>33000</v>
      </c>
      <c r="J5" s="23">
        <f aca="true" t="shared" si="0" ref="J5:J40">SUM(C5:I5)</f>
        <v>105500</v>
      </c>
    </row>
    <row r="6" spans="1:10" ht="12.75" customHeight="1">
      <c r="A6" s="666" t="s">
        <v>395</v>
      </c>
      <c r="B6" s="57">
        <v>50000</v>
      </c>
      <c r="C6" s="57"/>
      <c r="D6" s="57"/>
      <c r="E6" s="57"/>
      <c r="F6" s="57"/>
      <c r="G6" s="57">
        <v>50000</v>
      </c>
      <c r="H6" s="57"/>
      <c r="I6" s="57"/>
      <c r="J6" s="23">
        <f t="shared" si="0"/>
        <v>50000</v>
      </c>
    </row>
    <row r="7" spans="1:10" ht="12.75" customHeight="1">
      <c r="A7" s="666" t="s">
        <v>392</v>
      </c>
      <c r="B7" s="57">
        <v>45000</v>
      </c>
      <c r="C7" s="57"/>
      <c r="D7" s="57"/>
      <c r="E7" s="57"/>
      <c r="F7" s="57"/>
      <c r="G7" s="57">
        <v>8876</v>
      </c>
      <c r="H7" s="57"/>
      <c r="I7" s="57">
        <f>45000-8876</f>
        <v>36124</v>
      </c>
      <c r="J7" s="23">
        <f t="shared" si="0"/>
        <v>45000</v>
      </c>
    </row>
    <row r="8" spans="1:10" ht="12.75" customHeight="1">
      <c r="A8" s="666" t="s">
        <v>364</v>
      </c>
      <c r="B8" s="57">
        <v>550156</v>
      </c>
      <c r="C8" s="57"/>
      <c r="D8" s="57"/>
      <c r="E8" s="57"/>
      <c r="F8" s="57"/>
      <c r="G8" s="57">
        <f>46503+49415</f>
        <v>95918</v>
      </c>
      <c r="H8" s="57">
        <f>503653-49415</f>
        <v>454238</v>
      </c>
      <c r="I8" s="57"/>
      <c r="J8" s="23">
        <f t="shared" si="0"/>
        <v>550156</v>
      </c>
    </row>
    <row r="9" spans="1:10" ht="12.75" customHeight="1" hidden="1">
      <c r="A9" s="666" t="s">
        <v>374</v>
      </c>
      <c r="B9" s="57"/>
      <c r="C9" s="57"/>
      <c r="D9" s="57"/>
      <c r="E9" s="57"/>
      <c r="F9" s="57"/>
      <c r="G9" s="57"/>
      <c r="H9" s="57"/>
      <c r="I9" s="57"/>
      <c r="J9" s="23">
        <f t="shared" si="0"/>
        <v>0</v>
      </c>
    </row>
    <row r="10" spans="1:12" ht="12.75" customHeight="1">
      <c r="A10" s="666" t="s">
        <v>375</v>
      </c>
      <c r="B10" s="57">
        <v>137500</v>
      </c>
      <c r="C10" s="57"/>
      <c r="D10" s="57"/>
      <c r="E10" s="57"/>
      <c r="F10" s="57"/>
      <c r="G10" s="57">
        <v>7500</v>
      </c>
      <c r="H10" s="57"/>
      <c r="I10" s="57">
        <v>130000</v>
      </c>
      <c r="J10" s="23">
        <f t="shared" si="0"/>
        <v>137500</v>
      </c>
      <c r="L10" s="2"/>
    </row>
    <row r="11" spans="1:10" ht="12.75" customHeight="1">
      <c r="A11" s="666" t="s">
        <v>376</v>
      </c>
      <c r="B11" s="57">
        <v>90000</v>
      </c>
      <c r="C11" s="57"/>
      <c r="D11" s="57"/>
      <c r="E11" s="57"/>
      <c r="F11" s="57"/>
      <c r="G11" s="57"/>
      <c r="H11" s="57"/>
      <c r="I11" s="57">
        <v>90000</v>
      </c>
      <c r="J11" s="23">
        <f t="shared" si="0"/>
        <v>90000</v>
      </c>
    </row>
    <row r="12" spans="1:15" ht="12.75" customHeight="1">
      <c r="A12" s="666" t="s">
        <v>397</v>
      </c>
      <c r="B12" s="57">
        <v>99957</v>
      </c>
      <c r="C12" s="57"/>
      <c r="D12" s="57"/>
      <c r="E12" s="57"/>
      <c r="F12" s="57">
        <v>88166</v>
      </c>
      <c r="G12" s="57"/>
      <c r="H12" s="57"/>
      <c r="I12" s="57">
        <v>11791</v>
      </c>
      <c r="J12" s="23">
        <f t="shared" si="0"/>
        <v>99957</v>
      </c>
      <c r="O12" s="2"/>
    </row>
    <row r="13" spans="1:10" ht="12.75" customHeight="1">
      <c r="A13" s="666" t="s">
        <v>398</v>
      </c>
      <c r="B13" s="57">
        <v>106521</v>
      </c>
      <c r="C13" s="57"/>
      <c r="D13" s="57"/>
      <c r="E13" s="57"/>
      <c r="F13" s="57">
        <v>72785</v>
      </c>
      <c r="G13" s="57"/>
      <c r="H13" s="57"/>
      <c r="I13" s="57">
        <v>33736</v>
      </c>
      <c r="J13" s="23">
        <f t="shared" si="0"/>
        <v>106521</v>
      </c>
    </row>
    <row r="14" spans="1:10" ht="12.75" customHeight="1">
      <c r="A14" s="666" t="s">
        <v>396</v>
      </c>
      <c r="B14" s="57">
        <v>122385</v>
      </c>
      <c r="C14" s="57"/>
      <c r="D14" s="57"/>
      <c r="E14" s="57"/>
      <c r="F14" s="57">
        <v>109677</v>
      </c>
      <c r="G14" s="57"/>
      <c r="H14" s="57"/>
      <c r="I14" s="57">
        <v>12708</v>
      </c>
      <c r="J14" s="23">
        <f t="shared" si="0"/>
        <v>122385</v>
      </c>
    </row>
    <row r="15" spans="1:10" ht="12.75" customHeight="1">
      <c r="A15" s="666" t="s">
        <v>420</v>
      </c>
      <c r="B15" s="57">
        <v>50000</v>
      </c>
      <c r="C15" s="57"/>
      <c r="D15" s="57"/>
      <c r="E15" s="57"/>
      <c r="F15" s="57"/>
      <c r="G15" s="57"/>
      <c r="H15" s="57"/>
      <c r="I15" s="57">
        <v>50000</v>
      </c>
      <c r="J15" s="23">
        <f t="shared" si="0"/>
        <v>50000</v>
      </c>
    </row>
    <row r="16" spans="1:12" ht="12.75" customHeight="1">
      <c r="A16" s="666" t="s">
        <v>423</v>
      </c>
      <c r="B16" s="57">
        <v>30000</v>
      </c>
      <c r="C16" s="57"/>
      <c r="D16" s="57"/>
      <c r="E16" s="57"/>
      <c r="F16" s="57"/>
      <c r="G16" s="57"/>
      <c r="H16" s="57"/>
      <c r="I16" s="57">
        <v>30000</v>
      </c>
      <c r="J16" s="23">
        <f t="shared" si="0"/>
        <v>30000</v>
      </c>
      <c r="L16" s="2"/>
    </row>
    <row r="17" spans="1:15" ht="12.75" customHeight="1">
      <c r="A17" s="666" t="s">
        <v>419</v>
      </c>
      <c r="B17" s="57">
        <v>46200</v>
      </c>
      <c r="C17" s="57"/>
      <c r="D17" s="57"/>
      <c r="E17" s="57"/>
      <c r="F17" s="57"/>
      <c r="G17" s="57"/>
      <c r="H17" s="57"/>
      <c r="I17" s="57">
        <v>46200</v>
      </c>
      <c r="J17" s="23">
        <f t="shared" si="0"/>
        <v>46200</v>
      </c>
      <c r="O17" s="2"/>
    </row>
    <row r="18" spans="1:10" ht="12.75" customHeight="1">
      <c r="A18" s="666" t="s">
        <v>321</v>
      </c>
      <c r="B18" s="57">
        <v>30000</v>
      </c>
      <c r="C18" s="57"/>
      <c r="D18" s="57"/>
      <c r="E18" s="57"/>
      <c r="F18" s="57"/>
      <c r="G18" s="57">
        <v>30000</v>
      </c>
      <c r="H18" s="57"/>
      <c r="I18" s="57"/>
      <c r="J18" s="23">
        <f t="shared" si="0"/>
        <v>30000</v>
      </c>
    </row>
    <row r="19" spans="1:10" ht="12.75" customHeight="1">
      <c r="A19" s="666" t="s">
        <v>455</v>
      </c>
      <c r="B19" s="57">
        <v>14500</v>
      </c>
      <c r="C19" s="57"/>
      <c r="D19" s="57">
        <v>10312</v>
      </c>
      <c r="E19" s="57"/>
      <c r="F19" s="57"/>
      <c r="G19" s="57">
        <v>4188</v>
      </c>
      <c r="H19" s="57"/>
      <c r="I19" s="57"/>
      <c r="J19" s="23">
        <f t="shared" si="0"/>
        <v>14500</v>
      </c>
    </row>
    <row r="20" spans="1:13" ht="12.75" customHeight="1">
      <c r="A20" s="666" t="s">
        <v>377</v>
      </c>
      <c r="B20" s="57">
        <v>259552</v>
      </c>
      <c r="C20" s="57"/>
      <c r="D20" s="57"/>
      <c r="E20" s="57"/>
      <c r="F20" s="57"/>
      <c r="G20" s="57">
        <v>30000</v>
      </c>
      <c r="H20" s="57">
        <v>223048</v>
      </c>
      <c r="I20" s="57">
        <f>36504-30000</f>
        <v>6504</v>
      </c>
      <c r="J20" s="23">
        <f t="shared" si="0"/>
        <v>259552</v>
      </c>
      <c r="M20" s="2"/>
    </row>
    <row r="21" spans="1:10" ht="12.75" customHeight="1">
      <c r="A21" s="666" t="s">
        <v>378</v>
      </c>
      <c r="B21" s="57">
        <v>338544</v>
      </c>
      <c r="C21" s="57"/>
      <c r="D21" s="57"/>
      <c r="E21" s="57"/>
      <c r="F21" s="57">
        <f>236294+1091</f>
        <v>237385</v>
      </c>
      <c r="G21" s="57">
        <f>50000+46200</f>
        <v>96200</v>
      </c>
      <c r="H21" s="57"/>
      <c r="I21" s="57">
        <f>102250-1091-50000-46200</f>
        <v>4959</v>
      </c>
      <c r="J21" s="23">
        <f t="shared" si="0"/>
        <v>338544</v>
      </c>
    </row>
    <row r="22" spans="1:12" ht="12.75" customHeight="1">
      <c r="A22" s="666" t="s">
        <v>379</v>
      </c>
      <c r="B22" s="57">
        <v>147474</v>
      </c>
      <c r="C22" s="57"/>
      <c r="D22" s="57"/>
      <c r="E22" s="57"/>
      <c r="F22" s="57">
        <v>103633</v>
      </c>
      <c r="G22" s="57"/>
      <c r="H22" s="57"/>
      <c r="I22" s="57">
        <f>42750+1091</f>
        <v>43841</v>
      </c>
      <c r="J22" s="23">
        <f t="shared" si="0"/>
        <v>147474</v>
      </c>
      <c r="L22" t="s">
        <v>116</v>
      </c>
    </row>
    <row r="23" spans="1:10" ht="12.75" customHeight="1">
      <c r="A23" s="666" t="s">
        <v>380</v>
      </c>
      <c r="B23" s="57">
        <v>10200</v>
      </c>
      <c r="C23" s="57"/>
      <c r="D23" s="57"/>
      <c r="E23" s="57"/>
      <c r="F23" s="57"/>
      <c r="G23" s="57">
        <v>10200</v>
      </c>
      <c r="H23" s="57"/>
      <c r="I23" s="57"/>
      <c r="J23" s="23">
        <f t="shared" si="0"/>
        <v>10200</v>
      </c>
    </row>
    <row r="24" spans="1:10" ht="12.75" customHeight="1">
      <c r="A24" s="666" t="s">
        <v>381</v>
      </c>
      <c r="B24" s="26">
        <v>20000</v>
      </c>
      <c r="C24" s="26"/>
      <c r="D24" s="26"/>
      <c r="E24" s="26"/>
      <c r="F24" s="26"/>
      <c r="G24" s="26"/>
      <c r="H24" s="26"/>
      <c r="I24" s="26">
        <v>20000</v>
      </c>
      <c r="J24" s="27">
        <f t="shared" si="0"/>
        <v>20000</v>
      </c>
    </row>
    <row r="25" spans="1:10" ht="12.75" customHeight="1">
      <c r="A25" s="666" t="s">
        <v>388</v>
      </c>
      <c r="B25" s="44">
        <v>2262</v>
      </c>
      <c r="C25" s="44"/>
      <c r="D25" s="44"/>
      <c r="E25" s="44"/>
      <c r="F25" s="44"/>
      <c r="G25" s="44">
        <v>2262</v>
      </c>
      <c r="H25" s="44"/>
      <c r="I25" s="44"/>
      <c r="J25" s="27">
        <f t="shared" si="0"/>
        <v>2262</v>
      </c>
    </row>
    <row r="26" spans="1:10" ht="12.75" customHeight="1">
      <c r="A26" s="666" t="s">
        <v>439</v>
      </c>
      <c r="B26" s="44">
        <v>19800</v>
      </c>
      <c r="C26" s="44"/>
      <c r="D26" s="44"/>
      <c r="E26" s="44"/>
      <c r="F26" s="44"/>
      <c r="G26" s="44"/>
      <c r="H26" s="44">
        <v>19800</v>
      </c>
      <c r="I26" s="44"/>
      <c r="J26" s="27">
        <f t="shared" si="0"/>
        <v>19800</v>
      </c>
    </row>
    <row r="27" spans="1:10" ht="12.75" customHeight="1">
      <c r="A27" s="666" t="s">
        <v>440</v>
      </c>
      <c r="B27" s="44">
        <v>17900</v>
      </c>
      <c r="C27" s="44"/>
      <c r="D27" s="44"/>
      <c r="E27" s="44"/>
      <c r="F27" s="44"/>
      <c r="G27" s="44"/>
      <c r="H27" s="44">
        <v>17900</v>
      </c>
      <c r="I27" s="44"/>
      <c r="J27" s="27">
        <f t="shared" si="0"/>
        <v>17900</v>
      </c>
    </row>
    <row r="28" spans="1:10" ht="12.75" customHeight="1">
      <c r="A28" s="666" t="s">
        <v>281</v>
      </c>
      <c r="B28" s="44">
        <v>51834</v>
      </c>
      <c r="C28" s="44"/>
      <c r="D28" s="44"/>
      <c r="E28" s="44"/>
      <c r="F28" s="44">
        <v>51834</v>
      </c>
      <c r="G28" s="44"/>
      <c r="H28" s="44"/>
      <c r="I28" s="44"/>
      <c r="J28" s="27">
        <f t="shared" si="0"/>
        <v>51834</v>
      </c>
    </row>
    <row r="29" spans="1:10" ht="12.75" customHeight="1">
      <c r="A29" s="666" t="s">
        <v>433</v>
      </c>
      <c r="B29" s="44">
        <v>35000</v>
      </c>
      <c r="C29" s="44"/>
      <c r="D29" s="44"/>
      <c r="E29" s="44">
        <v>27000</v>
      </c>
      <c r="F29" s="44"/>
      <c r="G29" s="44">
        <v>8000</v>
      </c>
      <c r="H29" s="44"/>
      <c r="I29" s="44"/>
      <c r="J29" s="27">
        <f t="shared" si="0"/>
        <v>35000</v>
      </c>
    </row>
    <row r="30" spans="1:26" ht="12.75" customHeight="1">
      <c r="A30" s="666" t="s">
        <v>434</v>
      </c>
      <c r="B30" s="44">
        <v>24000</v>
      </c>
      <c r="C30" s="44"/>
      <c r="D30" s="44"/>
      <c r="E30" s="44">
        <v>15000</v>
      </c>
      <c r="F30" s="44"/>
      <c r="G30" s="44">
        <v>9000</v>
      </c>
      <c r="H30" s="44"/>
      <c r="I30" s="44"/>
      <c r="J30" s="27">
        <f t="shared" si="0"/>
        <v>24000</v>
      </c>
      <c r="Y30">
        <v>0.85</v>
      </c>
      <c r="Z30" s="762">
        <f>X30*Y30</f>
        <v>0</v>
      </c>
    </row>
    <row r="31" spans="1:26" ht="12.75" customHeight="1">
      <c r="A31" s="666" t="s">
        <v>383</v>
      </c>
      <c r="B31" s="44">
        <v>8000</v>
      </c>
      <c r="C31" s="44"/>
      <c r="D31" s="44"/>
      <c r="E31" s="44"/>
      <c r="F31" s="44"/>
      <c r="G31" s="44">
        <v>8000</v>
      </c>
      <c r="H31" s="44"/>
      <c r="I31" s="44"/>
      <c r="J31" s="27">
        <f t="shared" si="0"/>
        <v>8000</v>
      </c>
      <c r="Y31">
        <v>0.1</v>
      </c>
      <c r="Z31" s="762">
        <f>X30*Y31</f>
        <v>0</v>
      </c>
    </row>
    <row r="32" spans="1:26" ht="12.75" customHeight="1">
      <c r="A32" s="666" t="s">
        <v>382</v>
      </c>
      <c r="B32" s="44">
        <v>492884</v>
      </c>
      <c r="C32" s="44"/>
      <c r="D32" s="44"/>
      <c r="E32" s="44"/>
      <c r="F32" s="44"/>
      <c r="G32" s="44">
        <v>60000</v>
      </c>
      <c r="H32" s="44"/>
      <c r="I32" s="44">
        <v>432884</v>
      </c>
      <c r="J32" s="27">
        <f t="shared" si="0"/>
        <v>492884</v>
      </c>
      <c r="Y32">
        <v>0.05</v>
      </c>
      <c r="Z32" s="762">
        <f>X30*Y32</f>
        <v>0</v>
      </c>
    </row>
    <row r="33" spans="1:26" ht="12.75" customHeight="1">
      <c r="A33" s="666" t="s">
        <v>384</v>
      </c>
      <c r="B33" s="44">
        <v>402000</v>
      </c>
      <c r="C33" s="44"/>
      <c r="D33" s="44"/>
      <c r="E33" s="44"/>
      <c r="F33" s="44"/>
      <c r="G33" s="44">
        <f>55000+22340</f>
        <v>77340</v>
      </c>
      <c r="H33" s="44">
        <f>402000-55000-22340</f>
        <v>324660</v>
      </c>
      <c r="I33" s="44"/>
      <c r="J33" s="27">
        <f t="shared" si="0"/>
        <v>402000</v>
      </c>
      <c r="Z33" s="762">
        <f>SUM(Z30:Z32)</f>
        <v>0</v>
      </c>
    </row>
    <row r="34" spans="1:10" ht="12.75" customHeight="1">
      <c r="A34" s="666" t="s">
        <v>462</v>
      </c>
      <c r="B34" s="44">
        <v>10000</v>
      </c>
      <c r="C34" s="44"/>
      <c r="D34" s="44">
        <v>10000</v>
      </c>
      <c r="E34" s="44"/>
      <c r="F34" s="44"/>
      <c r="G34" s="44"/>
      <c r="H34" s="44"/>
      <c r="I34" s="44"/>
      <c r="J34" s="27">
        <f t="shared" si="0"/>
        <v>10000</v>
      </c>
    </row>
    <row r="35" spans="1:10" ht="12.75" customHeight="1">
      <c r="A35" s="666" t="s">
        <v>37</v>
      </c>
      <c r="B35" s="44">
        <v>10000</v>
      </c>
      <c r="C35" s="44"/>
      <c r="D35" s="44">
        <v>6088</v>
      </c>
      <c r="E35" s="44"/>
      <c r="F35" s="44"/>
      <c r="G35" s="44">
        <f>4000-88</f>
        <v>3912</v>
      </c>
      <c r="H35" s="44"/>
      <c r="I35" s="44"/>
      <c r="J35" s="27">
        <f t="shared" si="0"/>
        <v>10000</v>
      </c>
    </row>
    <row r="36" spans="1:10" ht="12.75" customHeight="1">
      <c r="A36" s="666" t="s">
        <v>456</v>
      </c>
      <c r="B36" s="44">
        <v>23000</v>
      </c>
      <c r="C36" s="44"/>
      <c r="D36" s="44">
        <v>23000</v>
      </c>
      <c r="E36" s="44"/>
      <c r="F36" s="44"/>
      <c r="G36" s="44"/>
      <c r="H36" s="44"/>
      <c r="I36" s="44"/>
      <c r="J36" s="27">
        <f t="shared" si="0"/>
        <v>23000</v>
      </c>
    </row>
    <row r="37" spans="1:10" ht="12.75" customHeight="1">
      <c r="A37" s="666" t="s">
        <v>408</v>
      </c>
      <c r="B37" s="44">
        <v>90000</v>
      </c>
      <c r="C37" s="44"/>
      <c r="D37" s="44">
        <v>90000</v>
      </c>
      <c r="E37" s="44"/>
      <c r="F37" s="44"/>
      <c r="G37" s="44"/>
      <c r="H37" s="44"/>
      <c r="I37" s="44"/>
      <c r="J37" s="27">
        <f t="shared" si="0"/>
        <v>90000</v>
      </c>
    </row>
    <row r="38" spans="1:10" ht="12.75" customHeight="1">
      <c r="A38" s="666" t="s">
        <v>432</v>
      </c>
      <c r="B38" s="44">
        <v>35000</v>
      </c>
      <c r="C38" s="44"/>
      <c r="D38" s="44"/>
      <c r="E38" s="44"/>
      <c r="F38" s="44"/>
      <c r="G38" s="44">
        <v>35000</v>
      </c>
      <c r="H38" s="44"/>
      <c r="I38" s="44"/>
      <c r="J38" s="27">
        <f t="shared" si="0"/>
        <v>35000</v>
      </c>
    </row>
    <row r="39" spans="1:10" ht="12.75" customHeight="1">
      <c r="A39" s="666" t="s">
        <v>421</v>
      </c>
      <c r="B39" s="44">
        <v>160000</v>
      </c>
      <c r="C39" s="44"/>
      <c r="D39" s="44"/>
      <c r="E39" s="44"/>
      <c r="F39" s="44"/>
      <c r="G39" s="44"/>
      <c r="H39" s="44"/>
      <c r="I39" s="44">
        <v>160000</v>
      </c>
      <c r="J39" s="27">
        <f t="shared" si="0"/>
        <v>160000</v>
      </c>
    </row>
    <row r="40" spans="1:14" ht="12.75" customHeight="1">
      <c r="A40" s="666" t="s">
        <v>437</v>
      </c>
      <c r="B40" s="44">
        <v>14000</v>
      </c>
      <c r="C40" s="44"/>
      <c r="D40" s="44">
        <v>10000</v>
      </c>
      <c r="E40" s="44"/>
      <c r="F40" s="44"/>
      <c r="G40" s="44">
        <v>4000</v>
      </c>
      <c r="H40" s="44"/>
      <c r="I40" s="44"/>
      <c r="J40" s="27">
        <f t="shared" si="0"/>
        <v>14000</v>
      </c>
      <c r="N40" s="760"/>
    </row>
    <row r="41" spans="1:10" ht="12.75" customHeight="1">
      <c r="A41" s="666" t="s">
        <v>35</v>
      </c>
      <c r="B41" s="44">
        <v>123660</v>
      </c>
      <c r="C41" s="44"/>
      <c r="D41" s="44"/>
      <c r="E41" s="44"/>
      <c r="F41" s="44"/>
      <c r="G41" s="44">
        <v>123660</v>
      </c>
      <c r="H41" s="44"/>
      <c r="I41" s="44"/>
      <c r="J41" s="27">
        <v>123660</v>
      </c>
    </row>
    <row r="42" spans="1:16" ht="12.75" customHeight="1">
      <c r="A42" s="666" t="s">
        <v>315</v>
      </c>
      <c r="B42" s="44">
        <v>13777</v>
      </c>
      <c r="C42" s="44"/>
      <c r="D42" s="44"/>
      <c r="E42" s="44"/>
      <c r="F42" s="44"/>
      <c r="G42" s="44">
        <v>13777</v>
      </c>
      <c r="H42" s="44"/>
      <c r="I42" s="44"/>
      <c r="J42" s="27">
        <f>SUM(C42:I42)</f>
        <v>13777</v>
      </c>
      <c r="P42" s="761"/>
    </row>
    <row r="43" spans="1:10" ht="12.75" customHeight="1">
      <c r="A43" s="666" t="s">
        <v>438</v>
      </c>
      <c r="B43" s="44">
        <v>5245</v>
      </c>
      <c r="C43" s="44"/>
      <c r="D43" s="44"/>
      <c r="E43" s="44"/>
      <c r="F43" s="44"/>
      <c r="G43" s="44">
        <v>5245</v>
      </c>
      <c r="H43" s="44"/>
      <c r="I43" s="44"/>
      <c r="J43" s="27">
        <f>SUM(C43:I43)</f>
        <v>5245</v>
      </c>
    </row>
    <row r="44" spans="1:10" ht="12.75" customHeight="1">
      <c r="A44" s="666" t="s">
        <v>454</v>
      </c>
      <c r="B44" s="44">
        <v>3000</v>
      </c>
      <c r="C44" s="44"/>
      <c r="D44" s="44">
        <v>3000</v>
      </c>
      <c r="E44" s="44"/>
      <c r="F44" s="44"/>
      <c r="G44" s="44"/>
      <c r="H44" s="44"/>
      <c r="I44" s="44"/>
      <c r="J44" s="27">
        <f>SUM(C44:I44)</f>
        <v>3000</v>
      </c>
    </row>
    <row r="45" spans="1:10" ht="12.75" customHeight="1" thickBot="1">
      <c r="A45" s="666" t="s">
        <v>422</v>
      </c>
      <c r="B45" s="44">
        <v>16500</v>
      </c>
      <c r="C45" s="44"/>
      <c r="D45" s="44"/>
      <c r="E45" s="44"/>
      <c r="F45" s="44"/>
      <c r="G45" s="44">
        <v>16500</v>
      </c>
      <c r="H45" s="44"/>
      <c r="I45" s="44"/>
      <c r="J45" s="27">
        <f>SUM(C45:I45)</f>
        <v>16500</v>
      </c>
    </row>
    <row r="46" spans="1:10" ht="17.25" thickBot="1" thickTop="1">
      <c r="A46" s="658" t="s">
        <v>345</v>
      </c>
      <c r="B46" s="538">
        <f>SUM(B5:B45)</f>
        <v>3811351</v>
      </c>
      <c r="C46" s="538">
        <f>SUM(C5:C45)</f>
        <v>0</v>
      </c>
      <c r="D46" s="538">
        <f aca="true" t="shared" si="1" ref="D46:J46">SUM(D5:D45)</f>
        <v>152400</v>
      </c>
      <c r="E46" s="538">
        <f t="shared" si="1"/>
        <v>42000</v>
      </c>
      <c r="F46" s="538">
        <f t="shared" si="1"/>
        <v>663480</v>
      </c>
      <c r="G46" s="538">
        <f t="shared" si="1"/>
        <v>772078</v>
      </c>
      <c r="H46" s="538">
        <f t="shared" si="1"/>
        <v>1039646</v>
      </c>
      <c r="I46" s="538">
        <f t="shared" si="1"/>
        <v>1141747</v>
      </c>
      <c r="J46" s="539">
        <f t="shared" si="1"/>
        <v>3811351</v>
      </c>
    </row>
    <row r="47" ht="13.5" thickTop="1">
      <c r="G47" s="2"/>
    </row>
    <row r="48" spans="1:2" ht="12.75">
      <c r="A48" s="725"/>
      <c r="B48" s="732"/>
    </row>
    <row r="50" spans="6:7" ht="12.75">
      <c r="F50" s="2"/>
      <c r="G50" s="2"/>
    </row>
  </sheetData>
  <sheetProtection/>
  <mergeCells count="5">
    <mergeCell ref="A1:J1"/>
    <mergeCell ref="C3:I3"/>
    <mergeCell ref="J3:J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scale="85" r:id="rId1"/>
  <ignoredErrors>
    <ignoredError sqref="J45 J20:J25 J5 J8:J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L46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38.57421875" style="0" customWidth="1"/>
    <col min="2" max="2" width="10.421875" style="0" customWidth="1"/>
    <col min="3" max="7" width="9.140625" style="0" customWidth="1"/>
    <col min="8" max="8" width="10.00390625" style="0" customWidth="1"/>
    <col min="9" max="12" width="13.140625" style="0" customWidth="1"/>
    <col min="13" max="13" width="14.7109375" style="0" customWidth="1"/>
  </cols>
  <sheetData>
    <row r="1" ht="13.5" thickBot="1"/>
    <row r="2" spans="1:8" ht="33" thickBot="1" thickTop="1">
      <c r="A2" s="706" t="s">
        <v>399</v>
      </c>
      <c r="B2" s="711" t="s">
        <v>406</v>
      </c>
      <c r="C2" s="711" t="s">
        <v>403</v>
      </c>
      <c r="D2" s="711" t="s">
        <v>418</v>
      </c>
      <c r="E2" s="711" t="s">
        <v>429</v>
      </c>
      <c r="F2" s="711" t="s">
        <v>442</v>
      </c>
      <c r="G2" s="711" t="s">
        <v>457</v>
      </c>
      <c r="H2" s="712" t="s">
        <v>407</v>
      </c>
    </row>
    <row r="3" spans="1:12" ht="13.5" thickTop="1">
      <c r="A3" s="707" t="s">
        <v>32</v>
      </c>
      <c r="B3" s="713">
        <v>34504</v>
      </c>
      <c r="C3" s="713">
        <v>45496</v>
      </c>
      <c r="D3" s="713">
        <v>20000</v>
      </c>
      <c r="E3" s="713">
        <v>15000</v>
      </c>
      <c r="F3" s="713">
        <v>-42500</v>
      </c>
      <c r="G3" s="713"/>
      <c r="H3" s="708">
        <f>B3+C3+D3+E3+F3+G3</f>
        <v>72500</v>
      </c>
      <c r="K3" s="2"/>
      <c r="L3" s="2"/>
    </row>
    <row r="4" spans="1:12" ht="12.75">
      <c r="A4" s="720" t="s">
        <v>395</v>
      </c>
      <c r="B4" s="721"/>
      <c r="C4" s="721"/>
      <c r="D4" s="721"/>
      <c r="E4" s="721"/>
      <c r="F4" s="721">
        <v>50000</v>
      </c>
      <c r="G4" s="721"/>
      <c r="H4" s="710">
        <f aca="true" t="shared" si="0" ref="H4:H27">B4+C4+D4+E4+F4+G4</f>
        <v>50000</v>
      </c>
      <c r="K4" s="2"/>
      <c r="L4" s="2"/>
    </row>
    <row r="5" spans="1:12" ht="12.75">
      <c r="A5" s="720" t="s">
        <v>392</v>
      </c>
      <c r="B5" s="721"/>
      <c r="C5" s="721">
        <v>8876</v>
      </c>
      <c r="D5" s="721"/>
      <c r="E5" s="721"/>
      <c r="F5" s="721"/>
      <c r="G5" s="721"/>
      <c r="H5" s="710">
        <f t="shared" si="0"/>
        <v>8876</v>
      </c>
      <c r="K5" s="2"/>
      <c r="L5" s="2"/>
    </row>
    <row r="6" spans="1:12" ht="12.75">
      <c r="A6" s="709" t="s">
        <v>364</v>
      </c>
      <c r="B6" s="714">
        <v>503</v>
      </c>
      <c r="C6" s="714"/>
      <c r="D6" s="714">
        <v>46000</v>
      </c>
      <c r="E6" s="714"/>
      <c r="F6" s="714"/>
      <c r="G6" s="714">
        <v>49415</v>
      </c>
      <c r="H6" s="710">
        <f t="shared" si="0"/>
        <v>95918</v>
      </c>
      <c r="L6" s="2"/>
    </row>
    <row r="7" spans="1:12" ht="12.75">
      <c r="A7" s="709" t="s">
        <v>375</v>
      </c>
      <c r="B7" s="714">
        <v>7500</v>
      </c>
      <c r="C7" s="714"/>
      <c r="D7" s="714"/>
      <c r="E7" s="714"/>
      <c r="F7" s="714"/>
      <c r="G7" s="714"/>
      <c r="H7" s="710">
        <f t="shared" si="0"/>
        <v>7500</v>
      </c>
      <c r="L7" s="2"/>
    </row>
    <row r="8" spans="1:12" ht="12.75">
      <c r="A8" s="709" t="s">
        <v>420</v>
      </c>
      <c r="B8" s="714"/>
      <c r="C8" s="714"/>
      <c r="D8" s="714">
        <v>50000</v>
      </c>
      <c r="E8" s="714"/>
      <c r="F8" s="714"/>
      <c r="G8" s="714">
        <f>-50000</f>
        <v>-50000</v>
      </c>
      <c r="H8" s="710">
        <f t="shared" si="0"/>
        <v>0</v>
      </c>
      <c r="L8" s="2"/>
    </row>
    <row r="9" spans="1:12" ht="12.75">
      <c r="A9" s="709" t="s">
        <v>423</v>
      </c>
      <c r="B9" s="714"/>
      <c r="C9" s="714"/>
      <c r="D9" s="714">
        <v>30000</v>
      </c>
      <c r="E9" s="714"/>
      <c r="F9" s="714"/>
      <c r="G9" s="714">
        <v>-30000</v>
      </c>
      <c r="H9" s="710">
        <f t="shared" si="0"/>
        <v>0</v>
      </c>
      <c r="J9" s="2"/>
      <c r="L9" s="2"/>
    </row>
    <row r="10" spans="1:12" ht="12.75">
      <c r="A10" s="709" t="s">
        <v>419</v>
      </c>
      <c r="B10" s="714"/>
      <c r="C10" s="714"/>
      <c r="D10" s="714">
        <v>30000</v>
      </c>
      <c r="E10" s="714">
        <v>16200</v>
      </c>
      <c r="F10" s="714"/>
      <c r="G10" s="714">
        <v>-46200</v>
      </c>
      <c r="H10" s="710">
        <f t="shared" si="0"/>
        <v>0</v>
      </c>
      <c r="L10" s="2"/>
    </row>
    <row r="11" spans="1:12" ht="12.75">
      <c r="A11" s="709" t="s">
        <v>378</v>
      </c>
      <c r="B11" s="714"/>
      <c r="C11" s="714"/>
      <c r="D11" s="714"/>
      <c r="E11" s="714"/>
      <c r="F11" s="714"/>
      <c r="G11" s="714">
        <v>30000</v>
      </c>
      <c r="H11" s="710">
        <f t="shared" si="0"/>
        <v>30000</v>
      </c>
      <c r="L11" s="2"/>
    </row>
    <row r="12" spans="1:12" ht="12.75">
      <c r="A12" s="709" t="s">
        <v>378</v>
      </c>
      <c r="B12" s="714"/>
      <c r="C12" s="714"/>
      <c r="D12" s="714">
        <v>2500</v>
      </c>
      <c r="E12" s="714">
        <v>-2500</v>
      </c>
      <c r="F12" s="714"/>
      <c r="G12" s="714">
        <v>96200</v>
      </c>
      <c r="H12" s="710">
        <f t="shared" si="0"/>
        <v>96200</v>
      </c>
      <c r="L12" s="2"/>
    </row>
    <row r="13" spans="1:12" ht="12.75">
      <c r="A13" s="709" t="s">
        <v>382</v>
      </c>
      <c r="B13" s="714"/>
      <c r="C13" s="714"/>
      <c r="D13" s="714">
        <v>60000</v>
      </c>
      <c r="E13" s="714"/>
      <c r="F13" s="714"/>
      <c r="G13" s="714"/>
      <c r="H13" s="710">
        <f t="shared" si="0"/>
        <v>60000</v>
      </c>
      <c r="L13" s="2"/>
    </row>
    <row r="14" spans="1:12" ht="12.75">
      <c r="A14" s="709" t="s">
        <v>35</v>
      </c>
      <c r="B14" s="714"/>
      <c r="C14" s="714"/>
      <c r="D14" s="714">
        <v>123660</v>
      </c>
      <c r="E14" s="714">
        <v>4000</v>
      </c>
      <c r="F14" s="714">
        <v>10000</v>
      </c>
      <c r="G14" s="714">
        <v>-10000</v>
      </c>
      <c r="H14" s="710">
        <f t="shared" si="0"/>
        <v>127660</v>
      </c>
      <c r="L14" s="2"/>
    </row>
    <row r="15" spans="1:12" ht="12.75">
      <c r="A15" s="709" t="s">
        <v>321</v>
      </c>
      <c r="B15" s="714">
        <v>60000</v>
      </c>
      <c r="C15" s="714"/>
      <c r="D15" s="714"/>
      <c r="E15" s="714"/>
      <c r="F15" s="714">
        <v>-30000</v>
      </c>
      <c r="G15" s="714"/>
      <c r="H15" s="710">
        <f t="shared" si="0"/>
        <v>30000</v>
      </c>
      <c r="L15" s="2"/>
    </row>
    <row r="16" spans="1:12" ht="12.75">
      <c r="A16" s="709" t="s">
        <v>455</v>
      </c>
      <c r="B16" s="714"/>
      <c r="C16" s="714"/>
      <c r="D16" s="714"/>
      <c r="E16" s="714"/>
      <c r="F16" s="714">
        <v>4188</v>
      </c>
      <c r="G16" s="714"/>
      <c r="H16" s="710">
        <f t="shared" si="0"/>
        <v>4188</v>
      </c>
      <c r="L16" s="2"/>
    </row>
    <row r="17" spans="1:12" ht="12.75">
      <c r="A17" s="709" t="s">
        <v>380</v>
      </c>
      <c r="B17" s="714">
        <v>10200</v>
      </c>
      <c r="C17" s="714"/>
      <c r="D17" s="714"/>
      <c r="E17" s="714"/>
      <c r="F17" s="714"/>
      <c r="G17" s="714"/>
      <c r="H17" s="710">
        <f t="shared" si="0"/>
        <v>10200</v>
      </c>
      <c r="L17" s="2"/>
    </row>
    <row r="18" spans="1:12" ht="12.75">
      <c r="A18" s="709" t="s">
        <v>388</v>
      </c>
      <c r="B18" s="714">
        <v>2262</v>
      </c>
      <c r="C18" s="714"/>
      <c r="D18" s="714"/>
      <c r="E18" s="714"/>
      <c r="F18" s="714"/>
      <c r="G18" s="714"/>
      <c r="H18" s="710">
        <f t="shared" si="0"/>
        <v>2262</v>
      </c>
      <c r="L18" s="2"/>
    </row>
    <row r="19" spans="1:12" ht="12.75">
      <c r="A19" s="709" t="s">
        <v>433</v>
      </c>
      <c r="B19" s="714"/>
      <c r="C19" s="714"/>
      <c r="D19" s="714"/>
      <c r="E19" s="714">
        <v>8000</v>
      </c>
      <c r="F19" s="714"/>
      <c r="G19" s="714"/>
      <c r="H19" s="710">
        <f t="shared" si="0"/>
        <v>8000</v>
      </c>
      <c r="L19" s="2"/>
    </row>
    <row r="20" spans="1:12" ht="12.75">
      <c r="A20" s="709" t="s">
        <v>434</v>
      </c>
      <c r="B20" s="714"/>
      <c r="C20" s="714"/>
      <c r="D20" s="714"/>
      <c r="E20" s="714">
        <v>9000</v>
      </c>
      <c r="F20" s="714"/>
      <c r="G20" s="714"/>
      <c r="H20" s="710">
        <f t="shared" si="0"/>
        <v>9000</v>
      </c>
      <c r="L20" s="2"/>
    </row>
    <row r="21" spans="1:12" ht="12.75">
      <c r="A21" s="709" t="s">
        <v>383</v>
      </c>
      <c r="B21" s="714">
        <v>8000</v>
      </c>
      <c r="C21" s="714"/>
      <c r="D21" s="714"/>
      <c r="E21" s="714"/>
      <c r="F21" s="714"/>
      <c r="G21" s="714"/>
      <c r="H21" s="710">
        <f t="shared" si="0"/>
        <v>8000</v>
      </c>
      <c r="L21" s="2"/>
    </row>
    <row r="22" spans="1:12" ht="12.75">
      <c r="A22" s="709" t="s">
        <v>384</v>
      </c>
      <c r="B22" s="714"/>
      <c r="C22" s="714"/>
      <c r="D22" s="714"/>
      <c r="E22" s="714"/>
      <c r="F22" s="714">
        <v>55000</v>
      </c>
      <c r="G22" s="714">
        <v>22340</v>
      </c>
      <c r="H22" s="710">
        <f t="shared" si="0"/>
        <v>77340</v>
      </c>
      <c r="L22" s="2"/>
    </row>
    <row r="23" spans="1:12" ht="12.75">
      <c r="A23" s="709" t="s">
        <v>37</v>
      </c>
      <c r="B23" s="714">
        <v>10000</v>
      </c>
      <c r="C23" s="714">
        <v>-6000</v>
      </c>
      <c r="D23" s="714"/>
      <c r="E23" s="714"/>
      <c r="F23" s="714"/>
      <c r="G23" s="714">
        <v>-88</v>
      </c>
      <c r="H23" s="710">
        <f t="shared" si="0"/>
        <v>3912</v>
      </c>
      <c r="L23" s="2"/>
    </row>
    <row r="24" spans="1:12" ht="12.75">
      <c r="A24" s="709" t="s">
        <v>432</v>
      </c>
      <c r="B24" s="714"/>
      <c r="C24" s="714"/>
      <c r="D24" s="714"/>
      <c r="E24" s="714">
        <v>35000</v>
      </c>
      <c r="F24" s="714"/>
      <c r="G24" s="714"/>
      <c r="H24" s="710">
        <f t="shared" si="0"/>
        <v>35000</v>
      </c>
      <c r="L24" s="2"/>
    </row>
    <row r="25" spans="1:12" ht="12.75">
      <c r="A25" s="709" t="s">
        <v>315</v>
      </c>
      <c r="B25" s="714">
        <v>13777</v>
      </c>
      <c r="C25" s="714"/>
      <c r="D25" s="714"/>
      <c r="E25" s="714"/>
      <c r="F25" s="714"/>
      <c r="G25" s="714"/>
      <c r="H25" s="710">
        <f t="shared" si="0"/>
        <v>13777</v>
      </c>
      <c r="L25" s="2"/>
    </row>
    <row r="26" spans="1:12" ht="12.75">
      <c r="A26" s="709" t="s">
        <v>438</v>
      </c>
      <c r="B26" s="714"/>
      <c r="C26" s="714"/>
      <c r="D26" s="714"/>
      <c r="E26" s="714">
        <v>5245</v>
      </c>
      <c r="F26" s="714"/>
      <c r="G26" s="714"/>
      <c r="H26" s="710">
        <f t="shared" si="0"/>
        <v>5245</v>
      </c>
      <c r="L26" s="2"/>
    </row>
    <row r="27" spans="1:12" ht="13.5" thickBot="1">
      <c r="A27" s="709" t="s">
        <v>422</v>
      </c>
      <c r="B27" s="714"/>
      <c r="C27" s="714"/>
      <c r="D27" s="714">
        <v>14000</v>
      </c>
      <c r="E27" s="714">
        <v>2500</v>
      </c>
      <c r="F27" s="714"/>
      <c r="G27" s="714"/>
      <c r="H27" s="710">
        <f t="shared" si="0"/>
        <v>16500</v>
      </c>
      <c r="L27" s="2"/>
    </row>
    <row r="28" spans="1:8" ht="12.75" hidden="1">
      <c r="A28" s="709"/>
      <c r="B28" s="714"/>
      <c r="C28" s="714"/>
      <c r="D28" s="714"/>
      <c r="E28" s="714"/>
      <c r="F28" s="714"/>
      <c r="G28" s="714"/>
      <c r="H28" s="710"/>
    </row>
    <row r="29" spans="1:8" ht="13.5" hidden="1" thickBot="1">
      <c r="A29" s="717"/>
      <c r="B29" s="718"/>
      <c r="C29" s="718"/>
      <c r="D29" s="718"/>
      <c r="E29" s="718"/>
      <c r="F29" s="718"/>
      <c r="G29" s="718"/>
      <c r="H29" s="719"/>
    </row>
    <row r="30" spans="1:10" ht="17.25" thickBot="1" thickTop="1">
      <c r="A30" s="706" t="s">
        <v>49</v>
      </c>
      <c r="B30" s="715">
        <f>SUM(B3:B29)</f>
        <v>146746</v>
      </c>
      <c r="C30" s="715">
        <f>SUM(C3:C29)</f>
        <v>48372</v>
      </c>
      <c r="D30" s="715">
        <f>SUM(D3:D29)</f>
        <v>376160</v>
      </c>
      <c r="E30" s="715">
        <f>SUM(E3:E29)</f>
        <v>92445</v>
      </c>
      <c r="F30" s="715">
        <f>SUM(F3:F29)</f>
        <v>46688</v>
      </c>
      <c r="G30" s="715">
        <f>SUM(G3:G27)</f>
        <v>61667</v>
      </c>
      <c r="H30" s="716">
        <f>SUM(H3:H29)</f>
        <v>772078</v>
      </c>
      <c r="J30" s="2"/>
    </row>
    <row r="31" ht="13.5" thickTop="1"/>
    <row r="32" ht="12.75">
      <c r="H32" s="2"/>
    </row>
    <row r="33" spans="4:8" ht="12.75">
      <c r="D33" s="2"/>
      <c r="E33" s="2"/>
      <c r="F33" s="2"/>
      <c r="G33" s="2"/>
      <c r="H33" s="2"/>
    </row>
    <row r="34" ht="12.75">
      <c r="H34" s="2"/>
    </row>
    <row r="35" spans="5:8" ht="12.75">
      <c r="E35" s="2"/>
      <c r="F35" s="2"/>
      <c r="G35" s="2"/>
      <c r="H35" s="2"/>
    </row>
    <row r="36" spans="8:12" ht="12.75">
      <c r="H36" s="2"/>
      <c r="L36" s="2"/>
    </row>
    <row r="37" spans="4:8" ht="12.75">
      <c r="D37" s="2"/>
      <c r="E37" s="2"/>
      <c r="F37" s="2"/>
      <c r="G37" s="2"/>
      <c r="H37" s="2"/>
    </row>
    <row r="38" spans="8:11" ht="15.75">
      <c r="H38" s="747"/>
      <c r="K38" s="2"/>
    </row>
    <row r="46" spans="4:7" ht="12.75">
      <c r="D46" s="2"/>
      <c r="E46" s="2"/>
      <c r="F46" s="2"/>
      <c r="G46" s="2"/>
    </row>
  </sheetData>
  <sheetProtection/>
  <printOptions/>
  <pageMargins left="0.11811023622047245" right="0.11811023622047245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2023-11-22T11:02:11Z</cp:lastPrinted>
  <dcterms:created xsi:type="dcterms:W3CDTF">2009-12-28T11:25:53Z</dcterms:created>
  <dcterms:modified xsi:type="dcterms:W3CDTF">2023-11-29T08:29:50Z</dcterms:modified>
  <cp:category/>
  <cp:version/>
  <cp:contentType/>
  <cp:contentStatus/>
</cp:coreProperties>
</file>