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150" windowWidth="19575" windowHeight="12180" firstSheet="4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</sheets>
  <definedNames/>
  <calcPr fullCalcOnLoad="1"/>
</workbook>
</file>

<file path=xl/sharedStrings.xml><?xml version="1.0" encoding="utf-8"?>
<sst xmlns="http://schemas.openxmlformats.org/spreadsheetml/2006/main" count="721" uniqueCount="465">
  <si>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</si>
  <si>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</si>
  <si>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</si>
  <si>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</si>
  <si>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</si>
  <si>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</si>
  <si>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</si>
  <si>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</si>
  <si>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</si>
  <si>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</si>
  <si>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Projekty - školy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</si>
  <si>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</si>
  <si>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</si>
  <si>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</si>
  <si>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</si>
  <si>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</si>
  <si>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</si>
  <si>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</si>
  <si>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</si>
  <si>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</si>
  <si>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</si>
  <si>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</si>
  <si>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</si>
  <si>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</si>
  <si>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</si>
  <si>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</si>
  <si>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</si>
  <si>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</si>
  <si>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</si>
  <si>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</si>
  <si>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</si>
  <si>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</si>
  <si>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</si>
  <si>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</si>
  <si>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Doprava-výstavba a oprava ciest</t>
  </si>
  <si>
    <t>Nákladanie s odpadmi</t>
  </si>
  <si>
    <t>Príspevok pre TS</t>
  </si>
  <si>
    <t>08.2.0.9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</si>
  <si>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</si>
  <si>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</si>
  <si>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</si>
  <si>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</si>
  <si>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</si>
  <si>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</si>
  <si>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</si>
  <si>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</si>
  <si>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</si>
  <si>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</si>
  <si>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</si>
  <si>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</si>
  <si>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</si>
  <si>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</si>
  <si>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fond nevyčerpaných dotácií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</si>
  <si>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</si>
  <si>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</si>
  <si>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</si>
  <si>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</si>
  <si>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</si>
  <si>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</si>
  <si>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</si>
  <si>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</si>
  <si>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</si>
  <si>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</si>
  <si>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</si>
  <si>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</si>
  <si>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</si>
  <si>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</si>
  <si>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</si>
  <si>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</si>
  <si>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</si>
  <si>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</si>
  <si>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</si>
  <si>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</si>
  <si>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</si>
  <si>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</si>
  <si>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</si>
  <si>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</si>
  <si>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</si>
  <si>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</si>
  <si>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</si>
  <si>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</si>
  <si>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</si>
  <si>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</si>
  <si>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</si>
  <si>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</si>
  <si>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</si>
  <si>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</si>
  <si>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</si>
  <si>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</si>
  <si>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</si>
  <si>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</si>
  <si>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</si>
  <si>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</si>
  <si>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</si>
  <si>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</si>
  <si>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</si>
  <si>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</si>
  <si>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</si>
  <si>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</si>
  <si>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</si>
  <si>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</si>
  <si>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</si>
  <si>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</si>
  <si>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</si>
  <si>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</si>
  <si>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</si>
  <si>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</si>
  <si>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</si>
  <si>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</si>
  <si>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</si>
  <si>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</si>
  <si>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</si>
  <si>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</si>
  <si>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</si>
  <si>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</si>
  <si>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</si>
  <si>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</si>
  <si>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</si>
  <si>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</si>
  <si>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</si>
  <si>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</si>
  <si>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</si>
  <si>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</si>
  <si>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</si>
  <si>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</si>
  <si>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</si>
  <si>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</si>
  <si>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</si>
  <si>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</si>
  <si>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</si>
  <si>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</si>
  <si>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</si>
  <si>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</si>
  <si>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</si>
  <si>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</si>
  <si>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</si>
  <si>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</si>
  <si>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</si>
  <si>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</si>
  <si>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</si>
  <si>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</si>
  <si>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</si>
  <si>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</si>
  <si>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</si>
  <si>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</si>
  <si>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</si>
  <si>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</si>
  <si>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</si>
  <si>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</si>
  <si>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</si>
  <si>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</si>
  <si>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</si>
  <si>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</si>
  <si>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</si>
  <si>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</si>
  <si>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</si>
  <si>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</si>
  <si>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</si>
  <si>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</si>
  <si>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</si>
  <si>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</si>
  <si>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</si>
  <si>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 xml:space="preserve">Karpatské klim. mestečká 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</si>
  <si>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</si>
  <si>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</si>
  <si>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</si>
  <si>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</si>
  <si>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</si>
  <si>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</si>
  <si>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</si>
  <si>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</si>
  <si>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</si>
  <si>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</si>
  <si>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</si>
  <si>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</si>
  <si>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</si>
  <si>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</si>
  <si>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</si>
  <si>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</si>
  <si>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</si>
  <si>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</si>
  <si>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</si>
  <si>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</si>
  <si>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</si>
  <si>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</si>
  <si>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</si>
  <si>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</si>
  <si>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</si>
  <si>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</si>
  <si>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</si>
  <si>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</si>
  <si>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</si>
  <si>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</si>
  <si>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</si>
  <si>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</si>
  <si>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</si>
  <si>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</si>
  <si>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</si>
  <si>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</si>
  <si>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</si>
  <si>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</si>
  <si>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</si>
  <si>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</si>
  <si>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</si>
  <si>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</si>
  <si>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</si>
  <si>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</si>
  <si>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</si>
  <si>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</si>
  <si>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</si>
  <si>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</si>
  <si>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</si>
  <si>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</si>
  <si>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</si>
  <si>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</si>
  <si>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</si>
  <si>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</si>
  <si>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</si>
  <si>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</si>
  <si>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</si>
  <si>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</si>
  <si>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</si>
  <si>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</si>
  <si>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</si>
  <si>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</si>
  <si>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</si>
  <si>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</si>
  <si>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</si>
  <si>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</si>
  <si>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</si>
  <si>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</si>
  <si>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</si>
  <si>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</si>
  <si>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</si>
  <si>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</si>
  <si>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</si>
  <si>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</si>
  <si>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</si>
  <si>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</si>
  <si>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</si>
  <si>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</si>
  <si>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</si>
  <si>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</si>
  <si>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</si>
  <si>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</si>
  <si>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</si>
  <si>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</si>
  <si>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</si>
  <si>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</si>
  <si>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</si>
  <si>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</si>
  <si>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</si>
  <si>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</si>
  <si>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</si>
  <si>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</si>
  <si>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</si>
  <si>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</si>
  <si>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</si>
  <si>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</si>
  <si>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</si>
  <si>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</si>
  <si>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</si>
  <si>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</si>
  <si>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</si>
  <si>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</si>
  <si>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Medzinárodný zraz turistov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</si>
  <si>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</si>
  <si>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</si>
  <si>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</si>
  <si>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</si>
  <si>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</si>
  <si>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</si>
  <si>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</si>
  <si>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</si>
  <si>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</si>
  <si>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</si>
  <si>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</si>
  <si>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</si>
  <si>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</si>
  <si>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</si>
  <si>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</si>
  <si>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</si>
  <si>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</si>
  <si>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</si>
  <si>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</si>
  <si>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</si>
  <si>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</si>
  <si>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</si>
  <si>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</si>
  <si>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</si>
  <si>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</si>
  <si>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</si>
  <si>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</si>
  <si>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</si>
  <si>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</si>
  <si>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</si>
  <si>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</si>
  <si>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</si>
  <si>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</si>
  <si>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</si>
  <si>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</si>
  <si>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</si>
  <si>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</si>
  <si>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</si>
  <si>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</si>
  <si>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</si>
  <si>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</si>
  <si>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</si>
  <si>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</si>
  <si>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</si>
  <si>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</si>
  <si>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</si>
  <si>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</si>
  <si>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</si>
  <si>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</si>
  <si>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</si>
  <si>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</si>
  <si>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</si>
  <si>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</si>
  <si>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</si>
  <si>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</si>
  <si>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</si>
  <si>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</si>
  <si>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</si>
  <si>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</si>
  <si>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Cesta ul. Okružná</t>
  </si>
  <si>
    <t>MPV Plantáže</t>
  </si>
  <si>
    <t>zábezpeky</t>
  </si>
  <si>
    <t>Univerzálny vyklápač</t>
  </si>
  <si>
    <t>Košická ul. Č. 26</t>
  </si>
  <si>
    <t>Strelecká bašta</t>
  </si>
  <si>
    <t>Prístupový chodník/schodisko Pod vinicou</t>
  </si>
  <si>
    <t>opatrovateľska služba</t>
  </si>
  <si>
    <t>Komunitná a terénna sociálna práca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</si>
  <si>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</si>
  <si>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</si>
  <si>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</si>
  <si>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</si>
  <si>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</si>
  <si>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</si>
  <si>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</si>
  <si>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</si>
  <si>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</si>
  <si>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</si>
  <si>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</si>
  <si>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</si>
  <si>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</si>
  <si>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</si>
  <si>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</si>
  <si>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fond opráv ŠFRB</t>
  </si>
  <si>
    <t xml:space="preserve">ZUŠ Levoča </t>
  </si>
  <si>
    <t>Rekonštrukcia - spolufinancovanie</t>
  </si>
  <si>
    <t>Vodná nádrž Levoča</t>
  </si>
  <si>
    <t>Meštiansky dom, NMP 51</t>
  </si>
  <si>
    <t>Vodozádržné opatrenia</t>
  </si>
  <si>
    <t>Dlhodobé úvery rok 2019</t>
  </si>
  <si>
    <t>OZ Levočan</t>
  </si>
  <si>
    <t xml:space="preserve">Transfer pre TS </t>
  </si>
  <si>
    <t>Čerpanie rozpočtu 2019</t>
  </si>
  <si>
    <t>ZŠ Kluberta</t>
  </si>
  <si>
    <t>Prestavba N.M.P. II. etapa časť C</t>
  </si>
  <si>
    <t>Prestavba N.M.P. II. etapa časť A</t>
  </si>
  <si>
    <t>NMP 47 PD</t>
  </si>
  <si>
    <t>dva bytové domy - 48 b.j.</t>
  </si>
  <si>
    <t>dva bytové domy - technická vybavenosť</t>
  </si>
  <si>
    <t>MRK Lev. Lúky - komunikácia, osvetlenie</t>
  </si>
  <si>
    <t>Meštiansky dom, NMP 43</t>
  </si>
  <si>
    <t>WEB stránka</t>
  </si>
  <si>
    <t>automobil</t>
  </si>
  <si>
    <t xml:space="preserve">Potraviny - vrátky </t>
  </si>
  <si>
    <t>ZŠ Francisciho</t>
  </si>
  <si>
    <t>Chodníky</t>
  </si>
  <si>
    <t>Čerpanie rozpočtu 2020</t>
  </si>
  <si>
    <t>Centrum pre podporu rozvoja okresu</t>
  </si>
  <si>
    <t>Projekt Efektívna ver. správa</t>
  </si>
  <si>
    <t>Zvyšovanie bezpečnosti a dostupnosti sídel v meste Levoča</t>
  </si>
  <si>
    <t xml:space="preserve">VO Žel. riadok </t>
  </si>
  <si>
    <t xml:space="preserve">Radnica NMP 2 </t>
  </si>
  <si>
    <t>Radnica NMP 2 I. etapa</t>
  </si>
  <si>
    <t xml:space="preserve">Statické zabezpečenie hradobného múru_ Košická brána </t>
  </si>
  <si>
    <t>Statické zabezpečenie ohradového múru_ ul. Hradby</t>
  </si>
  <si>
    <t>Odkanalizovanie  mestskej časti Závada</t>
  </si>
  <si>
    <t>ZŠ G. Haina - ihrisko</t>
  </si>
  <si>
    <t>žabia cesta BV</t>
  </si>
  <si>
    <t>Soc. pomoc mesta</t>
  </si>
  <si>
    <t>Prepojovací chodník IBV Krupný jarok</t>
  </si>
  <si>
    <t>fond nevyčerpaných dotácií - bežné výdavky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</si>
  <si>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</si>
  <si>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</si>
  <si>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</si>
  <si>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</si>
  <si>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</si>
  <si>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</si>
  <si>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</si>
  <si>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 xml:space="preserve"> Rozpočet 2022</t>
  </si>
  <si>
    <t>pozemky cyklochodník</t>
  </si>
  <si>
    <t>Prevod rezervný fond</t>
  </si>
  <si>
    <t>Úver Špitálska ul</t>
  </si>
  <si>
    <t>Rekonštrukcia Špitálska ul.</t>
  </si>
  <si>
    <t>Rekonštrukcia chodníka - Novoveská cesta</t>
  </si>
  <si>
    <t>Cyklochodník</t>
  </si>
  <si>
    <t>Rek. a modernizácia autobusovej stanice</t>
  </si>
  <si>
    <t>Rek. ul. M.R. Štefánika</t>
  </si>
  <si>
    <t>Rek. ul. Za sédriou</t>
  </si>
  <si>
    <t>Rek. I. etapa Ružová ul.</t>
  </si>
  <si>
    <t>Rek.chodníka Gerlachovská ul.</t>
  </si>
  <si>
    <t>spevnené plochy sídl. Rozvoj</t>
  </si>
  <si>
    <t>Rekonštrukcia Špitálska ul. aut.dozor</t>
  </si>
  <si>
    <t>Regenerácia vnútrobloku sídlisko Západ v Levoči</t>
  </si>
  <si>
    <t>Radnica NMP 2 Rozšírenie NN distribučnej siete</t>
  </si>
  <si>
    <t>Zlepšenie kľúč. komp.  žiakov ZŠ Franc.</t>
  </si>
  <si>
    <t>Príspevok pre MsKS</t>
  </si>
  <si>
    <t>Voliery pre psov</t>
  </si>
  <si>
    <t xml:space="preserve">Stavebný dozor, architektonicko-historický </t>
  </si>
  <si>
    <t>ZUŠ - hudobné nástroje</t>
  </si>
  <si>
    <t>Radnica s areálom na NMP č.2</t>
  </si>
  <si>
    <t>Obnova NKP mestské opevnenie</t>
  </si>
  <si>
    <t>Terénne a sadové upravy sídl. Západ</t>
  </si>
  <si>
    <t>NKP Mestské opevnenie - juhozápad</t>
  </si>
  <si>
    <t>Dom meštiansky Kláštorská ul. č20</t>
  </si>
  <si>
    <t>Strava školy</t>
  </si>
  <si>
    <t>Náklady na školstvo-origin. výkon</t>
  </si>
  <si>
    <t>MPV pozemky</t>
  </si>
  <si>
    <t>žabia cesta</t>
  </si>
  <si>
    <t>07.4.0</t>
  </si>
  <si>
    <t>Ochrana, podpora a rozvoj ver.zdravia</t>
  </si>
  <si>
    <t>Covid - výdavky</t>
  </si>
  <si>
    <t>Vojnové hroby TS</t>
  </si>
  <si>
    <t>MŠ Francisciho</t>
  </si>
  <si>
    <t>MŠ žel. riadok</t>
  </si>
  <si>
    <t>Skutočnosť 2021</t>
  </si>
  <si>
    <t>Príspevok pre TS Rek. chodníka - Novoveská cesta</t>
  </si>
  <si>
    <t>Príspevok pre TS - kamer. systém  žab.cesta</t>
  </si>
  <si>
    <t>MŠ G. Haina - rekonštrukcia</t>
  </si>
  <si>
    <t>ZŠ Kluberta - vybavenie ŠJ</t>
  </si>
  <si>
    <t>Za predaj tvarov a služieb</t>
  </si>
  <si>
    <t>Podnikatešká činnosť</t>
  </si>
  <si>
    <t>úver - refinancovanie</t>
  </si>
  <si>
    <t>mimoriadna splátka úveru</t>
  </si>
  <si>
    <t>Zlepšenie kľúčových kompetencií</t>
  </si>
  <si>
    <t>MIRRI SR Žabia cesta</t>
  </si>
  <si>
    <t>Nórsky finančný mechanizmus - radnica</t>
  </si>
  <si>
    <t>Ministerstvo školstva - ZŠ Kluberta</t>
  </si>
  <si>
    <t>PSK NMP47 PD</t>
  </si>
  <si>
    <t>úvery 2021</t>
  </si>
  <si>
    <t>Kapitálové granty a transfery</t>
  </si>
  <si>
    <t xml:space="preserve">Zvyšovanie bezpečnosti a dostupnosti </t>
  </si>
  <si>
    <t>Lev. Lúky - techni</t>
  </si>
  <si>
    <t>Radnica - Nórsky fin mech.</t>
  </si>
  <si>
    <t>Projekty školy</t>
  </si>
  <si>
    <t>pomoc Ukrajine</t>
  </si>
  <si>
    <t>Voľby</t>
  </si>
  <si>
    <t>referendum</t>
  </si>
  <si>
    <t>Projekt PRIM</t>
  </si>
  <si>
    <t>MIRRI žabia cesta</t>
  </si>
  <si>
    <t>Projekty ŠR</t>
  </si>
  <si>
    <t>Pomôcky</t>
  </si>
  <si>
    <t>Presun z roku 2021</t>
  </si>
  <si>
    <t>Min.Inv</t>
  </si>
  <si>
    <t>skutočnosť 2022</t>
  </si>
  <si>
    <t>plnenie %</t>
  </si>
  <si>
    <t>Meštiansky dom, NMP 52</t>
  </si>
  <si>
    <t>MŠ Projekt</t>
  </si>
  <si>
    <t>Zábezpeky</t>
  </si>
  <si>
    <t>Časť 1.2.2. výdavky kapitálového rozpočtu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</si>
</sst>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  <numFmt numFmtId="201" formatCode="00"/>
  </numFmts>
  <fonts count="6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color rgb="FF55555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medium"/>
      <bottom style="medium"/>
    </border>
    <border>
      <left style="medium"/>
      <right style="double"/>
      <top/>
      <bottom style="hair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medium"/>
      <bottom/>
    </border>
    <border>
      <left style="medium"/>
      <right style="double"/>
      <top style="double"/>
      <bottom style="double"/>
    </border>
    <border>
      <left style="medium"/>
      <right style="double"/>
      <top style="hair"/>
      <bottom/>
    </border>
    <border>
      <left style="medium"/>
      <right style="double"/>
      <top/>
      <bottom/>
    </border>
    <border>
      <left/>
      <right/>
      <top/>
      <bottom style="double"/>
    </border>
    <border>
      <left style="medium"/>
      <right style="double"/>
      <top style="hair"/>
      <bottom style="medium"/>
    </border>
    <border>
      <left/>
      <right>
        <color indexed="63"/>
      </right>
      <top style="double"/>
      <bottom style="double"/>
    </border>
    <border>
      <left style="medium"/>
      <right style="double"/>
      <top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medium"/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/>
      <bottom style="double"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8" applyNumberFormat="0" applyAlignment="0" applyProtection="0"/>
    <xf numFmtId="0" fontId="56" fillId="24" borderId="8" applyNumberFormat="0" applyAlignment="0" applyProtection="0"/>
    <xf numFmtId="0" fontId="57" fillId="24" borderId="9" applyNumberFormat="0" applyAlignment="0" applyProtection="0"/>
    <xf numFmtId="0" fontId="58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88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9" fontId="9" fillId="0" borderId="49" xfId="0" applyNumberFormat="1" applyFont="1" applyFill="1" applyBorder="1" applyAlignment="1">
      <alignment vertical="center" wrapText="1"/>
    </xf>
    <xf numFmtId="3" fontId="9" fillId="0" borderId="50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4" fontId="10" fillId="0" borderId="51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2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3" fontId="10" fillId="0" borderId="53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/>
    </xf>
    <xf numFmtId="0" fontId="10" fillId="0" borderId="52" xfId="0" applyFont="1" applyFill="1" applyBorder="1" applyAlignment="1">
      <alignment/>
    </xf>
    <xf numFmtId="3" fontId="10" fillId="0" borderId="52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 horizontal="center"/>
    </xf>
    <xf numFmtId="0" fontId="10" fillId="0" borderId="54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3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10" fillId="0" borderId="52" xfId="0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38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59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left"/>
    </xf>
    <xf numFmtId="49" fontId="10" fillId="0" borderId="52" xfId="0" applyNumberFormat="1" applyFont="1" applyFill="1" applyBorder="1" applyAlignment="1">
      <alignment horizontal="right"/>
    </xf>
    <xf numFmtId="49" fontId="10" fillId="0" borderId="51" xfId="0" applyNumberFormat="1" applyFont="1" applyFill="1" applyBorder="1" applyAlignment="1">
      <alignment horizontal="left"/>
    </xf>
    <xf numFmtId="3" fontId="10" fillId="0" borderId="51" xfId="0" applyNumberFormat="1" applyFont="1" applyFill="1" applyBorder="1" applyAlignment="1">
      <alignment horizontal="left"/>
    </xf>
    <xf numFmtId="49" fontId="10" fillId="0" borderId="51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right"/>
    </xf>
    <xf numFmtId="3" fontId="10" fillId="0" borderId="62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/>
    </xf>
    <xf numFmtId="3" fontId="10" fillId="0" borderId="53" xfId="0" applyNumberFormat="1" applyFont="1" applyFill="1" applyBorder="1" applyAlignment="1">
      <alignment horizontal="right"/>
    </xf>
    <xf numFmtId="3" fontId="10" fillId="0" borderId="5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49" fontId="7" fillId="0" borderId="5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/>
    </xf>
    <xf numFmtId="3" fontId="10" fillId="0" borderId="66" xfId="0" applyNumberFormat="1" applyFont="1" applyFill="1" applyBorder="1" applyAlignment="1">
      <alignment/>
    </xf>
    <xf numFmtId="3" fontId="10" fillId="0" borderId="67" xfId="0" applyNumberFormat="1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8" fillId="0" borderId="69" xfId="0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0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3" fontId="10" fillId="0" borderId="32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3" fontId="10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/>
    </xf>
    <xf numFmtId="0" fontId="10" fillId="0" borderId="34" xfId="0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72" xfId="0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1" xfId="0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3" xfId="0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73" xfId="0" applyFont="1" applyFill="1" applyBorder="1" applyAlignment="1">
      <alignment horizontal="right"/>
    </xf>
    <xf numFmtId="3" fontId="10" fillId="0" borderId="73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left"/>
    </xf>
    <xf numFmtId="0" fontId="9" fillId="0" borderId="60" xfId="0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0" fillId="0" borderId="74" xfId="0" applyFill="1" applyBorder="1" applyAlignment="1">
      <alignment/>
    </xf>
    <xf numFmtId="3" fontId="0" fillId="0" borderId="75" xfId="0" applyNumberFormat="1" applyFill="1" applyBorder="1" applyAlignment="1">
      <alignment/>
    </xf>
    <xf numFmtId="0" fontId="0" fillId="0" borderId="76" xfId="0" applyFill="1" applyBorder="1" applyAlignment="1">
      <alignment/>
    </xf>
    <xf numFmtId="0" fontId="3" fillId="0" borderId="77" xfId="0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4" fontId="3" fillId="0" borderId="78" xfId="0" applyNumberFormat="1" applyFont="1" applyFill="1" applyBorder="1" applyAlignment="1">
      <alignment vertical="center"/>
    </xf>
    <xf numFmtId="0" fontId="3" fillId="0" borderId="77" xfId="0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4" fontId="3" fillId="0" borderId="78" xfId="0" applyNumberFormat="1" applyFont="1" applyFill="1" applyBorder="1" applyAlignment="1">
      <alignment/>
    </xf>
    <xf numFmtId="0" fontId="20" fillId="0" borderId="68" xfId="0" applyFont="1" applyFill="1" applyBorder="1" applyAlignment="1">
      <alignment/>
    </xf>
    <xf numFmtId="3" fontId="20" fillId="0" borderId="40" xfId="0" applyNumberFormat="1" applyFont="1" applyFill="1" applyBorder="1" applyAlignment="1">
      <alignment/>
    </xf>
    <xf numFmtId="4" fontId="20" fillId="0" borderId="40" xfId="0" applyNumberFormat="1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4" fillId="0" borderId="80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1" fillId="0" borderId="38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48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 vertical="center" wrapText="1"/>
    </xf>
    <xf numFmtId="3" fontId="15" fillId="0" borderId="67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75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45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0" fillId="0" borderId="82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10" fillId="0" borderId="63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4" fontId="19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1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4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 horizontal="left"/>
    </xf>
    <xf numFmtId="3" fontId="10" fillId="0" borderId="63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5" xfId="0" applyFill="1" applyBorder="1" applyAlignment="1">
      <alignment/>
    </xf>
    <xf numFmtId="0" fontId="0" fillId="0" borderId="2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4" xfId="0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10" fillId="0" borderId="67" xfId="0" applyNumberFormat="1" applyFont="1" applyFill="1" applyBorder="1" applyAlignment="1">
      <alignment/>
    </xf>
    <xf numFmtId="4" fontId="18" fillId="0" borderId="48" xfId="0" applyNumberFormat="1" applyFont="1" applyFill="1" applyBorder="1" applyAlignment="1">
      <alignment/>
    </xf>
    <xf numFmtId="4" fontId="14" fillId="0" borderId="80" xfId="0" applyNumberFormat="1" applyFont="1" applyFill="1" applyBorder="1" applyAlignment="1">
      <alignment vertical="center" wrapText="1"/>
    </xf>
    <xf numFmtId="4" fontId="1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8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87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9" fillId="0" borderId="27" xfId="0" applyNumberFormat="1" applyFont="1" applyFill="1" applyBorder="1" applyAlignment="1">
      <alignment horizontal="left"/>
    </xf>
    <xf numFmtId="3" fontId="61" fillId="0" borderId="0" xfId="0" applyNumberFormat="1" applyFont="1" applyAlignment="1">
      <alignment/>
    </xf>
    <xf numFmtId="4" fontId="0" fillId="0" borderId="23" xfId="0" applyNumberFormat="1" applyBorder="1" applyAlignment="1">
      <alignment/>
    </xf>
    <xf numFmtId="0" fontId="10" fillId="0" borderId="60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3" fillId="0" borderId="45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88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8" fillId="0" borderId="81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10" fillId="0" borderId="83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4" fontId="0" fillId="0" borderId="84" xfId="0" applyNumberFormat="1" applyFont="1" applyBorder="1" applyAlignment="1">
      <alignment/>
    </xf>
    <xf numFmtId="4" fontId="9" fillId="0" borderId="88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20" fillId="0" borderId="82" xfId="0" applyNumberFormat="1" applyFont="1" applyBorder="1" applyAlignment="1">
      <alignment/>
    </xf>
    <xf numFmtId="4" fontId="8" fillId="0" borderId="89" xfId="0" applyNumberFormat="1" applyFont="1" applyFill="1" applyBorder="1" applyAlignment="1">
      <alignment/>
    </xf>
    <xf numFmtId="4" fontId="9" fillId="0" borderId="89" xfId="0" applyNumberFormat="1" applyFont="1" applyFill="1" applyBorder="1" applyAlignment="1">
      <alignment vertical="center"/>
    </xf>
    <xf numFmtId="4" fontId="1" fillId="0" borderId="45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90" xfId="0" applyNumberFormat="1" applyFont="1" applyBorder="1" applyAlignment="1">
      <alignment/>
    </xf>
    <xf numFmtId="4" fontId="0" fillId="0" borderId="88" xfId="0" applyNumberFormat="1" applyFont="1" applyBorder="1" applyAlignment="1">
      <alignment/>
    </xf>
    <xf numFmtId="4" fontId="3" fillId="0" borderId="45" xfId="0" applyNumberFormat="1" applyFont="1" applyBorder="1" applyAlignment="1">
      <alignment vertical="center"/>
    </xf>
    <xf numFmtId="4" fontId="8" fillId="0" borderId="8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2" fontId="9" fillId="0" borderId="88" xfId="0" applyNumberFormat="1" applyFont="1" applyFill="1" applyBorder="1" applyAlignment="1">
      <alignment horizontal="right"/>
    </xf>
    <xf numFmtId="2" fontId="10" fillId="0" borderId="46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10" fillId="0" borderId="90" xfId="0" applyNumberFormat="1" applyFont="1" applyFill="1" applyBorder="1" applyAlignment="1">
      <alignment/>
    </xf>
    <xf numFmtId="2" fontId="10" fillId="0" borderId="44" xfId="0" applyNumberFormat="1" applyFont="1" applyFill="1" applyBorder="1" applyAlignment="1">
      <alignment/>
    </xf>
    <xf numFmtId="2" fontId="10" fillId="0" borderId="84" xfId="0" applyNumberFormat="1" applyFont="1" applyFill="1" applyBorder="1" applyAlignment="1">
      <alignment/>
    </xf>
    <xf numFmtId="2" fontId="19" fillId="0" borderId="90" xfId="0" applyNumberFormat="1" applyFont="1" applyFill="1" applyBorder="1" applyAlignment="1">
      <alignment/>
    </xf>
    <xf numFmtId="2" fontId="19" fillId="0" borderId="46" xfId="0" applyNumberFormat="1" applyFont="1" applyFill="1" applyBorder="1" applyAlignment="1">
      <alignment/>
    </xf>
    <xf numFmtId="2" fontId="10" fillId="0" borderId="46" xfId="0" applyNumberFormat="1" applyFont="1" applyFill="1" applyBorder="1" applyAlignment="1">
      <alignment/>
    </xf>
    <xf numFmtId="2" fontId="9" fillId="0" borderId="44" xfId="0" applyNumberFormat="1" applyFont="1" applyFill="1" applyBorder="1" applyAlignment="1">
      <alignment/>
    </xf>
    <xf numFmtId="2" fontId="10" fillId="0" borderId="88" xfId="0" applyNumberFormat="1" applyFont="1" applyFill="1" applyBorder="1" applyAlignment="1">
      <alignment/>
    </xf>
    <xf numFmtId="2" fontId="19" fillId="0" borderId="90" xfId="0" applyNumberFormat="1" applyFont="1" applyFill="1" applyBorder="1" applyAlignment="1">
      <alignment/>
    </xf>
    <xf numFmtId="2" fontId="19" fillId="0" borderId="44" xfId="0" applyNumberFormat="1" applyFont="1" applyFill="1" applyBorder="1" applyAlignment="1">
      <alignment/>
    </xf>
    <xf numFmtId="2" fontId="10" fillId="0" borderId="83" xfId="0" applyNumberFormat="1" applyFont="1" applyFill="1" applyBorder="1" applyAlignment="1">
      <alignment/>
    </xf>
    <xf numFmtId="2" fontId="10" fillId="0" borderId="90" xfId="0" applyNumberFormat="1" applyFont="1" applyFill="1" applyBorder="1" applyAlignment="1">
      <alignment/>
    </xf>
    <xf numFmtId="2" fontId="10" fillId="0" borderId="45" xfId="0" applyNumberFormat="1" applyFont="1" applyFill="1" applyBorder="1" applyAlignment="1">
      <alignment/>
    </xf>
    <xf numFmtId="2" fontId="10" fillId="0" borderId="86" xfId="0" applyNumberFormat="1" applyFont="1" applyFill="1" applyBorder="1" applyAlignment="1">
      <alignment/>
    </xf>
    <xf numFmtId="2" fontId="9" fillId="0" borderId="8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3" fillId="0" borderId="45" xfId="0" applyNumberFormat="1" applyFont="1" applyFill="1" applyBorder="1" applyAlignment="1">
      <alignment/>
    </xf>
    <xf numFmtId="2" fontId="0" fillId="0" borderId="84" xfId="0" applyNumberFormat="1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8" fillId="0" borderId="82" xfId="0" applyNumberFormat="1" applyFont="1" applyFill="1" applyBorder="1" applyAlignment="1">
      <alignment/>
    </xf>
    <xf numFmtId="4" fontId="10" fillId="0" borderId="90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7" fillId="0" borderId="82" xfId="0" applyNumberFormat="1" applyFont="1" applyFill="1" applyBorder="1" applyAlignment="1">
      <alignment/>
    </xf>
    <xf numFmtId="4" fontId="0" fillId="0" borderId="88" xfId="0" applyNumberFormat="1" applyFill="1" applyBorder="1" applyAlignment="1">
      <alignment/>
    </xf>
    <xf numFmtId="4" fontId="0" fillId="0" borderId="90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0" fillId="0" borderId="44" xfId="0" applyNumberFormat="1" applyFill="1" applyBorder="1" applyAlignment="1">
      <alignment/>
    </xf>
    <xf numFmtId="4" fontId="0" fillId="0" borderId="83" xfId="0" applyNumberFormat="1" applyFill="1" applyBorder="1" applyAlignment="1">
      <alignment/>
    </xf>
    <xf numFmtId="4" fontId="8" fillId="0" borderId="79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8" fillId="0" borderId="48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8" fillId="0" borderId="19" xfId="0" applyNumberFormat="1" applyFont="1" applyFill="1" applyBorder="1" applyAlignment="1">
      <alignment vertical="center"/>
    </xf>
    <xf numFmtId="4" fontId="0" fillId="0" borderId="21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/>
    </xf>
    <xf numFmtId="4" fontId="20" fillId="0" borderId="4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0" borderId="88" xfId="0" applyNumberFormat="1" applyFont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 horizontal="right"/>
    </xf>
    <xf numFmtId="4" fontId="0" fillId="0" borderId="51" xfId="0" applyNumberFormat="1" applyFill="1" applyBorder="1" applyAlignment="1">
      <alignment/>
    </xf>
    <xf numFmtId="4" fontId="0" fillId="0" borderId="63" xfId="0" applyNumberFormat="1" applyFill="1" applyBorder="1" applyAlignment="1">
      <alignment/>
    </xf>
    <xf numFmtId="4" fontId="7" fillId="0" borderId="69" xfId="0" applyNumberFormat="1" applyFont="1" applyFill="1" applyBorder="1" applyAlignment="1">
      <alignment/>
    </xf>
    <xf numFmtId="4" fontId="0" fillId="0" borderId="91" xfId="0" applyNumberFormat="1" applyFill="1" applyBorder="1" applyAlignment="1">
      <alignment/>
    </xf>
    <xf numFmtId="4" fontId="3" fillId="0" borderId="92" xfId="0" applyNumberFormat="1" applyFont="1" applyFill="1" applyBorder="1" applyAlignment="1">
      <alignment vertical="center"/>
    </xf>
    <xf numFmtId="4" fontId="3" fillId="0" borderId="92" xfId="0" applyNumberFormat="1" applyFont="1" applyFill="1" applyBorder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16" fontId="7" fillId="0" borderId="85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85" xfId="0" applyFont="1" applyBorder="1" applyAlignment="1">
      <alignment horizontal="left"/>
    </xf>
    <xf numFmtId="0" fontId="10" fillId="0" borderId="7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9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left"/>
    </xf>
    <xf numFmtId="0" fontId="8" fillId="0" borderId="87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2" fillId="0" borderId="85" xfId="0" applyFont="1" applyBorder="1" applyAlignment="1">
      <alignment horizontal="left"/>
    </xf>
    <xf numFmtId="49" fontId="9" fillId="0" borderId="70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left"/>
    </xf>
    <xf numFmtId="49" fontId="7" fillId="0" borderId="7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101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60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49" fontId="9" fillId="0" borderId="35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3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16" fontId="9" fillId="0" borderId="70" xfId="0" applyNumberFormat="1" applyFont="1" applyFill="1" applyBorder="1" applyAlignment="1">
      <alignment horizontal="center"/>
    </xf>
    <xf numFmtId="16" fontId="9" fillId="0" borderId="30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102" xfId="0" applyFont="1" applyFill="1" applyBorder="1" applyAlignment="1">
      <alignment horizontal="left" vertical="center" wrapText="1"/>
    </xf>
    <xf numFmtId="0" fontId="9" fillId="0" borderId="10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98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9" fontId="9" fillId="0" borderId="3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" fontId="7" fillId="0" borderId="50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7" fillId="0" borderId="99" xfId="0" applyFont="1" applyFill="1" applyBorder="1" applyAlignment="1">
      <alignment horizontal="left"/>
    </xf>
    <xf numFmtId="0" fontId="7" fillId="0" borderId="87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0" fillId="0" borderId="104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" fontId="7" fillId="0" borderId="85" xfId="0" applyNumberFormat="1" applyFont="1" applyFill="1" applyBorder="1" applyAlignment="1">
      <alignment horizontal="left"/>
    </xf>
    <xf numFmtId="0" fontId="0" fillId="0" borderId="7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98" xfId="0" applyNumberFormat="1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0" borderId="106" xfId="0" applyFont="1" applyFill="1" applyBorder="1" applyAlignment="1">
      <alignment horizontal="left" vertical="center"/>
    </xf>
    <xf numFmtId="0" fontId="20" fillId="0" borderId="107" xfId="0" applyFont="1" applyFill="1" applyBorder="1" applyAlignment="1">
      <alignment horizontal="left" vertical="center"/>
    </xf>
    <xf numFmtId="0" fontId="20" fillId="0" borderId="85" xfId="0" applyFont="1" applyFill="1" applyBorder="1" applyAlignment="1">
      <alignment horizontal="left" vertical="center"/>
    </xf>
    <xf numFmtId="0" fontId="20" fillId="0" borderId="108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120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9.140625" style="474" customWidth="1"/>
    <col min="3" max="3" width="32.140625" style="474" customWidth="1"/>
    <col min="4" max="11" width="12.7109375" style="474" hidden="1" customWidth="1"/>
    <col min="12" max="12" width="14.421875" style="474" hidden="1" customWidth="1"/>
    <col min="13" max="13" width="16.00390625" style="474" hidden="1" customWidth="1"/>
    <col min="14" max="14" width="16.140625" style="474" hidden="1" customWidth="1"/>
    <col min="15" max="16" width="17.00390625" style="474" hidden="1" customWidth="1"/>
    <col min="17" max="17" width="15.8515625" style="474" hidden="1" customWidth="1"/>
    <col min="18" max="18" width="17.00390625" style="474" hidden="1" customWidth="1"/>
    <col min="19" max="19" width="16.421875" style="474" customWidth="1"/>
    <col min="20" max="20" width="13.7109375" style="474" customWidth="1"/>
    <col min="21" max="21" width="15.7109375" style="474" customWidth="1"/>
    <col min="22" max="22" width="13.8515625" style="474" customWidth="1"/>
    <col min="23" max="23" width="9.140625" style="474" customWidth="1"/>
    <col min="24" max="24" width="11.421875" style="474" bestFit="1" customWidth="1"/>
    <col min="25" max="25" width="11.7109375" style="474" customWidth="1"/>
    <col min="26" max="16384" width="9.140625" style="474" customWidth="1"/>
  </cols>
  <sheetData>
    <row r="1" spans="1:3" ht="12.75">
      <c r="A1" s="725" t="s">
        <v>387</v>
      </c>
      <c r="B1" s="725"/>
      <c r="C1" s="725"/>
    </row>
    <row r="2" spans="1:3" ht="13.5" thickBot="1">
      <c r="A2" s="726" t="s">
        <v>388</v>
      </c>
      <c r="B2" s="726"/>
      <c r="C2" s="726"/>
    </row>
    <row r="3" spans="1:22" ht="15" customHeight="1" thickTop="1">
      <c r="A3" s="759" t="s">
        <v>75</v>
      </c>
      <c r="B3" s="766" t="s">
        <v>76</v>
      </c>
      <c r="C3" s="723" t="s">
        <v>77</v>
      </c>
      <c r="D3" s="723" t="s">
        <v>78</v>
      </c>
      <c r="E3" s="723" t="s">
        <v>79</v>
      </c>
      <c r="F3" s="723" t="s">
        <v>80</v>
      </c>
      <c r="G3" s="723" t="s">
        <v>81</v>
      </c>
      <c r="H3" s="723" t="s">
        <v>82</v>
      </c>
      <c r="I3" s="723" t="s">
        <v>83</v>
      </c>
      <c r="J3" s="723" t="s">
        <v>84</v>
      </c>
      <c r="K3" s="723" t="s">
        <v>85</v>
      </c>
      <c r="L3" s="723" t="s">
        <v>86</v>
      </c>
      <c r="M3" s="723" t="s">
        <v>307</v>
      </c>
      <c r="N3" s="723" t="s">
        <v>322</v>
      </c>
      <c r="O3" s="723" t="s">
        <v>339</v>
      </c>
      <c r="P3" s="723" t="s">
        <v>344</v>
      </c>
      <c r="Q3" s="723" t="s">
        <v>358</v>
      </c>
      <c r="R3" s="723" t="s">
        <v>372</v>
      </c>
      <c r="S3" s="723" t="s">
        <v>430</v>
      </c>
      <c r="T3" s="735" t="s">
        <v>394</v>
      </c>
      <c r="U3" s="721" t="s">
        <v>459</v>
      </c>
      <c r="V3" s="733" t="s">
        <v>460</v>
      </c>
    </row>
    <row r="4" spans="1:22" ht="19.5" customHeight="1" thickBot="1">
      <c r="A4" s="760"/>
      <c r="B4" s="767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36"/>
      <c r="U4" s="722"/>
      <c r="V4" s="734"/>
    </row>
    <row r="5" spans="1:22" ht="17.25" thickBot="1" thickTop="1">
      <c r="A5" s="3">
        <v>100</v>
      </c>
      <c r="B5" s="763" t="s">
        <v>89</v>
      </c>
      <c r="C5" s="764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494">
        <v>5807550.21</v>
      </c>
      <c r="N5" s="4">
        <v>6453363.550000001</v>
      </c>
      <c r="O5" s="494">
        <v>6809462.010000001</v>
      </c>
      <c r="P5" s="494">
        <v>7281076.170000001</v>
      </c>
      <c r="Q5" s="494">
        <v>7988329.25</v>
      </c>
      <c r="R5" s="494">
        <v>8043385.96</v>
      </c>
      <c r="S5" s="494">
        <v>8366279.7</v>
      </c>
      <c r="T5" s="427">
        <f>T6+T12+T17</f>
        <v>9132544</v>
      </c>
      <c r="U5" s="674">
        <f>U6+U12+U17</f>
        <v>9161330.97</v>
      </c>
      <c r="V5" s="629">
        <f>IF(T5=0,0,U5/T5*100)</f>
        <v>100.31521304468941</v>
      </c>
    </row>
    <row r="6" spans="1:22" ht="15.75" thickBot="1">
      <c r="A6" s="5">
        <v>110</v>
      </c>
      <c r="B6" s="747" t="s">
        <v>90</v>
      </c>
      <c r="C6" s="765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495">
        <v>5016805.1</v>
      </c>
      <c r="N6" s="7">
        <v>5542925.66</v>
      </c>
      <c r="O6" s="495">
        <v>5877883.03</v>
      </c>
      <c r="P6" s="495">
        <v>6368965.23</v>
      </c>
      <c r="Q6" s="495">
        <v>7093467.67</v>
      </c>
      <c r="R6" s="495">
        <v>7044253.25</v>
      </c>
      <c r="S6" s="495">
        <v>7229624.83</v>
      </c>
      <c r="T6" s="428">
        <f>T7</f>
        <v>7859202</v>
      </c>
      <c r="U6" s="675">
        <f>U7</f>
        <v>7838338.2</v>
      </c>
      <c r="V6" s="615">
        <f aca="true" t="shared" si="0" ref="V6:V69">IF(T6=0,0,U6/T6*100)</f>
        <v>99.73453029964111</v>
      </c>
    </row>
    <row r="7" spans="1:22" ht="13.5" thickBot="1">
      <c r="A7" s="727"/>
      <c r="B7" s="730"/>
      <c r="C7" s="412" t="s">
        <v>91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25">
        <v>5016805.1</v>
      </c>
      <c r="N7" s="12">
        <v>5542925.66</v>
      </c>
      <c r="O7" s="225">
        <v>5877883.03</v>
      </c>
      <c r="P7" s="225">
        <v>6368965.23</v>
      </c>
      <c r="Q7" s="225">
        <v>7093467.67</v>
      </c>
      <c r="R7" s="225">
        <v>7044253.25</v>
      </c>
      <c r="S7" s="225">
        <v>7229624.83</v>
      </c>
      <c r="T7" s="12">
        <v>7859202</v>
      </c>
      <c r="U7" s="482">
        <v>7838338.2</v>
      </c>
      <c r="V7" s="534">
        <f t="shared" si="0"/>
        <v>99.73453029964111</v>
      </c>
    </row>
    <row r="8" spans="1:22" ht="13.5" hidden="1" thickBot="1">
      <c r="A8" s="728"/>
      <c r="B8" s="731"/>
      <c r="C8" s="114" t="s">
        <v>225</v>
      </c>
      <c r="D8" s="114"/>
      <c r="E8" s="114"/>
      <c r="F8" s="114"/>
      <c r="G8" s="114"/>
      <c r="H8" s="114"/>
      <c r="I8" s="77"/>
      <c r="J8" s="77"/>
      <c r="K8" s="126"/>
      <c r="L8" s="126"/>
      <c r="M8" s="181"/>
      <c r="N8" s="84"/>
      <c r="O8" s="84"/>
      <c r="P8" s="84"/>
      <c r="Q8" s="181"/>
      <c r="R8" s="181"/>
      <c r="S8" s="181"/>
      <c r="T8" s="84"/>
      <c r="U8" s="477"/>
      <c r="V8" s="478">
        <f t="shared" si="0"/>
        <v>0</v>
      </c>
    </row>
    <row r="9" spans="1:22" ht="13.5" hidden="1" thickBot="1">
      <c r="A9" s="728"/>
      <c r="B9" s="731"/>
      <c r="C9" s="22" t="s">
        <v>88</v>
      </c>
      <c r="D9" s="22"/>
      <c r="E9" s="22"/>
      <c r="F9" s="22"/>
      <c r="G9" s="22"/>
      <c r="H9" s="22"/>
      <c r="I9" s="81"/>
      <c r="J9" s="81"/>
      <c r="K9" s="23"/>
      <c r="L9" s="23"/>
      <c r="M9" s="183"/>
      <c r="N9" s="24"/>
      <c r="O9" s="24"/>
      <c r="P9" s="24"/>
      <c r="Q9" s="183"/>
      <c r="R9" s="183"/>
      <c r="S9" s="183"/>
      <c r="T9" s="24"/>
      <c r="U9" s="479"/>
      <c r="V9" s="480">
        <f t="shared" si="0"/>
        <v>0</v>
      </c>
    </row>
    <row r="10" spans="1:22" ht="13.5" hidden="1" thickBot="1">
      <c r="A10" s="728"/>
      <c r="B10" s="731"/>
      <c r="C10" s="22" t="s">
        <v>230</v>
      </c>
      <c r="D10" s="22"/>
      <c r="E10" s="22"/>
      <c r="F10" s="22"/>
      <c r="G10" s="22"/>
      <c r="H10" s="22"/>
      <c r="I10" s="81"/>
      <c r="J10" s="81"/>
      <c r="K10" s="23"/>
      <c r="L10" s="23"/>
      <c r="M10" s="183"/>
      <c r="N10" s="24"/>
      <c r="O10" s="24"/>
      <c r="P10" s="24"/>
      <c r="Q10" s="183"/>
      <c r="R10" s="183"/>
      <c r="S10" s="183"/>
      <c r="T10" s="24"/>
      <c r="U10" s="479"/>
      <c r="V10" s="480">
        <f t="shared" si="0"/>
        <v>0</v>
      </c>
    </row>
    <row r="11" spans="1:22" ht="13.5" hidden="1" thickBot="1">
      <c r="A11" s="729"/>
      <c r="B11" s="732"/>
      <c r="C11" s="25" t="s">
        <v>221</v>
      </c>
      <c r="D11" s="25"/>
      <c r="E11" s="25"/>
      <c r="F11" s="25"/>
      <c r="G11" s="25"/>
      <c r="H11" s="25"/>
      <c r="I11" s="256"/>
      <c r="J11" s="256"/>
      <c r="K11" s="257"/>
      <c r="L11" s="257"/>
      <c r="M11" s="233"/>
      <c r="N11" s="43"/>
      <c r="O11" s="43"/>
      <c r="P11" s="43"/>
      <c r="Q11" s="233"/>
      <c r="R11" s="233"/>
      <c r="S11" s="233"/>
      <c r="T11" s="43"/>
      <c r="U11" s="481"/>
      <c r="V11" s="616">
        <f t="shared" si="0"/>
        <v>0</v>
      </c>
    </row>
    <row r="12" spans="1:22" ht="15.75" thickBot="1">
      <c r="A12" s="28">
        <v>120</v>
      </c>
      <c r="B12" s="741" t="s">
        <v>92</v>
      </c>
      <c r="C12" s="742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27">
        <v>396789.44</v>
      </c>
      <c r="N12" s="14">
        <v>470206.4</v>
      </c>
      <c r="O12" s="227">
        <v>490398.24</v>
      </c>
      <c r="P12" s="227">
        <v>477910.94</v>
      </c>
      <c r="Q12" s="598">
        <v>461578.98</v>
      </c>
      <c r="R12" s="598">
        <v>534837.91</v>
      </c>
      <c r="S12" s="598">
        <v>579640.49</v>
      </c>
      <c r="T12" s="429">
        <f>T13</f>
        <v>686484</v>
      </c>
      <c r="U12" s="598">
        <f>U13</f>
        <v>721952.46</v>
      </c>
      <c r="V12" s="617">
        <f t="shared" si="0"/>
        <v>105.16668414704493</v>
      </c>
    </row>
    <row r="13" spans="1:22" ht="13.5" thickBot="1">
      <c r="A13" s="756"/>
      <c r="B13" s="8">
        <v>121</v>
      </c>
      <c r="C13" s="15" t="s">
        <v>93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32">
        <v>396789.44</v>
      </c>
      <c r="N13" s="16">
        <v>470206.4</v>
      </c>
      <c r="O13" s="132">
        <v>490398.24</v>
      </c>
      <c r="P13" s="132">
        <v>477910.94</v>
      </c>
      <c r="Q13" s="559">
        <v>461578.98</v>
      </c>
      <c r="R13" s="559">
        <v>534837.91</v>
      </c>
      <c r="S13" s="559">
        <v>579640.49</v>
      </c>
      <c r="T13" s="433">
        <f>SUM(T14:T16)</f>
        <v>686484</v>
      </c>
      <c r="U13" s="559">
        <f>SUM(U14:U16)</f>
        <v>721952.46</v>
      </c>
      <c r="V13" s="618">
        <f t="shared" si="0"/>
        <v>105.16668414704493</v>
      </c>
    </row>
    <row r="14" spans="1:22" ht="12.75">
      <c r="A14" s="757"/>
      <c r="B14" s="744"/>
      <c r="C14" s="18" t="s">
        <v>94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05">
        <v>92446.08</v>
      </c>
      <c r="N14" s="21">
        <v>110741.25</v>
      </c>
      <c r="O14" s="105">
        <v>490398.24</v>
      </c>
      <c r="P14" s="105">
        <v>113964.55</v>
      </c>
      <c r="Q14" s="105">
        <v>461578.98</v>
      </c>
      <c r="R14" s="105">
        <v>130151.65</v>
      </c>
      <c r="S14" s="105">
        <v>155493.95</v>
      </c>
      <c r="T14" s="21">
        <v>190804</v>
      </c>
      <c r="U14" s="477">
        <v>221848.05</v>
      </c>
      <c r="V14" s="478">
        <f t="shared" si="0"/>
        <v>116.27012536424812</v>
      </c>
    </row>
    <row r="15" spans="1:22" ht="12.75">
      <c r="A15" s="757"/>
      <c r="B15" s="745"/>
      <c r="C15" s="22" t="s">
        <v>95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83">
        <v>271513.31</v>
      </c>
      <c r="N15" s="24">
        <v>321276.38</v>
      </c>
      <c r="O15" s="24"/>
      <c r="P15" s="24">
        <v>324799.75</v>
      </c>
      <c r="Q15" s="183"/>
      <c r="R15" s="183">
        <v>360134.97</v>
      </c>
      <c r="S15" s="183">
        <v>378358.31</v>
      </c>
      <c r="T15" s="24">
        <v>444022</v>
      </c>
      <c r="U15" s="479">
        <v>453759.85</v>
      </c>
      <c r="V15" s="480">
        <f t="shared" si="0"/>
        <v>102.19310079230308</v>
      </c>
    </row>
    <row r="16" spans="1:22" ht="13.5" thickBot="1">
      <c r="A16" s="758"/>
      <c r="B16" s="746"/>
      <c r="C16" s="25" t="s">
        <v>96</v>
      </c>
      <c r="D16" s="25"/>
      <c r="E16" s="25"/>
      <c r="F16" s="25"/>
      <c r="G16" s="25"/>
      <c r="H16" s="25">
        <v>30271</v>
      </c>
      <c r="I16" s="25">
        <v>29185</v>
      </c>
      <c r="J16" s="26">
        <v>29090</v>
      </c>
      <c r="K16" s="26">
        <v>30895</v>
      </c>
      <c r="L16" s="26">
        <v>31485.04</v>
      </c>
      <c r="M16" s="201">
        <v>32830.05</v>
      </c>
      <c r="N16" s="27">
        <v>38188.77</v>
      </c>
      <c r="O16" s="27"/>
      <c r="P16" s="27">
        <v>39146.64</v>
      </c>
      <c r="Q16" s="201"/>
      <c r="R16" s="201">
        <v>44551.29</v>
      </c>
      <c r="S16" s="201">
        <v>45788.23</v>
      </c>
      <c r="T16" s="27">
        <v>51658</v>
      </c>
      <c r="U16" s="481">
        <v>46344.56</v>
      </c>
      <c r="V16" s="616">
        <f t="shared" si="0"/>
        <v>89.71419722017886</v>
      </c>
    </row>
    <row r="17" spans="1:22" ht="15.75" thickBot="1">
      <c r="A17" s="28">
        <v>130</v>
      </c>
      <c r="B17" s="741" t="s">
        <v>97</v>
      </c>
      <c r="C17" s="742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27">
        <v>393955.67</v>
      </c>
      <c r="N17" s="14">
        <v>440231.49</v>
      </c>
      <c r="O17" s="227">
        <v>441180.74</v>
      </c>
      <c r="P17" s="429">
        <v>434200</v>
      </c>
      <c r="Q17" s="598">
        <v>433282.6</v>
      </c>
      <c r="R17" s="598">
        <v>464294.8</v>
      </c>
      <c r="S17" s="598">
        <v>557014.38</v>
      </c>
      <c r="T17" s="429">
        <f>T18</f>
        <v>586858</v>
      </c>
      <c r="U17" s="598">
        <f>U18</f>
        <v>601040.31</v>
      </c>
      <c r="V17" s="617">
        <f t="shared" si="0"/>
        <v>102.4166510467609</v>
      </c>
    </row>
    <row r="18" spans="1:22" ht="13.5" thickBot="1">
      <c r="A18" s="737"/>
      <c r="B18" s="29">
        <v>133</v>
      </c>
      <c r="C18" s="30" t="s">
        <v>98</v>
      </c>
      <c r="D18" s="31">
        <v>369216</v>
      </c>
      <c r="E18" s="31">
        <v>379141</v>
      </c>
      <c r="F18" s="31">
        <v>269468</v>
      </c>
      <c r="G18" s="31">
        <v>290540</v>
      </c>
      <c r="H18" s="32">
        <v>298666</v>
      </c>
      <c r="I18" s="32">
        <v>298968</v>
      </c>
      <c r="J18" s="33">
        <v>316219</v>
      </c>
      <c r="K18" s="33">
        <v>432322</v>
      </c>
      <c r="L18" s="33">
        <v>403884.02</v>
      </c>
      <c r="M18" s="303">
        <v>393955.67</v>
      </c>
      <c r="N18" s="33">
        <v>440231.49</v>
      </c>
      <c r="O18" s="303">
        <v>441180.74</v>
      </c>
      <c r="P18" s="113">
        <v>434200</v>
      </c>
      <c r="Q18" s="513">
        <v>433282.6</v>
      </c>
      <c r="R18" s="513">
        <v>464294.8</v>
      </c>
      <c r="S18" s="513">
        <v>557014.38</v>
      </c>
      <c r="T18" s="113">
        <f>SUM(T19:T25)</f>
        <v>586858</v>
      </c>
      <c r="U18" s="513">
        <f>SUM(U19:U25)</f>
        <v>601040.31</v>
      </c>
      <c r="V18" s="619">
        <f t="shared" si="0"/>
        <v>102.4166510467609</v>
      </c>
    </row>
    <row r="19" spans="1:22" ht="12.75">
      <c r="A19" s="738"/>
      <c r="B19" s="751"/>
      <c r="C19" s="36" t="s">
        <v>99</v>
      </c>
      <c r="D19" s="36"/>
      <c r="E19" s="36"/>
      <c r="F19" s="36"/>
      <c r="G19" s="36"/>
      <c r="H19" s="36">
        <v>7752</v>
      </c>
      <c r="I19" s="37">
        <v>7713</v>
      </c>
      <c r="J19" s="21">
        <v>7990</v>
      </c>
      <c r="K19" s="21">
        <v>9276</v>
      </c>
      <c r="L19" s="21">
        <v>9178.11</v>
      </c>
      <c r="M19" s="105">
        <v>9228.06</v>
      </c>
      <c r="N19" s="21">
        <v>12166.42</v>
      </c>
      <c r="O19" s="105">
        <v>11448.4</v>
      </c>
      <c r="P19" s="105">
        <v>11685.91</v>
      </c>
      <c r="Q19" s="105">
        <v>11344.54</v>
      </c>
      <c r="R19" s="105">
        <v>11359.16</v>
      </c>
      <c r="S19" s="105">
        <v>13048.94</v>
      </c>
      <c r="T19" s="21">
        <v>11300</v>
      </c>
      <c r="U19" s="477">
        <v>12229.68</v>
      </c>
      <c r="V19" s="478">
        <f t="shared" si="0"/>
        <v>108.22725663716814</v>
      </c>
    </row>
    <row r="20" spans="1:22" ht="12.75">
      <c r="A20" s="738"/>
      <c r="B20" s="752"/>
      <c r="C20" s="38" t="s">
        <v>100</v>
      </c>
      <c r="D20" s="38"/>
      <c r="E20" s="38"/>
      <c r="F20" s="38"/>
      <c r="G20" s="38"/>
      <c r="H20" s="38">
        <v>532</v>
      </c>
      <c r="I20" s="39">
        <v>732</v>
      </c>
      <c r="J20" s="24">
        <v>732</v>
      </c>
      <c r="K20" s="24">
        <v>749</v>
      </c>
      <c r="L20" s="24">
        <v>300</v>
      </c>
      <c r="M20" s="183">
        <v>300</v>
      </c>
      <c r="N20" s="24">
        <v>632</v>
      </c>
      <c r="O20" s="183">
        <v>398.66</v>
      </c>
      <c r="P20" s="183">
        <v>332</v>
      </c>
      <c r="Q20" s="183">
        <v>332</v>
      </c>
      <c r="R20" s="183">
        <v>332</v>
      </c>
      <c r="S20" s="183">
        <v>332</v>
      </c>
      <c r="T20" s="24">
        <v>300</v>
      </c>
      <c r="U20" s="479">
        <v>332</v>
      </c>
      <c r="V20" s="480">
        <f t="shared" si="0"/>
        <v>110.66666666666667</v>
      </c>
    </row>
    <row r="21" spans="1:22" ht="12.75">
      <c r="A21" s="738"/>
      <c r="B21" s="752"/>
      <c r="C21" s="38" t="s">
        <v>101</v>
      </c>
      <c r="D21" s="38"/>
      <c r="E21" s="38"/>
      <c r="F21" s="38"/>
      <c r="G21" s="38"/>
      <c r="H21" s="38">
        <v>700</v>
      </c>
      <c r="I21" s="39">
        <v>750</v>
      </c>
      <c r="J21" s="24">
        <v>750</v>
      </c>
      <c r="K21" s="24">
        <v>725</v>
      </c>
      <c r="L21" s="24">
        <v>650</v>
      </c>
      <c r="M21" s="183">
        <v>679.15</v>
      </c>
      <c r="N21" s="24">
        <v>691.66</v>
      </c>
      <c r="O21" s="183">
        <v>875</v>
      </c>
      <c r="P21" s="183">
        <v>1190</v>
      </c>
      <c r="Q21" s="183">
        <v>1148.33</v>
      </c>
      <c r="R21" s="183">
        <v>1090</v>
      </c>
      <c r="S21" s="183">
        <v>1094.16</v>
      </c>
      <c r="T21" s="24">
        <v>1000</v>
      </c>
      <c r="U21" s="479">
        <v>1155.81</v>
      </c>
      <c r="V21" s="480">
        <f t="shared" si="0"/>
        <v>115.581</v>
      </c>
    </row>
    <row r="22" spans="1:22" ht="12.75">
      <c r="A22" s="738"/>
      <c r="B22" s="752"/>
      <c r="C22" s="38" t="s">
        <v>102</v>
      </c>
      <c r="D22" s="38"/>
      <c r="E22" s="38"/>
      <c r="F22" s="38"/>
      <c r="G22" s="38"/>
      <c r="H22" s="38">
        <v>12441</v>
      </c>
      <c r="I22" s="39">
        <v>12101</v>
      </c>
      <c r="J22" s="24">
        <v>14430</v>
      </c>
      <c r="K22" s="24">
        <v>12793</v>
      </c>
      <c r="L22" s="24">
        <v>13503.5</v>
      </c>
      <c r="M22" s="183">
        <v>13052</v>
      </c>
      <c r="N22" s="24">
        <v>12555.5</v>
      </c>
      <c r="O22" s="183">
        <v>12857.5</v>
      </c>
      <c r="P22" s="183">
        <v>13737</v>
      </c>
      <c r="Q22" s="183">
        <v>16975</v>
      </c>
      <c r="R22" s="183">
        <v>9612</v>
      </c>
      <c r="S22" s="183">
        <v>6977.5</v>
      </c>
      <c r="T22" s="24">
        <v>8911</v>
      </c>
      <c r="U22" s="479">
        <v>10097</v>
      </c>
      <c r="V22" s="480">
        <f t="shared" si="0"/>
        <v>113.30939288519808</v>
      </c>
    </row>
    <row r="23" spans="1:22" ht="12.75">
      <c r="A23" s="738"/>
      <c r="B23" s="752"/>
      <c r="C23" s="38" t="s">
        <v>103</v>
      </c>
      <c r="D23" s="38"/>
      <c r="E23" s="38"/>
      <c r="F23" s="38"/>
      <c r="G23" s="38"/>
      <c r="H23" s="38">
        <v>28263</v>
      </c>
      <c r="I23" s="39">
        <v>29878</v>
      </c>
      <c r="J23" s="24">
        <v>31474</v>
      </c>
      <c r="K23" s="24">
        <v>37978</v>
      </c>
      <c r="L23" s="24">
        <v>32751.27</v>
      </c>
      <c r="M23" s="183">
        <v>29179.68</v>
      </c>
      <c r="N23" s="24">
        <v>32177.92</v>
      </c>
      <c r="O23" s="183">
        <v>25859.559999999998</v>
      </c>
      <c r="P23" s="183">
        <v>30880.28</v>
      </c>
      <c r="Q23" s="183">
        <v>32198.11</v>
      </c>
      <c r="R23" s="183">
        <v>7144.4</v>
      </c>
      <c r="S23" s="183">
        <v>11213.12</v>
      </c>
      <c r="T23" s="24">
        <v>12000</v>
      </c>
      <c r="U23" s="479">
        <f>5812.94+450</f>
        <v>6262.94</v>
      </c>
      <c r="V23" s="480">
        <f t="shared" si="0"/>
        <v>52.19116666666667</v>
      </c>
    </row>
    <row r="24" spans="1:22" ht="12.75">
      <c r="A24" s="738"/>
      <c r="B24" s="752"/>
      <c r="C24" s="38" t="s">
        <v>104</v>
      </c>
      <c r="D24" s="38"/>
      <c r="E24" s="38"/>
      <c r="F24" s="38"/>
      <c r="G24" s="38"/>
      <c r="H24" s="38">
        <v>162034</v>
      </c>
      <c r="I24" s="39">
        <v>161773</v>
      </c>
      <c r="J24" s="24">
        <v>174176</v>
      </c>
      <c r="K24" s="24">
        <v>268697</v>
      </c>
      <c r="L24" s="24">
        <v>243006.26</v>
      </c>
      <c r="M24" s="183">
        <v>240323.78</v>
      </c>
      <c r="N24" s="24">
        <v>255051.03999999998</v>
      </c>
      <c r="O24" s="183">
        <v>252038.01</v>
      </c>
      <c r="P24" s="183">
        <v>235688.58</v>
      </c>
      <c r="Q24" s="183">
        <v>223667.02000000002</v>
      </c>
      <c r="R24" s="183">
        <v>261473.29</v>
      </c>
      <c r="S24" s="183">
        <v>302847.66</v>
      </c>
      <c r="T24" s="24">
        <v>345000</v>
      </c>
      <c r="U24" s="479">
        <f>347713.78+10153.06+802.94</f>
        <v>358669.78</v>
      </c>
      <c r="V24" s="480">
        <f t="shared" si="0"/>
        <v>103.96225507246378</v>
      </c>
    </row>
    <row r="25" spans="1:22" ht="13.5" thickBot="1">
      <c r="A25" s="743"/>
      <c r="B25" s="753"/>
      <c r="C25" s="41" t="s">
        <v>105</v>
      </c>
      <c r="D25" s="42"/>
      <c r="E25" s="42"/>
      <c r="F25" s="42"/>
      <c r="G25" s="42"/>
      <c r="H25" s="42">
        <v>86944</v>
      </c>
      <c r="I25" s="39">
        <v>86021</v>
      </c>
      <c r="J25" s="43">
        <v>86667</v>
      </c>
      <c r="K25" s="43">
        <v>102104</v>
      </c>
      <c r="L25" s="43">
        <v>104494.88</v>
      </c>
      <c r="M25" s="233">
        <v>101193</v>
      </c>
      <c r="N25" s="43">
        <v>126956.95</v>
      </c>
      <c r="O25" s="233">
        <v>137703.61</v>
      </c>
      <c r="P25" s="233">
        <v>140686.23</v>
      </c>
      <c r="Q25" s="233">
        <v>147617.6</v>
      </c>
      <c r="R25" s="233">
        <v>173283.95</v>
      </c>
      <c r="S25" s="233">
        <v>221501</v>
      </c>
      <c r="T25" s="43">
        <v>208347</v>
      </c>
      <c r="U25" s="481">
        <v>212293.1</v>
      </c>
      <c r="V25" s="616">
        <f t="shared" si="0"/>
        <v>101.89400375335379</v>
      </c>
    </row>
    <row r="26" spans="1:22" ht="16.5" thickBot="1">
      <c r="A26" s="44">
        <v>200</v>
      </c>
      <c r="B26" s="761" t="s">
        <v>106</v>
      </c>
      <c r="C26" s="762"/>
      <c r="D26" s="45">
        <v>1277767</v>
      </c>
      <c r="E26" s="45">
        <v>1153090</v>
      </c>
      <c r="F26" s="45">
        <v>1821583</v>
      </c>
      <c r="G26" s="45">
        <v>1266222</v>
      </c>
      <c r="H26" s="45">
        <v>1215651</v>
      </c>
      <c r="I26" s="45">
        <v>1492638</v>
      </c>
      <c r="J26" s="45">
        <v>1090799</v>
      </c>
      <c r="K26" s="45">
        <v>1258962</v>
      </c>
      <c r="L26" s="45">
        <v>1049268.01</v>
      </c>
      <c r="M26" s="496">
        <v>1119583.28</v>
      </c>
      <c r="N26" s="45">
        <v>1113252.36</v>
      </c>
      <c r="O26" s="45">
        <v>1054445.69</v>
      </c>
      <c r="P26" s="45">
        <v>1433521.3099999998</v>
      </c>
      <c r="Q26" s="496">
        <v>1469960.26</v>
      </c>
      <c r="R26" s="496">
        <v>1173186.5599999998</v>
      </c>
      <c r="S26" s="496">
        <v>1313525.2</v>
      </c>
      <c r="T26" s="430">
        <f>T27+T40+T60+T62</f>
        <v>1636311</v>
      </c>
      <c r="U26" s="676">
        <f>U27+U40+U60+U62</f>
        <v>1559614.43</v>
      </c>
      <c r="V26" s="620">
        <f t="shared" si="0"/>
        <v>95.31283661846678</v>
      </c>
    </row>
    <row r="27" spans="1:22" ht="15.75" thickBot="1">
      <c r="A27" s="46">
        <v>210</v>
      </c>
      <c r="B27" s="747" t="s">
        <v>107</v>
      </c>
      <c r="C27" s="748"/>
      <c r="D27" s="47">
        <v>873233</v>
      </c>
      <c r="E27" s="47">
        <v>794430</v>
      </c>
      <c r="F27" s="47">
        <v>1059517</v>
      </c>
      <c r="G27" s="47">
        <v>810580</v>
      </c>
      <c r="H27" s="47">
        <v>598394</v>
      </c>
      <c r="I27" s="47">
        <v>741364</v>
      </c>
      <c r="J27" s="47">
        <v>560834</v>
      </c>
      <c r="K27" s="47">
        <v>650004</v>
      </c>
      <c r="L27" s="47">
        <v>379467.55</v>
      </c>
      <c r="M27" s="497">
        <v>418308.61</v>
      </c>
      <c r="N27" s="47">
        <v>461210.13</v>
      </c>
      <c r="O27" s="497">
        <v>442510.63</v>
      </c>
      <c r="P27" s="47">
        <v>507429.88</v>
      </c>
      <c r="Q27" s="497">
        <v>529407.6</v>
      </c>
      <c r="R27" s="497">
        <v>467813.66</v>
      </c>
      <c r="S27" s="497">
        <v>532496.97</v>
      </c>
      <c r="T27" s="431">
        <f>T28+T32</f>
        <v>562000</v>
      </c>
      <c r="U27" s="677">
        <f>U28+U32</f>
        <v>560824.78</v>
      </c>
      <c r="V27" s="621">
        <f t="shared" si="0"/>
        <v>99.79088612099645</v>
      </c>
    </row>
    <row r="28" spans="1:22" ht="13.5" thickBot="1">
      <c r="A28" s="737" t="s">
        <v>108</v>
      </c>
      <c r="B28" s="8">
        <v>211</v>
      </c>
      <c r="C28" s="48" t="s">
        <v>107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3">
        <v>29084</v>
      </c>
      <c r="J28" s="33">
        <v>47000</v>
      </c>
      <c r="K28" s="33">
        <v>58181</v>
      </c>
      <c r="L28" s="33">
        <v>20000</v>
      </c>
      <c r="M28" s="33">
        <v>15000</v>
      </c>
      <c r="N28" s="33">
        <v>24000</v>
      </c>
      <c r="O28" s="303">
        <v>11000</v>
      </c>
      <c r="P28" s="33">
        <v>12500</v>
      </c>
      <c r="Q28" s="303">
        <v>14371.43</v>
      </c>
      <c r="R28" s="303">
        <v>13122.45</v>
      </c>
      <c r="S28" s="303">
        <v>11873.47</v>
      </c>
      <c r="T28" s="113">
        <v>10000</v>
      </c>
      <c r="U28" s="513">
        <f>U31+U29</f>
        <v>16244.9</v>
      </c>
      <c r="V28" s="619">
        <f t="shared" si="0"/>
        <v>162.449</v>
      </c>
    </row>
    <row r="29" spans="1:22" ht="12.75">
      <c r="A29" s="738"/>
      <c r="B29" s="744"/>
      <c r="C29" s="49" t="s">
        <v>109</v>
      </c>
      <c r="D29" s="50"/>
      <c r="E29" s="50"/>
      <c r="F29" s="50"/>
      <c r="G29" s="50"/>
      <c r="H29" s="50"/>
      <c r="I29" s="50"/>
      <c r="J29" s="50"/>
      <c r="K29" s="51"/>
      <c r="L29" s="21"/>
      <c r="M29" s="21"/>
      <c r="N29" s="21"/>
      <c r="O29" s="105"/>
      <c r="P29" s="21"/>
      <c r="Q29" s="105"/>
      <c r="R29" s="105"/>
      <c r="S29" s="105"/>
      <c r="T29" s="21"/>
      <c r="U29" s="477">
        <v>6244.9</v>
      </c>
      <c r="V29" s="478">
        <f t="shared" si="0"/>
        <v>0</v>
      </c>
    </row>
    <row r="30" spans="1:22" ht="12.75" hidden="1">
      <c r="A30" s="738"/>
      <c r="B30" s="745"/>
      <c r="C30" s="52" t="s">
        <v>110</v>
      </c>
      <c r="D30" s="52"/>
      <c r="E30" s="52"/>
      <c r="F30" s="52"/>
      <c r="G30" s="52"/>
      <c r="H30" s="52"/>
      <c r="I30" s="52"/>
      <c r="J30" s="52"/>
      <c r="K30" s="39"/>
      <c r="L30" s="24"/>
      <c r="M30" s="24"/>
      <c r="N30" s="24"/>
      <c r="O30" s="183"/>
      <c r="P30" s="24"/>
      <c r="Q30" s="183"/>
      <c r="R30" s="183"/>
      <c r="S30" s="183"/>
      <c r="T30" s="24"/>
      <c r="U30" s="479"/>
      <c r="V30" s="480">
        <f t="shared" si="0"/>
        <v>0</v>
      </c>
    </row>
    <row r="31" spans="1:22" ht="13.5" thickBot="1">
      <c r="A31" s="738"/>
      <c r="B31" s="746"/>
      <c r="C31" s="53" t="s">
        <v>111</v>
      </c>
      <c r="D31" s="53"/>
      <c r="E31" s="53"/>
      <c r="F31" s="53"/>
      <c r="G31" s="53"/>
      <c r="H31" s="53"/>
      <c r="I31" s="53">
        <v>29084</v>
      </c>
      <c r="J31" s="53">
        <v>47000</v>
      </c>
      <c r="K31" s="54">
        <v>58181</v>
      </c>
      <c r="L31" s="27">
        <v>20000</v>
      </c>
      <c r="M31" s="27">
        <v>15000</v>
      </c>
      <c r="N31" s="27">
        <v>24000</v>
      </c>
      <c r="O31" s="201">
        <v>11000</v>
      </c>
      <c r="P31" s="27">
        <v>12500</v>
      </c>
      <c r="Q31" s="201">
        <v>14371.43</v>
      </c>
      <c r="R31" s="201">
        <v>13122.45</v>
      </c>
      <c r="S31" s="201">
        <v>11873.47</v>
      </c>
      <c r="T31" s="27">
        <v>10000</v>
      </c>
      <c r="U31" s="481">
        <v>10000</v>
      </c>
      <c r="V31" s="616">
        <f t="shared" si="0"/>
        <v>100</v>
      </c>
    </row>
    <row r="32" spans="1:22" ht="13.5" thickBot="1">
      <c r="A32" s="738"/>
      <c r="B32" s="55">
        <v>212</v>
      </c>
      <c r="C32" s="56" t="s">
        <v>112</v>
      </c>
      <c r="D32" s="57">
        <v>779991</v>
      </c>
      <c r="E32" s="57">
        <v>770729</v>
      </c>
      <c r="F32" s="57">
        <v>1008166</v>
      </c>
      <c r="G32" s="57">
        <v>771758</v>
      </c>
      <c r="H32" s="57">
        <v>532342</v>
      </c>
      <c r="I32" s="57">
        <v>712280</v>
      </c>
      <c r="J32" s="57">
        <v>513834</v>
      </c>
      <c r="K32" s="58">
        <v>591823</v>
      </c>
      <c r="L32" s="58">
        <v>359467.55</v>
      </c>
      <c r="M32" s="138">
        <v>403308.61</v>
      </c>
      <c r="N32" s="58">
        <v>437210.13</v>
      </c>
      <c r="O32" s="138">
        <v>431510.63</v>
      </c>
      <c r="P32" s="58">
        <v>494929.88</v>
      </c>
      <c r="Q32" s="138">
        <v>515036.17</v>
      </c>
      <c r="R32" s="138">
        <v>454691.20999999996</v>
      </c>
      <c r="S32" s="138">
        <v>520623.49999999994</v>
      </c>
      <c r="T32" s="87">
        <f>SUM(T33:T39)</f>
        <v>552000</v>
      </c>
      <c r="U32" s="124">
        <f>SUM(U33:U39)</f>
        <v>544579.88</v>
      </c>
      <c r="V32" s="125">
        <f t="shared" si="0"/>
        <v>98.65577536231885</v>
      </c>
    </row>
    <row r="33" spans="1:22" ht="12.75">
      <c r="A33" s="738"/>
      <c r="B33" s="751"/>
      <c r="C33" s="49" t="s">
        <v>113</v>
      </c>
      <c r="D33" s="49">
        <v>751610</v>
      </c>
      <c r="E33" s="49">
        <v>750249</v>
      </c>
      <c r="F33" s="49">
        <v>649539</v>
      </c>
      <c r="G33" s="49">
        <v>427233</v>
      </c>
      <c r="H33" s="49">
        <v>348791</v>
      </c>
      <c r="I33" s="49">
        <v>510884</v>
      </c>
      <c r="J33" s="49">
        <v>324320</v>
      </c>
      <c r="K33" s="21">
        <v>401050</v>
      </c>
      <c r="L33" s="21">
        <v>135673.06</v>
      </c>
      <c r="M33" s="105">
        <v>134183.87</v>
      </c>
      <c r="N33" s="21">
        <v>87968.33</v>
      </c>
      <c r="O33" s="105">
        <v>71077.13</v>
      </c>
      <c r="P33" s="105">
        <v>118150.37</v>
      </c>
      <c r="Q33" s="105">
        <v>136782.65000000002</v>
      </c>
      <c r="R33" s="105">
        <v>97457.52</v>
      </c>
      <c r="S33" s="105">
        <v>176432.81</v>
      </c>
      <c r="T33" s="21">
        <v>113000</v>
      </c>
      <c r="U33" s="105">
        <f>75757.5+7410</f>
        <v>83167.5</v>
      </c>
      <c r="V33" s="127">
        <f t="shared" si="0"/>
        <v>73.59955752212389</v>
      </c>
    </row>
    <row r="34" spans="1:22" ht="12.75">
      <c r="A34" s="738"/>
      <c r="B34" s="752"/>
      <c r="C34" s="52" t="s">
        <v>114</v>
      </c>
      <c r="D34" s="52">
        <v>6108</v>
      </c>
      <c r="E34" s="52">
        <v>5709</v>
      </c>
      <c r="F34" s="52">
        <v>5809</v>
      </c>
      <c r="G34" s="52">
        <v>7235</v>
      </c>
      <c r="H34" s="52">
        <v>7034</v>
      </c>
      <c r="I34" s="52">
        <v>6012</v>
      </c>
      <c r="J34" s="52">
        <v>5150</v>
      </c>
      <c r="K34" s="24">
        <v>5043</v>
      </c>
      <c r="L34" s="24">
        <v>6242.35</v>
      </c>
      <c r="M34" s="183">
        <v>8075.84</v>
      </c>
      <c r="N34" s="24">
        <v>8856.86</v>
      </c>
      <c r="O34" s="183">
        <v>10889.6</v>
      </c>
      <c r="P34" s="183">
        <v>15581.52</v>
      </c>
      <c r="Q34" s="183">
        <v>12642.68</v>
      </c>
      <c r="R34" s="183">
        <v>14524.55</v>
      </c>
      <c r="S34" s="183">
        <v>21756.42</v>
      </c>
      <c r="T34" s="24">
        <v>18000</v>
      </c>
      <c r="U34" s="183">
        <f>13178.26+956+193.88</f>
        <v>14328.14</v>
      </c>
      <c r="V34" s="119">
        <f t="shared" si="0"/>
        <v>79.60077777777778</v>
      </c>
    </row>
    <row r="35" spans="1:22" ht="12.75">
      <c r="A35" s="738"/>
      <c r="B35" s="752"/>
      <c r="C35" s="59" t="s">
        <v>115</v>
      </c>
      <c r="D35" s="59"/>
      <c r="E35" s="59"/>
      <c r="F35" s="59"/>
      <c r="G35" s="59"/>
      <c r="H35" s="59"/>
      <c r="I35" s="59"/>
      <c r="J35" s="59"/>
      <c r="K35" s="27">
        <v>0</v>
      </c>
      <c r="L35" s="27">
        <v>41494.18</v>
      </c>
      <c r="M35" s="201">
        <v>46671.58</v>
      </c>
      <c r="N35" s="27">
        <v>82406.4</v>
      </c>
      <c r="O35" s="201">
        <v>98976.09</v>
      </c>
      <c r="P35" s="201">
        <v>127041.24</v>
      </c>
      <c r="Q35" s="201">
        <v>128092.23</v>
      </c>
      <c r="R35" s="201">
        <v>119686.05</v>
      </c>
      <c r="S35" s="201">
        <v>95546.52</v>
      </c>
      <c r="T35" s="27">
        <v>100000</v>
      </c>
      <c r="U35" s="201">
        <v>156307.41</v>
      </c>
      <c r="V35" s="622">
        <f t="shared" si="0"/>
        <v>156.30741</v>
      </c>
    </row>
    <row r="36" spans="1:22" ht="12.75">
      <c r="A36" s="738"/>
      <c r="B36" s="752"/>
      <c r="C36" s="59" t="s">
        <v>201</v>
      </c>
      <c r="D36" s="59"/>
      <c r="E36" s="59"/>
      <c r="F36" s="59"/>
      <c r="G36" s="59"/>
      <c r="H36" s="59"/>
      <c r="I36" s="59"/>
      <c r="J36" s="59"/>
      <c r="K36" s="27"/>
      <c r="L36" s="27"/>
      <c r="M36" s="201"/>
      <c r="N36" s="27">
        <v>19383.83</v>
      </c>
      <c r="O36" s="201">
        <v>32459.84</v>
      </c>
      <c r="P36" s="201">
        <v>37761.7</v>
      </c>
      <c r="Q36" s="201">
        <v>19905.54</v>
      </c>
      <c r="R36" s="201">
        <v>32052.66</v>
      </c>
      <c r="S36" s="201">
        <v>41775.34</v>
      </c>
      <c r="T36" s="27">
        <v>37000</v>
      </c>
      <c r="U36" s="201">
        <f>36674.35</f>
        <v>36674.35</v>
      </c>
      <c r="V36" s="622">
        <f t="shared" si="0"/>
        <v>99.11986486486487</v>
      </c>
    </row>
    <row r="37" spans="1:22" ht="12.75" hidden="1">
      <c r="A37" s="738"/>
      <c r="B37" s="752"/>
      <c r="C37" s="59"/>
      <c r="D37" s="59"/>
      <c r="E37" s="59"/>
      <c r="F37" s="59"/>
      <c r="G37" s="59"/>
      <c r="H37" s="59"/>
      <c r="I37" s="59"/>
      <c r="J37" s="59"/>
      <c r="K37" s="27"/>
      <c r="L37" s="27"/>
      <c r="M37" s="201"/>
      <c r="N37" s="27">
        <v>10094.75</v>
      </c>
      <c r="O37" s="201">
        <v>3927.1</v>
      </c>
      <c r="P37" s="201"/>
      <c r="Q37" s="201">
        <v>1302</v>
      </c>
      <c r="R37" s="201"/>
      <c r="S37" s="201"/>
      <c r="T37" s="27"/>
      <c r="U37" s="201"/>
      <c r="V37" s="622">
        <f t="shared" si="0"/>
        <v>0</v>
      </c>
    </row>
    <row r="38" spans="1:22" ht="12.75">
      <c r="A38" s="738"/>
      <c r="B38" s="752"/>
      <c r="C38" s="59" t="s">
        <v>202</v>
      </c>
      <c r="D38" s="59"/>
      <c r="E38" s="59">
        <v>0</v>
      </c>
      <c r="F38" s="59">
        <v>339806</v>
      </c>
      <c r="G38" s="59">
        <v>322656</v>
      </c>
      <c r="H38" s="59">
        <v>92953</v>
      </c>
      <c r="I38" s="59">
        <v>100909</v>
      </c>
      <c r="J38" s="59">
        <v>83511</v>
      </c>
      <c r="K38" s="27">
        <v>77593</v>
      </c>
      <c r="L38" s="27">
        <v>80654.7</v>
      </c>
      <c r="M38" s="201">
        <v>77194.39</v>
      </c>
      <c r="N38" s="27">
        <v>75486.59</v>
      </c>
      <c r="O38" s="201">
        <v>75089.34</v>
      </c>
      <c r="P38" s="201">
        <v>58412.39</v>
      </c>
      <c r="Q38" s="201">
        <v>63233.32</v>
      </c>
      <c r="R38" s="201">
        <v>51302.54</v>
      </c>
      <c r="S38" s="201">
        <v>45884.3</v>
      </c>
      <c r="T38" s="27">
        <v>42000</v>
      </c>
      <c r="U38" s="201">
        <f>2457+41850.25</f>
        <v>44307.25</v>
      </c>
      <c r="V38" s="622">
        <f t="shared" si="0"/>
        <v>105.49345238095238</v>
      </c>
    </row>
    <row r="39" spans="1:22" ht="13.5" thickBot="1">
      <c r="A39" s="743"/>
      <c r="B39" s="753"/>
      <c r="C39" s="53" t="s">
        <v>116</v>
      </c>
      <c r="D39" s="53">
        <v>22273</v>
      </c>
      <c r="E39" s="53">
        <v>14771</v>
      </c>
      <c r="F39" s="53">
        <v>13012</v>
      </c>
      <c r="G39" s="53">
        <v>14634</v>
      </c>
      <c r="H39" s="53">
        <v>83564</v>
      </c>
      <c r="I39" s="53">
        <v>94475</v>
      </c>
      <c r="J39" s="53">
        <v>100853</v>
      </c>
      <c r="K39" s="27">
        <v>108137</v>
      </c>
      <c r="L39" s="27">
        <v>95403.26</v>
      </c>
      <c r="M39" s="201">
        <v>137182.93</v>
      </c>
      <c r="N39" s="27">
        <v>153013.37000000002</v>
      </c>
      <c r="O39" s="201">
        <v>139091.53</v>
      </c>
      <c r="P39" s="201">
        <v>137982.66</v>
      </c>
      <c r="Q39" s="201">
        <v>153077.75</v>
      </c>
      <c r="R39" s="201">
        <v>139667.89</v>
      </c>
      <c r="S39" s="201">
        <v>139228.11</v>
      </c>
      <c r="T39" s="27">
        <v>242000</v>
      </c>
      <c r="U39" s="201">
        <f>209795.23</f>
        <v>209795.23</v>
      </c>
      <c r="V39" s="622">
        <f t="shared" si="0"/>
        <v>86.69224380165291</v>
      </c>
    </row>
    <row r="40" spans="1:22" ht="15.75" thickBot="1">
      <c r="A40" s="28">
        <v>220</v>
      </c>
      <c r="B40" s="747" t="s">
        <v>117</v>
      </c>
      <c r="C40" s="748"/>
      <c r="D40" s="60">
        <v>320786</v>
      </c>
      <c r="E40" s="60">
        <v>327192</v>
      </c>
      <c r="F40" s="60">
        <v>429297</v>
      </c>
      <c r="G40" s="60">
        <v>326610</v>
      </c>
      <c r="H40" s="60">
        <v>550895</v>
      </c>
      <c r="I40" s="60">
        <v>581281</v>
      </c>
      <c r="J40" s="60">
        <v>471458</v>
      </c>
      <c r="K40" s="60">
        <v>514547</v>
      </c>
      <c r="L40" s="60">
        <v>595361.4199999999</v>
      </c>
      <c r="M40" s="192">
        <v>603358.3099999999</v>
      </c>
      <c r="N40" s="94">
        <v>575655.29</v>
      </c>
      <c r="O40" s="94">
        <v>565224.0499999999</v>
      </c>
      <c r="P40" s="94">
        <v>868065.2699999999</v>
      </c>
      <c r="Q40" s="503">
        <v>885296.9500000001</v>
      </c>
      <c r="R40" s="503">
        <v>680941.51</v>
      </c>
      <c r="S40" s="503">
        <v>755581.21</v>
      </c>
      <c r="T40" s="94">
        <f>T41+T45</f>
        <v>1044006</v>
      </c>
      <c r="U40" s="503">
        <f>U41+U45+U58</f>
        <v>979625.87</v>
      </c>
      <c r="V40" s="605">
        <f t="shared" si="0"/>
        <v>93.83335632170696</v>
      </c>
    </row>
    <row r="41" spans="1:22" ht="13.5" thickBot="1">
      <c r="A41" s="737"/>
      <c r="B41" s="55">
        <v>221</v>
      </c>
      <c r="C41" s="56" t="s">
        <v>118</v>
      </c>
      <c r="D41" s="58">
        <v>108312</v>
      </c>
      <c r="E41" s="58">
        <v>99747</v>
      </c>
      <c r="F41" s="58">
        <v>156211</v>
      </c>
      <c r="G41" s="58">
        <v>110441</v>
      </c>
      <c r="H41" s="58">
        <v>116883</v>
      </c>
      <c r="I41" s="58">
        <v>93914</v>
      </c>
      <c r="J41" s="58">
        <v>69092</v>
      </c>
      <c r="K41" s="58">
        <v>77127</v>
      </c>
      <c r="L41" s="58">
        <v>85540.68</v>
      </c>
      <c r="M41" s="138">
        <v>81456.3</v>
      </c>
      <c r="N41" s="87">
        <v>65885.95</v>
      </c>
      <c r="O41" s="124">
        <v>60850.59</v>
      </c>
      <c r="P41" s="87">
        <v>136156.94</v>
      </c>
      <c r="Q41" s="124">
        <v>137781.35</v>
      </c>
      <c r="R41" s="124">
        <v>109704.02</v>
      </c>
      <c r="S41" s="124">
        <v>92738.48000000001</v>
      </c>
      <c r="T41" s="87">
        <f>SUM(T42:T44)</f>
        <v>106000</v>
      </c>
      <c r="U41" s="124">
        <f>SUM(U42:U44)</f>
        <v>108400.26</v>
      </c>
      <c r="V41" s="125">
        <f t="shared" si="0"/>
        <v>102.2643962264151</v>
      </c>
    </row>
    <row r="42" spans="1:22" ht="12.75">
      <c r="A42" s="754"/>
      <c r="B42" s="751"/>
      <c r="C42" s="36" t="s">
        <v>119</v>
      </c>
      <c r="D42" s="49">
        <v>103532</v>
      </c>
      <c r="E42" s="49">
        <v>91482</v>
      </c>
      <c r="F42" s="49">
        <v>143896</v>
      </c>
      <c r="G42" s="49">
        <v>103964</v>
      </c>
      <c r="H42" s="49">
        <v>97289</v>
      </c>
      <c r="I42" s="49">
        <v>69567</v>
      </c>
      <c r="J42" s="49">
        <v>48641</v>
      </c>
      <c r="K42" s="24">
        <v>58713</v>
      </c>
      <c r="L42" s="24">
        <v>65956.11</v>
      </c>
      <c r="M42" s="105">
        <v>53025.13</v>
      </c>
      <c r="N42" s="21">
        <v>35320.42</v>
      </c>
      <c r="O42" s="105">
        <v>33711.95</v>
      </c>
      <c r="P42" s="105">
        <v>102428.79</v>
      </c>
      <c r="Q42" s="105">
        <v>113739.53</v>
      </c>
      <c r="R42" s="105">
        <v>83859.59</v>
      </c>
      <c r="S42" s="105">
        <v>74189.63</v>
      </c>
      <c r="T42" s="21">
        <v>83000</v>
      </c>
      <c r="U42" s="105">
        <v>83579.39</v>
      </c>
      <c r="V42" s="127">
        <f t="shared" si="0"/>
        <v>100.69806024096385</v>
      </c>
    </row>
    <row r="43" spans="1:22" ht="12.75">
      <c r="A43" s="754"/>
      <c r="B43" s="752"/>
      <c r="C43" s="50" t="s">
        <v>120</v>
      </c>
      <c r="D43" s="61"/>
      <c r="E43" s="61"/>
      <c r="F43" s="61"/>
      <c r="G43" s="61"/>
      <c r="H43" s="61"/>
      <c r="I43" s="61"/>
      <c r="J43" s="61"/>
      <c r="K43" s="24"/>
      <c r="L43" s="24">
        <v>768.56</v>
      </c>
      <c r="M43" s="103">
        <v>1339.48</v>
      </c>
      <c r="N43" s="62">
        <v>1870.76</v>
      </c>
      <c r="O43" s="103"/>
      <c r="P43" s="103">
        <v>1404.5</v>
      </c>
      <c r="Q43" s="103"/>
      <c r="R43" s="103">
        <v>728.49</v>
      </c>
      <c r="S43" s="103"/>
      <c r="T43" s="62"/>
      <c r="U43" s="103"/>
      <c r="V43" s="623">
        <f t="shared" si="0"/>
        <v>0</v>
      </c>
    </row>
    <row r="44" spans="1:24" ht="13.5" thickBot="1">
      <c r="A44" s="754"/>
      <c r="B44" s="753"/>
      <c r="C44" s="53" t="s">
        <v>200</v>
      </c>
      <c r="D44" s="53">
        <v>4780</v>
      </c>
      <c r="E44" s="53">
        <v>8265</v>
      </c>
      <c r="F44" s="53">
        <v>12315</v>
      </c>
      <c r="G44" s="53">
        <v>6477</v>
      </c>
      <c r="H44" s="53">
        <v>19594</v>
      </c>
      <c r="I44" s="53">
        <v>24347</v>
      </c>
      <c r="J44" s="53">
        <v>20451</v>
      </c>
      <c r="K44" s="24">
        <v>18414</v>
      </c>
      <c r="L44" s="24">
        <v>18816.01</v>
      </c>
      <c r="M44" s="201">
        <v>27091.69</v>
      </c>
      <c r="N44" s="27">
        <v>28694.77</v>
      </c>
      <c r="O44" s="201">
        <v>27138.64</v>
      </c>
      <c r="P44" s="201">
        <v>32323.65</v>
      </c>
      <c r="Q44" s="201">
        <v>24041.82</v>
      </c>
      <c r="R44" s="201">
        <v>25115.94</v>
      </c>
      <c r="S44" s="201">
        <v>18548.85</v>
      </c>
      <c r="T44" s="27">
        <v>23000</v>
      </c>
      <c r="U44" s="201">
        <v>24820.87</v>
      </c>
      <c r="V44" s="622">
        <f t="shared" si="0"/>
        <v>107.91682608695652</v>
      </c>
      <c r="X44" s="475"/>
    </row>
    <row r="45" spans="1:22" ht="13.5" thickBot="1">
      <c r="A45" s="754"/>
      <c r="B45" s="55">
        <v>223</v>
      </c>
      <c r="C45" s="55" t="s">
        <v>121</v>
      </c>
      <c r="D45" s="55">
        <v>209420</v>
      </c>
      <c r="E45" s="55">
        <v>224723</v>
      </c>
      <c r="F45" s="55">
        <v>270165</v>
      </c>
      <c r="G45" s="55">
        <v>213694</v>
      </c>
      <c r="H45" s="55">
        <v>431444</v>
      </c>
      <c r="I45" s="58">
        <v>484992</v>
      </c>
      <c r="J45" s="58">
        <v>400298</v>
      </c>
      <c r="K45" s="58">
        <v>434944</v>
      </c>
      <c r="L45" s="58">
        <v>507780.69999999995</v>
      </c>
      <c r="M45" s="138">
        <v>519757.4199999999</v>
      </c>
      <c r="N45" s="87">
        <v>507767.17</v>
      </c>
      <c r="O45" s="124">
        <v>502305.62</v>
      </c>
      <c r="P45" s="87">
        <v>730285.49</v>
      </c>
      <c r="Q45" s="124">
        <v>745927.6000000001</v>
      </c>
      <c r="R45" s="124">
        <v>569937.49</v>
      </c>
      <c r="S45" s="124">
        <v>661509.73</v>
      </c>
      <c r="T45" s="87">
        <f>SUM(T46:T57)</f>
        <v>938006</v>
      </c>
      <c r="U45" s="124">
        <f>SUM(U46:U57)</f>
        <v>869835.61</v>
      </c>
      <c r="V45" s="125">
        <f t="shared" si="0"/>
        <v>92.73241429159302</v>
      </c>
    </row>
    <row r="46" spans="1:22" ht="12.75">
      <c r="A46" s="754"/>
      <c r="B46" s="751"/>
      <c r="C46" s="49" t="s">
        <v>122</v>
      </c>
      <c r="D46" s="49"/>
      <c r="E46" s="49"/>
      <c r="F46" s="49"/>
      <c r="G46" s="49"/>
      <c r="H46" s="49"/>
      <c r="I46" s="49">
        <v>19602</v>
      </c>
      <c r="J46" s="49">
        <v>19573</v>
      </c>
      <c r="K46" s="24">
        <v>20641</v>
      </c>
      <c r="L46" s="24">
        <v>20552.5</v>
      </c>
      <c r="M46" s="105">
        <v>20532.33</v>
      </c>
      <c r="N46" s="21">
        <v>37975.43</v>
      </c>
      <c r="O46" s="105">
        <v>42651.54</v>
      </c>
      <c r="P46" s="105">
        <v>57271.2</v>
      </c>
      <c r="Q46" s="105">
        <v>57023.05</v>
      </c>
      <c r="R46" s="105">
        <v>60354.27</v>
      </c>
      <c r="S46" s="105">
        <v>50032.78</v>
      </c>
      <c r="T46" s="21">
        <v>60000</v>
      </c>
      <c r="U46" s="105">
        <v>48356.9</v>
      </c>
      <c r="V46" s="127">
        <f t="shared" si="0"/>
        <v>80.59483333333334</v>
      </c>
    </row>
    <row r="47" spans="1:22" ht="12.75">
      <c r="A47" s="754"/>
      <c r="B47" s="752"/>
      <c r="C47" s="50" t="s">
        <v>435</v>
      </c>
      <c r="D47" s="50"/>
      <c r="E47" s="50"/>
      <c r="F47" s="50"/>
      <c r="G47" s="50"/>
      <c r="H47" s="50"/>
      <c r="I47" s="50">
        <v>20170</v>
      </c>
      <c r="J47" s="50">
        <v>3900</v>
      </c>
      <c r="K47" s="24">
        <v>8400</v>
      </c>
      <c r="L47" s="24">
        <v>4100</v>
      </c>
      <c r="M47" s="105">
        <v>15650</v>
      </c>
      <c r="N47" s="21">
        <v>19753</v>
      </c>
      <c r="O47" s="105">
        <v>8510</v>
      </c>
      <c r="P47" s="105">
        <v>8950</v>
      </c>
      <c r="Q47" s="105">
        <v>8118.5</v>
      </c>
      <c r="R47" s="105"/>
      <c r="S47" s="105">
        <v>39962.45</v>
      </c>
      <c r="T47" s="21">
        <v>33423</v>
      </c>
      <c r="U47" s="105">
        <v>32106.35</v>
      </c>
      <c r="V47" s="127">
        <f t="shared" si="0"/>
        <v>96.06064685994674</v>
      </c>
    </row>
    <row r="48" spans="1:22" ht="12.75" hidden="1">
      <c r="A48" s="754"/>
      <c r="B48" s="752"/>
      <c r="C48" s="50" t="s">
        <v>123</v>
      </c>
      <c r="D48" s="50"/>
      <c r="E48" s="50"/>
      <c r="F48" s="50"/>
      <c r="G48" s="50"/>
      <c r="H48" s="50"/>
      <c r="I48" s="63">
        <v>1309</v>
      </c>
      <c r="J48" s="64"/>
      <c r="K48" s="24"/>
      <c r="L48" s="24"/>
      <c r="M48" s="105"/>
      <c r="N48" s="21"/>
      <c r="O48" s="105"/>
      <c r="P48" s="105"/>
      <c r="Q48" s="105"/>
      <c r="R48" s="105"/>
      <c r="S48" s="105"/>
      <c r="T48" s="21">
        <v>0</v>
      </c>
      <c r="U48" s="105"/>
      <c r="V48" s="127">
        <f t="shared" si="0"/>
        <v>0</v>
      </c>
    </row>
    <row r="49" spans="1:22" ht="12.75">
      <c r="A49" s="754"/>
      <c r="B49" s="752"/>
      <c r="C49" s="52" t="s">
        <v>124</v>
      </c>
      <c r="D49" s="52"/>
      <c r="E49" s="52"/>
      <c r="F49" s="52"/>
      <c r="G49" s="52"/>
      <c r="H49" s="52"/>
      <c r="I49" s="39">
        <v>23291</v>
      </c>
      <c r="J49" s="39">
        <v>27058</v>
      </c>
      <c r="K49" s="24">
        <v>20181</v>
      </c>
      <c r="L49" s="24">
        <v>31759</v>
      </c>
      <c r="M49" s="183">
        <v>31403.35</v>
      </c>
      <c r="N49" s="24">
        <v>35343</v>
      </c>
      <c r="O49" s="183">
        <v>34322.05</v>
      </c>
      <c r="P49" s="183">
        <v>45533.12</v>
      </c>
      <c r="Q49" s="183">
        <v>43614.7</v>
      </c>
      <c r="R49" s="183">
        <v>44982.3</v>
      </c>
      <c r="S49" s="183">
        <v>48179</v>
      </c>
      <c r="T49" s="24">
        <v>45000</v>
      </c>
      <c r="U49" s="183">
        <v>44026.75</v>
      </c>
      <c r="V49" s="119">
        <f t="shared" si="0"/>
        <v>97.83722222222222</v>
      </c>
    </row>
    <row r="50" spans="1:22" ht="12.75">
      <c r="A50" s="754"/>
      <c r="B50" s="752"/>
      <c r="C50" s="52" t="s">
        <v>337</v>
      </c>
      <c r="D50" s="52"/>
      <c r="E50" s="52"/>
      <c r="F50" s="52"/>
      <c r="G50" s="52"/>
      <c r="H50" s="52"/>
      <c r="I50" s="39"/>
      <c r="J50" s="39"/>
      <c r="K50" s="24"/>
      <c r="L50" s="24"/>
      <c r="M50" s="183"/>
      <c r="N50" s="24"/>
      <c r="O50" s="183"/>
      <c r="P50" s="183">
        <v>34986.25</v>
      </c>
      <c r="Q50" s="183">
        <v>40439.35</v>
      </c>
      <c r="R50" s="183">
        <v>44734.7</v>
      </c>
      <c r="S50" s="183">
        <v>44248.25</v>
      </c>
      <c r="T50" s="24">
        <v>52000</v>
      </c>
      <c r="U50" s="183">
        <f>60603+9212</f>
        <v>69815</v>
      </c>
      <c r="V50" s="119">
        <f t="shared" si="0"/>
        <v>134.2596153846154</v>
      </c>
    </row>
    <row r="51" spans="1:22" ht="12.75">
      <c r="A51" s="754"/>
      <c r="B51" s="752"/>
      <c r="C51" s="52" t="s">
        <v>338</v>
      </c>
      <c r="D51" s="52"/>
      <c r="E51" s="52"/>
      <c r="F51" s="52"/>
      <c r="G51" s="52"/>
      <c r="H51" s="52"/>
      <c r="I51" s="39"/>
      <c r="J51" s="39"/>
      <c r="K51" s="24"/>
      <c r="L51" s="24"/>
      <c r="M51" s="183"/>
      <c r="N51" s="24"/>
      <c r="O51" s="183">
        <v>2410.4</v>
      </c>
      <c r="P51" s="183">
        <v>202930</v>
      </c>
      <c r="Q51" s="183"/>
      <c r="R51" s="183">
        <v>72958.35</v>
      </c>
      <c r="S51" s="183">
        <v>155816.63</v>
      </c>
      <c r="T51" s="24">
        <v>253900</v>
      </c>
      <c r="U51" s="183">
        <f>298728.72-44828</f>
        <v>253900.71999999997</v>
      </c>
      <c r="V51" s="119">
        <f t="shared" si="0"/>
        <v>100.00028357621109</v>
      </c>
    </row>
    <row r="52" spans="1:22" ht="12.75" hidden="1">
      <c r="A52" s="754"/>
      <c r="B52" s="752"/>
      <c r="C52" s="52" t="s">
        <v>125</v>
      </c>
      <c r="D52" s="52"/>
      <c r="E52" s="52"/>
      <c r="F52" s="52"/>
      <c r="G52" s="52"/>
      <c r="H52" s="52"/>
      <c r="I52" s="39">
        <v>24506</v>
      </c>
      <c r="J52" s="39">
        <v>29035</v>
      </c>
      <c r="K52" s="24">
        <v>28418</v>
      </c>
      <c r="L52" s="24">
        <v>20267.02</v>
      </c>
      <c r="M52" s="183">
        <v>19677.18</v>
      </c>
      <c r="N52" s="24">
        <v>14953.06</v>
      </c>
      <c r="O52" s="183">
        <v>28154.6</v>
      </c>
      <c r="P52" s="183"/>
      <c r="Q52" s="183"/>
      <c r="R52" s="183"/>
      <c r="S52" s="183"/>
      <c r="T52" s="24">
        <v>0</v>
      </c>
      <c r="U52" s="183"/>
      <c r="V52" s="119">
        <f t="shared" si="0"/>
        <v>0</v>
      </c>
    </row>
    <row r="53" spans="1:22" ht="12.75">
      <c r="A53" s="754"/>
      <c r="B53" s="752"/>
      <c r="C53" s="52" t="s">
        <v>190</v>
      </c>
      <c r="D53" s="52"/>
      <c r="E53" s="52"/>
      <c r="F53" s="52"/>
      <c r="G53" s="52"/>
      <c r="H53" s="52"/>
      <c r="I53" s="39">
        <v>19621</v>
      </c>
      <c r="J53" s="39">
        <v>15462</v>
      </c>
      <c r="K53" s="24">
        <v>15205</v>
      </c>
      <c r="L53" s="24">
        <v>17827.7</v>
      </c>
      <c r="M53" s="183">
        <v>16873.9</v>
      </c>
      <c r="N53" s="24">
        <v>18524.4</v>
      </c>
      <c r="O53" s="183">
        <v>107327.38</v>
      </c>
      <c r="P53" s="183">
        <v>20421</v>
      </c>
      <c r="Q53" s="183">
        <v>18800</v>
      </c>
      <c r="R53" s="183">
        <v>8510</v>
      </c>
      <c r="S53" s="183">
        <v>9530</v>
      </c>
      <c r="T53" s="24">
        <v>8500</v>
      </c>
      <c r="U53" s="183">
        <v>26030</v>
      </c>
      <c r="V53" s="119">
        <f t="shared" si="0"/>
        <v>306.2352941176471</v>
      </c>
    </row>
    <row r="54" spans="1:22" ht="12.75">
      <c r="A54" s="754"/>
      <c r="B54" s="752"/>
      <c r="C54" s="59" t="s">
        <v>126</v>
      </c>
      <c r="D54" s="59"/>
      <c r="E54" s="59"/>
      <c r="F54" s="59"/>
      <c r="G54" s="59"/>
      <c r="H54" s="59"/>
      <c r="I54" s="65">
        <v>136368</v>
      </c>
      <c r="J54" s="39">
        <v>127040</v>
      </c>
      <c r="K54" s="24">
        <v>149474</v>
      </c>
      <c r="L54" s="24">
        <v>154903.56</v>
      </c>
      <c r="M54" s="201">
        <v>163189.57</v>
      </c>
      <c r="N54" s="27">
        <v>121087.25</v>
      </c>
      <c r="O54" s="201">
        <v>49349.66</v>
      </c>
      <c r="P54" s="201">
        <v>100448.22</v>
      </c>
      <c r="Q54" s="201">
        <v>102354.74</v>
      </c>
      <c r="R54" s="201">
        <v>106757.63</v>
      </c>
      <c r="S54" s="201">
        <v>101964.37</v>
      </c>
      <c r="T54" s="27">
        <v>161200</v>
      </c>
      <c r="U54" s="201">
        <v>156939.26</v>
      </c>
      <c r="V54" s="622">
        <f t="shared" si="0"/>
        <v>97.35686104218362</v>
      </c>
    </row>
    <row r="55" spans="1:22" ht="12.75">
      <c r="A55" s="754"/>
      <c r="B55" s="752"/>
      <c r="C55" s="59" t="s">
        <v>127</v>
      </c>
      <c r="D55" s="59"/>
      <c r="E55" s="59"/>
      <c r="F55" s="59"/>
      <c r="G55" s="59"/>
      <c r="H55" s="59"/>
      <c r="I55" s="65">
        <v>60412</v>
      </c>
      <c r="J55" s="39">
        <v>44729</v>
      </c>
      <c r="K55" s="24">
        <v>51770</v>
      </c>
      <c r="L55" s="24">
        <v>49600.39</v>
      </c>
      <c r="M55" s="201">
        <v>49002.82</v>
      </c>
      <c r="N55" s="27">
        <v>48758.66</v>
      </c>
      <c r="O55" s="201">
        <v>11897.8</v>
      </c>
      <c r="P55" s="201">
        <v>48198.72</v>
      </c>
      <c r="Q55" s="201">
        <v>41209.34</v>
      </c>
      <c r="R55" s="201">
        <v>46014.91</v>
      </c>
      <c r="S55" s="201">
        <v>31969.12</v>
      </c>
      <c r="T55" s="27">
        <v>58000</v>
      </c>
      <c r="U55" s="201">
        <f>32420.07+9290.33</f>
        <v>41710.4</v>
      </c>
      <c r="V55" s="622">
        <f t="shared" si="0"/>
        <v>71.9144827586207</v>
      </c>
    </row>
    <row r="56" spans="1:22" ht="12.75">
      <c r="A56" s="754"/>
      <c r="B56" s="752"/>
      <c r="C56" s="59" t="s">
        <v>128</v>
      </c>
      <c r="D56" s="59"/>
      <c r="E56" s="59"/>
      <c r="F56" s="59"/>
      <c r="G56" s="59"/>
      <c r="H56" s="59"/>
      <c r="I56" s="65"/>
      <c r="J56" s="39"/>
      <c r="K56" s="24"/>
      <c r="L56" s="24">
        <v>760.76</v>
      </c>
      <c r="M56" s="201"/>
      <c r="N56" s="27">
        <v>3813</v>
      </c>
      <c r="O56" s="201">
        <v>6856.9</v>
      </c>
      <c r="P56" s="201">
        <v>669.9000000000001</v>
      </c>
      <c r="Q56" s="201">
        <v>38311.520000000004</v>
      </c>
      <c r="R56" s="201">
        <v>29991.24</v>
      </c>
      <c r="S56" s="201">
        <v>9841.25</v>
      </c>
      <c r="T56" s="27">
        <v>15000</v>
      </c>
      <c r="U56" s="201"/>
      <c r="V56" s="622">
        <f t="shared" si="0"/>
        <v>0</v>
      </c>
    </row>
    <row r="57" spans="1:22" ht="13.5" thickBot="1">
      <c r="A57" s="754"/>
      <c r="B57" s="752"/>
      <c r="C57" s="59" t="s">
        <v>129</v>
      </c>
      <c r="D57" s="59"/>
      <c r="E57" s="59"/>
      <c r="F57" s="59"/>
      <c r="G57" s="59"/>
      <c r="H57" s="59"/>
      <c r="I57" s="65">
        <v>179713</v>
      </c>
      <c r="J57" s="39">
        <v>133501</v>
      </c>
      <c r="K57" s="24">
        <v>140855</v>
      </c>
      <c r="L57" s="24">
        <v>208009.77</v>
      </c>
      <c r="M57" s="201">
        <v>203428.27</v>
      </c>
      <c r="N57" s="27">
        <v>207559.37</v>
      </c>
      <c r="O57" s="201">
        <v>210825.28999999998</v>
      </c>
      <c r="P57" s="201">
        <v>210877.08000000002</v>
      </c>
      <c r="Q57" s="201">
        <v>396056.39999999997</v>
      </c>
      <c r="R57" s="201">
        <v>155634.09</v>
      </c>
      <c r="S57" s="201">
        <v>169965.88</v>
      </c>
      <c r="T57" s="27">
        <v>250983</v>
      </c>
      <c r="U57" s="201">
        <f>120+137995.09+44828+1662.04+10563.06+1782+0.04</f>
        <v>196950.23</v>
      </c>
      <c r="V57" s="622">
        <f t="shared" si="0"/>
        <v>78.47154189725998</v>
      </c>
    </row>
    <row r="58" spans="1:22" ht="13.5" thickBot="1">
      <c r="A58" s="754"/>
      <c r="B58" s="55">
        <v>229</v>
      </c>
      <c r="C58" s="55" t="s">
        <v>130</v>
      </c>
      <c r="D58" s="57">
        <v>3054</v>
      </c>
      <c r="E58" s="57">
        <v>2722</v>
      </c>
      <c r="F58" s="57">
        <v>2921</v>
      </c>
      <c r="G58" s="57">
        <v>2475</v>
      </c>
      <c r="H58" s="57">
        <v>2568</v>
      </c>
      <c r="I58" s="57">
        <v>2375</v>
      </c>
      <c r="J58" s="57">
        <v>2068</v>
      </c>
      <c r="K58" s="58">
        <v>2476</v>
      </c>
      <c r="L58" s="58">
        <v>2040.04</v>
      </c>
      <c r="M58" s="58">
        <v>2144.59</v>
      </c>
      <c r="N58" s="87">
        <v>2002.17</v>
      </c>
      <c r="O58" s="87">
        <v>2067.84</v>
      </c>
      <c r="P58" s="87">
        <v>1622.84</v>
      </c>
      <c r="Q58" s="124">
        <v>1588</v>
      </c>
      <c r="R58" s="124">
        <v>1300</v>
      </c>
      <c r="S58" s="124">
        <v>1333</v>
      </c>
      <c r="T58" s="87">
        <f>T59</f>
        <v>0</v>
      </c>
      <c r="U58" s="124">
        <f>U59</f>
        <v>1390</v>
      </c>
      <c r="V58" s="125">
        <f t="shared" si="0"/>
        <v>0</v>
      </c>
    </row>
    <row r="59" spans="1:22" ht="13.5" thickBot="1">
      <c r="A59" s="755"/>
      <c r="B59" s="66"/>
      <c r="C59" s="66" t="s">
        <v>131</v>
      </c>
      <c r="D59" s="66">
        <v>3054</v>
      </c>
      <c r="E59" s="66">
        <v>2722</v>
      </c>
      <c r="F59" s="66">
        <v>2921</v>
      </c>
      <c r="G59" s="66">
        <v>2475</v>
      </c>
      <c r="H59" s="66">
        <v>2568</v>
      </c>
      <c r="I59" s="66">
        <v>2375</v>
      </c>
      <c r="J59" s="66">
        <v>2068</v>
      </c>
      <c r="K59" s="67">
        <v>2476</v>
      </c>
      <c r="L59" s="67">
        <v>2040.04</v>
      </c>
      <c r="M59" s="189">
        <v>2144.59</v>
      </c>
      <c r="N59" s="68">
        <v>2002.17</v>
      </c>
      <c r="O59" s="189">
        <v>2067.84</v>
      </c>
      <c r="P59" s="68">
        <v>1622.84</v>
      </c>
      <c r="Q59" s="189">
        <v>1588</v>
      </c>
      <c r="R59" s="189">
        <v>1300</v>
      </c>
      <c r="S59" s="189">
        <v>1333</v>
      </c>
      <c r="T59" s="68"/>
      <c r="U59" s="189">
        <v>1390</v>
      </c>
      <c r="V59" s="624">
        <f t="shared" si="0"/>
        <v>0</v>
      </c>
    </row>
    <row r="60" spans="1:22" ht="15.75" thickBot="1">
      <c r="A60" s="13">
        <v>240</v>
      </c>
      <c r="B60" s="739" t="s">
        <v>132</v>
      </c>
      <c r="C60" s="740"/>
      <c r="D60" s="69">
        <v>27352</v>
      </c>
      <c r="E60" s="69">
        <v>10390</v>
      </c>
      <c r="F60" s="69">
        <v>16730</v>
      </c>
      <c r="G60" s="69">
        <v>5867</v>
      </c>
      <c r="H60" s="69">
        <v>6403</v>
      </c>
      <c r="I60" s="69">
        <v>3943</v>
      </c>
      <c r="J60" s="69">
        <v>3352</v>
      </c>
      <c r="K60" s="69">
        <v>1988</v>
      </c>
      <c r="L60" s="70">
        <v>1226.92</v>
      </c>
      <c r="M60" s="69">
        <v>445.87</v>
      </c>
      <c r="N60" s="376">
        <v>2584.38</v>
      </c>
      <c r="O60" s="376">
        <v>1160.94</v>
      </c>
      <c r="P60" s="376">
        <v>1818.95</v>
      </c>
      <c r="Q60" s="578">
        <v>1244.15</v>
      </c>
      <c r="R60" s="578">
        <v>0</v>
      </c>
      <c r="S60" s="578">
        <v>0</v>
      </c>
      <c r="T60" s="376">
        <f>T61</f>
        <v>0</v>
      </c>
      <c r="U60" s="482">
        <f>U61</f>
        <v>580</v>
      </c>
      <c r="V60" s="476">
        <f t="shared" si="0"/>
        <v>0</v>
      </c>
    </row>
    <row r="61" spans="1:22" ht="15.75" thickBot="1">
      <c r="A61" s="46"/>
      <c r="B61" s="71"/>
      <c r="C61" s="72" t="s">
        <v>133</v>
      </c>
      <c r="D61" s="72">
        <v>27352</v>
      </c>
      <c r="E61" s="72">
        <v>10390</v>
      </c>
      <c r="F61" s="72">
        <v>16730</v>
      </c>
      <c r="G61" s="72">
        <v>5867</v>
      </c>
      <c r="H61" s="72">
        <v>6403</v>
      </c>
      <c r="I61" s="72">
        <v>3943</v>
      </c>
      <c r="J61" s="72">
        <v>3352</v>
      </c>
      <c r="K61" s="73">
        <v>1988</v>
      </c>
      <c r="L61" s="73">
        <v>1226.92</v>
      </c>
      <c r="M61" s="244">
        <v>445.87</v>
      </c>
      <c r="N61" s="74">
        <v>2584.38</v>
      </c>
      <c r="O61" s="244">
        <v>1160.94</v>
      </c>
      <c r="P61" s="74">
        <v>1818.95</v>
      </c>
      <c r="Q61" s="244">
        <v>1244.15</v>
      </c>
      <c r="R61" s="244"/>
      <c r="S61" s="244"/>
      <c r="T61" s="74"/>
      <c r="U61" s="482">
        <v>580</v>
      </c>
      <c r="V61" s="476">
        <f t="shared" si="0"/>
        <v>0</v>
      </c>
    </row>
    <row r="62" spans="1:22" ht="15.75" thickBot="1">
      <c r="A62" s="13">
        <v>290</v>
      </c>
      <c r="B62" s="741" t="s">
        <v>134</v>
      </c>
      <c r="C62" s="742"/>
      <c r="D62" s="75">
        <v>56396</v>
      </c>
      <c r="E62" s="75">
        <v>21078</v>
      </c>
      <c r="F62" s="75">
        <v>316039</v>
      </c>
      <c r="G62" s="75">
        <v>123165</v>
      </c>
      <c r="H62" s="75">
        <v>59959</v>
      </c>
      <c r="I62" s="75">
        <v>166050</v>
      </c>
      <c r="J62" s="75">
        <v>55155</v>
      </c>
      <c r="K62" s="75">
        <v>92423</v>
      </c>
      <c r="L62" s="75">
        <v>73212.12000000001</v>
      </c>
      <c r="M62" s="498">
        <v>97470.49</v>
      </c>
      <c r="N62" s="432">
        <v>73802.55999999998</v>
      </c>
      <c r="O62" s="558">
        <v>45550.07000000001</v>
      </c>
      <c r="P62" s="432">
        <v>56207.21</v>
      </c>
      <c r="Q62" s="558">
        <v>54011.56</v>
      </c>
      <c r="R62" s="558">
        <v>24394.64</v>
      </c>
      <c r="S62" s="558">
        <v>25447.02</v>
      </c>
      <c r="T62" s="432">
        <f>T63</f>
        <v>30305</v>
      </c>
      <c r="U62" s="558">
        <f>U63</f>
        <v>18583.78</v>
      </c>
      <c r="V62" s="625">
        <f t="shared" si="0"/>
        <v>61.32248803827751</v>
      </c>
    </row>
    <row r="63" spans="1:22" ht="13.5" thickBot="1">
      <c r="A63" s="737"/>
      <c r="B63" s="56">
        <v>292</v>
      </c>
      <c r="C63" s="56" t="s">
        <v>134</v>
      </c>
      <c r="D63" s="56">
        <v>56396</v>
      </c>
      <c r="E63" s="56">
        <v>21078</v>
      </c>
      <c r="F63" s="56">
        <v>316039</v>
      </c>
      <c r="G63" s="56">
        <v>123165</v>
      </c>
      <c r="H63" s="56">
        <v>59959</v>
      </c>
      <c r="I63" s="58">
        <v>166050</v>
      </c>
      <c r="J63" s="58">
        <v>55155</v>
      </c>
      <c r="K63" s="58">
        <v>92423</v>
      </c>
      <c r="L63" s="58">
        <v>73212.12000000001</v>
      </c>
      <c r="M63" s="138">
        <v>97470.49</v>
      </c>
      <c r="N63" s="87">
        <v>73802.55999999998</v>
      </c>
      <c r="O63" s="124">
        <v>45550.07000000001</v>
      </c>
      <c r="P63" s="124">
        <v>56207.21</v>
      </c>
      <c r="Q63" s="124">
        <v>54011.56</v>
      </c>
      <c r="R63" s="124">
        <v>24394.64</v>
      </c>
      <c r="S63" s="124">
        <v>25447.02</v>
      </c>
      <c r="T63" s="87">
        <f>SUM(T64:T67)</f>
        <v>30305</v>
      </c>
      <c r="U63" s="124">
        <f>SUM(U64:U67)</f>
        <v>18583.78</v>
      </c>
      <c r="V63" s="125">
        <f t="shared" si="0"/>
        <v>61.32248803827751</v>
      </c>
    </row>
    <row r="64" spans="1:22" ht="12.75">
      <c r="A64" s="738"/>
      <c r="B64" s="744"/>
      <c r="C64" s="76" t="s">
        <v>135</v>
      </c>
      <c r="D64" s="76"/>
      <c r="E64" s="76"/>
      <c r="F64" s="76"/>
      <c r="G64" s="76"/>
      <c r="H64" s="76"/>
      <c r="I64" s="77">
        <v>19700</v>
      </c>
      <c r="J64" s="77">
        <v>19300</v>
      </c>
      <c r="K64" s="24">
        <v>29700</v>
      </c>
      <c r="L64" s="24">
        <v>27700</v>
      </c>
      <c r="M64" s="105">
        <v>46500</v>
      </c>
      <c r="N64" s="21">
        <v>35700</v>
      </c>
      <c r="O64" s="105">
        <v>7205</v>
      </c>
      <c r="P64" s="105"/>
      <c r="Q64" s="105"/>
      <c r="R64" s="105"/>
      <c r="S64" s="105"/>
      <c r="T64" s="21">
        <v>0</v>
      </c>
      <c r="U64" s="105"/>
      <c r="V64" s="127">
        <f t="shared" si="0"/>
        <v>0</v>
      </c>
    </row>
    <row r="65" spans="1:22" ht="12.75">
      <c r="A65" s="738"/>
      <c r="B65" s="745"/>
      <c r="C65" s="78" t="s">
        <v>136</v>
      </c>
      <c r="D65" s="78"/>
      <c r="E65" s="78"/>
      <c r="F65" s="78"/>
      <c r="G65" s="78"/>
      <c r="H65" s="78"/>
      <c r="I65" s="79">
        <v>37534</v>
      </c>
      <c r="J65" s="79">
        <v>14000</v>
      </c>
      <c r="K65" s="24">
        <v>2888</v>
      </c>
      <c r="L65" s="24">
        <v>313.32</v>
      </c>
      <c r="M65" s="105">
        <v>6641.91</v>
      </c>
      <c r="N65" s="21">
        <v>434.45</v>
      </c>
      <c r="O65" s="105">
        <v>5635.97</v>
      </c>
      <c r="P65" s="105"/>
      <c r="Q65" s="105">
        <v>3297.08</v>
      </c>
      <c r="R65" s="105"/>
      <c r="S65" s="105"/>
      <c r="T65" s="21">
        <v>0</v>
      </c>
      <c r="U65" s="105"/>
      <c r="V65" s="127">
        <f t="shared" si="0"/>
        <v>0</v>
      </c>
    </row>
    <row r="66" spans="1:22" ht="12.75">
      <c r="A66" s="738"/>
      <c r="B66" s="745"/>
      <c r="C66" s="78" t="s">
        <v>134</v>
      </c>
      <c r="D66" s="78"/>
      <c r="E66" s="78"/>
      <c r="F66" s="78"/>
      <c r="G66" s="78"/>
      <c r="H66" s="78"/>
      <c r="I66" s="79">
        <v>106407</v>
      </c>
      <c r="J66" s="79">
        <v>19147</v>
      </c>
      <c r="K66" s="24">
        <v>57279</v>
      </c>
      <c r="L66" s="24">
        <v>42730.56</v>
      </c>
      <c r="M66" s="105">
        <v>42300.64</v>
      </c>
      <c r="N66" s="21">
        <v>35668.57</v>
      </c>
      <c r="O66" s="105">
        <v>30698.190000000002</v>
      </c>
      <c r="P66" s="105">
        <v>54103.22</v>
      </c>
      <c r="Q66" s="105">
        <v>47647.969999999994</v>
      </c>
      <c r="R66" s="105">
        <v>22776.37</v>
      </c>
      <c r="S66" s="105">
        <v>25273.420000000002</v>
      </c>
      <c r="T66" s="21">
        <v>30305</v>
      </c>
      <c r="U66" s="105">
        <f>18583.78-32.07</f>
        <v>18551.71</v>
      </c>
      <c r="V66" s="127">
        <f t="shared" si="0"/>
        <v>61.216663916845405</v>
      </c>
    </row>
    <row r="67" spans="1:22" ht="12.75">
      <c r="A67" s="738"/>
      <c r="B67" s="745"/>
      <c r="C67" s="80" t="s">
        <v>137</v>
      </c>
      <c r="D67" s="80"/>
      <c r="E67" s="80"/>
      <c r="F67" s="80"/>
      <c r="G67" s="80"/>
      <c r="H67" s="80"/>
      <c r="I67" s="81">
        <v>2409</v>
      </c>
      <c r="J67" s="81">
        <v>2708</v>
      </c>
      <c r="K67" s="24">
        <v>2556</v>
      </c>
      <c r="L67" s="24">
        <v>2468.24</v>
      </c>
      <c r="M67" s="118">
        <v>2027.94</v>
      </c>
      <c r="N67" s="23">
        <v>1999.54</v>
      </c>
      <c r="O67" s="118">
        <v>2010.91</v>
      </c>
      <c r="P67" s="118">
        <v>2103.99</v>
      </c>
      <c r="Q67" s="118">
        <v>3066.51</v>
      </c>
      <c r="R67" s="118">
        <v>1618.27</v>
      </c>
      <c r="S67" s="118">
        <v>173.6</v>
      </c>
      <c r="T67" s="23"/>
      <c r="U67" s="118">
        <v>32.07</v>
      </c>
      <c r="V67" s="626">
        <f t="shared" si="0"/>
        <v>0</v>
      </c>
    </row>
    <row r="68" spans="1:22" ht="13.5" thickBot="1">
      <c r="A68" s="743"/>
      <c r="B68" s="746"/>
      <c r="C68" s="548" t="s">
        <v>138</v>
      </c>
      <c r="D68" s="548"/>
      <c r="E68" s="548"/>
      <c r="F68" s="548"/>
      <c r="G68" s="548"/>
      <c r="H68" s="548"/>
      <c r="I68" s="548"/>
      <c r="J68" s="548"/>
      <c r="K68" s="256"/>
      <c r="L68" s="257"/>
      <c r="M68" s="257"/>
      <c r="N68" s="257"/>
      <c r="O68" s="257"/>
      <c r="P68" s="257"/>
      <c r="Q68" s="504"/>
      <c r="R68" s="504"/>
      <c r="S68" s="504"/>
      <c r="T68" s="257"/>
      <c r="U68" s="549"/>
      <c r="V68" s="550">
        <f t="shared" si="0"/>
        <v>0</v>
      </c>
    </row>
    <row r="69" spans="1:22" ht="16.5" thickBot="1">
      <c r="A69" s="44">
        <v>300</v>
      </c>
      <c r="B69" s="749" t="s">
        <v>139</v>
      </c>
      <c r="C69" s="750"/>
      <c r="D69" s="551">
        <v>1842129</v>
      </c>
      <c r="E69" s="551">
        <v>1999701</v>
      </c>
      <c r="F69" s="551">
        <v>2077242</v>
      </c>
      <c r="G69" s="551">
        <v>2645110</v>
      </c>
      <c r="H69" s="551">
        <v>2979865</v>
      </c>
      <c r="I69" s="551">
        <v>2749519</v>
      </c>
      <c r="J69" s="551">
        <v>2901991</v>
      </c>
      <c r="K69" s="551">
        <v>3466649</v>
      </c>
      <c r="L69" s="551">
        <v>3450076.55</v>
      </c>
      <c r="M69" s="552">
        <v>3251492.52</v>
      </c>
      <c r="N69" s="553">
        <v>3217895.650000001</v>
      </c>
      <c r="O69" s="553">
        <v>3083446.5600000005</v>
      </c>
      <c r="P69" s="593">
        <v>3121193.3499999996</v>
      </c>
      <c r="Q69" s="593">
        <v>3412076.46</v>
      </c>
      <c r="R69" s="593">
        <v>4385392.74</v>
      </c>
      <c r="S69" s="593">
        <v>4535455.64</v>
      </c>
      <c r="T69" s="553">
        <f>T71+T73</f>
        <v>4377800</v>
      </c>
      <c r="U69" s="593">
        <f>U71+U73</f>
        <v>4377798.929999998</v>
      </c>
      <c r="V69" s="627">
        <f t="shared" si="0"/>
        <v>99.99997555849966</v>
      </c>
    </row>
    <row r="70" spans="1:22" ht="15.75" thickBot="1">
      <c r="A70" s="28">
        <v>310</v>
      </c>
      <c r="B70" s="747" t="s">
        <v>140</v>
      </c>
      <c r="C70" s="765"/>
      <c r="D70" s="60">
        <v>1842129</v>
      </c>
      <c r="E70" s="60">
        <v>1999701</v>
      </c>
      <c r="F70" s="60">
        <v>2077242</v>
      </c>
      <c r="G70" s="60">
        <v>2645110</v>
      </c>
      <c r="H70" s="60">
        <v>2958818</v>
      </c>
      <c r="I70" s="60">
        <v>2721164</v>
      </c>
      <c r="J70" s="60">
        <v>2862933</v>
      </c>
      <c r="K70" s="60">
        <v>3457133</v>
      </c>
      <c r="L70" s="60">
        <v>3450076.55</v>
      </c>
      <c r="M70" s="192">
        <v>3251492.52</v>
      </c>
      <c r="N70" s="94">
        <v>3217895.650000001</v>
      </c>
      <c r="O70" s="94">
        <v>3083446.5600000005</v>
      </c>
      <c r="P70" s="503">
        <v>3121193.3499999996</v>
      </c>
      <c r="Q70" s="503">
        <v>3412076.46</v>
      </c>
      <c r="R70" s="503">
        <v>4385392.74</v>
      </c>
      <c r="S70" s="503">
        <v>4535455.64</v>
      </c>
      <c r="T70" s="94">
        <f>T73+T71</f>
        <v>4377800</v>
      </c>
      <c r="U70" s="503">
        <f>U73+U71</f>
        <v>4377798.929999998</v>
      </c>
      <c r="V70" s="605">
        <f aca="true" t="shared" si="1" ref="V70:V113">IF(T70=0,0,U70/T70*100)</f>
        <v>99.99997555849966</v>
      </c>
    </row>
    <row r="71" spans="1:22" ht="13.5" thickBot="1">
      <c r="A71" s="737"/>
      <c r="B71" s="82">
        <v>311</v>
      </c>
      <c r="C71" s="55" t="s">
        <v>141</v>
      </c>
      <c r="D71" s="83">
        <v>0</v>
      </c>
      <c r="E71" s="83">
        <v>23003</v>
      </c>
      <c r="F71" s="83">
        <v>14107</v>
      </c>
      <c r="G71" s="83">
        <v>9307</v>
      </c>
      <c r="H71" s="83">
        <v>19495</v>
      </c>
      <c r="I71" s="83">
        <v>11396</v>
      </c>
      <c r="J71" s="83">
        <v>19287</v>
      </c>
      <c r="K71" s="58">
        <v>18260</v>
      </c>
      <c r="L71" s="58">
        <v>700</v>
      </c>
      <c r="M71" s="138">
        <v>4100</v>
      </c>
      <c r="N71" s="433">
        <v>4000</v>
      </c>
      <c r="O71" s="559">
        <v>3010</v>
      </c>
      <c r="P71" s="559">
        <v>5900</v>
      </c>
      <c r="Q71" s="559">
        <v>1900</v>
      </c>
      <c r="R71" s="559">
        <v>0</v>
      </c>
      <c r="S71" s="559">
        <v>0</v>
      </c>
      <c r="T71" s="559">
        <v>0</v>
      </c>
      <c r="U71" s="559"/>
      <c r="V71" s="618">
        <f t="shared" si="1"/>
        <v>0</v>
      </c>
    </row>
    <row r="72" spans="1:22" ht="13.5" thickBot="1">
      <c r="A72" s="738"/>
      <c r="B72" s="35"/>
      <c r="C72" s="36" t="s">
        <v>142</v>
      </c>
      <c r="D72" s="36">
        <v>0</v>
      </c>
      <c r="E72" s="36">
        <v>23003</v>
      </c>
      <c r="F72" s="36">
        <v>14107</v>
      </c>
      <c r="G72" s="36">
        <v>9307</v>
      </c>
      <c r="H72" s="36">
        <v>19495</v>
      </c>
      <c r="I72" s="36">
        <v>11396</v>
      </c>
      <c r="J72" s="36">
        <v>19287</v>
      </c>
      <c r="K72" s="50">
        <v>18260</v>
      </c>
      <c r="L72" s="61">
        <v>700</v>
      </c>
      <c r="M72" s="105">
        <v>4100</v>
      </c>
      <c r="N72" s="21">
        <v>4000</v>
      </c>
      <c r="O72" s="105">
        <v>3010</v>
      </c>
      <c r="P72" s="105">
        <v>5900</v>
      </c>
      <c r="Q72" s="105">
        <v>1900</v>
      </c>
      <c r="R72" s="105"/>
      <c r="S72" s="105"/>
      <c r="T72" s="21"/>
      <c r="U72" s="105"/>
      <c r="V72" s="127">
        <f t="shared" si="1"/>
        <v>0</v>
      </c>
    </row>
    <row r="73" spans="1:25" ht="13.5" thickBot="1">
      <c r="A73" s="738"/>
      <c r="B73" s="8">
        <v>312</v>
      </c>
      <c r="C73" s="8" t="s">
        <v>143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3">
        <v>2709768</v>
      </c>
      <c r="J73" s="33">
        <v>2843646</v>
      </c>
      <c r="K73" s="33">
        <v>3438873</v>
      </c>
      <c r="L73" s="33">
        <v>3449376.55</v>
      </c>
      <c r="M73" s="303">
        <v>3247392.52</v>
      </c>
      <c r="N73" s="113">
        <v>3213895.650000001</v>
      </c>
      <c r="O73" s="513">
        <v>3080436.5600000005</v>
      </c>
      <c r="P73" s="513">
        <v>3115293.3499999996</v>
      </c>
      <c r="Q73" s="513">
        <v>3410176.46</v>
      </c>
      <c r="R73" s="513">
        <v>4385392.74</v>
      </c>
      <c r="S73" s="513">
        <v>4535455.64</v>
      </c>
      <c r="T73" s="113">
        <f>SUM(T74:T109)</f>
        <v>4377800</v>
      </c>
      <c r="U73" s="513">
        <f>SUM(U74:U109)</f>
        <v>4377798.929999998</v>
      </c>
      <c r="V73" s="619">
        <f t="shared" si="1"/>
        <v>99.99997555849966</v>
      </c>
      <c r="Y73" s="475"/>
    </row>
    <row r="74" spans="1:25" ht="12.75">
      <c r="A74" s="738"/>
      <c r="B74" s="771"/>
      <c r="C74" s="36" t="s">
        <v>144</v>
      </c>
      <c r="D74" s="36"/>
      <c r="E74" s="36"/>
      <c r="F74" s="36"/>
      <c r="G74" s="36"/>
      <c r="H74" s="36"/>
      <c r="I74" s="36">
        <v>23695</v>
      </c>
      <c r="J74" s="36">
        <v>17245</v>
      </c>
      <c r="K74" s="24">
        <v>10901</v>
      </c>
      <c r="L74" s="21">
        <v>11158.85</v>
      </c>
      <c r="M74" s="134">
        <v>11477.1</v>
      </c>
      <c r="N74" s="84">
        <v>11818.38</v>
      </c>
      <c r="O74" s="181">
        <v>12154.95</v>
      </c>
      <c r="P74" s="181">
        <v>13029.32</v>
      </c>
      <c r="Q74" s="181">
        <v>15209.34</v>
      </c>
      <c r="R74" s="181">
        <v>16905.95</v>
      </c>
      <c r="S74" s="181">
        <v>17572.16</v>
      </c>
      <c r="T74" s="84">
        <v>17305</v>
      </c>
      <c r="U74" s="477">
        <v>17305.09</v>
      </c>
      <c r="V74" s="478">
        <f t="shared" si="1"/>
        <v>100.00052008090148</v>
      </c>
      <c r="X74" s="682"/>
      <c r="Y74" s="475"/>
    </row>
    <row r="75" spans="1:25" ht="12.75">
      <c r="A75" s="738"/>
      <c r="B75" s="772"/>
      <c r="C75" s="38" t="s">
        <v>145</v>
      </c>
      <c r="D75" s="38"/>
      <c r="E75" s="38"/>
      <c r="F75" s="38"/>
      <c r="G75" s="38"/>
      <c r="H75" s="38"/>
      <c r="I75" s="38">
        <v>2039732</v>
      </c>
      <c r="J75" s="38">
        <v>2219230</v>
      </c>
      <c r="K75" s="24">
        <v>2305975</v>
      </c>
      <c r="L75" s="24">
        <v>2374727</v>
      </c>
      <c r="M75" s="101">
        <v>2385302.7</v>
      </c>
      <c r="N75" s="24">
        <v>2378880.87</v>
      </c>
      <c r="O75" s="183">
        <v>2380478.2</v>
      </c>
      <c r="P75" s="183">
        <v>2366109.5</v>
      </c>
      <c r="Q75" s="183">
        <v>2545153.69</v>
      </c>
      <c r="R75" s="183">
        <v>2781805.12</v>
      </c>
      <c r="S75" s="183">
        <v>2869915</v>
      </c>
      <c r="T75" s="24">
        <v>3118128</v>
      </c>
      <c r="U75" s="477">
        <f>15639.2+3029489+73000</f>
        <v>3118128.2</v>
      </c>
      <c r="V75" s="478">
        <f t="shared" si="1"/>
        <v>100.00000641410487</v>
      </c>
      <c r="X75" s="682"/>
      <c r="Y75" s="475"/>
    </row>
    <row r="76" spans="1:25" ht="12.75">
      <c r="A76" s="738"/>
      <c r="B76" s="772"/>
      <c r="C76" s="38" t="s">
        <v>146</v>
      </c>
      <c r="D76" s="38"/>
      <c r="E76" s="38"/>
      <c r="F76" s="38"/>
      <c r="G76" s="38"/>
      <c r="H76" s="38"/>
      <c r="I76" s="38">
        <v>18027</v>
      </c>
      <c r="J76" s="38">
        <v>18084</v>
      </c>
      <c r="K76" s="24">
        <v>17994</v>
      </c>
      <c r="L76" s="24">
        <v>18008.52</v>
      </c>
      <c r="M76" s="101">
        <v>18041.07</v>
      </c>
      <c r="N76" s="24">
        <v>17962.95</v>
      </c>
      <c r="O76" s="183">
        <v>17965.74</v>
      </c>
      <c r="P76" s="183">
        <v>21444.09</v>
      </c>
      <c r="Q76" s="183">
        <v>25241.06</v>
      </c>
      <c r="R76" s="183">
        <v>28158.54</v>
      </c>
      <c r="S76" s="183">
        <v>24931.2</v>
      </c>
      <c r="T76" s="24">
        <v>24830</v>
      </c>
      <c r="U76" s="477">
        <v>24830.29</v>
      </c>
      <c r="V76" s="478">
        <f t="shared" si="1"/>
        <v>100.00116794200564</v>
      </c>
      <c r="X76" s="682"/>
      <c r="Y76" s="475"/>
    </row>
    <row r="77" spans="1:25" ht="12.75">
      <c r="A77" s="738"/>
      <c r="B77" s="772"/>
      <c r="C77" s="38" t="s">
        <v>147</v>
      </c>
      <c r="D77" s="38"/>
      <c r="E77" s="38"/>
      <c r="F77" s="38"/>
      <c r="G77" s="38"/>
      <c r="H77" s="38"/>
      <c r="I77" s="38">
        <v>24577</v>
      </c>
      <c r="J77" s="38">
        <v>25124</v>
      </c>
      <c r="K77" s="24">
        <v>25564</v>
      </c>
      <c r="L77" s="24">
        <v>26022</v>
      </c>
      <c r="M77" s="101">
        <v>26310</v>
      </c>
      <c r="N77" s="24">
        <v>27303</v>
      </c>
      <c r="O77" s="183">
        <v>28388</v>
      </c>
      <c r="P77" s="183">
        <v>29368</v>
      </c>
      <c r="Q77" s="183">
        <v>32106</v>
      </c>
      <c r="R77" s="183">
        <v>35166</v>
      </c>
      <c r="S77" s="183">
        <v>36089</v>
      </c>
      <c r="T77" s="24">
        <v>18535</v>
      </c>
      <c r="U77" s="477">
        <v>18535</v>
      </c>
      <c r="V77" s="478">
        <f t="shared" si="1"/>
        <v>100</v>
      </c>
      <c r="X77" s="682"/>
      <c r="Y77" s="475"/>
    </row>
    <row r="78" spans="1:25" ht="12.75">
      <c r="A78" s="738"/>
      <c r="B78" s="772"/>
      <c r="C78" s="38" t="s">
        <v>148</v>
      </c>
      <c r="D78" s="38"/>
      <c r="E78" s="38"/>
      <c r="F78" s="38"/>
      <c r="G78" s="38"/>
      <c r="H78" s="38"/>
      <c r="I78" s="38">
        <v>7039</v>
      </c>
      <c r="J78" s="38">
        <v>7075</v>
      </c>
      <c r="K78" s="24">
        <v>7128</v>
      </c>
      <c r="L78" s="24">
        <v>7141.61</v>
      </c>
      <c r="M78" s="101">
        <v>7157.02</v>
      </c>
      <c r="N78" s="24">
        <v>7145.67</v>
      </c>
      <c r="O78" s="183">
        <v>7146.74</v>
      </c>
      <c r="P78" s="183">
        <v>7180.34</v>
      </c>
      <c r="Q78" s="183">
        <v>7204.95</v>
      </c>
      <c r="R78" s="183">
        <v>7210.94</v>
      </c>
      <c r="S78" s="183">
        <v>7213.51</v>
      </c>
      <c r="T78" s="24">
        <v>7218</v>
      </c>
      <c r="U78" s="477">
        <v>7218.22</v>
      </c>
      <c r="V78" s="478">
        <f t="shared" si="1"/>
        <v>100.00304793571627</v>
      </c>
      <c r="X78" s="682"/>
      <c r="Y78" s="475"/>
    </row>
    <row r="79" spans="1:25" ht="12.75">
      <c r="A79" s="738"/>
      <c r="B79" s="772"/>
      <c r="C79" s="38" t="s">
        <v>149</v>
      </c>
      <c r="D79" s="38"/>
      <c r="E79" s="38"/>
      <c r="F79" s="38"/>
      <c r="G79" s="38"/>
      <c r="H79" s="38"/>
      <c r="I79" s="38">
        <v>10058</v>
      </c>
      <c r="J79" s="38">
        <v>10551</v>
      </c>
      <c r="K79" s="24">
        <v>6336</v>
      </c>
      <c r="L79" s="24">
        <v>5427.66</v>
      </c>
      <c r="M79" s="101">
        <v>4327.68</v>
      </c>
      <c r="N79" s="24">
        <v>3104.64</v>
      </c>
      <c r="O79" s="183">
        <v>3575.04</v>
      </c>
      <c r="P79" s="183">
        <v>3928.96</v>
      </c>
      <c r="Q79" s="183">
        <v>5163.84</v>
      </c>
      <c r="R79" s="183">
        <v>4480.02</v>
      </c>
      <c r="S79" s="183">
        <v>2417</v>
      </c>
      <c r="T79" s="24">
        <v>3205</v>
      </c>
      <c r="U79" s="477">
        <v>3205.42</v>
      </c>
      <c r="V79" s="478">
        <f t="shared" si="1"/>
        <v>100.01310452418097</v>
      </c>
      <c r="X79" s="682"/>
      <c r="Y79" s="475"/>
    </row>
    <row r="80" spans="1:25" ht="12.75">
      <c r="A80" s="738"/>
      <c r="B80" s="772"/>
      <c r="C80" s="38" t="s">
        <v>150</v>
      </c>
      <c r="D80" s="38"/>
      <c r="E80" s="38"/>
      <c r="F80" s="38"/>
      <c r="G80" s="38"/>
      <c r="H80" s="38"/>
      <c r="I80" s="38">
        <v>83191</v>
      </c>
      <c r="J80" s="38">
        <v>97555</v>
      </c>
      <c r="K80" s="24">
        <v>85709</v>
      </c>
      <c r="L80" s="24">
        <v>73418.71</v>
      </c>
      <c r="M80" s="101">
        <v>58497.09</v>
      </c>
      <c r="N80" s="24">
        <v>43283.74</v>
      </c>
      <c r="O80" s="183">
        <v>37015.03</v>
      </c>
      <c r="P80" s="183">
        <v>30847.5</v>
      </c>
      <c r="Q80" s="183">
        <v>180888.6</v>
      </c>
      <c r="R80" s="183">
        <v>3685.2</v>
      </c>
      <c r="S80" s="183">
        <v>3353.2</v>
      </c>
      <c r="T80" s="24">
        <v>3270</v>
      </c>
      <c r="U80" s="477">
        <v>3270.2</v>
      </c>
      <c r="V80" s="478">
        <f t="shared" si="1"/>
        <v>100.00611620795105</v>
      </c>
      <c r="X80" s="682"/>
      <c r="Y80" s="475"/>
    </row>
    <row r="81" spans="1:25" ht="12.75">
      <c r="A81" s="738"/>
      <c r="B81" s="772"/>
      <c r="C81" s="38" t="s">
        <v>151</v>
      </c>
      <c r="D81" s="38"/>
      <c r="E81" s="38"/>
      <c r="F81" s="38"/>
      <c r="G81" s="38"/>
      <c r="H81" s="38"/>
      <c r="I81" s="38">
        <v>25474</v>
      </c>
      <c r="J81" s="38">
        <v>22043</v>
      </c>
      <c r="K81" s="24">
        <v>19717</v>
      </c>
      <c r="L81" s="24">
        <v>29033.54</v>
      </c>
      <c r="M81" s="101">
        <v>25989.77</v>
      </c>
      <c r="N81" s="24">
        <v>45874.89000000001</v>
      </c>
      <c r="O81" s="183">
        <v>32060.63</v>
      </c>
      <c r="P81" s="183">
        <v>23435.9</v>
      </c>
      <c r="Q81" s="183">
        <v>11750.66</v>
      </c>
      <c r="R81" s="183">
        <v>13997.92</v>
      </c>
      <c r="S81" s="183">
        <v>25352.86</v>
      </c>
      <c r="T81" s="24">
        <v>29584</v>
      </c>
      <c r="U81" s="477">
        <f>5743.05+3570.44+6747.32+8239.02+919.53+2307.82+889.06+1167.52</f>
        <v>29583.760000000002</v>
      </c>
      <c r="V81" s="478">
        <f t="shared" si="1"/>
        <v>99.99918875067605</v>
      </c>
      <c r="X81" s="682"/>
      <c r="Y81" s="475"/>
    </row>
    <row r="82" spans="1:25" ht="12.75">
      <c r="A82" s="738"/>
      <c r="B82" s="772"/>
      <c r="C82" s="38" t="s">
        <v>152</v>
      </c>
      <c r="D82" s="38"/>
      <c r="E82" s="38"/>
      <c r="F82" s="38"/>
      <c r="G82" s="38"/>
      <c r="H82" s="38"/>
      <c r="I82" s="38">
        <v>1008</v>
      </c>
      <c r="J82" s="38">
        <v>1008</v>
      </c>
      <c r="K82" s="24">
        <v>995</v>
      </c>
      <c r="L82" s="24">
        <v>836.54</v>
      </c>
      <c r="M82" s="101">
        <v>838.04</v>
      </c>
      <c r="N82" s="24">
        <v>834.41</v>
      </c>
      <c r="O82" s="183">
        <v>834.53</v>
      </c>
      <c r="P82" s="183">
        <v>834.58</v>
      </c>
      <c r="Q82" s="183">
        <v>834.92</v>
      </c>
      <c r="R82" s="183">
        <v>833.25</v>
      </c>
      <c r="S82" s="183">
        <v>831.16</v>
      </c>
      <c r="T82" s="24">
        <v>828</v>
      </c>
      <c r="U82" s="477">
        <v>828.18</v>
      </c>
      <c r="V82" s="478">
        <f t="shared" si="1"/>
        <v>100.02173913043477</v>
      </c>
      <c r="X82" s="682"/>
      <c r="Y82" s="475"/>
    </row>
    <row r="83" spans="1:25" ht="12.75">
      <c r="A83" s="738"/>
      <c r="B83" s="772"/>
      <c r="C83" s="38" t="s">
        <v>153</v>
      </c>
      <c r="D83" s="38"/>
      <c r="E83" s="38"/>
      <c r="F83" s="38"/>
      <c r="G83" s="38"/>
      <c r="H83" s="38"/>
      <c r="I83" s="38">
        <v>1487</v>
      </c>
      <c r="J83" s="38">
        <v>1415</v>
      </c>
      <c r="K83" s="24">
        <v>1362</v>
      </c>
      <c r="L83" s="24">
        <v>1386.9</v>
      </c>
      <c r="M83" s="101">
        <v>1388.19</v>
      </c>
      <c r="N83" s="24">
        <v>1382.72</v>
      </c>
      <c r="O83" s="183">
        <v>1384.09</v>
      </c>
      <c r="P83" s="183">
        <v>1383.83</v>
      </c>
      <c r="Q83" s="183">
        <v>1383.78</v>
      </c>
      <c r="R83" s="183">
        <v>1401.91</v>
      </c>
      <c r="S83" s="183">
        <v>1442.76</v>
      </c>
      <c r="T83" s="24">
        <v>2140</v>
      </c>
      <c r="U83" s="477">
        <v>2139.51</v>
      </c>
      <c r="V83" s="478">
        <f t="shared" si="1"/>
        <v>99.97710280373833</v>
      </c>
      <c r="X83" s="682"/>
      <c r="Y83" s="475"/>
    </row>
    <row r="84" spans="1:25" ht="12.75">
      <c r="A84" s="738"/>
      <c r="B84" s="772"/>
      <c r="C84" s="38" t="s">
        <v>333</v>
      </c>
      <c r="D84" s="38"/>
      <c r="E84" s="38"/>
      <c r="F84" s="38"/>
      <c r="G84" s="38"/>
      <c r="H84" s="38"/>
      <c r="I84" s="38">
        <v>46640</v>
      </c>
      <c r="J84" s="38">
        <v>26998</v>
      </c>
      <c r="K84" s="24">
        <v>72974</v>
      </c>
      <c r="L84" s="24">
        <v>59711.85</v>
      </c>
      <c r="M84" s="101">
        <v>88644.08</v>
      </c>
      <c r="N84" s="24"/>
      <c r="O84" s="183">
        <v>5319.72</v>
      </c>
      <c r="P84" s="183">
        <v>79960.38</v>
      </c>
      <c r="Q84" s="183">
        <v>117516.28</v>
      </c>
      <c r="R84" s="183">
        <v>102665.44</v>
      </c>
      <c r="S84" s="183">
        <v>168200.86</v>
      </c>
      <c r="T84" s="24">
        <v>148333</v>
      </c>
      <c r="U84" s="477">
        <f>58625.71+89707.31</f>
        <v>148333.02</v>
      </c>
      <c r="V84" s="478">
        <f t="shared" si="1"/>
        <v>100.00001348317636</v>
      </c>
      <c r="X84" s="682"/>
      <c r="Y84" s="475"/>
    </row>
    <row r="85" spans="1:25" ht="12.75">
      <c r="A85" s="738"/>
      <c r="B85" s="772"/>
      <c r="C85" s="38" t="s">
        <v>154</v>
      </c>
      <c r="D85" s="38"/>
      <c r="E85" s="38"/>
      <c r="F85" s="38"/>
      <c r="G85" s="38"/>
      <c r="H85" s="38"/>
      <c r="I85" s="38">
        <v>4903</v>
      </c>
      <c r="J85" s="38">
        <v>4921</v>
      </c>
      <c r="K85" s="24">
        <v>4883</v>
      </c>
      <c r="L85" s="24">
        <v>4883.67</v>
      </c>
      <c r="M85" s="101">
        <v>4892.91</v>
      </c>
      <c r="N85" s="24">
        <v>4949.79</v>
      </c>
      <c r="O85" s="183">
        <v>5150.43</v>
      </c>
      <c r="P85" s="183">
        <v>5039.6</v>
      </c>
      <c r="Q85" s="183">
        <v>4957.389999999999</v>
      </c>
      <c r="R85" s="183">
        <v>5060.610000000001</v>
      </c>
      <c r="S85" s="183">
        <v>5039.46</v>
      </c>
      <c r="T85" s="24">
        <v>5586</v>
      </c>
      <c r="U85" s="477">
        <f>5501.33+85.2</f>
        <v>5586.53</v>
      </c>
      <c r="V85" s="478">
        <f t="shared" si="1"/>
        <v>100.0094880057286</v>
      </c>
      <c r="X85" s="682"/>
      <c r="Y85" s="475"/>
    </row>
    <row r="86" spans="1:25" ht="12.75">
      <c r="A86" s="738"/>
      <c r="B86" s="772"/>
      <c r="C86" s="38" t="s">
        <v>155</v>
      </c>
      <c r="D86" s="38"/>
      <c r="E86" s="38"/>
      <c r="F86" s="38"/>
      <c r="G86" s="38"/>
      <c r="H86" s="38"/>
      <c r="I86" s="38"/>
      <c r="J86" s="38"/>
      <c r="K86" s="24"/>
      <c r="L86" s="24"/>
      <c r="M86" s="101"/>
      <c r="N86" s="24">
        <v>5331.12</v>
      </c>
      <c r="O86" s="183">
        <v>5725</v>
      </c>
      <c r="P86" s="183">
        <v>6318.110000000001</v>
      </c>
      <c r="Q86" s="183">
        <v>15040</v>
      </c>
      <c r="R86" s="183">
        <v>11724.32</v>
      </c>
      <c r="S86" s="183">
        <v>8198.2</v>
      </c>
      <c r="T86" s="24">
        <v>8503</v>
      </c>
      <c r="U86" s="477">
        <v>8502.77</v>
      </c>
      <c r="V86" s="478">
        <f t="shared" si="1"/>
        <v>99.99729507232742</v>
      </c>
      <c r="X86" s="682"/>
      <c r="Y86" s="475"/>
    </row>
    <row r="87" spans="1:25" ht="12.75">
      <c r="A87" s="738"/>
      <c r="B87" s="772"/>
      <c r="C87" s="38" t="s">
        <v>155</v>
      </c>
      <c r="D87" s="38"/>
      <c r="E87" s="38"/>
      <c r="F87" s="38"/>
      <c r="G87" s="38"/>
      <c r="H87" s="38"/>
      <c r="I87" s="38">
        <v>4172</v>
      </c>
      <c r="J87" s="38">
        <v>4305</v>
      </c>
      <c r="K87" s="24">
        <v>4445</v>
      </c>
      <c r="L87" s="24">
        <v>4634.95</v>
      </c>
      <c r="M87" s="101">
        <v>5001.36</v>
      </c>
      <c r="N87" s="24">
        <v>4700</v>
      </c>
      <c r="O87" s="183">
        <v>4000</v>
      </c>
      <c r="P87" s="183">
        <v>6500</v>
      </c>
      <c r="Q87" s="183">
        <v>6844.81</v>
      </c>
      <c r="R87" s="183"/>
      <c r="S87" s="183">
        <v>13200</v>
      </c>
      <c r="T87" s="24">
        <v>11300</v>
      </c>
      <c r="U87" s="477">
        <v>11300</v>
      </c>
      <c r="V87" s="478">
        <f t="shared" si="1"/>
        <v>100</v>
      </c>
      <c r="X87" s="682"/>
      <c r="Y87" s="475"/>
    </row>
    <row r="88" spans="1:25" ht="12.75">
      <c r="A88" s="738"/>
      <c r="B88" s="772"/>
      <c r="C88" s="38" t="s">
        <v>156</v>
      </c>
      <c r="D88" s="38"/>
      <c r="E88" s="38"/>
      <c r="F88" s="38"/>
      <c r="G88" s="38"/>
      <c r="H88" s="38"/>
      <c r="I88" s="38">
        <v>13965</v>
      </c>
      <c r="J88" s="38">
        <v>20215</v>
      </c>
      <c r="K88" s="24">
        <v>27328</v>
      </c>
      <c r="L88" s="24">
        <v>18845.33</v>
      </c>
      <c r="M88" s="101">
        <v>25120.019999999997</v>
      </c>
      <c r="N88" s="24">
        <v>34933.57</v>
      </c>
      <c r="O88" s="183">
        <v>37751.54</v>
      </c>
      <c r="P88" s="183">
        <v>40983.99</v>
      </c>
      <c r="Q88" s="183">
        <v>46526.26</v>
      </c>
      <c r="R88" s="183">
        <v>47924.12</v>
      </c>
      <c r="S88" s="183">
        <v>47729.81</v>
      </c>
      <c r="T88" s="24">
        <v>49299</v>
      </c>
      <c r="U88" s="477">
        <f>3892.03+7784.06+37622.85</f>
        <v>49298.94</v>
      </c>
      <c r="V88" s="478">
        <f t="shared" si="1"/>
        <v>99.99987829367736</v>
      </c>
      <c r="X88" s="682"/>
      <c r="Y88" s="475"/>
    </row>
    <row r="89" spans="1:25" ht="12.75">
      <c r="A89" s="738"/>
      <c r="B89" s="772"/>
      <c r="C89" s="38" t="s">
        <v>345</v>
      </c>
      <c r="D89" s="38"/>
      <c r="E89" s="38"/>
      <c r="F89" s="38"/>
      <c r="G89" s="38"/>
      <c r="H89" s="38"/>
      <c r="I89" s="38"/>
      <c r="J89" s="38"/>
      <c r="K89" s="24"/>
      <c r="L89" s="24"/>
      <c r="M89" s="183"/>
      <c r="N89" s="24">
        <v>37805</v>
      </c>
      <c r="O89" s="24"/>
      <c r="P89" s="183"/>
      <c r="Q89" s="183"/>
      <c r="R89" s="183">
        <v>80695.71</v>
      </c>
      <c r="S89" s="183">
        <v>99939.32</v>
      </c>
      <c r="T89" s="24">
        <v>57013</v>
      </c>
      <c r="U89" s="477">
        <v>57013.03</v>
      </c>
      <c r="V89" s="478">
        <f t="shared" si="1"/>
        <v>100.00005261957799</v>
      </c>
      <c r="X89" s="682"/>
      <c r="Y89" s="475"/>
    </row>
    <row r="90" spans="1:25" ht="12.75" hidden="1">
      <c r="A90" s="738"/>
      <c r="B90" s="772"/>
      <c r="C90" s="38" t="s">
        <v>157</v>
      </c>
      <c r="D90" s="38"/>
      <c r="E90" s="38"/>
      <c r="F90" s="38"/>
      <c r="G90" s="38"/>
      <c r="H90" s="38"/>
      <c r="I90" s="38"/>
      <c r="J90" s="38">
        <v>100000</v>
      </c>
      <c r="K90" s="24"/>
      <c r="L90" s="24"/>
      <c r="M90" s="183">
        <v>59979.78999999999</v>
      </c>
      <c r="N90" s="24">
        <v>37805</v>
      </c>
      <c r="O90" s="24">
        <v>0</v>
      </c>
      <c r="P90" s="183"/>
      <c r="Q90" s="183"/>
      <c r="R90" s="183"/>
      <c r="S90" s="183"/>
      <c r="T90" s="24">
        <v>0</v>
      </c>
      <c r="U90" s="477"/>
      <c r="V90" s="478">
        <f t="shared" si="1"/>
        <v>0</v>
      </c>
      <c r="X90" s="682"/>
      <c r="Y90" s="475"/>
    </row>
    <row r="91" spans="1:25" ht="12.75" hidden="1">
      <c r="A91" s="738"/>
      <c r="B91" s="772"/>
      <c r="C91" s="52" t="s">
        <v>158</v>
      </c>
      <c r="D91" s="52"/>
      <c r="E91" s="52"/>
      <c r="F91" s="52"/>
      <c r="G91" s="52"/>
      <c r="H91" s="52"/>
      <c r="I91" s="52"/>
      <c r="J91" s="52"/>
      <c r="K91" s="24">
        <v>11061</v>
      </c>
      <c r="L91" s="24"/>
      <c r="M91" s="183">
        <v>105208.79999999999</v>
      </c>
      <c r="N91" s="24"/>
      <c r="O91" s="24"/>
      <c r="P91" s="183"/>
      <c r="Q91" s="183"/>
      <c r="R91" s="183"/>
      <c r="S91" s="183"/>
      <c r="T91" s="24">
        <v>0</v>
      </c>
      <c r="U91" s="477"/>
      <c r="V91" s="478">
        <f t="shared" si="1"/>
        <v>0</v>
      </c>
      <c r="X91" s="682"/>
      <c r="Y91" s="475"/>
    </row>
    <row r="92" spans="1:25" ht="12.75" hidden="1">
      <c r="A92" s="738"/>
      <c r="B92" s="772"/>
      <c r="C92" s="38" t="s">
        <v>321</v>
      </c>
      <c r="D92" s="52"/>
      <c r="E92" s="52"/>
      <c r="F92" s="52"/>
      <c r="G92" s="52"/>
      <c r="H92" s="52"/>
      <c r="I92" s="52"/>
      <c r="J92" s="52"/>
      <c r="K92" s="24"/>
      <c r="L92" s="24">
        <v>35000</v>
      </c>
      <c r="M92" s="183"/>
      <c r="N92" s="24"/>
      <c r="O92" s="24"/>
      <c r="P92" s="183"/>
      <c r="Q92" s="183"/>
      <c r="R92" s="183"/>
      <c r="S92" s="183"/>
      <c r="T92" s="24">
        <v>0</v>
      </c>
      <c r="U92" s="477"/>
      <c r="V92" s="478">
        <f t="shared" si="1"/>
        <v>0</v>
      </c>
      <c r="X92" s="682"/>
      <c r="Y92" s="475"/>
    </row>
    <row r="93" spans="1:25" ht="12.75">
      <c r="A93" s="738"/>
      <c r="B93" s="772"/>
      <c r="C93" s="52" t="s">
        <v>373</v>
      </c>
      <c r="D93" s="52"/>
      <c r="E93" s="52"/>
      <c r="F93" s="52"/>
      <c r="G93" s="52"/>
      <c r="H93" s="52"/>
      <c r="I93" s="52"/>
      <c r="J93" s="52"/>
      <c r="K93" s="24"/>
      <c r="L93" s="24">
        <v>149100</v>
      </c>
      <c r="M93" s="183"/>
      <c r="N93" s="24"/>
      <c r="O93" s="24">
        <v>15864.95</v>
      </c>
      <c r="P93" s="183"/>
      <c r="Q93" s="183"/>
      <c r="R93" s="183"/>
      <c r="S93" s="183"/>
      <c r="T93" s="24">
        <v>25644</v>
      </c>
      <c r="U93" s="477">
        <v>25643.55</v>
      </c>
      <c r="V93" s="478">
        <f t="shared" si="1"/>
        <v>99.99824520355638</v>
      </c>
      <c r="X93" s="682"/>
      <c r="Y93" s="475"/>
    </row>
    <row r="94" spans="1:25" ht="12.75">
      <c r="A94" s="738"/>
      <c r="B94" s="772"/>
      <c r="C94" s="38" t="s">
        <v>374</v>
      </c>
      <c r="D94" s="38"/>
      <c r="E94" s="38"/>
      <c r="F94" s="38"/>
      <c r="G94" s="38"/>
      <c r="H94" s="38"/>
      <c r="I94" s="38">
        <v>119232</v>
      </c>
      <c r="J94" s="38">
        <v>60031</v>
      </c>
      <c r="K94" s="24"/>
      <c r="L94" s="24"/>
      <c r="M94" s="183">
        <v>108000</v>
      </c>
      <c r="N94" s="24"/>
      <c r="O94" s="24">
        <v>66101.8</v>
      </c>
      <c r="P94" s="183"/>
      <c r="Q94" s="183"/>
      <c r="R94" s="183"/>
      <c r="S94" s="183"/>
      <c r="T94" s="24">
        <v>68700</v>
      </c>
      <c r="U94" s="477">
        <v>68700</v>
      </c>
      <c r="V94" s="478">
        <f t="shared" si="1"/>
        <v>100</v>
      </c>
      <c r="X94" s="682"/>
      <c r="Y94" s="475"/>
    </row>
    <row r="95" spans="1:25" ht="12.75" hidden="1">
      <c r="A95" s="738"/>
      <c r="B95" s="772"/>
      <c r="C95" s="38" t="s">
        <v>160</v>
      </c>
      <c r="D95" s="38"/>
      <c r="E95" s="38"/>
      <c r="F95" s="38"/>
      <c r="G95" s="38"/>
      <c r="H95" s="38"/>
      <c r="I95" s="38"/>
      <c r="J95" s="38">
        <v>40000</v>
      </c>
      <c r="K95" s="24"/>
      <c r="L95" s="24"/>
      <c r="M95" s="24">
        <v>298131.35</v>
      </c>
      <c r="N95" s="24"/>
      <c r="O95" s="24"/>
      <c r="P95" s="183"/>
      <c r="Q95" s="183"/>
      <c r="R95" s="183"/>
      <c r="S95" s="183"/>
      <c r="T95" s="24">
        <v>0</v>
      </c>
      <c r="U95" s="477"/>
      <c r="V95" s="478">
        <f t="shared" si="1"/>
        <v>0</v>
      </c>
      <c r="X95" s="682"/>
      <c r="Y95" s="475"/>
    </row>
    <row r="96" spans="1:25" ht="12.75">
      <c r="A96" s="738"/>
      <c r="B96" s="772"/>
      <c r="C96" s="38" t="s">
        <v>161</v>
      </c>
      <c r="D96" s="38"/>
      <c r="E96" s="38"/>
      <c r="F96" s="38"/>
      <c r="G96" s="38"/>
      <c r="H96" s="38"/>
      <c r="I96" s="38"/>
      <c r="J96" s="38">
        <v>85385</v>
      </c>
      <c r="K96" s="24">
        <v>389162</v>
      </c>
      <c r="L96" s="24"/>
      <c r="M96" s="39"/>
      <c r="N96" s="24">
        <v>274838.9</v>
      </c>
      <c r="O96" s="183">
        <v>190966.83</v>
      </c>
      <c r="P96" s="183">
        <v>164272.02000000002</v>
      </c>
      <c r="Q96" s="183">
        <v>126275.40000000001</v>
      </c>
      <c r="R96" s="183">
        <v>113934.41</v>
      </c>
      <c r="S96" s="183">
        <v>126365.63</v>
      </c>
      <c r="T96" s="24">
        <v>119083</v>
      </c>
      <c r="U96" s="477">
        <f>25767.88+3980.8+89334.19</f>
        <v>119082.87</v>
      </c>
      <c r="V96" s="478">
        <f t="shared" si="1"/>
        <v>99.99989083244459</v>
      </c>
      <c r="X96" s="682"/>
      <c r="Y96" s="475"/>
    </row>
    <row r="97" spans="1:25" ht="12.75">
      <c r="A97" s="738"/>
      <c r="B97" s="772"/>
      <c r="C97" s="38" t="s">
        <v>420</v>
      </c>
      <c r="D97" s="38"/>
      <c r="E97" s="38"/>
      <c r="F97" s="38"/>
      <c r="G97" s="38"/>
      <c r="H97" s="38"/>
      <c r="I97" s="38"/>
      <c r="J97" s="38"/>
      <c r="K97" s="24"/>
      <c r="L97" s="24"/>
      <c r="M97" s="24"/>
      <c r="N97" s="24"/>
      <c r="O97" s="183"/>
      <c r="P97" s="183"/>
      <c r="Q97" s="183"/>
      <c r="R97" s="183"/>
      <c r="S97" s="183"/>
      <c r="T97" s="24">
        <v>61927</v>
      </c>
      <c r="U97" s="477">
        <v>61926.8</v>
      </c>
      <c r="V97" s="478">
        <f t="shared" si="1"/>
        <v>99.99967703909442</v>
      </c>
      <c r="X97" s="682"/>
      <c r="Y97" s="475"/>
    </row>
    <row r="98" spans="1:25" ht="12.75">
      <c r="A98" s="738"/>
      <c r="B98" s="772"/>
      <c r="C98" s="38" t="s">
        <v>415</v>
      </c>
      <c r="D98" s="38"/>
      <c r="E98" s="38"/>
      <c r="F98" s="38"/>
      <c r="G98" s="38"/>
      <c r="H98" s="38"/>
      <c r="I98" s="38"/>
      <c r="J98" s="38"/>
      <c r="K98" s="24">
        <v>6226</v>
      </c>
      <c r="L98" s="24"/>
      <c r="M98" s="24"/>
      <c r="N98" s="24"/>
      <c r="O98" s="24"/>
      <c r="P98" s="183">
        <v>2738.17</v>
      </c>
      <c r="Q98" s="183"/>
      <c r="R98" s="183"/>
      <c r="S98" s="183"/>
      <c r="T98" s="24">
        <v>34000</v>
      </c>
      <c r="U98" s="477">
        <v>34000</v>
      </c>
      <c r="V98" s="478">
        <f t="shared" si="1"/>
        <v>100</v>
      </c>
      <c r="X98" s="682"/>
      <c r="Y98" s="475"/>
    </row>
    <row r="99" spans="1:25" ht="12.75">
      <c r="A99" s="738"/>
      <c r="B99" s="772"/>
      <c r="C99" s="38" t="s">
        <v>416</v>
      </c>
      <c r="D99" s="38"/>
      <c r="E99" s="38"/>
      <c r="F99" s="38"/>
      <c r="G99" s="38"/>
      <c r="H99" s="38"/>
      <c r="I99" s="38">
        <v>3534</v>
      </c>
      <c r="J99" s="38">
        <v>4595</v>
      </c>
      <c r="K99" s="24">
        <v>1120</v>
      </c>
      <c r="L99" s="24"/>
      <c r="M99" s="24"/>
      <c r="N99" s="24"/>
      <c r="O99" s="24"/>
      <c r="P99" s="183"/>
      <c r="Q99" s="183"/>
      <c r="R99" s="183"/>
      <c r="S99" s="183"/>
      <c r="T99" s="24">
        <v>4000</v>
      </c>
      <c r="U99" s="477">
        <v>4000</v>
      </c>
      <c r="V99" s="478">
        <f t="shared" si="1"/>
        <v>100</v>
      </c>
      <c r="X99" s="682"/>
      <c r="Y99" s="475"/>
    </row>
    <row r="100" spans="1:25" ht="12.75">
      <c r="A100" s="738"/>
      <c r="B100" s="772"/>
      <c r="C100" s="38" t="s">
        <v>353</v>
      </c>
      <c r="D100" s="38"/>
      <c r="E100" s="38"/>
      <c r="F100" s="38"/>
      <c r="G100" s="38"/>
      <c r="H100" s="38"/>
      <c r="I100" s="38"/>
      <c r="J100" s="38"/>
      <c r="K100" s="24">
        <v>73802</v>
      </c>
      <c r="L100" s="24"/>
      <c r="M100" s="24"/>
      <c r="N100" s="24"/>
      <c r="O100" s="24"/>
      <c r="P100" s="183"/>
      <c r="Q100" s="183"/>
      <c r="R100" s="183"/>
      <c r="S100" s="183"/>
      <c r="T100" s="24">
        <v>8000</v>
      </c>
      <c r="U100" s="477">
        <v>8000</v>
      </c>
      <c r="V100" s="478">
        <f t="shared" si="1"/>
        <v>100</v>
      </c>
      <c r="X100" s="682"/>
      <c r="Y100" s="475"/>
    </row>
    <row r="101" spans="1:25" ht="12.75">
      <c r="A101" s="738"/>
      <c r="B101" s="772"/>
      <c r="C101" s="38" t="s">
        <v>448</v>
      </c>
      <c r="D101" s="38"/>
      <c r="E101" s="38"/>
      <c r="F101" s="38"/>
      <c r="G101" s="38"/>
      <c r="H101" s="38"/>
      <c r="I101" s="38"/>
      <c r="J101" s="38">
        <v>18000</v>
      </c>
      <c r="K101" s="24"/>
      <c r="L101" s="24"/>
      <c r="M101" s="24"/>
      <c r="N101" s="24"/>
      <c r="O101" s="24"/>
      <c r="P101" s="183"/>
      <c r="Q101" s="183"/>
      <c r="R101" s="183"/>
      <c r="S101" s="183"/>
      <c r="T101" s="24">
        <v>28743</v>
      </c>
      <c r="U101" s="477">
        <v>28743.28</v>
      </c>
      <c r="V101" s="533">
        <f t="shared" si="1"/>
        <v>100.00097415022789</v>
      </c>
      <c r="X101" s="682"/>
      <c r="Y101" s="475"/>
    </row>
    <row r="102" spans="1:25" ht="12.75">
      <c r="A102" s="738"/>
      <c r="B102" s="772"/>
      <c r="C102" s="38" t="s">
        <v>449</v>
      </c>
      <c r="D102" s="38"/>
      <c r="E102" s="38"/>
      <c r="F102" s="38"/>
      <c r="G102" s="38"/>
      <c r="H102" s="38"/>
      <c r="I102" s="38"/>
      <c r="J102" s="38"/>
      <c r="K102" s="24"/>
      <c r="L102" s="24"/>
      <c r="M102" s="85"/>
      <c r="N102" s="86"/>
      <c r="O102" s="86"/>
      <c r="P102" s="569"/>
      <c r="Q102" s="569"/>
      <c r="R102" s="569"/>
      <c r="S102" s="569"/>
      <c r="T102" s="86">
        <v>134583</v>
      </c>
      <c r="U102" s="477">
        <v>134581.82</v>
      </c>
      <c r="V102" s="478">
        <f t="shared" si="1"/>
        <v>99.99912321764265</v>
      </c>
      <c r="X102" s="682"/>
      <c r="Y102" s="475"/>
    </row>
    <row r="103" spans="1:25" ht="12.75">
      <c r="A103" s="738"/>
      <c r="B103" s="772"/>
      <c r="C103" s="38" t="s">
        <v>450</v>
      </c>
      <c r="D103" s="38"/>
      <c r="E103" s="38"/>
      <c r="F103" s="38"/>
      <c r="G103" s="38"/>
      <c r="H103" s="38"/>
      <c r="I103" s="38"/>
      <c r="J103" s="38"/>
      <c r="K103" s="24"/>
      <c r="L103" s="24"/>
      <c r="M103" s="86"/>
      <c r="N103" s="86"/>
      <c r="O103" s="86"/>
      <c r="P103" s="569"/>
      <c r="Q103" s="569"/>
      <c r="R103" s="569"/>
      <c r="S103" s="569"/>
      <c r="T103" s="86">
        <v>147166</v>
      </c>
      <c r="U103" s="477">
        <v>147166</v>
      </c>
      <c r="V103" s="478">
        <f t="shared" si="1"/>
        <v>100</v>
      </c>
      <c r="X103" s="682"/>
      <c r="Y103" s="475"/>
    </row>
    <row r="104" spans="1:25" ht="12.75">
      <c r="A104" s="738"/>
      <c r="B104" s="772"/>
      <c r="C104" s="38" t="s">
        <v>451</v>
      </c>
      <c r="D104" s="38"/>
      <c r="E104" s="38"/>
      <c r="F104" s="38"/>
      <c r="G104" s="38"/>
      <c r="H104" s="38"/>
      <c r="I104" s="38"/>
      <c r="J104" s="38"/>
      <c r="K104" s="24"/>
      <c r="L104" s="24"/>
      <c r="M104" s="24"/>
      <c r="N104" s="24"/>
      <c r="O104" s="24"/>
      <c r="P104" s="183"/>
      <c r="Q104" s="183"/>
      <c r="R104" s="183"/>
      <c r="S104" s="183"/>
      <c r="T104" s="24">
        <v>22731</v>
      </c>
      <c r="U104" s="477">
        <f>20890.55+1840</f>
        <v>22730.55</v>
      </c>
      <c r="V104" s="478">
        <f t="shared" si="1"/>
        <v>99.99802032466675</v>
      </c>
      <c r="X104" s="682"/>
      <c r="Y104" s="475"/>
    </row>
    <row r="105" spans="1:25" ht="12.75">
      <c r="A105" s="738"/>
      <c r="B105" s="772"/>
      <c r="C105" s="38" t="s">
        <v>453</v>
      </c>
      <c r="D105" s="38"/>
      <c r="E105" s="38"/>
      <c r="F105" s="38"/>
      <c r="G105" s="38"/>
      <c r="H105" s="38"/>
      <c r="I105" s="38"/>
      <c r="J105" s="38"/>
      <c r="K105" s="24"/>
      <c r="L105" s="24"/>
      <c r="M105" s="24"/>
      <c r="N105" s="24"/>
      <c r="O105" s="24"/>
      <c r="P105" s="183"/>
      <c r="Q105" s="183"/>
      <c r="R105" s="183"/>
      <c r="S105" s="183"/>
      <c r="T105" s="24">
        <v>73975</v>
      </c>
      <c r="U105" s="477">
        <f>1619.4+72355.09</f>
        <v>73974.48999999999</v>
      </c>
      <c r="V105" s="478">
        <f t="shared" si="1"/>
        <v>99.99931057789793</v>
      </c>
      <c r="X105" s="683"/>
      <c r="Y105" s="475"/>
    </row>
    <row r="106" spans="1:25" ht="12.75">
      <c r="A106" s="738"/>
      <c r="B106" s="772"/>
      <c r="C106" s="38" t="s">
        <v>454</v>
      </c>
      <c r="D106" s="38"/>
      <c r="E106" s="38"/>
      <c r="F106" s="38"/>
      <c r="G106" s="38"/>
      <c r="H106" s="38"/>
      <c r="I106" s="38"/>
      <c r="J106" s="38"/>
      <c r="K106" s="24"/>
      <c r="L106" s="24"/>
      <c r="M106" s="24"/>
      <c r="N106" s="24"/>
      <c r="O106" s="24"/>
      <c r="P106" s="183"/>
      <c r="Q106" s="183"/>
      <c r="R106" s="183"/>
      <c r="S106" s="183"/>
      <c r="T106" s="24">
        <v>1296</v>
      </c>
      <c r="U106" s="477">
        <v>1295.72</v>
      </c>
      <c r="V106" s="478">
        <f t="shared" si="1"/>
        <v>99.97839506172839</v>
      </c>
      <c r="X106" s="683"/>
      <c r="Y106" s="475"/>
    </row>
    <row r="107" spans="1:25" ht="12.75">
      <c r="A107" s="738"/>
      <c r="B107" s="772"/>
      <c r="C107" s="38" t="s">
        <v>452</v>
      </c>
      <c r="D107" s="38"/>
      <c r="E107" s="38"/>
      <c r="F107" s="38"/>
      <c r="G107" s="38"/>
      <c r="H107" s="38"/>
      <c r="I107" s="38">
        <v>165906</v>
      </c>
      <c r="J107" s="38"/>
      <c r="K107" s="24">
        <v>0</v>
      </c>
      <c r="L107" s="24"/>
      <c r="M107" s="24"/>
      <c r="N107" s="24"/>
      <c r="O107" s="24"/>
      <c r="P107" s="183">
        <v>238911.06000000006</v>
      </c>
      <c r="Q107" s="183"/>
      <c r="R107" s="183"/>
      <c r="S107" s="183"/>
      <c r="T107" s="24">
        <v>7420</v>
      </c>
      <c r="U107" s="477">
        <v>7420.27</v>
      </c>
      <c r="V107" s="478">
        <f t="shared" si="1"/>
        <v>100.00363881401617</v>
      </c>
      <c r="X107" s="683"/>
      <c r="Y107" s="475"/>
    </row>
    <row r="108" spans="1:25" ht="12.75">
      <c r="A108" s="738"/>
      <c r="B108" s="772"/>
      <c r="C108" s="19" t="s">
        <v>332</v>
      </c>
      <c r="D108" s="42"/>
      <c r="E108" s="42"/>
      <c r="F108" s="42"/>
      <c r="G108" s="42"/>
      <c r="H108" s="42"/>
      <c r="I108" s="42"/>
      <c r="J108" s="42"/>
      <c r="K108" s="24"/>
      <c r="L108" s="24"/>
      <c r="M108" s="24"/>
      <c r="N108" s="24"/>
      <c r="O108" s="24">
        <v>146016</v>
      </c>
      <c r="P108" s="183">
        <v>73008</v>
      </c>
      <c r="Q108" s="183">
        <v>41077.41</v>
      </c>
      <c r="R108" s="183">
        <v>292748.58</v>
      </c>
      <c r="S108" s="183">
        <v>202615.28</v>
      </c>
      <c r="T108" s="24">
        <v>113803</v>
      </c>
      <c r="U108" s="479">
        <v>113803.47</v>
      </c>
      <c r="V108" s="478">
        <f t="shared" si="1"/>
        <v>100.00041299438503</v>
      </c>
      <c r="X108" s="682"/>
      <c r="Y108" s="475"/>
    </row>
    <row r="109" spans="1:25" ht="13.5" thickBot="1">
      <c r="A109" s="738"/>
      <c r="B109" s="772"/>
      <c r="C109" s="41" t="s">
        <v>164</v>
      </c>
      <c r="D109" s="42"/>
      <c r="E109" s="42"/>
      <c r="F109" s="42"/>
      <c r="G109" s="42"/>
      <c r="H109" s="42"/>
      <c r="I109" s="42">
        <v>117128</v>
      </c>
      <c r="J109" s="42">
        <v>59866</v>
      </c>
      <c r="K109" s="24">
        <v>366191</v>
      </c>
      <c r="L109" s="24"/>
      <c r="M109" s="499">
        <v>13085.550000000001</v>
      </c>
      <c r="N109" s="24">
        <v>275941</v>
      </c>
      <c r="O109" s="183">
        <v>82537.34</v>
      </c>
      <c r="P109" s="183"/>
      <c r="Q109" s="183">
        <v>227002.0700000003</v>
      </c>
      <c r="R109" s="183">
        <v>836994.6999999997</v>
      </c>
      <c r="S109" s="183">
        <v>875049.23</v>
      </c>
      <c r="T109" s="24">
        <v>21652</v>
      </c>
      <c r="U109" s="481">
        <v>21651.95</v>
      </c>
      <c r="V109" s="616">
        <f t="shared" si="1"/>
        <v>99.9997690744504</v>
      </c>
      <c r="X109" s="682"/>
      <c r="Y109" s="475"/>
    </row>
    <row r="110" spans="1:25" ht="15.75" thickBot="1">
      <c r="A110" s="28">
        <v>330</v>
      </c>
      <c r="B110" s="747" t="s">
        <v>165</v>
      </c>
      <c r="C110" s="765"/>
      <c r="D110" s="60">
        <v>0</v>
      </c>
      <c r="E110" s="60">
        <v>0</v>
      </c>
      <c r="F110" s="60">
        <v>0</v>
      </c>
      <c r="G110" s="60">
        <v>0</v>
      </c>
      <c r="H110" s="60">
        <v>21047</v>
      </c>
      <c r="I110" s="60">
        <v>28355</v>
      </c>
      <c r="J110" s="60">
        <v>39058</v>
      </c>
      <c r="K110" s="60">
        <v>9516</v>
      </c>
      <c r="L110" s="60">
        <v>0</v>
      </c>
      <c r="M110" s="60"/>
      <c r="N110" s="94"/>
      <c r="O110" s="94"/>
      <c r="P110" s="503"/>
      <c r="Q110" s="503"/>
      <c r="R110" s="503"/>
      <c r="S110" s="503"/>
      <c r="T110" s="94">
        <v>0</v>
      </c>
      <c r="U110" s="482"/>
      <c r="V110" s="476">
        <f t="shared" si="1"/>
        <v>0</v>
      </c>
      <c r="X110" s="682"/>
      <c r="Y110" s="475"/>
    </row>
    <row r="111" spans="1:25" ht="13.5" thickBot="1">
      <c r="A111" s="737"/>
      <c r="B111" s="55">
        <v>331</v>
      </c>
      <c r="C111" s="56" t="s">
        <v>166</v>
      </c>
      <c r="D111" s="56"/>
      <c r="E111" s="56">
        <v>0</v>
      </c>
      <c r="F111" s="56">
        <v>0</v>
      </c>
      <c r="G111" s="56">
        <v>0</v>
      </c>
      <c r="H111" s="56">
        <v>21047</v>
      </c>
      <c r="I111" s="58">
        <v>28355</v>
      </c>
      <c r="J111" s="58">
        <v>39058</v>
      </c>
      <c r="K111" s="58">
        <v>9516</v>
      </c>
      <c r="L111" s="87"/>
      <c r="M111" s="87"/>
      <c r="N111" s="87"/>
      <c r="O111" s="87"/>
      <c r="P111" s="124"/>
      <c r="Q111" s="124"/>
      <c r="R111" s="124"/>
      <c r="S111" s="124"/>
      <c r="T111" s="87"/>
      <c r="U111" s="482"/>
      <c r="V111" s="476">
        <f t="shared" si="1"/>
        <v>0</v>
      </c>
      <c r="X111" s="683"/>
      <c r="Y111" s="536"/>
    </row>
    <row r="112" spans="1:22" ht="13.5" thickBot="1">
      <c r="A112" s="738"/>
      <c r="B112" s="35"/>
      <c r="C112" s="88" t="s">
        <v>162</v>
      </c>
      <c r="D112" s="88"/>
      <c r="E112" s="88"/>
      <c r="F112" s="88"/>
      <c r="G112" s="88"/>
      <c r="H112" s="88">
        <v>21047</v>
      </c>
      <c r="I112" s="88">
        <v>28355</v>
      </c>
      <c r="J112" s="88">
        <v>39058</v>
      </c>
      <c r="K112" s="89">
        <v>9516</v>
      </c>
      <c r="L112" s="62"/>
      <c r="M112" s="62"/>
      <c r="N112" s="62"/>
      <c r="O112" s="62"/>
      <c r="P112" s="103"/>
      <c r="Q112" s="103"/>
      <c r="R112" s="103"/>
      <c r="S112" s="103"/>
      <c r="T112" s="62"/>
      <c r="U112" s="483"/>
      <c r="V112" s="484">
        <f t="shared" si="1"/>
        <v>0</v>
      </c>
    </row>
    <row r="113" spans="1:22" ht="17.25" thickBot="1" thickTop="1">
      <c r="A113" s="768" t="s">
        <v>167</v>
      </c>
      <c r="B113" s="769"/>
      <c r="C113" s="770"/>
      <c r="D113" s="90">
        <v>7125871</v>
      </c>
      <c r="E113" s="90">
        <v>7561840</v>
      </c>
      <c r="F113" s="90">
        <v>9082354</v>
      </c>
      <c r="G113" s="90">
        <v>9080838</v>
      </c>
      <c r="H113" s="90">
        <v>8537685</v>
      </c>
      <c r="I113" s="90">
        <v>9096722</v>
      </c>
      <c r="J113" s="90">
        <v>9201831</v>
      </c>
      <c r="K113" s="90">
        <v>9722622</v>
      </c>
      <c r="L113" s="90">
        <v>9640328.239999998</v>
      </c>
      <c r="M113" s="334">
        <v>10178626.01</v>
      </c>
      <c r="N113" s="90">
        <v>10784511.560000002</v>
      </c>
      <c r="O113" s="334">
        <v>10947354.260000002</v>
      </c>
      <c r="P113" s="334">
        <v>11835790.83</v>
      </c>
      <c r="Q113" s="334">
        <v>12870365.969999999</v>
      </c>
      <c r="R113" s="334">
        <v>13601965.26</v>
      </c>
      <c r="S113" s="334">
        <v>14215260.54</v>
      </c>
      <c r="T113" s="434">
        <f>T69+T26+T5</f>
        <v>15146655</v>
      </c>
      <c r="U113" s="678">
        <f>U69+U26+U5</f>
        <v>15098744.329999998</v>
      </c>
      <c r="V113" s="628">
        <f t="shared" si="1"/>
        <v>99.68368811463651</v>
      </c>
    </row>
    <row r="114" ht="13.5" thickTop="1"/>
    <row r="115" spans="17:22" ht="12.75">
      <c r="Q115" s="599"/>
      <c r="T115" s="475"/>
      <c r="U115" s="475"/>
      <c r="V115" s="475"/>
    </row>
    <row r="116" spans="15:22" ht="12.75">
      <c r="O116" s="475"/>
      <c r="P116" s="475"/>
      <c r="Q116" s="475"/>
      <c r="R116" s="475"/>
      <c r="S116" s="475"/>
      <c r="T116" s="475"/>
      <c r="U116" s="475"/>
      <c r="V116" s="475"/>
    </row>
    <row r="117" spans="20:22" ht="12.75">
      <c r="T117" s="475"/>
      <c r="U117" s="475"/>
      <c r="V117" s="475"/>
    </row>
    <row r="118" spans="20:21" ht="12.75">
      <c r="T118" s="599"/>
      <c r="U118" s="475"/>
    </row>
    <row r="119" spans="21:22" ht="12.75">
      <c r="U119" s="475"/>
      <c r="V119" s="475"/>
    </row>
    <row r="120" spans="20:22" ht="12.75">
      <c r="T120" s="599"/>
      <c r="U120" s="599"/>
      <c r="V120" s="599"/>
    </row>
  </sheetData>
  <sheetProtection/>
  <mergeCells count="54">
    <mergeCell ref="S3:S4"/>
    <mergeCell ref="B3:B4"/>
    <mergeCell ref="C3:C4"/>
    <mergeCell ref="F3:F4"/>
    <mergeCell ref="Q3:Q4"/>
    <mergeCell ref="A113:C113"/>
    <mergeCell ref="B70:C70"/>
    <mergeCell ref="A71:A109"/>
    <mergeCell ref="B74:B109"/>
    <mergeCell ref="B110:C110"/>
    <mergeCell ref="B12:C12"/>
    <mergeCell ref="A28:A39"/>
    <mergeCell ref="B29:B31"/>
    <mergeCell ref="A13:A16"/>
    <mergeCell ref="A3:A4"/>
    <mergeCell ref="B33:B39"/>
    <mergeCell ref="A18:A25"/>
    <mergeCell ref="B26:C26"/>
    <mergeCell ref="B5:C5"/>
    <mergeCell ref="B6:C6"/>
    <mergeCell ref="B14:B16"/>
    <mergeCell ref="B19:B25"/>
    <mergeCell ref="B46:B57"/>
    <mergeCell ref="A41:A59"/>
    <mergeCell ref="B42:B44"/>
    <mergeCell ref="B17:C17"/>
    <mergeCell ref="B40:C40"/>
    <mergeCell ref="A111:A112"/>
    <mergeCell ref="B60:C60"/>
    <mergeCell ref="B62:C62"/>
    <mergeCell ref="A63:A68"/>
    <mergeCell ref="B64:B68"/>
    <mergeCell ref="B27:C27"/>
    <mergeCell ref="B69:C69"/>
    <mergeCell ref="A7:A11"/>
    <mergeCell ref="B7:B11"/>
    <mergeCell ref="M3:M4"/>
    <mergeCell ref="P3:P4"/>
    <mergeCell ref="O3:O4"/>
    <mergeCell ref="V3:V4"/>
    <mergeCell ref="T3:T4"/>
    <mergeCell ref="N3:N4"/>
    <mergeCell ref="I3:I4"/>
    <mergeCell ref="J3:J4"/>
    <mergeCell ref="U3:U4"/>
    <mergeCell ref="K3:K4"/>
    <mergeCell ref="G3:G4"/>
    <mergeCell ref="A1:C1"/>
    <mergeCell ref="A2:C2"/>
    <mergeCell ref="R3:R4"/>
    <mergeCell ref="E3:E4"/>
    <mergeCell ref="D3:D4"/>
    <mergeCell ref="L3:L4"/>
    <mergeCell ref="H3:H4"/>
  </mergeCells>
  <printOptions/>
  <pageMargins left="0" right="0" top="0.1968503937007874" bottom="0.1968503937007874" header="0.5118110236220472" footer="0.5118110236220472"/>
  <pageSetup orientation="portrait" paperSize="9" scale="86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246"/>
  <sheetViews>
    <sheetView zoomScale="85" zoomScaleNormal="85" zoomScalePageLayoutView="0" workbookViewId="0" topLeftCell="A1">
      <pane xSplit="11" ySplit="3" topLeftCell="O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2" sqref="A2:A3"/>
    </sheetView>
  </sheetViews>
  <sheetFormatPr defaultColWidth="9.140625" defaultRowHeight="12.75"/>
  <cols>
    <col min="1" max="1" width="11.57421875" style="0" customWidth="1"/>
    <col min="3" max="3" width="31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8" width="16.7109375" style="0" customWidth="1"/>
    <col min="19" max="19" width="16.421875" style="0" customWidth="1"/>
    <col min="20" max="20" width="14.140625" style="0" customWidth="1"/>
    <col min="21" max="21" width="17.00390625" style="0" customWidth="1"/>
    <col min="22" max="22" width="13.28125" style="1" customWidth="1"/>
    <col min="24" max="24" width="9.140625" style="0" hidden="1" customWidth="1"/>
    <col min="25" max="25" width="12.8515625" style="0" hidden="1" customWidth="1"/>
    <col min="26" max="30" width="9.140625" style="0" hidden="1" customWidth="1"/>
    <col min="31" max="31" width="0" style="0" hidden="1" customWidth="1"/>
    <col min="32" max="32" width="13.00390625" style="0" customWidth="1"/>
    <col min="33" max="33" width="11.140625" style="0" customWidth="1"/>
    <col min="40" max="40" width="10.28125" style="0" bestFit="1" customWidth="1"/>
  </cols>
  <sheetData>
    <row r="1" spans="1:3" ht="15.75" thickBot="1">
      <c r="A1" s="773" t="s">
        <v>389</v>
      </c>
      <c r="B1" s="773"/>
      <c r="C1" s="773"/>
    </row>
    <row r="2" spans="1:22" ht="14.25" customHeight="1" thickTop="1">
      <c r="A2" s="822" t="s">
        <v>41</v>
      </c>
      <c r="B2" s="789" t="s">
        <v>76</v>
      </c>
      <c r="C2" s="824" t="s">
        <v>42</v>
      </c>
      <c r="D2" s="723" t="s">
        <v>168</v>
      </c>
      <c r="E2" s="723" t="s">
        <v>169</v>
      </c>
      <c r="F2" s="723" t="s">
        <v>170</v>
      </c>
      <c r="G2" s="723" t="s">
        <v>171</v>
      </c>
      <c r="H2" s="723" t="s">
        <v>172</v>
      </c>
      <c r="I2" s="723" t="s">
        <v>83</v>
      </c>
      <c r="J2" s="723" t="s">
        <v>84</v>
      </c>
      <c r="K2" s="723" t="s">
        <v>85</v>
      </c>
      <c r="L2" s="723" t="s">
        <v>86</v>
      </c>
      <c r="M2" s="723" t="s">
        <v>307</v>
      </c>
      <c r="N2" s="723" t="s">
        <v>322</v>
      </c>
      <c r="O2" s="723" t="s">
        <v>339</v>
      </c>
      <c r="P2" s="723" t="s">
        <v>344</v>
      </c>
      <c r="Q2" s="723" t="s">
        <v>358</v>
      </c>
      <c r="R2" s="723" t="s">
        <v>372</v>
      </c>
      <c r="S2" s="723" t="s">
        <v>430</v>
      </c>
      <c r="T2" s="735" t="s">
        <v>394</v>
      </c>
      <c r="U2" s="721" t="s">
        <v>459</v>
      </c>
      <c r="V2" s="733" t="s">
        <v>460</v>
      </c>
    </row>
    <row r="3" spans="1:22" ht="33.75" customHeight="1" thickBot="1">
      <c r="A3" s="823"/>
      <c r="B3" s="790"/>
      <c r="C3" s="825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36"/>
      <c r="U3" s="722"/>
      <c r="V3" s="734"/>
    </row>
    <row r="4" spans="1:24" ht="33" customHeight="1" thickBot="1" thickTop="1">
      <c r="A4" s="177" t="s">
        <v>231</v>
      </c>
      <c r="B4" s="818" t="s">
        <v>232</v>
      </c>
      <c r="C4" s="819"/>
      <c r="D4" s="178">
        <v>778928</v>
      </c>
      <c r="E4" s="178">
        <v>871108</v>
      </c>
      <c r="F4" s="178">
        <v>1155712</v>
      </c>
      <c r="G4" s="178">
        <v>1166481</v>
      </c>
      <c r="H4" s="178">
        <v>1147628</v>
      </c>
      <c r="I4" s="178">
        <v>985015</v>
      </c>
      <c r="J4" s="178">
        <v>971730</v>
      </c>
      <c r="K4" s="178">
        <v>883614</v>
      </c>
      <c r="L4" s="179">
        <v>976223.29</v>
      </c>
      <c r="M4" s="179">
        <v>957107.49</v>
      </c>
      <c r="N4" s="435">
        <v>918554.6199999999</v>
      </c>
      <c r="O4" s="575">
        <v>1019134.8</v>
      </c>
      <c r="P4" s="575">
        <v>1045488.5499999999</v>
      </c>
      <c r="Q4" s="575">
        <v>1307060.76</v>
      </c>
      <c r="R4" s="575">
        <v>1380342.6999999997</v>
      </c>
      <c r="S4" s="575">
        <v>1452935.59</v>
      </c>
      <c r="T4" s="435">
        <f>SUM(T5:T8)</f>
        <v>1677950</v>
      </c>
      <c r="U4" s="684">
        <f>SUM(U5:U8)</f>
        <v>1584166.7</v>
      </c>
      <c r="V4" s="630">
        <f aca="true" t="shared" si="0" ref="V4:V67">IF(T4=0,0,U4/T4*100)</f>
        <v>94.41084060907656</v>
      </c>
      <c r="X4" s="2"/>
    </row>
    <row r="5" spans="1:24" ht="12.75">
      <c r="A5" s="727"/>
      <c r="B5" s="180">
        <v>610</v>
      </c>
      <c r="C5" s="36" t="s">
        <v>233</v>
      </c>
      <c r="D5" s="37">
        <v>363938</v>
      </c>
      <c r="E5" s="37">
        <v>383290</v>
      </c>
      <c r="F5" s="37">
        <v>452765</v>
      </c>
      <c r="G5" s="37">
        <v>532728</v>
      </c>
      <c r="H5" s="37">
        <v>538578</v>
      </c>
      <c r="I5" s="36">
        <v>504967</v>
      </c>
      <c r="J5" s="37">
        <v>465252</v>
      </c>
      <c r="K5" s="37">
        <v>431649</v>
      </c>
      <c r="L5" s="134">
        <v>437364.06</v>
      </c>
      <c r="M5" s="134">
        <v>454979.56</v>
      </c>
      <c r="N5" s="84">
        <v>470394.73</v>
      </c>
      <c r="O5" s="181">
        <v>508902.26</v>
      </c>
      <c r="P5" s="181">
        <v>540360.73</v>
      </c>
      <c r="Q5" s="181">
        <v>702314.57</v>
      </c>
      <c r="R5" s="181">
        <v>728974.45</v>
      </c>
      <c r="S5" s="181">
        <v>812528.57</v>
      </c>
      <c r="T5" s="449">
        <v>878518</v>
      </c>
      <c r="U5" s="685">
        <v>862285.5</v>
      </c>
      <c r="V5" s="533">
        <f t="shared" si="0"/>
        <v>98.15228600893778</v>
      </c>
      <c r="X5" s="2"/>
    </row>
    <row r="6" spans="1:24" ht="12.75">
      <c r="A6" s="728"/>
      <c r="B6" s="182">
        <v>620</v>
      </c>
      <c r="C6" s="38" t="s">
        <v>234</v>
      </c>
      <c r="D6" s="39">
        <v>111465</v>
      </c>
      <c r="E6" s="39">
        <v>132411</v>
      </c>
      <c r="F6" s="39">
        <v>158202</v>
      </c>
      <c r="G6" s="39">
        <v>187864</v>
      </c>
      <c r="H6" s="39">
        <v>188430</v>
      </c>
      <c r="I6" s="38">
        <v>189093</v>
      </c>
      <c r="J6" s="39">
        <v>179953</v>
      </c>
      <c r="K6" s="39">
        <v>175243</v>
      </c>
      <c r="L6" s="101">
        <v>178000.1</v>
      </c>
      <c r="M6" s="101">
        <v>174131.76</v>
      </c>
      <c r="N6" s="24">
        <v>179809.87</v>
      </c>
      <c r="O6" s="183">
        <v>197673.12</v>
      </c>
      <c r="P6" s="183">
        <v>207010.55</v>
      </c>
      <c r="Q6" s="183">
        <v>266731.95</v>
      </c>
      <c r="R6" s="183">
        <v>275288.97</v>
      </c>
      <c r="S6" s="183">
        <v>300798.6</v>
      </c>
      <c r="T6" s="24">
        <v>329532</v>
      </c>
      <c r="U6" s="685">
        <v>320080.63</v>
      </c>
      <c r="V6" s="530">
        <f t="shared" si="0"/>
        <v>97.1318809705886</v>
      </c>
      <c r="X6" s="2"/>
    </row>
    <row r="7" spans="1:24" ht="12.75">
      <c r="A7" s="728"/>
      <c r="B7" s="182">
        <v>630</v>
      </c>
      <c r="C7" s="38" t="s">
        <v>235</v>
      </c>
      <c r="D7" s="39">
        <v>303525</v>
      </c>
      <c r="E7" s="39">
        <v>353781</v>
      </c>
      <c r="F7" s="39">
        <v>543916</v>
      </c>
      <c r="G7" s="39">
        <v>395781</v>
      </c>
      <c r="H7" s="39">
        <v>413206</v>
      </c>
      <c r="I7" s="38">
        <v>272860</v>
      </c>
      <c r="J7" s="39">
        <v>302729</v>
      </c>
      <c r="K7" s="39">
        <v>273797</v>
      </c>
      <c r="L7" s="101">
        <v>356359.19</v>
      </c>
      <c r="M7" s="101">
        <v>297179.95</v>
      </c>
      <c r="N7" s="24">
        <v>260734.03999999998</v>
      </c>
      <c r="O7" s="183">
        <v>294411.15</v>
      </c>
      <c r="P7" s="183">
        <v>296326.19</v>
      </c>
      <c r="Q7" s="183">
        <v>334787.77</v>
      </c>
      <c r="R7" s="183">
        <v>351220.11</v>
      </c>
      <c r="S7" s="183">
        <v>334108.08</v>
      </c>
      <c r="T7" s="450">
        <v>449459</v>
      </c>
      <c r="U7" s="685">
        <v>391516.3</v>
      </c>
      <c r="V7" s="530">
        <f t="shared" si="0"/>
        <v>87.10834581129758</v>
      </c>
      <c r="X7" s="2"/>
    </row>
    <row r="8" spans="1:24" ht="13.5" thickBot="1">
      <c r="A8" s="728"/>
      <c r="B8" s="182">
        <v>640</v>
      </c>
      <c r="C8" s="38" t="s">
        <v>236</v>
      </c>
      <c r="D8" s="39"/>
      <c r="E8" s="39">
        <v>564</v>
      </c>
      <c r="F8" s="39">
        <v>232</v>
      </c>
      <c r="G8" s="39">
        <v>49367</v>
      </c>
      <c r="H8" s="39">
        <v>7414</v>
      </c>
      <c r="I8" s="38">
        <v>18095</v>
      </c>
      <c r="J8" s="184">
        <v>23796</v>
      </c>
      <c r="K8" s="184">
        <v>2925</v>
      </c>
      <c r="L8" s="185">
        <v>4499.94</v>
      </c>
      <c r="M8" s="101">
        <v>30816.22</v>
      </c>
      <c r="N8" s="24">
        <v>7615.98</v>
      </c>
      <c r="O8" s="183">
        <v>18148.27</v>
      </c>
      <c r="P8" s="183">
        <v>1791.08</v>
      </c>
      <c r="Q8" s="183">
        <v>3226.47</v>
      </c>
      <c r="R8" s="183">
        <v>24859.17</v>
      </c>
      <c r="S8" s="183">
        <v>5500.34</v>
      </c>
      <c r="T8" s="450">
        <v>20441</v>
      </c>
      <c r="U8" s="611">
        <v>10284.27</v>
      </c>
      <c r="V8" s="530">
        <f t="shared" si="0"/>
        <v>50.3119710385989</v>
      </c>
      <c r="X8" s="2"/>
    </row>
    <row r="9" spans="1:24" ht="13.5" hidden="1" thickBot="1">
      <c r="A9" s="729"/>
      <c r="B9" s="182">
        <v>650</v>
      </c>
      <c r="C9" s="38"/>
      <c r="D9" s="39"/>
      <c r="E9" s="39">
        <v>1062</v>
      </c>
      <c r="F9" s="39">
        <v>597</v>
      </c>
      <c r="G9" s="39">
        <v>741</v>
      </c>
      <c r="H9" s="39"/>
      <c r="I9" s="186"/>
      <c r="J9" s="186"/>
      <c r="K9" s="186"/>
      <c r="L9" s="187"/>
      <c r="M9" s="188"/>
      <c r="N9" s="68"/>
      <c r="O9" s="68"/>
      <c r="P9" s="68"/>
      <c r="Q9" s="189"/>
      <c r="R9" s="189"/>
      <c r="S9" s="189"/>
      <c r="T9" s="445"/>
      <c r="U9" s="686"/>
      <c r="V9" s="532">
        <f t="shared" si="0"/>
        <v>0</v>
      </c>
      <c r="X9" s="2"/>
    </row>
    <row r="10" spans="1:24" ht="15.75" thickBot="1">
      <c r="A10" s="190" t="s">
        <v>46</v>
      </c>
      <c r="B10" s="748" t="s">
        <v>237</v>
      </c>
      <c r="C10" s="765"/>
      <c r="D10" s="191">
        <v>7269</v>
      </c>
      <c r="E10" s="191">
        <v>6772</v>
      </c>
      <c r="F10" s="191">
        <v>8265</v>
      </c>
      <c r="G10" s="191">
        <v>13828</v>
      </c>
      <c r="H10" s="60">
        <v>14882</v>
      </c>
      <c r="I10" s="60">
        <v>14051</v>
      </c>
      <c r="J10" s="60">
        <v>82274</v>
      </c>
      <c r="K10" s="60">
        <v>22548</v>
      </c>
      <c r="L10" s="192">
        <v>18623.79</v>
      </c>
      <c r="M10" s="192">
        <v>22356.78</v>
      </c>
      <c r="N10" s="436">
        <v>18604.68</v>
      </c>
      <c r="O10" s="560">
        <v>11492.61</v>
      </c>
      <c r="P10" s="560">
        <v>22020.72</v>
      </c>
      <c r="Q10" s="560">
        <v>14191.44</v>
      </c>
      <c r="R10" s="560">
        <v>26202.02</v>
      </c>
      <c r="S10" s="560">
        <v>34327.99</v>
      </c>
      <c r="T10" s="436">
        <f>SUM(T11:T13)</f>
        <v>47778</v>
      </c>
      <c r="U10" s="688">
        <f>SUM(U11:U13)</f>
        <v>44373.73</v>
      </c>
      <c r="V10" s="631">
        <f t="shared" si="0"/>
        <v>92.87481686131693</v>
      </c>
      <c r="X10" s="2"/>
    </row>
    <row r="11" spans="1:24" ht="12.75">
      <c r="A11" s="778"/>
      <c r="B11" s="193">
        <v>630</v>
      </c>
      <c r="C11" s="114" t="s">
        <v>238</v>
      </c>
      <c r="D11" s="194"/>
      <c r="E11" s="194"/>
      <c r="F11" s="194"/>
      <c r="G11" s="194"/>
      <c r="H11" s="194">
        <v>2345</v>
      </c>
      <c r="I11" s="114">
        <v>2324</v>
      </c>
      <c r="J11" s="37">
        <v>1162</v>
      </c>
      <c r="K11" s="37">
        <v>2324</v>
      </c>
      <c r="L11" s="134">
        <v>3486</v>
      </c>
      <c r="M11" s="364">
        <v>2324</v>
      </c>
      <c r="N11" s="126">
        <v>2324</v>
      </c>
      <c r="O11" s="195">
        <v>1162</v>
      </c>
      <c r="P11" s="195">
        <v>2324</v>
      </c>
      <c r="Q11" s="195">
        <v>3486</v>
      </c>
      <c r="R11" s="195">
        <v>1162</v>
      </c>
      <c r="S11" s="195">
        <v>3486</v>
      </c>
      <c r="T11" s="451">
        <v>3500</v>
      </c>
      <c r="U11" s="685">
        <v>2324</v>
      </c>
      <c r="V11" s="533">
        <f t="shared" si="0"/>
        <v>66.4</v>
      </c>
      <c r="X11" s="2"/>
    </row>
    <row r="12" spans="1:24" ht="12.75">
      <c r="A12" s="779"/>
      <c r="B12" s="196">
        <v>630</v>
      </c>
      <c r="C12" s="22" t="s">
        <v>239</v>
      </c>
      <c r="D12" s="197"/>
      <c r="E12" s="197"/>
      <c r="F12" s="197"/>
      <c r="G12" s="197"/>
      <c r="H12" s="197">
        <v>12537</v>
      </c>
      <c r="I12" s="22">
        <v>11727</v>
      </c>
      <c r="J12" s="39">
        <v>13096</v>
      </c>
      <c r="K12" s="39">
        <v>9612</v>
      </c>
      <c r="L12" s="101">
        <v>14911.65</v>
      </c>
      <c r="M12" s="500">
        <v>19064.19</v>
      </c>
      <c r="N12" s="23">
        <v>8451.55</v>
      </c>
      <c r="O12" s="118">
        <v>6786.26</v>
      </c>
      <c r="P12" s="118">
        <v>16482.33</v>
      </c>
      <c r="Q12" s="118">
        <v>9813.93</v>
      </c>
      <c r="R12" s="118">
        <v>25033.04</v>
      </c>
      <c r="S12" s="118">
        <v>30841.989999999998</v>
      </c>
      <c r="T12" s="23">
        <v>44278</v>
      </c>
      <c r="U12" s="611">
        <v>41939.55</v>
      </c>
      <c r="V12" s="533">
        <f t="shared" si="0"/>
        <v>94.71870906545011</v>
      </c>
      <c r="X12" s="2"/>
    </row>
    <row r="13" spans="1:24" ht="13.5" thickBot="1">
      <c r="A13" s="780"/>
      <c r="B13" s="198">
        <v>630</v>
      </c>
      <c r="C13" s="199" t="s">
        <v>240</v>
      </c>
      <c r="D13" s="200"/>
      <c r="E13" s="200"/>
      <c r="F13" s="200"/>
      <c r="G13" s="200"/>
      <c r="H13" s="200"/>
      <c r="I13" s="199"/>
      <c r="J13" s="39">
        <v>68016</v>
      </c>
      <c r="K13" s="39">
        <v>10612</v>
      </c>
      <c r="L13" s="201">
        <v>226.14</v>
      </c>
      <c r="M13" s="501">
        <v>968.59</v>
      </c>
      <c r="N13" s="26">
        <v>7829.13</v>
      </c>
      <c r="O13" s="501">
        <v>3544.35</v>
      </c>
      <c r="P13" s="501">
        <v>3214.39</v>
      </c>
      <c r="Q13" s="501">
        <v>891.51</v>
      </c>
      <c r="R13" s="501">
        <v>6.98</v>
      </c>
      <c r="S13" s="501"/>
      <c r="T13" s="452"/>
      <c r="U13" s="686">
        <v>110.18</v>
      </c>
      <c r="V13" s="533">
        <f t="shared" si="0"/>
        <v>0</v>
      </c>
      <c r="X13" s="2"/>
    </row>
    <row r="14" spans="1:24" ht="15.75" thickBot="1">
      <c r="A14" s="190" t="s">
        <v>198</v>
      </c>
      <c r="B14" s="748" t="s">
        <v>241</v>
      </c>
      <c r="C14" s="765"/>
      <c r="D14" s="191">
        <v>20846</v>
      </c>
      <c r="E14" s="191">
        <v>22240</v>
      </c>
      <c r="F14" s="191">
        <v>25427</v>
      </c>
      <c r="G14" s="191">
        <v>26903</v>
      </c>
      <c r="H14" s="60">
        <v>29798</v>
      </c>
      <c r="I14" s="60">
        <v>28936</v>
      </c>
      <c r="J14" s="60">
        <v>27963</v>
      </c>
      <c r="K14" s="60">
        <v>24050</v>
      </c>
      <c r="L14" s="192">
        <v>25050.219999999998</v>
      </c>
      <c r="M14" s="192">
        <v>28488.050000000003</v>
      </c>
      <c r="N14" s="436">
        <v>30083.289999999997</v>
      </c>
      <c r="O14" s="560">
        <v>33186.08</v>
      </c>
      <c r="P14" s="560">
        <v>29084.07</v>
      </c>
      <c r="Q14" s="560">
        <v>51253.97</v>
      </c>
      <c r="R14" s="560">
        <v>39283.65</v>
      </c>
      <c r="S14" s="560">
        <v>45925.28</v>
      </c>
      <c r="T14" s="436">
        <f>SUM(T15:T18)</f>
        <v>48642</v>
      </c>
      <c r="U14" s="688">
        <f>SUM(U15:U18)</f>
        <v>40921.87</v>
      </c>
      <c r="V14" s="631">
        <f t="shared" si="0"/>
        <v>84.12867480777929</v>
      </c>
      <c r="X14" s="2"/>
    </row>
    <row r="15" spans="1:24" ht="12.75">
      <c r="A15" s="778"/>
      <c r="B15" s="180">
        <v>610</v>
      </c>
      <c r="C15" s="202" t="s">
        <v>233</v>
      </c>
      <c r="D15" s="203"/>
      <c r="E15" s="203">
        <v>13875</v>
      </c>
      <c r="F15" s="203">
        <v>15734</v>
      </c>
      <c r="G15" s="203">
        <v>16231</v>
      </c>
      <c r="H15" s="203">
        <v>16787</v>
      </c>
      <c r="I15" s="36">
        <v>17943</v>
      </c>
      <c r="J15" s="37">
        <v>18167</v>
      </c>
      <c r="K15" s="37">
        <v>15592</v>
      </c>
      <c r="L15" s="181">
        <v>15883.66</v>
      </c>
      <c r="M15" s="181">
        <v>19536.88</v>
      </c>
      <c r="N15" s="84">
        <v>20405.94</v>
      </c>
      <c r="O15" s="181">
        <v>22741.57</v>
      </c>
      <c r="P15" s="181">
        <v>20172.56</v>
      </c>
      <c r="Q15" s="181">
        <v>32391.98</v>
      </c>
      <c r="R15" s="181">
        <v>27813.22</v>
      </c>
      <c r="S15" s="181">
        <v>29579.17</v>
      </c>
      <c r="T15" s="449">
        <v>33798</v>
      </c>
      <c r="U15" s="685">
        <v>28778.42</v>
      </c>
      <c r="V15" s="533">
        <f t="shared" si="0"/>
        <v>85.14829279839043</v>
      </c>
      <c r="X15" s="2"/>
    </row>
    <row r="16" spans="1:24" ht="12.75">
      <c r="A16" s="779"/>
      <c r="B16" s="182">
        <v>620</v>
      </c>
      <c r="C16" s="204" t="s">
        <v>234</v>
      </c>
      <c r="D16" s="205"/>
      <c r="E16" s="205">
        <v>4647</v>
      </c>
      <c r="F16" s="205">
        <v>5411</v>
      </c>
      <c r="G16" s="205">
        <v>5677</v>
      </c>
      <c r="H16" s="205">
        <v>6011</v>
      </c>
      <c r="I16" s="38">
        <v>6464</v>
      </c>
      <c r="J16" s="39">
        <v>6580</v>
      </c>
      <c r="K16" s="39">
        <v>5691</v>
      </c>
      <c r="L16" s="183">
        <v>6220</v>
      </c>
      <c r="M16" s="183">
        <v>6654.3</v>
      </c>
      <c r="N16" s="24">
        <v>7320.69</v>
      </c>
      <c r="O16" s="183">
        <v>8093.18</v>
      </c>
      <c r="P16" s="183">
        <v>6866.62</v>
      </c>
      <c r="Q16" s="183">
        <v>12511.41</v>
      </c>
      <c r="R16" s="183">
        <v>9656.72</v>
      </c>
      <c r="S16" s="183">
        <v>10565.18</v>
      </c>
      <c r="T16" s="450">
        <v>12144</v>
      </c>
      <c r="U16" s="611">
        <v>9873.52</v>
      </c>
      <c r="V16" s="533">
        <f t="shared" si="0"/>
        <v>81.30368906455864</v>
      </c>
      <c r="X16" s="2"/>
    </row>
    <row r="17" spans="1:24" ht="12.75">
      <c r="A17" s="779"/>
      <c r="B17" s="182">
        <v>630</v>
      </c>
      <c r="C17" s="204" t="s">
        <v>235</v>
      </c>
      <c r="D17" s="205"/>
      <c r="E17" s="205">
        <v>3718</v>
      </c>
      <c r="F17" s="205">
        <v>4282</v>
      </c>
      <c r="G17" s="205">
        <v>4995</v>
      </c>
      <c r="H17" s="205">
        <v>7000</v>
      </c>
      <c r="I17" s="38">
        <v>4529</v>
      </c>
      <c r="J17" s="39">
        <v>3216</v>
      </c>
      <c r="K17" s="39">
        <v>2533</v>
      </c>
      <c r="L17" s="183">
        <v>2610.08</v>
      </c>
      <c r="M17" s="183">
        <v>2181.04</v>
      </c>
      <c r="N17" s="24">
        <v>2356.66</v>
      </c>
      <c r="O17" s="183">
        <v>2351.33</v>
      </c>
      <c r="P17" s="183">
        <v>1891.13</v>
      </c>
      <c r="Q17" s="183">
        <v>3021.6</v>
      </c>
      <c r="R17" s="183">
        <v>1813.71</v>
      </c>
      <c r="S17" s="183">
        <v>2297.94</v>
      </c>
      <c r="T17" s="450">
        <v>2700</v>
      </c>
      <c r="U17" s="611">
        <v>2135.53</v>
      </c>
      <c r="V17" s="533">
        <f t="shared" si="0"/>
        <v>79.09370370370371</v>
      </c>
      <c r="X17" s="2"/>
    </row>
    <row r="18" spans="1:24" ht="13.5" thickBot="1">
      <c r="A18" s="780"/>
      <c r="B18" s="40">
        <v>640</v>
      </c>
      <c r="C18" s="186" t="s">
        <v>236</v>
      </c>
      <c r="D18" s="206"/>
      <c r="E18" s="206"/>
      <c r="F18" s="206"/>
      <c r="G18" s="206"/>
      <c r="H18" s="206"/>
      <c r="I18" s="128"/>
      <c r="J18" s="39"/>
      <c r="K18" s="39">
        <v>234</v>
      </c>
      <c r="L18" s="103">
        <v>336.48</v>
      </c>
      <c r="M18" s="103">
        <v>115.83</v>
      </c>
      <c r="N18" s="62"/>
      <c r="O18" s="62"/>
      <c r="P18" s="62">
        <v>153.76</v>
      </c>
      <c r="Q18" s="103">
        <v>3328.98</v>
      </c>
      <c r="R18" s="103"/>
      <c r="S18" s="103">
        <v>3482.99</v>
      </c>
      <c r="T18" s="437">
        <v>0</v>
      </c>
      <c r="U18" s="686">
        <v>134.4</v>
      </c>
      <c r="V18" s="533">
        <f t="shared" si="0"/>
        <v>0</v>
      </c>
      <c r="X18" s="2"/>
    </row>
    <row r="19" spans="1:24" ht="15.75" thickBot="1">
      <c r="A19" s="190" t="s">
        <v>242</v>
      </c>
      <c r="B19" s="748" t="s">
        <v>243</v>
      </c>
      <c r="C19" s="765"/>
      <c r="D19" s="191">
        <v>13145</v>
      </c>
      <c r="E19" s="191">
        <v>10057</v>
      </c>
      <c r="F19" s="191">
        <v>8498</v>
      </c>
      <c r="G19" s="191">
        <v>54518</v>
      </c>
      <c r="H19" s="60">
        <v>31457</v>
      </c>
      <c r="I19" s="60">
        <v>31963</v>
      </c>
      <c r="J19" s="60">
        <v>33449</v>
      </c>
      <c r="K19" s="60">
        <v>18092</v>
      </c>
      <c r="L19" s="192">
        <v>54586.799999999996</v>
      </c>
      <c r="M19" s="192">
        <v>16584.94</v>
      </c>
      <c r="N19" s="60">
        <v>25483.510000000002</v>
      </c>
      <c r="O19" s="192">
        <v>21980.289999999997</v>
      </c>
      <c r="P19" s="192">
        <v>22643.670000000002</v>
      </c>
      <c r="Q19" s="192">
        <v>47845.259999999995</v>
      </c>
      <c r="R19" s="560">
        <v>50768.41</v>
      </c>
      <c r="S19" s="560">
        <v>38082.83</v>
      </c>
      <c r="T19" s="436">
        <f>SUM(T20:T24)</f>
        <v>43100</v>
      </c>
      <c r="U19" s="688">
        <f>SUM(U20:U24)</f>
        <v>42784.5</v>
      </c>
      <c r="V19" s="615">
        <f t="shared" si="0"/>
        <v>99.26798143851508</v>
      </c>
      <c r="X19" s="2"/>
    </row>
    <row r="20" spans="1:32" ht="12.75">
      <c r="A20" s="774"/>
      <c r="B20" s="207">
        <v>610</v>
      </c>
      <c r="C20" s="202" t="s">
        <v>233</v>
      </c>
      <c r="D20" s="203"/>
      <c r="E20" s="203">
        <v>0</v>
      </c>
      <c r="F20" s="203">
        <v>4482</v>
      </c>
      <c r="G20" s="203">
        <v>7787</v>
      </c>
      <c r="H20" s="203">
        <v>7509</v>
      </c>
      <c r="I20" s="202">
        <v>7692</v>
      </c>
      <c r="J20" s="37">
        <v>7969</v>
      </c>
      <c r="K20" s="37">
        <v>7777</v>
      </c>
      <c r="L20" s="181">
        <v>7662.08</v>
      </c>
      <c r="M20" s="181">
        <v>8679.95</v>
      </c>
      <c r="N20" s="84">
        <v>9877.67</v>
      </c>
      <c r="O20" s="181">
        <v>9786.53</v>
      </c>
      <c r="P20" s="181">
        <v>11379.37</v>
      </c>
      <c r="Q20" s="181">
        <v>12850.13</v>
      </c>
      <c r="R20" s="181">
        <v>13704.62</v>
      </c>
      <c r="S20" s="181">
        <v>15383.93</v>
      </c>
      <c r="T20" s="449">
        <v>13933</v>
      </c>
      <c r="U20" s="685">
        <v>13583.52</v>
      </c>
      <c r="V20" s="533">
        <f t="shared" si="0"/>
        <v>97.49171032799828</v>
      </c>
      <c r="X20" s="2"/>
      <c r="AF20" s="2"/>
    </row>
    <row r="21" spans="1:24" ht="12.75">
      <c r="A21" s="775"/>
      <c r="B21" s="208">
        <v>620</v>
      </c>
      <c r="C21" s="204" t="s">
        <v>234</v>
      </c>
      <c r="D21" s="184"/>
      <c r="E21" s="184">
        <v>0</v>
      </c>
      <c r="F21" s="184">
        <v>2058</v>
      </c>
      <c r="G21" s="184">
        <v>3864</v>
      </c>
      <c r="H21" s="184">
        <v>2426</v>
      </c>
      <c r="I21" s="204">
        <v>2683</v>
      </c>
      <c r="J21" s="39">
        <v>3469</v>
      </c>
      <c r="K21" s="39">
        <v>3267</v>
      </c>
      <c r="L21" s="183">
        <v>3320.66</v>
      </c>
      <c r="M21" s="183">
        <v>3113.97</v>
      </c>
      <c r="N21" s="24">
        <v>3720.13</v>
      </c>
      <c r="O21" s="183">
        <v>3643.9399999999996</v>
      </c>
      <c r="P21" s="183">
        <v>4236.46</v>
      </c>
      <c r="Q21" s="183">
        <v>4685.31</v>
      </c>
      <c r="R21" s="183">
        <v>5063.33</v>
      </c>
      <c r="S21" s="183">
        <v>5689.59</v>
      </c>
      <c r="T21" s="450">
        <v>4936</v>
      </c>
      <c r="U21" s="611">
        <v>5007.76</v>
      </c>
      <c r="V21" s="533">
        <f t="shared" si="0"/>
        <v>101.45380875202594</v>
      </c>
      <c r="X21" s="2"/>
    </row>
    <row r="22" spans="1:34" ht="12.75">
      <c r="A22" s="775"/>
      <c r="B22" s="208">
        <v>630</v>
      </c>
      <c r="C22" s="204" t="s">
        <v>235</v>
      </c>
      <c r="D22" s="184"/>
      <c r="E22" s="184">
        <v>0</v>
      </c>
      <c r="F22" s="184">
        <v>1958</v>
      </c>
      <c r="G22" s="184">
        <v>42867</v>
      </c>
      <c r="H22" s="184">
        <v>1012</v>
      </c>
      <c r="I22" s="204">
        <v>989</v>
      </c>
      <c r="J22" s="39">
        <v>1227</v>
      </c>
      <c r="K22" s="39">
        <v>947</v>
      </c>
      <c r="L22" s="183">
        <v>588.04</v>
      </c>
      <c r="M22" s="183">
        <v>634.68</v>
      </c>
      <c r="N22" s="24">
        <v>827.63</v>
      </c>
      <c r="O22" s="183">
        <v>828.4000000000005</v>
      </c>
      <c r="P22" s="183">
        <v>675.3199999999997</v>
      </c>
      <c r="Q22" s="183">
        <v>1203.7900000000004</v>
      </c>
      <c r="R22" s="183">
        <v>1203.39</v>
      </c>
      <c r="S22" s="183">
        <v>1075.21</v>
      </c>
      <c r="T22" s="450">
        <v>1200</v>
      </c>
      <c r="U22" s="611">
        <v>1074.47</v>
      </c>
      <c r="V22" s="533">
        <f t="shared" si="0"/>
        <v>89.53916666666667</v>
      </c>
      <c r="X22" s="2"/>
      <c r="AH22" s="2"/>
    </row>
    <row r="23" spans="1:24" ht="12.75">
      <c r="A23" s="775"/>
      <c r="B23" s="208">
        <v>640</v>
      </c>
      <c r="C23" s="38" t="s">
        <v>236</v>
      </c>
      <c r="D23" s="39"/>
      <c r="E23" s="39"/>
      <c r="F23" s="39"/>
      <c r="G23" s="39"/>
      <c r="H23" s="39"/>
      <c r="I23" s="38"/>
      <c r="J23" s="39">
        <v>3100</v>
      </c>
      <c r="K23" s="39"/>
      <c r="L23" s="24"/>
      <c r="M23" s="183">
        <v>113.93</v>
      </c>
      <c r="N23" s="24"/>
      <c r="O23" s="183">
        <v>124.72</v>
      </c>
      <c r="P23" s="183"/>
      <c r="Q23" s="183"/>
      <c r="R23" s="183">
        <v>16606.070000000003</v>
      </c>
      <c r="S23" s="183"/>
      <c r="T23" s="450">
        <v>0</v>
      </c>
      <c r="U23" s="611">
        <v>88.2</v>
      </c>
      <c r="V23" s="533">
        <f t="shared" si="0"/>
        <v>0</v>
      </c>
      <c r="X23" s="2"/>
    </row>
    <row r="24" spans="1:24" ht="13.5" thickBot="1">
      <c r="A24" s="776"/>
      <c r="B24" s="210">
        <v>600</v>
      </c>
      <c r="C24" s="186" t="s">
        <v>244</v>
      </c>
      <c r="D24" s="211"/>
      <c r="E24" s="211"/>
      <c r="F24" s="211"/>
      <c r="G24" s="211"/>
      <c r="H24" s="39">
        <v>20510</v>
      </c>
      <c r="I24" s="186">
        <v>20599</v>
      </c>
      <c r="J24" s="39">
        <v>17684</v>
      </c>
      <c r="K24" s="39">
        <v>6101</v>
      </c>
      <c r="L24" s="103">
        <v>43016.02</v>
      </c>
      <c r="M24" s="103">
        <v>4042.409999999998</v>
      </c>
      <c r="N24" s="62">
        <v>11058.08</v>
      </c>
      <c r="O24" s="103">
        <v>7596.7</v>
      </c>
      <c r="P24" s="103">
        <v>6352.52</v>
      </c>
      <c r="Q24" s="103">
        <v>29106.03</v>
      </c>
      <c r="R24" s="103">
        <v>14191</v>
      </c>
      <c r="S24" s="103">
        <v>15934.1</v>
      </c>
      <c r="T24" s="437">
        <v>23031</v>
      </c>
      <c r="U24" s="686">
        <v>23030.55</v>
      </c>
      <c r="V24" s="533">
        <f t="shared" si="0"/>
        <v>99.9980461117624</v>
      </c>
      <c r="X24" s="2"/>
    </row>
    <row r="25" spans="1:34" ht="15.75" thickBot="1">
      <c r="A25" s="190" t="s">
        <v>245</v>
      </c>
      <c r="B25" s="748" t="s">
        <v>56</v>
      </c>
      <c r="C25" s="765"/>
      <c r="D25" s="212">
        <v>86802</v>
      </c>
      <c r="E25" s="212">
        <v>77342</v>
      </c>
      <c r="F25" s="212">
        <v>79566</v>
      </c>
      <c r="G25" s="212">
        <v>75201</v>
      </c>
      <c r="H25" s="212">
        <v>66074</v>
      </c>
      <c r="I25" s="60">
        <v>84841</v>
      </c>
      <c r="J25" s="60">
        <v>92558</v>
      </c>
      <c r="K25" s="60">
        <v>89614</v>
      </c>
      <c r="L25" s="192">
        <v>87966.26</v>
      </c>
      <c r="M25" s="192">
        <v>89070.75</v>
      </c>
      <c r="N25" s="436">
        <v>84152.6</v>
      </c>
      <c r="O25" s="560">
        <v>63074.71</v>
      </c>
      <c r="P25" s="560">
        <v>62531</v>
      </c>
      <c r="Q25" s="560">
        <v>57263.12</v>
      </c>
      <c r="R25" s="560">
        <v>56026.7</v>
      </c>
      <c r="S25" s="560">
        <v>55265.72</v>
      </c>
      <c r="T25" s="436">
        <f>T26</f>
        <v>65000</v>
      </c>
      <c r="U25" s="688">
        <f>U26</f>
        <v>55710.71</v>
      </c>
      <c r="V25" s="615">
        <f t="shared" si="0"/>
        <v>85.70878461538462</v>
      </c>
      <c r="X25" s="2"/>
      <c r="AF25" s="413"/>
      <c r="AH25" s="2"/>
    </row>
    <row r="26" spans="1:38" ht="13.5" thickBot="1">
      <c r="A26" s="213"/>
      <c r="B26" s="214">
        <v>630</v>
      </c>
      <c r="C26" s="215" t="s">
        <v>246</v>
      </c>
      <c r="D26" s="216">
        <v>86802</v>
      </c>
      <c r="E26" s="216">
        <v>77342</v>
      </c>
      <c r="F26" s="216">
        <v>79566</v>
      </c>
      <c r="G26" s="216">
        <v>75201</v>
      </c>
      <c r="H26" s="216">
        <v>66074</v>
      </c>
      <c r="I26" s="128">
        <v>84841</v>
      </c>
      <c r="J26" s="128">
        <v>92558</v>
      </c>
      <c r="K26" s="73">
        <v>89614</v>
      </c>
      <c r="L26" s="103">
        <v>87966.26</v>
      </c>
      <c r="M26" s="103">
        <v>89070.75</v>
      </c>
      <c r="N26" s="62">
        <v>84152.6</v>
      </c>
      <c r="O26" s="103">
        <v>63074.71</v>
      </c>
      <c r="P26" s="103">
        <v>62531</v>
      </c>
      <c r="Q26" s="103">
        <v>57263.12</v>
      </c>
      <c r="R26" s="103">
        <v>56026.7</v>
      </c>
      <c r="S26" s="103">
        <v>55265.72</v>
      </c>
      <c r="T26" s="437">
        <v>65000</v>
      </c>
      <c r="U26" s="689">
        <v>55710.71</v>
      </c>
      <c r="V26" s="533">
        <f t="shared" si="0"/>
        <v>85.70878461538462</v>
      </c>
      <c r="X26" s="2"/>
      <c r="AL26" s="2"/>
    </row>
    <row r="27" spans="1:24" ht="15.75" thickBot="1">
      <c r="A27" s="190" t="s">
        <v>247</v>
      </c>
      <c r="B27" s="748" t="s">
        <v>248</v>
      </c>
      <c r="C27" s="765"/>
      <c r="D27" s="212">
        <v>0</v>
      </c>
      <c r="E27" s="212">
        <v>1826</v>
      </c>
      <c r="F27" s="212">
        <v>66</v>
      </c>
      <c r="G27" s="212">
        <v>770</v>
      </c>
      <c r="H27" s="212">
        <v>2589</v>
      </c>
      <c r="I27" s="60">
        <v>366</v>
      </c>
      <c r="J27" s="60">
        <v>274</v>
      </c>
      <c r="K27" s="60">
        <v>464</v>
      </c>
      <c r="L27" s="60">
        <v>276.29</v>
      </c>
      <c r="M27" s="192">
        <v>34.4</v>
      </c>
      <c r="N27" s="436">
        <v>81.5</v>
      </c>
      <c r="O27" s="560">
        <v>1.5</v>
      </c>
      <c r="P27" s="560">
        <v>1.5</v>
      </c>
      <c r="Q27" s="560">
        <v>18.02</v>
      </c>
      <c r="R27" s="560">
        <v>19</v>
      </c>
      <c r="S27" s="560">
        <v>4</v>
      </c>
      <c r="T27" s="436">
        <f>T28</f>
        <v>500</v>
      </c>
      <c r="U27" s="688">
        <f>U28</f>
        <v>1947.39</v>
      </c>
      <c r="V27" s="615">
        <f t="shared" si="0"/>
        <v>389.478</v>
      </c>
      <c r="X27" s="2"/>
    </row>
    <row r="28" spans="1:24" ht="13.5" thickBot="1">
      <c r="A28" s="217"/>
      <c r="B28" s="218"/>
      <c r="C28" s="215" t="s">
        <v>249</v>
      </c>
      <c r="D28" s="216">
        <v>0</v>
      </c>
      <c r="E28" s="216">
        <v>1826</v>
      </c>
      <c r="F28" s="216">
        <v>66</v>
      </c>
      <c r="G28" s="216">
        <v>770</v>
      </c>
      <c r="H28" s="216">
        <v>2589</v>
      </c>
      <c r="I28" s="128">
        <v>366</v>
      </c>
      <c r="J28" s="128">
        <v>274</v>
      </c>
      <c r="K28" s="73">
        <v>464</v>
      </c>
      <c r="L28" s="103">
        <v>276.29</v>
      </c>
      <c r="M28" s="103">
        <v>34.4</v>
      </c>
      <c r="N28" s="62">
        <v>81.5</v>
      </c>
      <c r="O28" s="103">
        <v>1.5</v>
      </c>
      <c r="P28" s="103">
        <v>1.5</v>
      </c>
      <c r="Q28" s="103">
        <v>18.02</v>
      </c>
      <c r="R28" s="103">
        <v>19</v>
      </c>
      <c r="S28" s="103">
        <v>4</v>
      </c>
      <c r="T28" s="437">
        <v>500</v>
      </c>
      <c r="U28" s="687">
        <v>1947.39</v>
      </c>
      <c r="V28" s="533">
        <f t="shared" si="0"/>
        <v>389.478</v>
      </c>
      <c r="X28" s="2"/>
    </row>
    <row r="29" spans="1:24" ht="15.75" thickBot="1">
      <c r="A29" s="190" t="s">
        <v>62</v>
      </c>
      <c r="B29" s="748" t="s">
        <v>250</v>
      </c>
      <c r="C29" s="765"/>
      <c r="D29" s="191">
        <v>80362</v>
      </c>
      <c r="E29" s="191">
        <v>93674</v>
      </c>
      <c r="F29" s="191">
        <v>104461</v>
      </c>
      <c r="G29" s="191">
        <v>126342</v>
      </c>
      <c r="H29" s="60">
        <v>137485</v>
      </c>
      <c r="I29" s="60">
        <v>141454</v>
      </c>
      <c r="J29" s="60">
        <v>150296</v>
      </c>
      <c r="K29" s="60">
        <v>153336</v>
      </c>
      <c r="L29" s="192">
        <v>153063.15</v>
      </c>
      <c r="M29" s="192">
        <v>160199.88999999998</v>
      </c>
      <c r="N29" s="436">
        <v>160815.16</v>
      </c>
      <c r="O29" s="560">
        <v>182466.47</v>
      </c>
      <c r="P29" s="560">
        <v>205874.57</v>
      </c>
      <c r="Q29" s="560">
        <v>228019.05</v>
      </c>
      <c r="R29" s="560">
        <v>285169.27999999997</v>
      </c>
      <c r="S29" s="560">
        <v>284752.95999999996</v>
      </c>
      <c r="T29" s="436">
        <f>SUM(T30:T34)</f>
        <v>299998</v>
      </c>
      <c r="U29" s="688">
        <f>SUM(U30:U34)</f>
        <v>279881.9</v>
      </c>
      <c r="V29" s="615">
        <f t="shared" si="0"/>
        <v>93.29458863059088</v>
      </c>
      <c r="X29" s="2"/>
    </row>
    <row r="30" spans="1:36" ht="12.75">
      <c r="A30" s="727"/>
      <c r="B30" s="207">
        <v>610</v>
      </c>
      <c r="C30" s="36" t="s">
        <v>233</v>
      </c>
      <c r="D30" s="141"/>
      <c r="E30" s="141">
        <v>56762</v>
      </c>
      <c r="F30" s="141">
        <v>60944</v>
      </c>
      <c r="G30" s="141">
        <v>75340</v>
      </c>
      <c r="H30" s="141">
        <v>84414</v>
      </c>
      <c r="I30" s="36">
        <v>89012</v>
      </c>
      <c r="J30" s="37">
        <v>92984</v>
      </c>
      <c r="K30" s="37">
        <v>93001</v>
      </c>
      <c r="L30" s="134">
        <v>93672.78</v>
      </c>
      <c r="M30" s="134">
        <v>102320.64</v>
      </c>
      <c r="N30" s="84">
        <v>102319.48</v>
      </c>
      <c r="O30" s="181">
        <v>109786.57</v>
      </c>
      <c r="P30" s="181">
        <v>123486.16</v>
      </c>
      <c r="Q30" s="181">
        <v>129732.70999999999</v>
      </c>
      <c r="R30" s="181">
        <v>180574.71</v>
      </c>
      <c r="S30" s="181">
        <v>141300.33</v>
      </c>
      <c r="T30" s="449">
        <v>143285</v>
      </c>
      <c r="U30" s="685">
        <v>133585.88</v>
      </c>
      <c r="V30" s="533">
        <f t="shared" si="0"/>
        <v>93.23088948598947</v>
      </c>
      <c r="X30" s="2"/>
      <c r="AF30" s="413"/>
      <c r="AI30" s="2"/>
      <c r="AJ30" s="2"/>
    </row>
    <row r="31" spans="1:24" ht="12.75">
      <c r="A31" s="728"/>
      <c r="B31" s="208">
        <v>620</v>
      </c>
      <c r="C31" s="38" t="s">
        <v>234</v>
      </c>
      <c r="D31" s="219"/>
      <c r="E31" s="219">
        <v>20315</v>
      </c>
      <c r="F31" s="219">
        <v>21709</v>
      </c>
      <c r="G31" s="219">
        <v>27650</v>
      </c>
      <c r="H31" s="219">
        <v>30919</v>
      </c>
      <c r="I31" s="38">
        <v>32877</v>
      </c>
      <c r="J31" s="39">
        <v>34488</v>
      </c>
      <c r="K31" s="39">
        <v>34548</v>
      </c>
      <c r="L31" s="101">
        <v>37213.83</v>
      </c>
      <c r="M31" s="101">
        <v>35543.37</v>
      </c>
      <c r="N31" s="24">
        <v>37856.52</v>
      </c>
      <c r="O31" s="183">
        <v>40417.53</v>
      </c>
      <c r="P31" s="183">
        <v>45335.28</v>
      </c>
      <c r="Q31" s="183">
        <v>47330.69</v>
      </c>
      <c r="R31" s="183">
        <v>64218.21</v>
      </c>
      <c r="S31" s="183">
        <v>51299.29000000001</v>
      </c>
      <c r="T31" s="450">
        <v>51973</v>
      </c>
      <c r="U31" s="611">
        <v>48440</v>
      </c>
      <c r="V31" s="533">
        <f t="shared" si="0"/>
        <v>93.20223962442037</v>
      </c>
      <c r="X31" s="2"/>
    </row>
    <row r="32" spans="1:24" ht="12.75">
      <c r="A32" s="728"/>
      <c r="B32" s="208">
        <v>630</v>
      </c>
      <c r="C32" s="38" t="s">
        <v>235</v>
      </c>
      <c r="D32" s="219"/>
      <c r="E32" s="219">
        <v>16597</v>
      </c>
      <c r="F32" s="219">
        <v>21078</v>
      </c>
      <c r="G32" s="219">
        <v>23021</v>
      </c>
      <c r="H32" s="219">
        <v>22152</v>
      </c>
      <c r="I32" s="38">
        <v>19565</v>
      </c>
      <c r="J32" s="39">
        <v>22824</v>
      </c>
      <c r="K32" s="39">
        <v>25787</v>
      </c>
      <c r="L32" s="101">
        <v>22014.74</v>
      </c>
      <c r="M32" s="101">
        <v>22171.17</v>
      </c>
      <c r="N32" s="24">
        <v>20256.81</v>
      </c>
      <c r="O32" s="183">
        <v>29552.34</v>
      </c>
      <c r="P32" s="183">
        <v>36953.13</v>
      </c>
      <c r="Q32" s="183">
        <v>23590.739999999998</v>
      </c>
      <c r="R32" s="183">
        <v>39993.6</v>
      </c>
      <c r="S32" s="183">
        <v>25182.800000000003</v>
      </c>
      <c r="T32" s="450">
        <v>25000</v>
      </c>
      <c r="U32" s="611">
        <v>25717.76</v>
      </c>
      <c r="V32" s="533">
        <f t="shared" si="0"/>
        <v>102.87104000000001</v>
      </c>
      <c r="X32" s="2"/>
    </row>
    <row r="33" spans="1:24" ht="12.75">
      <c r="A33" s="728"/>
      <c r="B33" s="208">
        <v>640</v>
      </c>
      <c r="C33" s="38" t="s">
        <v>236</v>
      </c>
      <c r="D33" s="216"/>
      <c r="E33" s="216"/>
      <c r="F33" s="216"/>
      <c r="G33" s="216"/>
      <c r="H33" s="216"/>
      <c r="I33" s="128"/>
      <c r="J33" s="220"/>
      <c r="K33" s="220"/>
      <c r="L33" s="103"/>
      <c r="M33" s="103"/>
      <c r="N33" s="62"/>
      <c r="O33" s="103"/>
      <c r="P33" s="103"/>
      <c r="Q33" s="103"/>
      <c r="R33" s="103"/>
      <c r="S33" s="103"/>
      <c r="T33" s="437"/>
      <c r="U33" s="686">
        <v>637.6</v>
      </c>
      <c r="V33" s="533">
        <f t="shared" si="0"/>
        <v>0</v>
      </c>
      <c r="X33" s="2"/>
    </row>
    <row r="34" spans="1:24" ht="13.5" thickBot="1">
      <c r="A34" s="729"/>
      <c r="B34" s="208">
        <v>650</v>
      </c>
      <c r="C34" s="38" t="s">
        <v>345</v>
      </c>
      <c r="D34" s="216"/>
      <c r="E34" s="216"/>
      <c r="F34" s="216"/>
      <c r="G34" s="216"/>
      <c r="H34" s="216"/>
      <c r="I34" s="128"/>
      <c r="J34" s="128"/>
      <c r="K34" s="220"/>
      <c r="L34" s="103">
        <v>161.8</v>
      </c>
      <c r="M34" s="103">
        <v>164.71</v>
      </c>
      <c r="N34" s="62">
        <v>382.35</v>
      </c>
      <c r="O34" s="103">
        <v>2710.03</v>
      </c>
      <c r="P34" s="103">
        <v>100</v>
      </c>
      <c r="Q34" s="103">
        <v>27364.91</v>
      </c>
      <c r="R34" s="103">
        <v>382.76</v>
      </c>
      <c r="S34" s="103">
        <v>66970.54</v>
      </c>
      <c r="T34" s="437">
        <v>79740</v>
      </c>
      <c r="U34" s="686">
        <v>71500.66</v>
      </c>
      <c r="V34" s="533">
        <f t="shared" si="0"/>
        <v>89.6672435415099</v>
      </c>
      <c r="X34" s="2"/>
    </row>
    <row r="35" spans="1:24" ht="15.75" thickBot="1">
      <c r="A35" s="190" t="s">
        <v>251</v>
      </c>
      <c r="B35" s="748" t="s">
        <v>252</v>
      </c>
      <c r="C35" s="765"/>
      <c r="D35" s="212">
        <v>1328</v>
      </c>
      <c r="E35" s="212">
        <v>332</v>
      </c>
      <c r="F35" s="212">
        <v>797</v>
      </c>
      <c r="G35" s="212">
        <v>3524</v>
      </c>
      <c r="H35" s="212">
        <v>112</v>
      </c>
      <c r="I35" s="60">
        <v>600</v>
      </c>
      <c r="J35" s="60">
        <v>1028</v>
      </c>
      <c r="K35" s="60">
        <v>1230</v>
      </c>
      <c r="L35" s="192">
        <v>600</v>
      </c>
      <c r="M35" s="192">
        <v>1048.67</v>
      </c>
      <c r="N35" s="436">
        <v>1510.99</v>
      </c>
      <c r="O35" s="560">
        <v>1870</v>
      </c>
      <c r="P35" s="560">
        <v>2000</v>
      </c>
      <c r="Q35" s="560">
        <v>2240.37</v>
      </c>
      <c r="R35" s="560">
        <v>2288.38</v>
      </c>
      <c r="S35" s="560">
        <v>2459.98</v>
      </c>
      <c r="T35" s="436">
        <f>T36</f>
        <v>3500</v>
      </c>
      <c r="U35" s="688">
        <f>U36</f>
        <v>2000</v>
      </c>
      <c r="V35" s="615">
        <f t="shared" si="0"/>
        <v>57.14285714285714</v>
      </c>
      <c r="X35" s="2"/>
    </row>
    <row r="36" spans="1:24" ht="13.5" thickBot="1">
      <c r="A36" s="217"/>
      <c r="B36" s="221"/>
      <c r="C36" s="222" t="s">
        <v>253</v>
      </c>
      <c r="D36" s="223">
        <v>1328</v>
      </c>
      <c r="E36" s="223">
        <v>332</v>
      </c>
      <c r="F36" s="223">
        <v>797</v>
      </c>
      <c r="G36" s="223">
        <v>3524</v>
      </c>
      <c r="H36" s="223">
        <v>112</v>
      </c>
      <c r="I36" s="102">
        <v>600</v>
      </c>
      <c r="J36" s="102">
        <v>1028</v>
      </c>
      <c r="K36" s="73">
        <v>1230</v>
      </c>
      <c r="L36" s="224">
        <v>600</v>
      </c>
      <c r="M36" s="224">
        <v>1048.67</v>
      </c>
      <c r="N36" s="12">
        <v>1510.99</v>
      </c>
      <c r="O36" s="225">
        <v>1870</v>
      </c>
      <c r="P36" s="225">
        <v>2000</v>
      </c>
      <c r="Q36" s="225">
        <v>2240.37</v>
      </c>
      <c r="R36" s="225">
        <v>2288.38</v>
      </c>
      <c r="S36" s="225">
        <v>2459.98</v>
      </c>
      <c r="T36" s="438">
        <v>3500</v>
      </c>
      <c r="U36" s="687">
        <v>2000</v>
      </c>
      <c r="V36" s="533">
        <f t="shared" si="0"/>
        <v>57.14285714285714</v>
      </c>
      <c r="X36" s="2"/>
    </row>
    <row r="37" spans="1:24" ht="15.75" thickBot="1">
      <c r="A37" s="226" t="s">
        <v>254</v>
      </c>
      <c r="B37" s="748" t="s">
        <v>255</v>
      </c>
      <c r="C37" s="765"/>
      <c r="D37" s="191">
        <v>64894</v>
      </c>
      <c r="E37" s="191">
        <v>59384</v>
      </c>
      <c r="F37" s="191">
        <v>62471</v>
      </c>
      <c r="G37" s="191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27">
        <v>70768.37</v>
      </c>
      <c r="M37" s="227">
        <v>57765.42</v>
      </c>
      <c r="N37" s="439">
        <v>67218.58</v>
      </c>
      <c r="O37" s="561">
        <v>62580.25</v>
      </c>
      <c r="P37" s="561">
        <v>56923.06</v>
      </c>
      <c r="Q37" s="561">
        <v>61855.35999999999</v>
      </c>
      <c r="R37" s="561">
        <v>79092.64</v>
      </c>
      <c r="S37" s="561">
        <v>88456.51000000001</v>
      </c>
      <c r="T37" s="439">
        <f>SUM(T38:T41)</f>
        <v>69044</v>
      </c>
      <c r="U37" s="688">
        <f>SUM(U38:U41)</f>
        <v>62049.6</v>
      </c>
      <c r="V37" s="615">
        <f t="shared" si="0"/>
        <v>89.86964834018887</v>
      </c>
      <c r="X37" s="2"/>
    </row>
    <row r="38" spans="1:24" ht="12.75">
      <c r="A38" s="727"/>
      <c r="B38" s="207">
        <v>610</v>
      </c>
      <c r="C38" s="36" t="s">
        <v>233</v>
      </c>
      <c r="D38" s="141"/>
      <c r="E38" s="141"/>
      <c r="F38" s="141"/>
      <c r="G38" s="141"/>
      <c r="H38" s="141">
        <v>19662</v>
      </c>
      <c r="I38" s="36">
        <v>20165</v>
      </c>
      <c r="J38" s="37">
        <v>21683</v>
      </c>
      <c r="K38" s="37">
        <v>23558</v>
      </c>
      <c r="L38" s="181">
        <v>34957.48</v>
      </c>
      <c r="M38" s="181">
        <v>28518.63</v>
      </c>
      <c r="N38" s="84">
        <v>34041.99</v>
      </c>
      <c r="O38" s="181">
        <v>33212</v>
      </c>
      <c r="P38" s="181">
        <v>33912.11</v>
      </c>
      <c r="Q38" s="181">
        <v>39048.27</v>
      </c>
      <c r="R38" s="181">
        <v>51259.94</v>
      </c>
      <c r="S38" s="181">
        <v>53526.83</v>
      </c>
      <c r="T38" s="449">
        <v>39309</v>
      </c>
      <c r="U38" s="685">
        <v>34695.98</v>
      </c>
      <c r="V38" s="533">
        <f t="shared" si="0"/>
        <v>88.26472309140401</v>
      </c>
      <c r="X38" s="2"/>
    </row>
    <row r="39" spans="1:24" ht="12.75">
      <c r="A39" s="728"/>
      <c r="B39" s="208">
        <v>620</v>
      </c>
      <c r="C39" s="38" t="s">
        <v>234</v>
      </c>
      <c r="D39" s="219"/>
      <c r="E39" s="219"/>
      <c r="F39" s="219"/>
      <c r="G39" s="219"/>
      <c r="H39" s="219">
        <v>6810</v>
      </c>
      <c r="I39" s="38">
        <v>7285</v>
      </c>
      <c r="J39" s="39">
        <v>7713</v>
      </c>
      <c r="K39" s="39">
        <v>8188</v>
      </c>
      <c r="L39" s="183">
        <v>13167.56</v>
      </c>
      <c r="M39" s="183">
        <v>9242.21</v>
      </c>
      <c r="N39" s="24">
        <v>11670.69</v>
      </c>
      <c r="O39" s="183">
        <v>11626.24</v>
      </c>
      <c r="P39" s="183">
        <v>11789.54</v>
      </c>
      <c r="Q39" s="183">
        <v>13624.06</v>
      </c>
      <c r="R39" s="183">
        <v>17577.69</v>
      </c>
      <c r="S39" s="183">
        <v>17891.14</v>
      </c>
      <c r="T39" s="450">
        <v>13737</v>
      </c>
      <c r="U39" s="611">
        <v>11686.92</v>
      </c>
      <c r="V39" s="533">
        <f t="shared" si="0"/>
        <v>85.07621751474122</v>
      </c>
      <c r="W39" s="2"/>
      <c r="X39" s="2"/>
    </row>
    <row r="40" spans="1:24" ht="12.75">
      <c r="A40" s="728"/>
      <c r="B40" s="208">
        <v>630</v>
      </c>
      <c r="C40" s="38" t="s">
        <v>235</v>
      </c>
      <c r="D40" s="219"/>
      <c r="E40" s="219"/>
      <c r="F40" s="219"/>
      <c r="G40" s="219"/>
      <c r="H40" s="219">
        <v>16570</v>
      </c>
      <c r="I40" s="38">
        <v>15543</v>
      </c>
      <c r="J40" s="39">
        <v>16501</v>
      </c>
      <c r="K40" s="39">
        <v>13727</v>
      </c>
      <c r="L40" s="183">
        <v>20379.17</v>
      </c>
      <c r="M40" s="183">
        <v>19888.42</v>
      </c>
      <c r="N40" s="24">
        <v>21248.55</v>
      </c>
      <c r="O40" s="183">
        <v>16832.53</v>
      </c>
      <c r="P40" s="183">
        <v>11149.41</v>
      </c>
      <c r="Q40" s="183">
        <v>8952.96</v>
      </c>
      <c r="R40" s="183">
        <v>10087.28</v>
      </c>
      <c r="S40" s="183">
        <v>16926.13</v>
      </c>
      <c r="T40" s="450">
        <v>15998</v>
      </c>
      <c r="U40" s="611">
        <v>15284.81</v>
      </c>
      <c r="V40" s="533">
        <f t="shared" si="0"/>
        <v>95.54200525065633</v>
      </c>
      <c r="X40" s="2"/>
    </row>
    <row r="41" spans="1:24" ht="13.5" thickBot="1">
      <c r="A41" s="729"/>
      <c r="B41" s="208">
        <v>640</v>
      </c>
      <c r="C41" s="186" t="s">
        <v>236</v>
      </c>
      <c r="D41" s="206"/>
      <c r="E41" s="206"/>
      <c r="F41" s="206"/>
      <c r="G41" s="206"/>
      <c r="H41" s="206"/>
      <c r="I41" s="128"/>
      <c r="J41" s="39"/>
      <c r="K41" s="39">
        <v>131</v>
      </c>
      <c r="L41" s="103">
        <v>2264.16</v>
      </c>
      <c r="M41" s="103">
        <v>116.16</v>
      </c>
      <c r="N41" s="62">
        <v>257.35</v>
      </c>
      <c r="O41" s="103">
        <v>909.48</v>
      </c>
      <c r="P41" s="103">
        <v>72</v>
      </c>
      <c r="Q41" s="103">
        <v>230.07</v>
      </c>
      <c r="R41" s="103">
        <v>167.73</v>
      </c>
      <c r="S41" s="103">
        <v>112.41</v>
      </c>
      <c r="T41" s="437"/>
      <c r="U41" s="686">
        <v>381.89</v>
      </c>
      <c r="V41" s="533">
        <f t="shared" si="0"/>
        <v>0</v>
      </c>
      <c r="X41" s="2"/>
    </row>
    <row r="42" spans="1:24" ht="15.75" thickBot="1">
      <c r="A42" s="190" t="s">
        <v>256</v>
      </c>
      <c r="B42" s="748" t="s">
        <v>257</v>
      </c>
      <c r="C42" s="765"/>
      <c r="D42" s="212">
        <v>0</v>
      </c>
      <c r="E42" s="212">
        <v>0</v>
      </c>
      <c r="F42" s="212">
        <v>0</v>
      </c>
      <c r="G42" s="212">
        <v>66</v>
      </c>
      <c r="H42" s="212">
        <v>175</v>
      </c>
      <c r="I42" s="60">
        <v>269</v>
      </c>
      <c r="J42" s="60">
        <v>182</v>
      </c>
      <c r="K42" s="60">
        <v>104</v>
      </c>
      <c r="L42" s="192">
        <v>169.4</v>
      </c>
      <c r="M42" s="192">
        <v>87.6</v>
      </c>
      <c r="N42" s="436">
        <v>40.1</v>
      </c>
      <c r="O42" s="436">
        <v>0</v>
      </c>
      <c r="P42" s="436">
        <v>69.25</v>
      </c>
      <c r="Q42" s="560">
        <v>440.25</v>
      </c>
      <c r="R42" s="560">
        <v>53</v>
      </c>
      <c r="S42" s="560">
        <v>150</v>
      </c>
      <c r="T42" s="436">
        <f>T43</f>
        <v>200</v>
      </c>
      <c r="U42" s="688">
        <f>U43</f>
        <v>583.1</v>
      </c>
      <c r="V42" s="615">
        <f t="shared" si="0"/>
        <v>291.55</v>
      </c>
      <c r="X42" s="2"/>
    </row>
    <row r="43" spans="1:24" ht="13.5" thickBot="1">
      <c r="A43" s="228"/>
      <c r="B43" s="229">
        <v>640</v>
      </c>
      <c r="C43" s="128" t="s">
        <v>258</v>
      </c>
      <c r="D43" s="216"/>
      <c r="E43" s="216"/>
      <c r="F43" s="216"/>
      <c r="G43" s="216">
        <v>66</v>
      </c>
      <c r="H43" s="216">
        <v>175</v>
      </c>
      <c r="I43" s="128">
        <v>269</v>
      </c>
      <c r="J43" s="128">
        <v>182</v>
      </c>
      <c r="K43" s="128">
        <v>104</v>
      </c>
      <c r="L43" s="230">
        <v>169.4</v>
      </c>
      <c r="M43" s="224">
        <v>87.6</v>
      </c>
      <c r="N43" s="12">
        <v>40.1</v>
      </c>
      <c r="O43" s="12"/>
      <c r="P43" s="12">
        <v>69.25</v>
      </c>
      <c r="Q43" s="225">
        <v>440.25</v>
      </c>
      <c r="R43" s="225">
        <v>53</v>
      </c>
      <c r="S43" s="225">
        <v>150</v>
      </c>
      <c r="T43" s="438">
        <v>200</v>
      </c>
      <c r="U43" s="687">
        <v>583.1</v>
      </c>
      <c r="V43" s="533">
        <f t="shared" si="0"/>
        <v>291.55</v>
      </c>
      <c r="X43" s="2"/>
    </row>
    <row r="44" spans="1:24" ht="15.75" thickBot="1">
      <c r="A44" s="190" t="s">
        <v>57</v>
      </c>
      <c r="B44" s="748" t="s">
        <v>60</v>
      </c>
      <c r="C44" s="765"/>
      <c r="D44" s="191">
        <v>29310</v>
      </c>
      <c r="E44" s="191">
        <v>30173</v>
      </c>
      <c r="F44" s="191">
        <v>33061</v>
      </c>
      <c r="G44" s="191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27">
        <v>31580.040000000005</v>
      </c>
      <c r="N44" s="439">
        <v>36470.850000000006</v>
      </c>
      <c r="O44" s="561">
        <v>54203.55</v>
      </c>
      <c r="P44" s="561">
        <v>87006.54</v>
      </c>
      <c r="Q44" s="561">
        <v>79163.91</v>
      </c>
      <c r="R44" s="561">
        <v>44376.84</v>
      </c>
      <c r="S44" s="561">
        <v>104096.26</v>
      </c>
      <c r="T44" s="439">
        <f>SUM(T45:T50)</f>
        <v>47757</v>
      </c>
      <c r="U44" s="688">
        <f>SUM(U45:U50)</f>
        <v>48272.28</v>
      </c>
      <c r="V44" s="615">
        <f t="shared" si="0"/>
        <v>101.07896224637226</v>
      </c>
      <c r="X44" s="2"/>
    </row>
    <row r="45" spans="1:24" ht="12.75">
      <c r="A45" s="727"/>
      <c r="B45" s="180">
        <v>610</v>
      </c>
      <c r="C45" s="36" t="s">
        <v>233</v>
      </c>
      <c r="D45" s="141"/>
      <c r="E45" s="141">
        <v>17128</v>
      </c>
      <c r="F45" s="141">
        <v>19186</v>
      </c>
      <c r="G45" s="141">
        <v>18647</v>
      </c>
      <c r="H45" s="141">
        <v>19330</v>
      </c>
      <c r="I45" s="36">
        <v>19430</v>
      </c>
      <c r="J45" s="37">
        <v>19249</v>
      </c>
      <c r="K45" s="37">
        <v>18860</v>
      </c>
      <c r="L45" s="134">
        <v>17749.95</v>
      </c>
      <c r="M45" s="134">
        <v>21482.58</v>
      </c>
      <c r="N45" s="84">
        <v>23137.49</v>
      </c>
      <c r="O45" s="181">
        <v>24187.48</v>
      </c>
      <c r="P45" s="181">
        <v>31091.66</v>
      </c>
      <c r="Q45" s="181">
        <v>33641.45</v>
      </c>
      <c r="R45" s="181">
        <v>32681.3</v>
      </c>
      <c r="S45" s="181">
        <v>23174.11</v>
      </c>
      <c r="T45" s="449">
        <v>32202</v>
      </c>
      <c r="U45" s="690">
        <v>32790.61</v>
      </c>
      <c r="V45" s="533">
        <f t="shared" si="0"/>
        <v>101.827867834296</v>
      </c>
      <c r="X45" s="2"/>
    </row>
    <row r="46" spans="1:24" ht="12.75">
      <c r="A46" s="728"/>
      <c r="B46" s="182">
        <v>620</v>
      </c>
      <c r="C46" s="38" t="s">
        <v>234</v>
      </c>
      <c r="D46" s="219"/>
      <c r="E46" s="219">
        <v>6174</v>
      </c>
      <c r="F46" s="219">
        <v>6440</v>
      </c>
      <c r="G46" s="219">
        <v>6250</v>
      </c>
      <c r="H46" s="219">
        <v>6780</v>
      </c>
      <c r="I46" s="38">
        <v>6793</v>
      </c>
      <c r="J46" s="39">
        <v>6741</v>
      </c>
      <c r="K46" s="39">
        <v>6528</v>
      </c>
      <c r="L46" s="101">
        <v>6227.83</v>
      </c>
      <c r="M46" s="101">
        <v>7544.26</v>
      </c>
      <c r="N46" s="24">
        <v>8118.17</v>
      </c>
      <c r="O46" s="183">
        <v>8499.7</v>
      </c>
      <c r="P46" s="183">
        <v>10918.71</v>
      </c>
      <c r="Q46" s="183">
        <v>11858.77</v>
      </c>
      <c r="R46" s="183">
        <v>11044.98</v>
      </c>
      <c r="S46" s="183">
        <v>7938.05</v>
      </c>
      <c r="T46" s="450">
        <v>11455</v>
      </c>
      <c r="U46" s="611">
        <v>11644.26</v>
      </c>
      <c r="V46" s="533">
        <f t="shared" si="0"/>
        <v>101.65220427760804</v>
      </c>
      <c r="X46" s="2"/>
    </row>
    <row r="47" spans="1:24" ht="12.75">
      <c r="A47" s="728"/>
      <c r="B47" s="182">
        <v>630</v>
      </c>
      <c r="C47" s="38" t="s">
        <v>235</v>
      </c>
      <c r="D47" s="219"/>
      <c r="E47" s="219">
        <v>6871</v>
      </c>
      <c r="F47" s="219">
        <v>7435</v>
      </c>
      <c r="G47" s="219">
        <v>6318</v>
      </c>
      <c r="H47" s="219">
        <v>4078</v>
      </c>
      <c r="I47" s="38">
        <v>4028</v>
      </c>
      <c r="J47" s="39">
        <v>3912</v>
      </c>
      <c r="K47" s="39">
        <v>2534</v>
      </c>
      <c r="L47" s="101">
        <v>2758.28</v>
      </c>
      <c r="M47" s="101">
        <v>2553.2</v>
      </c>
      <c r="N47" s="24">
        <v>5215.19</v>
      </c>
      <c r="O47" s="183">
        <v>7214.150000000001</v>
      </c>
      <c r="P47" s="183">
        <v>3273.6100000000006</v>
      </c>
      <c r="Q47" s="183">
        <v>2843.350000000004</v>
      </c>
      <c r="R47" s="183">
        <v>650.56</v>
      </c>
      <c r="S47" s="183">
        <v>1161.9700000000012</v>
      </c>
      <c r="T47" s="450">
        <v>4100</v>
      </c>
      <c r="U47" s="611">
        <v>3837.41</v>
      </c>
      <c r="V47" s="533">
        <f t="shared" si="0"/>
        <v>93.59536585365854</v>
      </c>
      <c r="X47" s="2"/>
    </row>
    <row r="48" spans="1:24" ht="12.75">
      <c r="A48" s="728"/>
      <c r="B48" s="594">
        <v>630</v>
      </c>
      <c r="C48" s="42" t="s">
        <v>366</v>
      </c>
      <c r="D48" s="595"/>
      <c r="E48" s="595"/>
      <c r="F48" s="595"/>
      <c r="G48" s="595"/>
      <c r="H48" s="595"/>
      <c r="I48" s="42"/>
      <c r="J48" s="65"/>
      <c r="K48" s="65"/>
      <c r="L48" s="232"/>
      <c r="M48" s="232"/>
      <c r="N48" s="27"/>
      <c r="O48" s="201"/>
      <c r="P48" s="201"/>
      <c r="Q48" s="201">
        <v>8549.6</v>
      </c>
      <c r="R48" s="201"/>
      <c r="S48" s="201">
        <v>33668.23</v>
      </c>
      <c r="T48" s="459"/>
      <c r="U48" s="686"/>
      <c r="V48" s="533">
        <f t="shared" si="0"/>
        <v>0</v>
      </c>
      <c r="X48" s="2"/>
    </row>
    <row r="49" spans="1:24" ht="12.75">
      <c r="A49" s="728"/>
      <c r="B49" s="594">
        <v>630</v>
      </c>
      <c r="C49" s="42" t="s">
        <v>353</v>
      </c>
      <c r="D49" s="595"/>
      <c r="E49" s="595"/>
      <c r="F49" s="595"/>
      <c r="G49" s="595"/>
      <c r="H49" s="595"/>
      <c r="I49" s="42"/>
      <c r="J49" s="65"/>
      <c r="K49" s="65"/>
      <c r="L49" s="232"/>
      <c r="M49" s="232"/>
      <c r="N49" s="27"/>
      <c r="O49" s="201"/>
      <c r="P49" s="201"/>
      <c r="Q49" s="201">
        <v>22270.739999999998</v>
      </c>
      <c r="R49" s="201"/>
      <c r="S49" s="201">
        <v>28535.95</v>
      </c>
      <c r="T49" s="459"/>
      <c r="U49" s="686"/>
      <c r="V49" s="533">
        <f t="shared" si="0"/>
        <v>0</v>
      </c>
      <c r="X49" s="2"/>
    </row>
    <row r="50" spans="1:24" ht="13.5" thickBot="1">
      <c r="A50" s="729"/>
      <c r="B50" s="306">
        <v>630</v>
      </c>
      <c r="C50" s="41" t="s">
        <v>164</v>
      </c>
      <c r="D50" s="136"/>
      <c r="E50" s="136"/>
      <c r="F50" s="136"/>
      <c r="G50" s="136"/>
      <c r="H50" s="136"/>
      <c r="I50" s="41"/>
      <c r="J50" s="54"/>
      <c r="K50" s="54"/>
      <c r="L50" s="282"/>
      <c r="M50" s="282"/>
      <c r="N50" s="43"/>
      <c r="O50" s="233">
        <v>14302.22</v>
      </c>
      <c r="P50" s="233">
        <v>41722.56</v>
      </c>
      <c r="Q50" s="233"/>
      <c r="R50" s="233"/>
      <c r="S50" s="233">
        <v>9617.95</v>
      </c>
      <c r="T50" s="441"/>
      <c r="U50" s="691"/>
      <c r="V50" s="533">
        <f t="shared" si="0"/>
        <v>0</v>
      </c>
      <c r="X50" s="2"/>
    </row>
    <row r="51" spans="1:24" ht="15.75" thickBot="1">
      <c r="A51" s="190" t="s">
        <v>204</v>
      </c>
      <c r="B51" s="748" t="s">
        <v>206</v>
      </c>
      <c r="C51" s="765"/>
      <c r="D51" s="212">
        <v>13278</v>
      </c>
      <c r="E51" s="212">
        <v>366029</v>
      </c>
      <c r="F51" s="212">
        <v>277733</v>
      </c>
      <c r="G51" s="212">
        <v>398013</v>
      </c>
      <c r="H51" s="212">
        <v>368170</v>
      </c>
      <c r="I51" s="60">
        <v>294633</v>
      </c>
      <c r="J51" s="60">
        <v>216960</v>
      </c>
      <c r="K51" s="60">
        <v>236599</v>
      </c>
      <c r="L51" s="192">
        <v>216987.18</v>
      </c>
      <c r="M51" s="192">
        <v>226497.02000000002</v>
      </c>
      <c r="N51" s="436">
        <v>249510.29</v>
      </c>
      <c r="O51" s="560">
        <v>263692.45</v>
      </c>
      <c r="P51" s="560">
        <v>362393.4</v>
      </c>
      <c r="Q51" s="560">
        <v>432250.81000000006</v>
      </c>
      <c r="R51" s="560">
        <v>428213.62</v>
      </c>
      <c r="S51" s="560">
        <v>591802.98</v>
      </c>
      <c r="T51" s="436">
        <f>SUM(T52:T56)</f>
        <v>495779</v>
      </c>
      <c r="U51" s="688">
        <f>SUM(U52:U56)</f>
        <v>455466.76999999996</v>
      </c>
      <c r="V51" s="615">
        <f t="shared" si="0"/>
        <v>91.86891134961343</v>
      </c>
      <c r="X51" s="2"/>
    </row>
    <row r="52" spans="1:24" ht="12.75">
      <c r="A52" s="774"/>
      <c r="B52" s="237">
        <v>640</v>
      </c>
      <c r="C52" s="234" t="s">
        <v>259</v>
      </c>
      <c r="D52" s="235"/>
      <c r="E52" s="235"/>
      <c r="F52" s="235"/>
      <c r="G52" s="235"/>
      <c r="H52" s="235">
        <v>307476</v>
      </c>
      <c r="I52" s="236">
        <v>234550</v>
      </c>
      <c r="J52" s="37">
        <v>150070</v>
      </c>
      <c r="K52" s="37">
        <v>167336</v>
      </c>
      <c r="L52" s="181">
        <v>148104</v>
      </c>
      <c r="M52" s="195">
        <v>157211</v>
      </c>
      <c r="N52" s="126">
        <v>183945</v>
      </c>
      <c r="O52" s="195">
        <v>167281</v>
      </c>
      <c r="P52" s="195">
        <v>263000</v>
      </c>
      <c r="Q52" s="195">
        <v>334227.87</v>
      </c>
      <c r="R52" s="195">
        <v>336389.93</v>
      </c>
      <c r="S52" s="195">
        <v>506164.22</v>
      </c>
      <c r="T52" s="126">
        <v>355779</v>
      </c>
      <c r="U52" s="685">
        <v>328020.68</v>
      </c>
      <c r="V52" s="533">
        <f t="shared" si="0"/>
        <v>92.19787564752275</v>
      </c>
      <c r="X52" s="2"/>
    </row>
    <row r="53" spans="1:24" ht="12.75">
      <c r="A53" s="775"/>
      <c r="B53" s="237">
        <v>640</v>
      </c>
      <c r="C53" s="238" t="s">
        <v>371</v>
      </c>
      <c r="D53" s="239"/>
      <c r="E53" s="239"/>
      <c r="F53" s="239"/>
      <c r="G53" s="239"/>
      <c r="H53" s="239"/>
      <c r="I53" s="240"/>
      <c r="J53" s="51"/>
      <c r="K53" s="51"/>
      <c r="L53" s="105"/>
      <c r="M53" s="115"/>
      <c r="N53" s="20"/>
      <c r="O53" s="115">
        <v>28183</v>
      </c>
      <c r="P53" s="115"/>
      <c r="Q53" s="115"/>
      <c r="R53" s="115">
        <v>5650.15</v>
      </c>
      <c r="S53" s="115"/>
      <c r="T53" s="453">
        <v>0</v>
      </c>
      <c r="U53" s="685"/>
      <c r="V53" s="533">
        <f t="shared" si="0"/>
        <v>0</v>
      </c>
      <c r="X53" s="2"/>
    </row>
    <row r="54" spans="1:24" ht="12.75">
      <c r="A54" s="775"/>
      <c r="B54" s="237">
        <v>630</v>
      </c>
      <c r="C54" s="238" t="s">
        <v>205</v>
      </c>
      <c r="D54" s="239"/>
      <c r="E54" s="239"/>
      <c r="F54" s="239"/>
      <c r="G54" s="239"/>
      <c r="H54" s="239">
        <v>9596</v>
      </c>
      <c r="I54" s="240">
        <v>3094</v>
      </c>
      <c r="J54" s="39">
        <v>2060</v>
      </c>
      <c r="K54" s="39">
        <v>1011</v>
      </c>
      <c r="L54" s="105">
        <v>1770</v>
      </c>
      <c r="M54" s="115">
        <v>1790</v>
      </c>
      <c r="N54" s="20">
        <v>1340</v>
      </c>
      <c r="O54" s="115">
        <v>3846.12</v>
      </c>
      <c r="P54" s="115">
        <v>1800</v>
      </c>
      <c r="Q54" s="115">
        <v>1980</v>
      </c>
      <c r="R54" s="115">
        <v>0</v>
      </c>
      <c r="S54" s="115"/>
      <c r="T54" s="20">
        <v>0</v>
      </c>
      <c r="U54" s="611"/>
      <c r="V54" s="533">
        <f t="shared" si="0"/>
        <v>0</v>
      </c>
      <c r="X54" s="2"/>
    </row>
    <row r="55" spans="1:24" ht="12.75">
      <c r="A55" s="775"/>
      <c r="B55" s="237">
        <v>630</v>
      </c>
      <c r="C55" s="238" t="s">
        <v>335</v>
      </c>
      <c r="D55" s="239"/>
      <c r="E55" s="239"/>
      <c r="F55" s="239"/>
      <c r="G55" s="239"/>
      <c r="H55" s="239"/>
      <c r="I55" s="240"/>
      <c r="J55" s="39"/>
      <c r="K55" s="39"/>
      <c r="L55" s="105"/>
      <c r="M55" s="115"/>
      <c r="N55" s="20">
        <v>0</v>
      </c>
      <c r="O55" s="115"/>
      <c r="P55" s="115">
        <v>27926.51</v>
      </c>
      <c r="Q55" s="115">
        <v>25015.09</v>
      </c>
      <c r="R55" s="115">
        <v>16116.5</v>
      </c>
      <c r="S55" s="115">
        <v>16532.2</v>
      </c>
      <c r="T55" s="453">
        <v>45000</v>
      </c>
      <c r="U55" s="611">
        <v>26556.11</v>
      </c>
      <c r="V55" s="533">
        <f t="shared" si="0"/>
        <v>59.01357777777778</v>
      </c>
      <c r="X55" s="2"/>
    </row>
    <row r="56" spans="1:24" ht="13.5" thickBot="1">
      <c r="A56" s="776"/>
      <c r="B56" s="210">
        <v>640</v>
      </c>
      <c r="C56" s="241" t="s">
        <v>260</v>
      </c>
      <c r="D56" s="242"/>
      <c r="E56" s="242"/>
      <c r="F56" s="242"/>
      <c r="G56" s="242"/>
      <c r="H56" s="242">
        <v>49953</v>
      </c>
      <c r="I56" s="243">
        <v>56989</v>
      </c>
      <c r="J56" s="54">
        <v>64830</v>
      </c>
      <c r="K56" s="54">
        <v>68252</v>
      </c>
      <c r="L56" s="189">
        <v>67113.18</v>
      </c>
      <c r="M56" s="244">
        <v>67496.02</v>
      </c>
      <c r="N56" s="74">
        <v>64225.29</v>
      </c>
      <c r="O56" s="244">
        <v>64382.33</v>
      </c>
      <c r="P56" s="244">
        <v>69666.89</v>
      </c>
      <c r="Q56" s="244">
        <v>71027.85</v>
      </c>
      <c r="R56" s="244">
        <v>70057.04</v>
      </c>
      <c r="S56" s="244">
        <v>69106.56</v>
      </c>
      <c r="T56" s="454">
        <v>95000</v>
      </c>
      <c r="U56" s="686">
        <v>100889.98</v>
      </c>
      <c r="V56" s="533">
        <f t="shared" si="0"/>
        <v>106.19997894736841</v>
      </c>
      <c r="X56" s="2"/>
    </row>
    <row r="57" spans="1:24" ht="15.75" thickBot="1">
      <c r="A57" s="245" t="s">
        <v>67</v>
      </c>
      <c r="B57" s="777" t="s">
        <v>68</v>
      </c>
      <c r="C57" s="740"/>
      <c r="D57" s="247">
        <v>33426</v>
      </c>
      <c r="E57" s="247">
        <v>39800</v>
      </c>
      <c r="F57" s="247">
        <v>42953</v>
      </c>
      <c r="G57" s="247">
        <v>66506</v>
      </c>
      <c r="H57" s="247">
        <v>76065</v>
      </c>
      <c r="I57" s="69">
        <v>59613</v>
      </c>
      <c r="J57" s="69">
        <v>58168</v>
      </c>
      <c r="K57" s="69">
        <v>57293</v>
      </c>
      <c r="L57" s="69">
        <v>53359.31</v>
      </c>
      <c r="M57" s="70">
        <v>49261.270000000004</v>
      </c>
      <c r="N57" s="440">
        <v>69492.78</v>
      </c>
      <c r="O57" s="562">
        <v>86003.89000000001</v>
      </c>
      <c r="P57" s="562">
        <v>106730.37000000001</v>
      </c>
      <c r="Q57" s="562">
        <v>101186.41</v>
      </c>
      <c r="R57" s="562">
        <v>96374.92</v>
      </c>
      <c r="S57" s="562">
        <v>121874.13</v>
      </c>
      <c r="T57" s="440">
        <f>T58+T62+T64+T65+T66+T67+T68+T63</f>
        <v>143094</v>
      </c>
      <c r="U57" s="688">
        <f>U58+U62+U64+U65+U66+U67+U68+U63+U69</f>
        <v>127099.95999999999</v>
      </c>
      <c r="V57" s="615">
        <f t="shared" si="0"/>
        <v>88.82270395683956</v>
      </c>
      <c r="X57" s="2"/>
    </row>
    <row r="58" spans="1:24" ht="13.5" thickBot="1">
      <c r="A58" s="778"/>
      <c r="B58" s="784" t="s">
        <v>261</v>
      </c>
      <c r="C58" s="785"/>
      <c r="D58" s="248">
        <v>0</v>
      </c>
      <c r="E58" s="248">
        <v>13477</v>
      </c>
      <c r="F58" s="248">
        <v>15800</v>
      </c>
      <c r="G58" s="248">
        <v>26596</v>
      </c>
      <c r="H58" s="248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02">
        <v>26493.65</v>
      </c>
      <c r="N58" s="438">
        <v>11116.460000000001</v>
      </c>
      <c r="O58" s="563">
        <v>18582.04</v>
      </c>
      <c r="P58" s="563">
        <v>14813.99</v>
      </c>
      <c r="Q58" s="563">
        <v>26680.239999999994</v>
      </c>
      <c r="R58" s="563">
        <v>30733.109999999997</v>
      </c>
      <c r="S58" s="563">
        <v>27824.831324799998</v>
      </c>
      <c r="T58" s="438">
        <f>SUM(T59:T61)</f>
        <v>30218</v>
      </c>
      <c r="U58" s="688">
        <f>SUM(U59:U61)</f>
        <v>24251.070000000003</v>
      </c>
      <c r="V58" s="534">
        <f t="shared" si="0"/>
        <v>80.25372294658814</v>
      </c>
      <c r="X58" s="2"/>
    </row>
    <row r="59" spans="1:24" ht="12.75">
      <c r="A59" s="779"/>
      <c r="B59" s="249">
        <v>610</v>
      </c>
      <c r="C59" s="19" t="s">
        <v>233</v>
      </c>
      <c r="D59" s="79"/>
      <c r="E59" s="79"/>
      <c r="F59" s="79"/>
      <c r="G59" s="79"/>
      <c r="H59" s="79">
        <v>16865</v>
      </c>
      <c r="I59" s="19">
        <v>17260</v>
      </c>
      <c r="J59" s="37">
        <v>15432</v>
      </c>
      <c r="K59" s="37">
        <v>15427</v>
      </c>
      <c r="L59" s="21">
        <v>14767.98</v>
      </c>
      <c r="M59" s="115">
        <v>15800.44</v>
      </c>
      <c r="N59" s="20">
        <v>9158.78</v>
      </c>
      <c r="O59" s="115">
        <v>10007.84</v>
      </c>
      <c r="P59" s="115">
        <v>10778.65</v>
      </c>
      <c r="Q59" s="115">
        <v>13605.65</v>
      </c>
      <c r="R59" s="115">
        <v>13497.82</v>
      </c>
      <c r="S59" s="115">
        <v>13380.38</v>
      </c>
      <c r="T59" s="455">
        <v>16712</v>
      </c>
      <c r="U59" s="685">
        <v>12986.24</v>
      </c>
      <c r="V59" s="533">
        <f t="shared" si="0"/>
        <v>77.7060794638583</v>
      </c>
      <c r="X59" s="2"/>
    </row>
    <row r="60" spans="1:24" ht="12.75">
      <c r="A60" s="779"/>
      <c r="B60" s="249">
        <v>620</v>
      </c>
      <c r="C60" s="19" t="s">
        <v>234</v>
      </c>
      <c r="D60" s="79"/>
      <c r="E60" s="79"/>
      <c r="F60" s="79"/>
      <c r="G60" s="79"/>
      <c r="H60" s="79">
        <v>6017</v>
      </c>
      <c r="I60" s="19">
        <v>6225</v>
      </c>
      <c r="J60" s="39">
        <v>5547</v>
      </c>
      <c r="K60" s="39">
        <v>5746</v>
      </c>
      <c r="L60" s="21">
        <v>5836.68</v>
      </c>
      <c r="M60" s="115">
        <v>5402.44</v>
      </c>
      <c r="N60" s="20">
        <v>1957.68</v>
      </c>
      <c r="O60" s="115">
        <v>3763.52</v>
      </c>
      <c r="P60" s="115">
        <v>4035.34</v>
      </c>
      <c r="Q60" s="115">
        <v>5883.76</v>
      </c>
      <c r="R60" s="115">
        <v>6228.87</v>
      </c>
      <c r="S60" s="115">
        <v>6884.72</v>
      </c>
      <c r="T60" s="455">
        <v>6006</v>
      </c>
      <c r="U60" s="611">
        <v>7355.7</v>
      </c>
      <c r="V60" s="533">
        <f t="shared" si="0"/>
        <v>122.47252747252746</v>
      </c>
      <c r="X60" s="2"/>
    </row>
    <row r="61" spans="1:24" ht="13.5" thickBot="1">
      <c r="A61" s="779"/>
      <c r="B61" s="250">
        <v>630</v>
      </c>
      <c r="C61" s="72" t="s">
        <v>235</v>
      </c>
      <c r="D61" s="251"/>
      <c r="E61" s="251"/>
      <c r="F61" s="251"/>
      <c r="G61" s="251"/>
      <c r="H61" s="251">
        <v>2441</v>
      </c>
      <c r="I61" s="72">
        <v>1903</v>
      </c>
      <c r="J61" s="54">
        <v>2598</v>
      </c>
      <c r="K61" s="54">
        <v>4335</v>
      </c>
      <c r="L61" s="68">
        <v>6362.15</v>
      </c>
      <c r="M61" s="244">
        <v>5290.77</v>
      </c>
      <c r="N61" s="74"/>
      <c r="O61" s="244">
        <v>4810.68</v>
      </c>
      <c r="P61" s="244"/>
      <c r="Q61" s="244">
        <v>7190.8299999999945</v>
      </c>
      <c r="R61" s="244">
        <v>11006.419999999998</v>
      </c>
      <c r="S61" s="244">
        <v>7559.731324799999</v>
      </c>
      <c r="T61" s="441">
        <v>7500</v>
      </c>
      <c r="U61" s="692">
        <v>3909.1300000000047</v>
      </c>
      <c r="V61" s="632">
        <f t="shared" si="0"/>
        <v>52.121733333333395</v>
      </c>
      <c r="X61" s="2"/>
    </row>
    <row r="62" spans="1:32" ht="12.75">
      <c r="A62" s="779"/>
      <c r="B62" s="249">
        <v>600</v>
      </c>
      <c r="C62" s="19" t="s">
        <v>262</v>
      </c>
      <c r="D62" s="79"/>
      <c r="E62" s="79"/>
      <c r="F62" s="79"/>
      <c r="G62" s="79"/>
      <c r="H62" s="79"/>
      <c r="I62" s="19">
        <v>9190</v>
      </c>
      <c r="J62" s="79">
        <v>6912</v>
      </c>
      <c r="K62" s="79">
        <v>9446</v>
      </c>
      <c r="L62" s="79">
        <v>4778.18</v>
      </c>
      <c r="M62" s="364">
        <v>8683.39</v>
      </c>
      <c r="N62" s="20">
        <v>34595.32</v>
      </c>
      <c r="O62" s="115">
        <v>40079.16</v>
      </c>
      <c r="P62" s="115">
        <v>63662.49</v>
      </c>
      <c r="Q62" s="115">
        <v>16897.65</v>
      </c>
      <c r="R62" s="115">
        <v>16500</v>
      </c>
      <c r="S62" s="115">
        <v>18403.2986752</v>
      </c>
      <c r="T62" s="455">
        <v>34500</v>
      </c>
      <c r="U62" s="685">
        <f>7081.5+21791.13</f>
        <v>28872.63</v>
      </c>
      <c r="V62" s="533">
        <f t="shared" si="0"/>
        <v>83.68878260869566</v>
      </c>
      <c r="X62" s="2"/>
      <c r="AF62" s="413"/>
    </row>
    <row r="63" spans="1:24" ht="12.75">
      <c r="A63" s="779"/>
      <c r="B63" s="249">
        <v>600</v>
      </c>
      <c r="C63" s="19" t="s">
        <v>436</v>
      </c>
      <c r="D63" s="79"/>
      <c r="E63" s="79"/>
      <c r="F63" s="79"/>
      <c r="G63" s="79"/>
      <c r="H63" s="79"/>
      <c r="I63" s="19">
        <v>2000</v>
      </c>
      <c r="J63" s="79"/>
      <c r="K63" s="79"/>
      <c r="L63" s="79"/>
      <c r="M63" s="487"/>
      <c r="N63" s="20">
        <v>0</v>
      </c>
      <c r="O63" s="115"/>
      <c r="P63" s="115"/>
      <c r="Q63" s="115">
        <v>21615.870000000003</v>
      </c>
      <c r="R63" s="115"/>
      <c r="S63" s="115"/>
      <c r="T63" s="450">
        <v>33423</v>
      </c>
      <c r="U63" s="611">
        <f>12983.31+25+392.4+267+384.44+859.93+9229.38+2016.17+200+1745.68+194.96+200</f>
        <v>28498.269999999997</v>
      </c>
      <c r="V63" s="533">
        <f t="shared" si="0"/>
        <v>85.26544595039344</v>
      </c>
      <c r="X63" s="2"/>
    </row>
    <row r="64" spans="1:24" ht="12.75">
      <c r="A64" s="779"/>
      <c r="B64" s="249">
        <v>600</v>
      </c>
      <c r="C64" s="22" t="s">
        <v>263</v>
      </c>
      <c r="D64" s="81"/>
      <c r="E64" s="81"/>
      <c r="F64" s="81"/>
      <c r="G64" s="81"/>
      <c r="H64" s="81"/>
      <c r="I64" s="22">
        <v>10000</v>
      </c>
      <c r="J64" s="81">
        <v>1500</v>
      </c>
      <c r="K64" s="81">
        <v>370</v>
      </c>
      <c r="L64" s="81">
        <v>592.2</v>
      </c>
      <c r="M64" s="500">
        <v>1220</v>
      </c>
      <c r="N64" s="23">
        <v>0</v>
      </c>
      <c r="O64" s="118"/>
      <c r="P64" s="118"/>
      <c r="Q64" s="118">
        <v>4000</v>
      </c>
      <c r="R64" s="118">
        <v>4000</v>
      </c>
      <c r="S64" s="118"/>
      <c r="T64" s="450">
        <v>0</v>
      </c>
      <c r="U64" s="611"/>
      <c r="V64" s="533">
        <f t="shared" si="0"/>
        <v>0</v>
      </c>
      <c r="X64" s="2"/>
    </row>
    <row r="65" spans="1:24" ht="12.75">
      <c r="A65" s="779"/>
      <c r="B65" s="249">
        <v>600</v>
      </c>
      <c r="C65" s="22" t="s">
        <v>70</v>
      </c>
      <c r="D65" s="81"/>
      <c r="E65" s="81"/>
      <c r="F65" s="81"/>
      <c r="G65" s="81"/>
      <c r="H65" s="81"/>
      <c r="I65" s="22">
        <v>1871</v>
      </c>
      <c r="J65" s="81">
        <v>2416</v>
      </c>
      <c r="K65" s="81">
        <v>4274</v>
      </c>
      <c r="L65" s="81">
        <v>2000</v>
      </c>
      <c r="M65" s="500">
        <v>3500</v>
      </c>
      <c r="N65" s="23"/>
      <c r="O65" s="118">
        <v>3571.7</v>
      </c>
      <c r="P65" s="118"/>
      <c r="Q65" s="118">
        <v>3594</v>
      </c>
      <c r="R65" s="118">
        <v>6000</v>
      </c>
      <c r="S65" s="118">
        <v>4165.32</v>
      </c>
      <c r="T65" s="450">
        <v>5000</v>
      </c>
      <c r="U65" s="611">
        <f>1101+3810.3</f>
        <v>4911.3</v>
      </c>
      <c r="V65" s="533">
        <f t="shared" si="0"/>
        <v>98.226</v>
      </c>
      <c r="X65" s="2"/>
    </row>
    <row r="66" spans="1:24" ht="12.75">
      <c r="A66" s="779"/>
      <c r="B66" s="249">
        <v>600</v>
      </c>
      <c r="C66" s="22" t="s">
        <v>264</v>
      </c>
      <c r="D66" s="81"/>
      <c r="E66" s="81"/>
      <c r="F66" s="81"/>
      <c r="G66" s="81"/>
      <c r="H66" s="81"/>
      <c r="I66" s="22">
        <v>3240</v>
      </c>
      <c r="J66" s="81">
        <v>832</v>
      </c>
      <c r="K66" s="81">
        <v>1493</v>
      </c>
      <c r="L66" s="81">
        <v>1232</v>
      </c>
      <c r="M66" s="500">
        <v>1000</v>
      </c>
      <c r="N66" s="23"/>
      <c r="O66" s="118"/>
      <c r="P66" s="118"/>
      <c r="Q66" s="118"/>
      <c r="R66" s="118"/>
      <c r="S66" s="118"/>
      <c r="T66" s="450">
        <v>0</v>
      </c>
      <c r="U66" s="611"/>
      <c r="V66" s="533">
        <f t="shared" si="0"/>
        <v>0</v>
      </c>
      <c r="X66" s="2"/>
    </row>
    <row r="67" spans="1:24" ht="12.75">
      <c r="A67" s="779"/>
      <c r="B67" s="249">
        <v>600</v>
      </c>
      <c r="C67" s="22" t="s">
        <v>207</v>
      </c>
      <c r="D67" s="81"/>
      <c r="E67" s="81"/>
      <c r="F67" s="81"/>
      <c r="G67" s="81"/>
      <c r="H67" s="81"/>
      <c r="I67" s="22">
        <v>7924</v>
      </c>
      <c r="J67" s="81">
        <v>11969</v>
      </c>
      <c r="K67" s="81">
        <v>11202</v>
      </c>
      <c r="L67" s="81">
        <v>15790.12</v>
      </c>
      <c r="M67" s="500">
        <v>6364.23</v>
      </c>
      <c r="N67" s="23">
        <v>23781</v>
      </c>
      <c r="O67" s="118">
        <v>23770.99</v>
      </c>
      <c r="P67" s="118">
        <v>28253.89</v>
      </c>
      <c r="Q67" s="118">
        <v>28398.65</v>
      </c>
      <c r="R67" s="118">
        <v>39141.81</v>
      </c>
      <c r="S67" s="118">
        <v>46536.68</v>
      </c>
      <c r="T67" s="24">
        <v>39953</v>
      </c>
      <c r="U67" s="611">
        <v>40391.34</v>
      </c>
      <c r="V67" s="533">
        <f t="shared" si="0"/>
        <v>101.09713913848772</v>
      </c>
      <c r="X67" s="2"/>
    </row>
    <row r="68" spans="1:24" ht="12.75">
      <c r="A68" s="779"/>
      <c r="B68" s="249">
        <v>600</v>
      </c>
      <c r="C68" s="22" t="s">
        <v>265</v>
      </c>
      <c r="D68" s="81"/>
      <c r="E68" s="81"/>
      <c r="F68" s="81"/>
      <c r="G68" s="81"/>
      <c r="H68" s="81"/>
      <c r="I68" s="22"/>
      <c r="J68" s="81">
        <v>4512</v>
      </c>
      <c r="K68" s="81">
        <v>5000</v>
      </c>
      <c r="L68" s="81"/>
      <c r="M68" s="252"/>
      <c r="N68" s="26">
        <v>0</v>
      </c>
      <c r="O68" s="501"/>
      <c r="P68" s="501"/>
      <c r="Q68" s="501"/>
      <c r="R68" s="501"/>
      <c r="S68" s="501">
        <v>24944</v>
      </c>
      <c r="T68" s="456">
        <v>0</v>
      </c>
      <c r="U68" s="611"/>
      <c r="V68" s="533">
        <f aca="true" t="shared" si="1" ref="V68:V131">IF(T68=0,0,U68/T68*100)</f>
        <v>0</v>
      </c>
      <c r="X68" s="2"/>
    </row>
    <row r="69" spans="1:24" ht="13.5" thickBot="1">
      <c r="A69" s="779"/>
      <c r="B69" s="249">
        <v>640</v>
      </c>
      <c r="C69" s="253" t="s">
        <v>236</v>
      </c>
      <c r="D69" s="81"/>
      <c r="E69" s="81"/>
      <c r="F69" s="81"/>
      <c r="G69" s="81"/>
      <c r="H69" s="81"/>
      <c r="I69" s="22"/>
      <c r="J69" s="81">
        <v>6450</v>
      </c>
      <c r="K69" s="79"/>
      <c r="L69" s="81"/>
      <c r="M69" s="81"/>
      <c r="N69" s="23">
        <v>0</v>
      </c>
      <c r="O69" s="118"/>
      <c r="P69" s="118"/>
      <c r="Q69" s="118"/>
      <c r="R69" s="118"/>
      <c r="S69" s="118"/>
      <c r="T69" s="456"/>
      <c r="U69" s="611">
        <f>108.15+67.2</f>
        <v>175.35000000000002</v>
      </c>
      <c r="V69" s="530">
        <f t="shared" si="1"/>
        <v>0</v>
      </c>
      <c r="X69" s="2"/>
    </row>
    <row r="70" spans="1:24" ht="13.5" hidden="1" thickBot="1">
      <c r="A70" s="780"/>
      <c r="B70" s="254">
        <v>600</v>
      </c>
      <c r="C70" s="41" t="s">
        <v>266</v>
      </c>
      <c r="D70" s="220"/>
      <c r="E70" s="220"/>
      <c r="F70" s="220"/>
      <c r="G70" s="220"/>
      <c r="H70" s="220"/>
      <c r="I70" s="128"/>
      <c r="J70" s="128"/>
      <c r="K70" s="255"/>
      <c r="L70" s="255">
        <v>2000</v>
      </c>
      <c r="M70" s="256">
        <v>2000</v>
      </c>
      <c r="N70" s="257">
        <v>0</v>
      </c>
      <c r="O70" s="504"/>
      <c r="P70" s="504"/>
      <c r="Q70" s="504"/>
      <c r="R70" s="504"/>
      <c r="S70" s="504"/>
      <c r="T70" s="457"/>
      <c r="U70" s="686"/>
      <c r="V70" s="532">
        <f t="shared" si="1"/>
        <v>0</v>
      </c>
      <c r="X70" s="2"/>
    </row>
    <row r="71" spans="1:32" ht="15.75" thickBot="1">
      <c r="A71" s="190" t="s">
        <v>267</v>
      </c>
      <c r="B71" s="748" t="s">
        <v>268</v>
      </c>
      <c r="C71" s="765"/>
      <c r="D71" s="191">
        <v>16132</v>
      </c>
      <c r="E71" s="191">
        <v>16995</v>
      </c>
      <c r="F71" s="191">
        <v>21045</v>
      </c>
      <c r="G71" s="191">
        <v>23225</v>
      </c>
      <c r="H71" s="191">
        <v>22830</v>
      </c>
      <c r="I71" s="258">
        <v>22296</v>
      </c>
      <c r="J71" s="258">
        <v>33352</v>
      </c>
      <c r="K71" s="60">
        <v>37492</v>
      </c>
      <c r="L71" s="192">
        <v>38137.74</v>
      </c>
      <c r="M71" s="503">
        <v>48253.93</v>
      </c>
      <c r="N71" s="436">
        <v>65222.28</v>
      </c>
      <c r="O71" s="560">
        <v>78515.91</v>
      </c>
      <c r="P71" s="560">
        <v>87575.21</v>
      </c>
      <c r="Q71" s="560">
        <v>113415.88</v>
      </c>
      <c r="R71" s="560">
        <v>125799.64</v>
      </c>
      <c r="S71" s="560">
        <v>110576.57</v>
      </c>
      <c r="T71" s="436">
        <f>SUM(T72:T75)</f>
        <v>135921</v>
      </c>
      <c r="U71" s="688">
        <f>SUM(U72:U75)</f>
        <v>114544.14000000001</v>
      </c>
      <c r="V71" s="615">
        <f t="shared" si="1"/>
        <v>84.27258481029423</v>
      </c>
      <c r="X71" s="2"/>
      <c r="AF71" s="413"/>
    </row>
    <row r="72" spans="1:24" ht="12.75">
      <c r="A72" s="778"/>
      <c r="B72" s="259">
        <v>610</v>
      </c>
      <c r="C72" s="114" t="s">
        <v>233</v>
      </c>
      <c r="D72" s="194"/>
      <c r="E72" s="194"/>
      <c r="F72" s="194"/>
      <c r="G72" s="194"/>
      <c r="H72" s="194"/>
      <c r="I72" s="114"/>
      <c r="J72" s="114"/>
      <c r="K72" s="77"/>
      <c r="L72" s="77"/>
      <c r="M72" s="20"/>
      <c r="N72" s="453">
        <v>65222.28</v>
      </c>
      <c r="O72" s="564">
        <v>54948.07</v>
      </c>
      <c r="P72" s="564">
        <v>60328.94</v>
      </c>
      <c r="Q72" s="564">
        <v>81894.32</v>
      </c>
      <c r="R72" s="564">
        <v>91086.76</v>
      </c>
      <c r="S72" s="564">
        <v>79978.1</v>
      </c>
      <c r="T72" s="453">
        <v>94096</v>
      </c>
      <c r="U72" s="685">
        <v>82754.91</v>
      </c>
      <c r="V72" s="533">
        <f t="shared" si="1"/>
        <v>87.94731975854447</v>
      </c>
      <c r="X72" s="2"/>
    </row>
    <row r="73" spans="1:24" ht="12.75">
      <c r="A73" s="779"/>
      <c r="B73" s="260">
        <v>620</v>
      </c>
      <c r="C73" s="22" t="s">
        <v>234</v>
      </c>
      <c r="D73" s="197"/>
      <c r="E73" s="197"/>
      <c r="F73" s="197"/>
      <c r="G73" s="197"/>
      <c r="H73" s="197"/>
      <c r="I73" s="22"/>
      <c r="J73" s="22"/>
      <c r="K73" s="81"/>
      <c r="L73" s="81"/>
      <c r="M73" s="23"/>
      <c r="N73" s="458"/>
      <c r="O73" s="565">
        <v>17076.54</v>
      </c>
      <c r="P73" s="565">
        <v>18947.38</v>
      </c>
      <c r="Q73" s="565">
        <v>24987.2</v>
      </c>
      <c r="R73" s="565">
        <v>27480.49</v>
      </c>
      <c r="S73" s="565">
        <v>24363.74</v>
      </c>
      <c r="T73" s="458">
        <v>33825</v>
      </c>
      <c r="U73" s="611">
        <v>25414.02</v>
      </c>
      <c r="V73" s="533">
        <f t="shared" si="1"/>
        <v>75.13383592017739</v>
      </c>
      <c r="X73" s="2"/>
    </row>
    <row r="74" spans="1:24" ht="12.75">
      <c r="A74" s="779"/>
      <c r="B74" s="182">
        <v>630</v>
      </c>
      <c r="C74" s="38" t="s">
        <v>235</v>
      </c>
      <c r="D74" s="219"/>
      <c r="E74" s="219"/>
      <c r="F74" s="219"/>
      <c r="G74" s="219"/>
      <c r="H74" s="219"/>
      <c r="I74" s="38"/>
      <c r="J74" s="38"/>
      <c r="K74" s="39"/>
      <c r="L74" s="39"/>
      <c r="M74" s="24"/>
      <c r="N74" s="450"/>
      <c r="O74" s="698">
        <v>6491.299999999999</v>
      </c>
      <c r="P74" s="698">
        <v>8298.89</v>
      </c>
      <c r="Q74" s="698">
        <v>6534.36</v>
      </c>
      <c r="R74" s="698">
        <v>7232.389999999999</v>
      </c>
      <c r="S74" s="698">
        <v>6234.73</v>
      </c>
      <c r="T74" s="450">
        <v>8000</v>
      </c>
      <c r="U74" s="611">
        <v>5512.68</v>
      </c>
      <c r="V74" s="530">
        <f t="shared" si="1"/>
        <v>68.9085</v>
      </c>
      <c r="X74" s="2"/>
    </row>
    <row r="75" spans="1:24" ht="13.5" thickBot="1">
      <c r="A75" s="780"/>
      <c r="B75" s="306">
        <v>640</v>
      </c>
      <c r="C75" s="279" t="s">
        <v>236</v>
      </c>
      <c r="D75" s="280"/>
      <c r="E75" s="280"/>
      <c r="F75" s="280"/>
      <c r="G75" s="280"/>
      <c r="H75" s="136"/>
      <c r="I75" s="41"/>
      <c r="J75" s="41"/>
      <c r="K75" s="54"/>
      <c r="L75" s="54"/>
      <c r="M75" s="43"/>
      <c r="N75" s="441"/>
      <c r="O75" s="699"/>
      <c r="P75" s="699"/>
      <c r="Q75" s="699"/>
      <c r="R75" s="699"/>
      <c r="S75" s="699"/>
      <c r="T75" s="441"/>
      <c r="U75" s="691">
        <v>862.53</v>
      </c>
      <c r="V75" s="632">
        <f t="shared" si="1"/>
        <v>0</v>
      </c>
      <c r="X75" s="2"/>
    </row>
    <row r="76" spans="1:24" ht="15.75" thickBot="1">
      <c r="A76" s="245" t="s">
        <v>64</v>
      </c>
      <c r="B76" s="809" t="s">
        <v>65</v>
      </c>
      <c r="C76" s="810"/>
      <c r="D76" s="247">
        <v>1016763</v>
      </c>
      <c r="E76" s="247">
        <v>271062</v>
      </c>
      <c r="F76" s="247">
        <v>471453</v>
      </c>
      <c r="G76" s="247">
        <v>456862</v>
      </c>
      <c r="H76" s="69">
        <v>440003</v>
      </c>
      <c r="I76" s="69">
        <v>428961</v>
      </c>
      <c r="J76" s="69">
        <v>454364</v>
      </c>
      <c r="K76" s="69">
        <v>445324</v>
      </c>
      <c r="L76" s="70">
        <v>440667.17</v>
      </c>
      <c r="M76" s="70">
        <v>406831.45</v>
      </c>
      <c r="N76" s="440">
        <v>398077.16</v>
      </c>
      <c r="O76" s="562">
        <v>411260.17</v>
      </c>
      <c r="P76" s="562">
        <v>607295.49</v>
      </c>
      <c r="Q76" s="562">
        <v>519637.36</v>
      </c>
      <c r="R76" s="562">
        <v>553503.0700000001</v>
      </c>
      <c r="S76" s="562">
        <v>593834.11</v>
      </c>
      <c r="T76" s="440">
        <f>SUM(T77:T80)</f>
        <v>653372</v>
      </c>
      <c r="U76" s="696">
        <f>SUM(U77:U80)</f>
        <v>652346.17</v>
      </c>
      <c r="V76" s="697">
        <f t="shared" si="1"/>
        <v>99.8429944962441</v>
      </c>
      <c r="X76" s="2"/>
    </row>
    <row r="77" spans="1:24" ht="12.75">
      <c r="A77" s="774"/>
      <c r="B77" s="193">
        <v>630</v>
      </c>
      <c r="C77" s="261" t="s">
        <v>321</v>
      </c>
      <c r="D77" s="262"/>
      <c r="E77" s="262"/>
      <c r="F77" s="262"/>
      <c r="G77" s="262"/>
      <c r="H77" s="235">
        <v>4585</v>
      </c>
      <c r="I77" s="263">
        <v>1644</v>
      </c>
      <c r="J77" s="261"/>
      <c r="K77" s="77"/>
      <c r="L77" s="364"/>
      <c r="M77" s="115"/>
      <c r="N77" s="20"/>
      <c r="O77" s="115"/>
      <c r="P77" s="115">
        <v>21699.02</v>
      </c>
      <c r="Q77" s="115"/>
      <c r="R77" s="115">
        <v>0</v>
      </c>
      <c r="S77" s="115"/>
      <c r="T77" s="453"/>
      <c r="U77" s="685"/>
      <c r="V77" s="533">
        <f t="shared" si="1"/>
        <v>0</v>
      </c>
      <c r="X77" s="2"/>
    </row>
    <row r="78" spans="1:24" ht="12.75">
      <c r="A78" s="775"/>
      <c r="B78" s="260" t="s">
        <v>43</v>
      </c>
      <c r="C78" s="264" t="s">
        <v>271</v>
      </c>
      <c r="D78" s="265"/>
      <c r="E78" s="265"/>
      <c r="F78" s="265"/>
      <c r="G78" s="265"/>
      <c r="H78" s="205">
        <v>7659</v>
      </c>
      <c r="I78" s="266">
        <v>5301</v>
      </c>
      <c r="J78" s="205">
        <v>3974</v>
      </c>
      <c r="K78" s="267">
        <v>3974</v>
      </c>
      <c r="L78" s="147">
        <v>3974.17</v>
      </c>
      <c r="M78" s="118">
        <v>4974.02</v>
      </c>
      <c r="N78" s="23">
        <v>3974.17</v>
      </c>
      <c r="O78" s="118">
        <v>3974.17</v>
      </c>
      <c r="P78" s="118">
        <v>3974.17</v>
      </c>
      <c r="Q78" s="118">
        <v>3974.17</v>
      </c>
      <c r="R78" s="118">
        <v>3974.17</v>
      </c>
      <c r="S78" s="118">
        <v>3974.17</v>
      </c>
      <c r="T78" s="458">
        <v>4000</v>
      </c>
      <c r="U78" s="611">
        <v>3974.17</v>
      </c>
      <c r="V78" s="533">
        <f t="shared" si="1"/>
        <v>99.35425</v>
      </c>
      <c r="X78" s="2"/>
    </row>
    <row r="79" spans="1:24" ht="12.75">
      <c r="A79" s="775"/>
      <c r="B79" s="260" t="s">
        <v>43</v>
      </c>
      <c r="C79" s="264" t="s">
        <v>320</v>
      </c>
      <c r="D79" s="540"/>
      <c r="E79" s="540"/>
      <c r="F79" s="540"/>
      <c r="G79" s="540"/>
      <c r="H79" s="541"/>
      <c r="I79" s="542"/>
      <c r="J79" s="541"/>
      <c r="K79" s="394"/>
      <c r="L79" s="543"/>
      <c r="M79" s="501"/>
      <c r="N79" s="26"/>
      <c r="O79" s="501">
        <v>49000</v>
      </c>
      <c r="P79" s="501">
        <v>97445.88</v>
      </c>
      <c r="Q79" s="501"/>
      <c r="R79" s="501"/>
      <c r="S79" s="501"/>
      <c r="T79" s="452">
        <v>0</v>
      </c>
      <c r="U79" s="611"/>
      <c r="V79" s="533">
        <f t="shared" si="1"/>
        <v>0</v>
      </c>
      <c r="X79" s="2"/>
    </row>
    <row r="80" spans="1:24" ht="13.5" thickBot="1">
      <c r="A80" s="776"/>
      <c r="B80" s="198">
        <v>640</v>
      </c>
      <c r="C80" s="268" t="s">
        <v>269</v>
      </c>
      <c r="D80" s="54"/>
      <c r="E80" s="54"/>
      <c r="F80" s="54"/>
      <c r="G80" s="54"/>
      <c r="H80" s="136">
        <v>427759</v>
      </c>
      <c r="I80" s="269">
        <v>422016</v>
      </c>
      <c r="J80" s="136">
        <v>450390</v>
      </c>
      <c r="K80" s="270">
        <v>441350</v>
      </c>
      <c r="L80" s="137">
        <v>436693</v>
      </c>
      <c r="M80" s="504">
        <v>401857.43</v>
      </c>
      <c r="N80" s="257">
        <v>394102.99</v>
      </c>
      <c r="O80" s="504">
        <v>358286</v>
      </c>
      <c r="P80" s="504">
        <v>484176.42</v>
      </c>
      <c r="Q80" s="504">
        <v>515663.19</v>
      </c>
      <c r="R80" s="504">
        <v>549528.9</v>
      </c>
      <c r="S80" s="504">
        <v>589859.94</v>
      </c>
      <c r="T80" s="460">
        <v>649372</v>
      </c>
      <c r="U80" s="686">
        <v>648372</v>
      </c>
      <c r="V80" s="533">
        <f t="shared" si="1"/>
        <v>99.84600506335352</v>
      </c>
      <c r="W80" s="2"/>
      <c r="X80" s="2"/>
    </row>
    <row r="81" spans="1:24" ht="15.75" hidden="1" thickBot="1">
      <c r="A81" s="271" t="s">
        <v>270</v>
      </c>
      <c r="B81" s="813" t="s">
        <v>203</v>
      </c>
      <c r="C81" s="814"/>
      <c r="D81" s="272"/>
      <c r="E81" s="272"/>
      <c r="F81" s="272"/>
      <c r="G81" s="272"/>
      <c r="H81" s="272"/>
      <c r="I81" s="273">
        <v>0</v>
      </c>
      <c r="J81" s="273">
        <v>0</v>
      </c>
      <c r="K81" s="274">
        <v>0</v>
      </c>
      <c r="L81" s="275"/>
      <c r="M81" s="274">
        <v>0</v>
      </c>
      <c r="N81" s="491"/>
      <c r="O81" s="491"/>
      <c r="P81" s="491"/>
      <c r="Q81" s="600"/>
      <c r="R81" s="600"/>
      <c r="S81" s="600"/>
      <c r="T81" s="442">
        <v>0</v>
      </c>
      <c r="U81" s="687"/>
      <c r="V81" s="534">
        <f t="shared" si="1"/>
        <v>0</v>
      </c>
      <c r="X81" s="2"/>
    </row>
    <row r="82" spans="1:24" ht="15.75" hidden="1" thickBot="1">
      <c r="A82" s="209"/>
      <c r="B82" s="250">
        <v>630</v>
      </c>
      <c r="C82" s="276" t="s">
        <v>271</v>
      </c>
      <c r="D82" s="277"/>
      <c r="E82" s="277"/>
      <c r="F82" s="277"/>
      <c r="G82" s="277"/>
      <c r="H82" s="277"/>
      <c r="I82" s="278" t="s">
        <v>272</v>
      </c>
      <c r="J82" s="278" t="s">
        <v>272</v>
      </c>
      <c r="K82" s="251"/>
      <c r="L82" s="244"/>
      <c r="M82" s="74"/>
      <c r="N82" s="74"/>
      <c r="O82" s="74"/>
      <c r="P82" s="74"/>
      <c r="Q82" s="244"/>
      <c r="R82" s="244"/>
      <c r="S82" s="244"/>
      <c r="T82" s="454"/>
      <c r="U82" s="689"/>
      <c r="V82" s="535">
        <f t="shared" si="1"/>
        <v>0</v>
      </c>
      <c r="X82" s="2"/>
    </row>
    <row r="83" spans="1:32" ht="15.75" thickBot="1">
      <c r="A83" s="245" t="s">
        <v>61</v>
      </c>
      <c r="B83" s="809" t="s">
        <v>273</v>
      </c>
      <c r="C83" s="810"/>
      <c r="D83" s="247">
        <v>11817</v>
      </c>
      <c r="E83" s="247">
        <v>11784</v>
      </c>
      <c r="F83" s="247">
        <v>12315</v>
      </c>
      <c r="G83" s="247">
        <v>20259</v>
      </c>
      <c r="H83" s="69">
        <v>14522</v>
      </c>
      <c r="I83" s="69">
        <v>159820</v>
      </c>
      <c r="J83" s="69">
        <v>64721</v>
      </c>
      <c r="K83" s="69">
        <v>10450</v>
      </c>
      <c r="L83" s="70">
        <v>10682.39</v>
      </c>
      <c r="M83" s="70">
        <v>9819.23</v>
      </c>
      <c r="N83" s="440">
        <v>9873.75</v>
      </c>
      <c r="O83" s="562">
        <v>11427.249999999998</v>
      </c>
      <c r="P83" s="562">
        <v>14386.410000000002</v>
      </c>
      <c r="Q83" s="562">
        <v>17575.48</v>
      </c>
      <c r="R83" s="562">
        <v>17824.14</v>
      </c>
      <c r="S83" s="562">
        <v>21623.989999999998</v>
      </c>
      <c r="T83" s="440">
        <f>SUM(T84:T87)</f>
        <v>82337</v>
      </c>
      <c r="U83" s="688">
        <f>SUM(U84:U88)</f>
        <v>79332.61</v>
      </c>
      <c r="V83" s="615">
        <f t="shared" si="1"/>
        <v>96.35110582119825</v>
      </c>
      <c r="X83" s="2"/>
      <c r="AF83" s="413"/>
    </row>
    <row r="84" spans="1:24" ht="12.75">
      <c r="A84" s="781"/>
      <c r="B84" s="207">
        <v>610</v>
      </c>
      <c r="C84" s="36" t="s">
        <v>233</v>
      </c>
      <c r="D84" s="141"/>
      <c r="E84" s="141">
        <v>7435</v>
      </c>
      <c r="F84" s="141">
        <v>7170</v>
      </c>
      <c r="G84" s="141">
        <v>13170</v>
      </c>
      <c r="H84" s="141">
        <v>9057</v>
      </c>
      <c r="I84" s="36">
        <v>7158</v>
      </c>
      <c r="J84" s="37">
        <v>7062</v>
      </c>
      <c r="K84" s="37">
        <v>6902</v>
      </c>
      <c r="L84" s="134">
        <v>7013.99</v>
      </c>
      <c r="M84" s="134">
        <v>6670.5</v>
      </c>
      <c r="N84" s="84">
        <v>6756.74</v>
      </c>
      <c r="O84" s="181">
        <v>6231.04</v>
      </c>
      <c r="P84" s="181">
        <v>9222.53</v>
      </c>
      <c r="Q84" s="181">
        <v>10920.12</v>
      </c>
      <c r="R84" s="181">
        <v>12288.18</v>
      </c>
      <c r="S84" s="181">
        <v>13090.95</v>
      </c>
      <c r="T84" s="449">
        <v>12880</v>
      </c>
      <c r="U84" s="690">
        <v>12073.77</v>
      </c>
      <c r="V84" s="633">
        <f t="shared" si="1"/>
        <v>93.74045031055901</v>
      </c>
      <c r="X84" s="2"/>
    </row>
    <row r="85" spans="1:24" ht="12.75">
      <c r="A85" s="782"/>
      <c r="B85" s="208">
        <v>620</v>
      </c>
      <c r="C85" s="38" t="s">
        <v>234</v>
      </c>
      <c r="D85" s="219"/>
      <c r="E85" s="219">
        <v>2722</v>
      </c>
      <c r="F85" s="219">
        <v>2589</v>
      </c>
      <c r="G85" s="219">
        <v>4447</v>
      </c>
      <c r="H85" s="219">
        <v>3981</v>
      </c>
      <c r="I85" s="38">
        <v>2874</v>
      </c>
      <c r="J85" s="39">
        <v>2706</v>
      </c>
      <c r="K85" s="39">
        <v>2594</v>
      </c>
      <c r="L85" s="101">
        <v>2904.51</v>
      </c>
      <c r="M85" s="101">
        <v>2212.12</v>
      </c>
      <c r="N85" s="24">
        <v>2382.51</v>
      </c>
      <c r="O85" s="183">
        <v>2182.24</v>
      </c>
      <c r="P85" s="183">
        <v>3409.77</v>
      </c>
      <c r="Q85" s="183">
        <v>4028.34</v>
      </c>
      <c r="R85" s="183">
        <v>4494.99</v>
      </c>
      <c r="S85" s="183">
        <v>4754.78</v>
      </c>
      <c r="T85" s="450">
        <v>4703</v>
      </c>
      <c r="U85" s="611">
        <v>4416.82</v>
      </c>
      <c r="V85" s="533">
        <f t="shared" si="1"/>
        <v>93.91494790559217</v>
      </c>
      <c r="X85" s="2"/>
    </row>
    <row r="86" spans="1:24" ht="12.75">
      <c r="A86" s="782"/>
      <c r="B86" s="208">
        <v>630</v>
      </c>
      <c r="C86" s="38" t="s">
        <v>235</v>
      </c>
      <c r="D86" s="219"/>
      <c r="E86" s="219">
        <v>1627</v>
      </c>
      <c r="F86" s="219">
        <v>2556</v>
      </c>
      <c r="G86" s="219">
        <v>2642</v>
      </c>
      <c r="H86" s="219">
        <v>1484</v>
      </c>
      <c r="I86" s="38">
        <v>1204</v>
      </c>
      <c r="J86" s="39">
        <v>1574</v>
      </c>
      <c r="K86" s="39">
        <v>954</v>
      </c>
      <c r="L86" s="101">
        <v>763.89</v>
      </c>
      <c r="M86" s="101">
        <v>936.61</v>
      </c>
      <c r="N86" s="24">
        <v>734.5</v>
      </c>
      <c r="O86" s="183">
        <v>3013.97</v>
      </c>
      <c r="P86" s="183">
        <v>1754.11</v>
      </c>
      <c r="Q86" s="183">
        <v>2627.02</v>
      </c>
      <c r="R86" s="183">
        <v>1040.97</v>
      </c>
      <c r="S86" s="183">
        <v>1258.26</v>
      </c>
      <c r="T86" s="450">
        <v>2700</v>
      </c>
      <c r="U86" s="611">
        <v>722.0800000000017</v>
      </c>
      <c r="V86" s="533">
        <f t="shared" si="1"/>
        <v>26.74370370370377</v>
      </c>
      <c r="X86" s="2"/>
    </row>
    <row r="87" spans="1:24" ht="12.75">
      <c r="A87" s="782"/>
      <c r="B87" s="290">
        <v>600</v>
      </c>
      <c r="C87" s="390" t="s">
        <v>423</v>
      </c>
      <c r="D87" s="541"/>
      <c r="E87" s="541"/>
      <c r="F87" s="541"/>
      <c r="G87" s="541"/>
      <c r="H87" s="541"/>
      <c r="I87" s="390">
        <v>148584</v>
      </c>
      <c r="J87" s="508">
        <v>53379</v>
      </c>
      <c r="K87" s="65"/>
      <c r="L87" s="232"/>
      <c r="M87" s="65"/>
      <c r="N87" s="27"/>
      <c r="O87" s="27"/>
      <c r="P87" s="27"/>
      <c r="Q87" s="201"/>
      <c r="R87" s="201">
        <v>0</v>
      </c>
      <c r="S87" s="201">
        <v>2520</v>
      </c>
      <c r="T87" s="459">
        <v>62054</v>
      </c>
      <c r="U87" s="686">
        <v>62052.74</v>
      </c>
      <c r="V87" s="535">
        <f t="shared" si="1"/>
        <v>99.9979695104264</v>
      </c>
      <c r="X87" s="2"/>
    </row>
    <row r="88" spans="1:24" ht="13.5" thickBot="1">
      <c r="A88" s="783"/>
      <c r="B88" s="306">
        <v>640</v>
      </c>
      <c r="C88" s="279" t="s">
        <v>236</v>
      </c>
      <c r="D88" s="280"/>
      <c r="E88" s="280"/>
      <c r="F88" s="280"/>
      <c r="G88" s="280"/>
      <c r="H88" s="280"/>
      <c r="I88" s="279"/>
      <c r="J88" s="281"/>
      <c r="K88" s="54"/>
      <c r="L88" s="282"/>
      <c r="M88" s="54"/>
      <c r="N88" s="43"/>
      <c r="O88" s="43"/>
      <c r="P88" s="43"/>
      <c r="Q88" s="233"/>
      <c r="R88" s="233"/>
      <c r="S88" s="233"/>
      <c r="T88" s="441"/>
      <c r="U88" s="691">
        <v>67.2</v>
      </c>
      <c r="V88" s="632">
        <f t="shared" si="1"/>
        <v>0</v>
      </c>
      <c r="X88" s="2"/>
    </row>
    <row r="89" spans="1:24" ht="15.75" thickBot="1">
      <c r="A89" s="283" t="s">
        <v>215</v>
      </c>
      <c r="B89" s="811" t="s">
        <v>48</v>
      </c>
      <c r="C89" s="812"/>
      <c r="D89" s="191">
        <v>11518</v>
      </c>
      <c r="E89" s="191">
        <v>13012</v>
      </c>
      <c r="F89" s="191">
        <v>13643</v>
      </c>
      <c r="G89" s="191">
        <v>15109</v>
      </c>
      <c r="H89" s="191">
        <v>14271</v>
      </c>
      <c r="I89" s="60">
        <v>14580</v>
      </c>
      <c r="J89" s="60">
        <v>13755</v>
      </c>
      <c r="K89" s="60">
        <v>12987</v>
      </c>
      <c r="L89" s="192">
        <v>12440.38</v>
      </c>
      <c r="M89" s="192">
        <v>12085.220000000001</v>
      </c>
      <c r="N89" s="436">
        <v>14820</v>
      </c>
      <c r="O89" s="560">
        <v>17802.890000000003</v>
      </c>
      <c r="P89" s="560">
        <v>18901.94</v>
      </c>
      <c r="Q89" s="560">
        <v>19832.530000000002</v>
      </c>
      <c r="R89" s="560">
        <v>21524.999999999996</v>
      </c>
      <c r="S89" s="560">
        <v>22607.08</v>
      </c>
      <c r="T89" s="436">
        <f>SUM(T90:T93)</f>
        <v>37302</v>
      </c>
      <c r="U89" s="688">
        <f>SUM(U90:U93)</f>
        <v>16829.010000000002</v>
      </c>
      <c r="V89" s="615">
        <f t="shared" si="1"/>
        <v>45.11557021071257</v>
      </c>
      <c r="X89" s="2"/>
    </row>
    <row r="90" spans="1:24" ht="12.75">
      <c r="A90" s="778"/>
      <c r="B90" s="207">
        <v>610</v>
      </c>
      <c r="C90" s="36" t="s">
        <v>233</v>
      </c>
      <c r="D90" s="141"/>
      <c r="E90" s="141">
        <v>8099</v>
      </c>
      <c r="F90" s="141">
        <v>8597</v>
      </c>
      <c r="G90" s="141">
        <v>9417</v>
      </c>
      <c r="H90" s="141">
        <v>9528</v>
      </c>
      <c r="I90" s="36">
        <v>9523</v>
      </c>
      <c r="J90" s="37">
        <v>8900</v>
      </c>
      <c r="K90" s="37">
        <v>8730</v>
      </c>
      <c r="L90" s="181">
        <v>8356.07</v>
      </c>
      <c r="M90" s="181">
        <v>8369.97</v>
      </c>
      <c r="N90" s="84">
        <v>10167.75</v>
      </c>
      <c r="O90" s="181">
        <v>12358.6</v>
      </c>
      <c r="P90" s="181">
        <v>13120.16</v>
      </c>
      <c r="Q90" s="181">
        <v>14108.2</v>
      </c>
      <c r="R90" s="181">
        <v>15465.15</v>
      </c>
      <c r="S90" s="181">
        <v>16268.11</v>
      </c>
      <c r="T90" s="449">
        <v>26979</v>
      </c>
      <c r="U90" s="685">
        <v>12005.13</v>
      </c>
      <c r="V90" s="533">
        <f t="shared" si="1"/>
        <v>44.498054042032685</v>
      </c>
      <c r="X90" s="2"/>
    </row>
    <row r="91" spans="1:24" ht="12.75">
      <c r="A91" s="779"/>
      <c r="B91" s="208">
        <v>620</v>
      </c>
      <c r="C91" s="38" t="s">
        <v>234</v>
      </c>
      <c r="D91" s="219"/>
      <c r="E91" s="219">
        <v>2855</v>
      </c>
      <c r="F91" s="219">
        <v>3220</v>
      </c>
      <c r="G91" s="219">
        <v>3567</v>
      </c>
      <c r="H91" s="219">
        <v>3607</v>
      </c>
      <c r="I91" s="38">
        <v>3617</v>
      </c>
      <c r="J91" s="39">
        <v>3393</v>
      </c>
      <c r="K91" s="39">
        <v>3330</v>
      </c>
      <c r="L91" s="183">
        <v>3406.87</v>
      </c>
      <c r="M91" s="183">
        <v>2973.01</v>
      </c>
      <c r="N91" s="24">
        <v>3841.92</v>
      </c>
      <c r="O91" s="183">
        <v>4614.21</v>
      </c>
      <c r="P91" s="183">
        <v>4873.08</v>
      </c>
      <c r="Q91" s="183">
        <v>4776.7</v>
      </c>
      <c r="R91" s="183">
        <v>5096.84</v>
      </c>
      <c r="S91" s="183">
        <v>5342.26</v>
      </c>
      <c r="T91" s="450">
        <v>9323</v>
      </c>
      <c r="U91" s="611">
        <v>4010.34</v>
      </c>
      <c r="V91" s="533">
        <f t="shared" si="1"/>
        <v>43.015552933605065</v>
      </c>
      <c r="X91" s="2"/>
    </row>
    <row r="92" spans="1:24" ht="13.5" thickBot="1">
      <c r="A92" s="779"/>
      <c r="B92" s="290">
        <v>630</v>
      </c>
      <c r="C92" s="42" t="s">
        <v>235</v>
      </c>
      <c r="D92" s="136"/>
      <c r="E92" s="136">
        <v>2058</v>
      </c>
      <c r="F92" s="136">
        <v>1826</v>
      </c>
      <c r="G92" s="136">
        <v>2125</v>
      </c>
      <c r="H92" s="136">
        <v>1136</v>
      </c>
      <c r="I92" s="41">
        <v>1440</v>
      </c>
      <c r="J92" s="54">
        <v>1462</v>
      </c>
      <c r="K92" s="65">
        <v>927</v>
      </c>
      <c r="L92" s="101">
        <v>677.44</v>
      </c>
      <c r="M92" s="101">
        <v>629.37</v>
      </c>
      <c r="N92" s="24">
        <v>810.33</v>
      </c>
      <c r="O92" s="183">
        <v>830.08</v>
      </c>
      <c r="P92" s="183">
        <v>908.7</v>
      </c>
      <c r="Q92" s="183">
        <v>947.63</v>
      </c>
      <c r="R92" s="183">
        <v>963.01</v>
      </c>
      <c r="S92" s="183">
        <v>996.71</v>
      </c>
      <c r="T92" s="450">
        <v>1000</v>
      </c>
      <c r="U92" s="611">
        <v>541.16</v>
      </c>
      <c r="V92" s="533">
        <f t="shared" si="1"/>
        <v>54.116</v>
      </c>
      <c r="X92" s="2"/>
    </row>
    <row r="93" spans="1:24" ht="13.5" thickBot="1">
      <c r="A93" s="780"/>
      <c r="B93" s="231">
        <v>640</v>
      </c>
      <c r="C93" s="41" t="s">
        <v>236</v>
      </c>
      <c r="D93" s="242"/>
      <c r="E93" s="242"/>
      <c r="F93" s="242"/>
      <c r="G93" s="242"/>
      <c r="H93" s="242"/>
      <c r="I93" s="102"/>
      <c r="J93" s="188"/>
      <c r="K93" s="220"/>
      <c r="L93" s="486"/>
      <c r="M93" s="486">
        <v>112.87</v>
      </c>
      <c r="N93" s="62"/>
      <c r="O93" s="62"/>
      <c r="P93" s="62"/>
      <c r="Q93" s="103"/>
      <c r="R93" s="103"/>
      <c r="S93" s="103"/>
      <c r="T93" s="437"/>
      <c r="U93" s="689">
        <v>272.38</v>
      </c>
      <c r="V93" s="533">
        <f t="shared" si="1"/>
        <v>0</v>
      </c>
      <c r="X93" s="2"/>
    </row>
    <row r="94" spans="1:24" ht="15.75" thickBot="1">
      <c r="A94" s="245" t="s">
        <v>44</v>
      </c>
      <c r="B94" s="777" t="s">
        <v>45</v>
      </c>
      <c r="C94" s="740"/>
      <c r="D94" s="247">
        <v>0</v>
      </c>
      <c r="E94" s="247">
        <v>221337</v>
      </c>
      <c r="F94" s="247">
        <v>136394</v>
      </c>
      <c r="G94" s="247">
        <v>214824</v>
      </c>
      <c r="H94" s="247">
        <v>646088</v>
      </c>
      <c r="I94" s="60">
        <v>152165</v>
      </c>
      <c r="J94" s="60">
        <v>173492</v>
      </c>
      <c r="K94" s="60">
        <v>219663</v>
      </c>
      <c r="L94" s="192">
        <v>485501.09</v>
      </c>
      <c r="M94" s="192">
        <v>315963.52</v>
      </c>
      <c r="N94" s="436">
        <v>306308.77</v>
      </c>
      <c r="O94" s="560">
        <v>235650.84</v>
      </c>
      <c r="P94" s="560">
        <v>258445.63</v>
      </c>
      <c r="Q94" s="560">
        <v>225107.38</v>
      </c>
      <c r="R94" s="560">
        <v>183499.42</v>
      </c>
      <c r="S94" s="560">
        <v>243536.62</v>
      </c>
      <c r="T94" s="436">
        <f>SUM(T111:T112)</f>
        <v>253782</v>
      </c>
      <c r="U94" s="688">
        <f>SUM(U111:U112)</f>
        <v>245388.62</v>
      </c>
      <c r="V94" s="615">
        <f t="shared" si="1"/>
        <v>96.69268112001639</v>
      </c>
      <c r="X94" s="2"/>
    </row>
    <row r="95" spans="1:24" ht="13.5" customHeight="1" hidden="1">
      <c r="A95" s="774"/>
      <c r="B95" s="207">
        <v>630</v>
      </c>
      <c r="C95" s="36" t="s">
        <v>159</v>
      </c>
      <c r="D95" s="284"/>
      <c r="E95" s="284"/>
      <c r="F95" s="284"/>
      <c r="G95" s="284"/>
      <c r="H95" s="284"/>
      <c r="I95" s="285"/>
      <c r="J95" s="285"/>
      <c r="K95" s="285"/>
      <c r="L95" s="195">
        <v>164829</v>
      </c>
      <c r="M95" s="195">
        <v>115488</v>
      </c>
      <c r="N95" s="126">
        <v>98750</v>
      </c>
      <c r="O95" s="195"/>
      <c r="P95" s="195"/>
      <c r="Q95" s="195"/>
      <c r="R95" s="195"/>
      <c r="S95" s="195"/>
      <c r="T95" s="461"/>
      <c r="U95" s="685"/>
      <c r="V95" s="533">
        <f t="shared" si="1"/>
        <v>0</v>
      </c>
      <c r="X95" s="2"/>
    </row>
    <row r="96" spans="1:24" ht="13.5" customHeight="1" hidden="1">
      <c r="A96" s="775"/>
      <c r="B96" s="208"/>
      <c r="C96" s="42" t="s">
        <v>186</v>
      </c>
      <c r="D96" s="286"/>
      <c r="E96" s="286"/>
      <c r="F96" s="286"/>
      <c r="G96" s="286"/>
      <c r="H96" s="286"/>
      <c r="I96" s="287"/>
      <c r="J96" s="287"/>
      <c r="K96" s="287"/>
      <c r="L96" s="115">
        <v>9696.54</v>
      </c>
      <c r="M96" s="505"/>
      <c r="N96" s="288"/>
      <c r="O96" s="505"/>
      <c r="P96" s="505"/>
      <c r="Q96" s="505"/>
      <c r="R96" s="505"/>
      <c r="S96" s="505"/>
      <c r="T96" s="462"/>
      <c r="U96" s="611"/>
      <c r="V96" s="530">
        <f t="shared" si="1"/>
        <v>0</v>
      </c>
      <c r="X96" s="2"/>
    </row>
    <row r="97" spans="1:24" ht="13.5" customHeight="1" hidden="1">
      <c r="A97" s="775"/>
      <c r="B97" s="208"/>
      <c r="C97" s="42" t="s">
        <v>274</v>
      </c>
      <c r="D97" s="286"/>
      <c r="E97" s="286"/>
      <c r="F97" s="286"/>
      <c r="G97" s="286"/>
      <c r="H97" s="286"/>
      <c r="I97" s="287"/>
      <c r="J97" s="287"/>
      <c r="K97" s="287"/>
      <c r="L97" s="115">
        <v>9955.3</v>
      </c>
      <c r="M97" s="505"/>
      <c r="N97" s="288"/>
      <c r="O97" s="505"/>
      <c r="P97" s="505"/>
      <c r="Q97" s="505"/>
      <c r="R97" s="505"/>
      <c r="S97" s="505"/>
      <c r="T97" s="462"/>
      <c r="U97" s="611"/>
      <c r="V97" s="530">
        <f t="shared" si="1"/>
        <v>0</v>
      </c>
      <c r="X97" s="2"/>
    </row>
    <row r="98" spans="1:24" ht="13.5" customHeight="1" hidden="1">
      <c r="A98" s="775"/>
      <c r="B98" s="208"/>
      <c r="C98" s="42" t="s">
        <v>275</v>
      </c>
      <c r="D98" s="286"/>
      <c r="E98" s="286"/>
      <c r="F98" s="286"/>
      <c r="G98" s="286"/>
      <c r="H98" s="286"/>
      <c r="I98" s="287"/>
      <c r="J98" s="287"/>
      <c r="K98" s="287"/>
      <c r="L98" s="115">
        <v>11550</v>
      </c>
      <c r="M98" s="505"/>
      <c r="N98" s="288"/>
      <c r="O98" s="505"/>
      <c r="P98" s="505"/>
      <c r="Q98" s="505"/>
      <c r="R98" s="505"/>
      <c r="S98" s="505"/>
      <c r="T98" s="462"/>
      <c r="U98" s="611"/>
      <c r="V98" s="530">
        <f t="shared" si="1"/>
        <v>0</v>
      </c>
      <c r="X98" s="2"/>
    </row>
    <row r="99" spans="1:24" ht="13.5" customHeight="1" hidden="1">
      <c r="A99" s="775"/>
      <c r="B99" s="208"/>
      <c r="C99" s="38" t="s">
        <v>187</v>
      </c>
      <c r="D99" s="286"/>
      <c r="E99" s="286"/>
      <c r="F99" s="286"/>
      <c r="G99" s="286"/>
      <c r="H99" s="286"/>
      <c r="I99" s="287"/>
      <c r="J99" s="287"/>
      <c r="K99" s="287"/>
      <c r="L99" s="115">
        <v>11848</v>
      </c>
      <c r="M99" s="505"/>
      <c r="N99" s="288"/>
      <c r="O99" s="505"/>
      <c r="P99" s="505"/>
      <c r="Q99" s="505"/>
      <c r="R99" s="505"/>
      <c r="S99" s="505"/>
      <c r="T99" s="462"/>
      <c r="U99" s="611"/>
      <c r="V99" s="530">
        <f t="shared" si="1"/>
        <v>0</v>
      </c>
      <c r="X99" s="2"/>
    </row>
    <row r="100" spans="1:24" ht="13.5" customHeight="1" hidden="1">
      <c r="A100" s="775"/>
      <c r="B100" s="289"/>
      <c r="C100" s="63" t="s">
        <v>330</v>
      </c>
      <c r="D100" s="51"/>
      <c r="E100" s="51"/>
      <c r="F100" s="51"/>
      <c r="G100" s="51"/>
      <c r="H100" s="51"/>
      <c r="I100" s="63"/>
      <c r="J100" s="51"/>
      <c r="K100" s="51"/>
      <c r="L100" s="105">
        <v>55733.87</v>
      </c>
      <c r="M100" s="183">
        <v>17376</v>
      </c>
      <c r="N100" s="21"/>
      <c r="O100" s="105">
        <v>39179.72</v>
      </c>
      <c r="P100" s="105"/>
      <c r="Q100" s="105"/>
      <c r="R100" s="105"/>
      <c r="S100" s="105"/>
      <c r="T100" s="455"/>
      <c r="U100" s="611"/>
      <c r="V100" s="530">
        <f t="shared" si="1"/>
        <v>0</v>
      </c>
      <c r="X100" s="2"/>
    </row>
    <row r="101" spans="1:24" ht="13.5" customHeight="1" hidden="1">
      <c r="A101" s="775"/>
      <c r="B101" s="290"/>
      <c r="C101" s="42" t="s">
        <v>276</v>
      </c>
      <c r="D101" s="65"/>
      <c r="E101" s="65"/>
      <c r="F101" s="65"/>
      <c r="G101" s="65"/>
      <c r="H101" s="65"/>
      <c r="I101" s="42"/>
      <c r="J101" s="65"/>
      <c r="K101" s="39"/>
      <c r="L101" s="183">
        <v>41848</v>
      </c>
      <c r="M101" s="183"/>
      <c r="N101" s="24"/>
      <c r="O101" s="183"/>
      <c r="P101" s="183"/>
      <c r="Q101" s="183"/>
      <c r="R101" s="183"/>
      <c r="S101" s="183"/>
      <c r="T101" s="450"/>
      <c r="U101" s="611"/>
      <c r="V101" s="530">
        <f t="shared" si="1"/>
        <v>0</v>
      </c>
      <c r="X101" s="2"/>
    </row>
    <row r="102" spans="1:24" ht="13.5" customHeight="1" hidden="1">
      <c r="A102" s="775"/>
      <c r="B102" s="290"/>
      <c r="C102" s="42"/>
      <c r="D102" s="65"/>
      <c r="E102" s="65"/>
      <c r="F102" s="65"/>
      <c r="G102" s="65"/>
      <c r="H102" s="65"/>
      <c r="I102" s="42"/>
      <c r="J102" s="65"/>
      <c r="K102" s="39"/>
      <c r="L102" s="24"/>
      <c r="M102" s="183"/>
      <c r="N102" s="24"/>
      <c r="O102" s="183"/>
      <c r="P102" s="183"/>
      <c r="Q102" s="183"/>
      <c r="R102" s="183"/>
      <c r="S102" s="183"/>
      <c r="T102" s="450"/>
      <c r="U102" s="611"/>
      <c r="V102" s="530">
        <f t="shared" si="1"/>
        <v>0</v>
      </c>
      <c r="X102" s="2"/>
    </row>
    <row r="103" spans="1:24" ht="13.5" customHeight="1" hidden="1">
      <c r="A103" s="775"/>
      <c r="B103" s="290"/>
      <c r="C103" s="42"/>
      <c r="D103" s="65"/>
      <c r="E103" s="65"/>
      <c r="F103" s="65"/>
      <c r="G103" s="65"/>
      <c r="H103" s="65"/>
      <c r="I103" s="42"/>
      <c r="J103" s="65"/>
      <c r="K103" s="39"/>
      <c r="L103" s="24"/>
      <c r="M103" s="183"/>
      <c r="N103" s="24"/>
      <c r="O103" s="183"/>
      <c r="P103" s="183"/>
      <c r="Q103" s="183"/>
      <c r="R103" s="183"/>
      <c r="S103" s="183"/>
      <c r="T103" s="450"/>
      <c r="U103" s="611"/>
      <c r="V103" s="530">
        <f t="shared" si="1"/>
        <v>0</v>
      </c>
      <c r="X103" s="2"/>
    </row>
    <row r="104" spans="1:24" ht="13.5" customHeight="1" hidden="1">
      <c r="A104" s="775"/>
      <c r="B104" s="290"/>
      <c r="C104" s="38"/>
      <c r="D104" s="39"/>
      <c r="E104" s="39"/>
      <c r="F104" s="39"/>
      <c r="G104" s="39"/>
      <c r="H104" s="39"/>
      <c r="I104" s="38"/>
      <c r="J104" s="39"/>
      <c r="K104" s="39"/>
      <c r="L104" s="24"/>
      <c r="M104" s="183"/>
      <c r="N104" s="24"/>
      <c r="O104" s="183"/>
      <c r="P104" s="183"/>
      <c r="Q104" s="183"/>
      <c r="R104" s="183"/>
      <c r="S104" s="183"/>
      <c r="T104" s="450"/>
      <c r="U104" s="611"/>
      <c r="V104" s="530">
        <f t="shared" si="1"/>
        <v>0</v>
      </c>
      <c r="X104" s="2"/>
    </row>
    <row r="105" spans="1:24" ht="13.5" customHeight="1" hidden="1">
      <c r="A105" s="775"/>
      <c r="B105" s="290">
        <v>630</v>
      </c>
      <c r="C105" s="38" t="s">
        <v>277</v>
      </c>
      <c r="D105" s="39"/>
      <c r="E105" s="39"/>
      <c r="F105" s="39"/>
      <c r="G105" s="39"/>
      <c r="H105" s="39"/>
      <c r="I105" s="38">
        <v>800</v>
      </c>
      <c r="J105" s="39"/>
      <c r="K105" s="39"/>
      <c r="L105" s="24"/>
      <c r="M105" s="183"/>
      <c r="N105" s="24"/>
      <c r="O105" s="183"/>
      <c r="P105" s="183"/>
      <c r="Q105" s="183"/>
      <c r="R105" s="183"/>
      <c r="S105" s="183"/>
      <c r="T105" s="450"/>
      <c r="U105" s="611"/>
      <c r="V105" s="530">
        <f t="shared" si="1"/>
        <v>0</v>
      </c>
      <c r="X105" s="2"/>
    </row>
    <row r="106" spans="1:24" ht="13.5" customHeight="1" hidden="1">
      <c r="A106" s="775"/>
      <c r="B106" s="290">
        <v>630</v>
      </c>
      <c r="C106" s="38" t="s">
        <v>278</v>
      </c>
      <c r="D106" s="39"/>
      <c r="E106" s="39"/>
      <c r="F106" s="39"/>
      <c r="G106" s="39"/>
      <c r="H106" s="39"/>
      <c r="I106" s="38">
        <v>2124</v>
      </c>
      <c r="J106" s="39">
        <v>1200</v>
      </c>
      <c r="K106" s="24">
        <v>56752</v>
      </c>
      <c r="L106" s="24"/>
      <c r="M106" s="183"/>
      <c r="N106" s="24"/>
      <c r="O106" s="183"/>
      <c r="P106" s="183"/>
      <c r="Q106" s="183"/>
      <c r="R106" s="183"/>
      <c r="S106" s="183"/>
      <c r="T106" s="450"/>
      <c r="U106" s="611"/>
      <c r="V106" s="530">
        <f t="shared" si="1"/>
        <v>0</v>
      </c>
      <c r="X106" s="2"/>
    </row>
    <row r="107" spans="1:24" ht="13.5" customHeight="1" hidden="1">
      <c r="A107" s="775"/>
      <c r="B107" s="290">
        <v>630</v>
      </c>
      <c r="C107" s="38" t="s">
        <v>279</v>
      </c>
      <c r="D107" s="39"/>
      <c r="E107" s="39"/>
      <c r="F107" s="39"/>
      <c r="G107" s="39"/>
      <c r="H107" s="39"/>
      <c r="I107" s="38"/>
      <c r="J107" s="39">
        <v>22691</v>
      </c>
      <c r="K107" s="24">
        <v>859</v>
      </c>
      <c r="L107" s="24"/>
      <c r="M107" s="183">
        <v>774.55</v>
      </c>
      <c r="N107" s="24"/>
      <c r="O107" s="183"/>
      <c r="P107" s="183"/>
      <c r="Q107" s="183"/>
      <c r="R107" s="183"/>
      <c r="S107" s="183"/>
      <c r="T107" s="450"/>
      <c r="U107" s="611"/>
      <c r="V107" s="530">
        <f t="shared" si="1"/>
        <v>0</v>
      </c>
      <c r="X107" s="2"/>
    </row>
    <row r="108" spans="1:24" ht="13.5" customHeight="1" hidden="1">
      <c r="A108" s="775"/>
      <c r="B108" s="290">
        <v>630</v>
      </c>
      <c r="C108" s="38" t="s">
        <v>323</v>
      </c>
      <c r="D108" s="39"/>
      <c r="E108" s="39"/>
      <c r="F108" s="39"/>
      <c r="G108" s="39"/>
      <c r="H108" s="39"/>
      <c r="I108" s="38">
        <v>4435</v>
      </c>
      <c r="J108" s="39"/>
      <c r="K108" s="39">
        <v>0</v>
      </c>
      <c r="L108" s="183">
        <v>931.15</v>
      </c>
      <c r="M108" s="183">
        <v>7872</v>
      </c>
      <c r="N108" s="24">
        <v>6215.72</v>
      </c>
      <c r="O108" s="183"/>
      <c r="P108" s="183">
        <v>50244.21</v>
      </c>
      <c r="Q108" s="183"/>
      <c r="R108" s="183"/>
      <c r="S108" s="183"/>
      <c r="T108" s="450">
        <v>0</v>
      </c>
      <c r="U108" s="611"/>
      <c r="V108" s="530">
        <f t="shared" si="1"/>
        <v>0</v>
      </c>
      <c r="X108" s="2"/>
    </row>
    <row r="109" spans="1:24" ht="13.5" customHeight="1" hidden="1">
      <c r="A109" s="775"/>
      <c r="B109" s="290">
        <v>630</v>
      </c>
      <c r="C109" s="42" t="s">
        <v>346</v>
      </c>
      <c r="D109" s="65"/>
      <c r="E109" s="65"/>
      <c r="F109" s="65"/>
      <c r="G109" s="65"/>
      <c r="H109" s="65"/>
      <c r="I109" s="42"/>
      <c r="J109" s="65"/>
      <c r="K109" s="65"/>
      <c r="L109" s="27"/>
      <c r="M109" s="201"/>
      <c r="N109" s="27">
        <v>17446.49</v>
      </c>
      <c r="O109" s="201"/>
      <c r="P109" s="201"/>
      <c r="Q109" s="201"/>
      <c r="R109" s="201"/>
      <c r="S109" s="201">
        <v>5640</v>
      </c>
      <c r="T109" s="459"/>
      <c r="U109" s="611"/>
      <c r="V109" s="530">
        <f t="shared" si="1"/>
        <v>0</v>
      </c>
      <c r="X109" s="2"/>
    </row>
    <row r="110" spans="1:24" ht="13.5" customHeight="1" hidden="1">
      <c r="A110" s="775"/>
      <c r="B110" s="290">
        <v>630</v>
      </c>
      <c r="C110" s="42" t="s">
        <v>280</v>
      </c>
      <c r="D110" s="65"/>
      <c r="E110" s="65"/>
      <c r="F110" s="65"/>
      <c r="G110" s="65"/>
      <c r="H110" s="65"/>
      <c r="I110" s="42">
        <v>931</v>
      </c>
      <c r="J110" s="65">
        <v>0</v>
      </c>
      <c r="K110" s="65"/>
      <c r="L110" s="65"/>
      <c r="M110" s="232"/>
      <c r="N110" s="27">
        <v>0</v>
      </c>
      <c r="O110" s="201"/>
      <c r="P110" s="201"/>
      <c r="Q110" s="201">
        <v>0</v>
      </c>
      <c r="R110" s="201"/>
      <c r="S110" s="201">
        <v>36732.99</v>
      </c>
      <c r="T110" s="459"/>
      <c r="U110" s="611"/>
      <c r="V110" s="530">
        <f t="shared" si="1"/>
        <v>0</v>
      </c>
      <c r="X110" s="2"/>
    </row>
    <row r="111" spans="1:24" ht="13.5" customHeight="1">
      <c r="A111" s="775"/>
      <c r="B111" s="290">
        <v>630</v>
      </c>
      <c r="C111" s="42" t="s">
        <v>281</v>
      </c>
      <c r="D111" s="65"/>
      <c r="E111" s="65"/>
      <c r="F111" s="65"/>
      <c r="G111" s="65"/>
      <c r="H111" s="65"/>
      <c r="I111" s="38">
        <v>10805</v>
      </c>
      <c r="J111" s="39">
        <v>3148</v>
      </c>
      <c r="K111" s="65">
        <v>17518</v>
      </c>
      <c r="L111" s="201">
        <v>34575.23</v>
      </c>
      <c r="M111" s="201">
        <v>22975.97</v>
      </c>
      <c r="N111" s="27">
        <v>28524.56</v>
      </c>
      <c r="O111" s="201">
        <v>26839.28</v>
      </c>
      <c r="P111" s="201">
        <v>38980.9</v>
      </c>
      <c r="Q111" s="201">
        <v>31233.38</v>
      </c>
      <c r="R111" s="201">
        <v>28868.420000000013</v>
      </c>
      <c r="S111" s="201">
        <v>27953.63</v>
      </c>
      <c r="T111" s="459">
        <v>35000</v>
      </c>
      <c r="U111" s="611">
        <v>26606.62</v>
      </c>
      <c r="V111" s="533">
        <f t="shared" si="1"/>
        <v>76.01891428571427</v>
      </c>
      <c r="X111" s="2"/>
    </row>
    <row r="112" spans="1:24" ht="13.5" customHeight="1" thickBot="1">
      <c r="A112" s="776"/>
      <c r="B112" s="231">
        <v>640</v>
      </c>
      <c r="C112" s="41" t="s">
        <v>282</v>
      </c>
      <c r="D112" s="54"/>
      <c r="E112" s="54">
        <v>217951</v>
      </c>
      <c r="F112" s="54">
        <v>132776</v>
      </c>
      <c r="G112" s="54">
        <v>141830</v>
      </c>
      <c r="H112" s="54">
        <v>137000</v>
      </c>
      <c r="I112" s="41">
        <v>133070</v>
      </c>
      <c r="J112" s="54">
        <v>146453</v>
      </c>
      <c r="K112" s="54">
        <v>144534</v>
      </c>
      <c r="L112" s="282">
        <v>144534</v>
      </c>
      <c r="M112" s="282">
        <v>151477</v>
      </c>
      <c r="N112" s="43">
        <v>155372</v>
      </c>
      <c r="O112" s="233">
        <v>169631.84</v>
      </c>
      <c r="P112" s="233">
        <v>169220.52</v>
      </c>
      <c r="Q112" s="233">
        <v>193874</v>
      </c>
      <c r="R112" s="233">
        <v>154631</v>
      </c>
      <c r="S112" s="233">
        <v>173210</v>
      </c>
      <c r="T112" s="441">
        <v>218782</v>
      </c>
      <c r="U112" s="686">
        <v>218782</v>
      </c>
      <c r="V112" s="533">
        <f t="shared" si="1"/>
        <v>100</v>
      </c>
      <c r="X112" s="2"/>
    </row>
    <row r="113" spans="1:24" ht="15.75" thickBot="1">
      <c r="A113" s="190" t="s">
        <v>283</v>
      </c>
      <c r="B113" s="748" t="s">
        <v>47</v>
      </c>
      <c r="C113" s="765"/>
      <c r="D113" s="60">
        <v>10589</v>
      </c>
      <c r="E113" s="60">
        <v>11917</v>
      </c>
      <c r="F113" s="60">
        <v>11883</v>
      </c>
      <c r="G113" s="60">
        <v>4189</v>
      </c>
      <c r="H113" s="60">
        <v>5005</v>
      </c>
      <c r="I113" s="60">
        <v>5041</v>
      </c>
      <c r="J113" s="60">
        <v>5609</v>
      </c>
      <c r="K113" s="60">
        <v>6003</v>
      </c>
      <c r="L113" s="192">
        <v>3745.53</v>
      </c>
      <c r="M113" s="192">
        <v>5989.44</v>
      </c>
      <c r="N113" s="436">
        <v>5966.9</v>
      </c>
      <c r="O113" s="560">
        <v>6273.49</v>
      </c>
      <c r="P113" s="560">
        <v>6274.93</v>
      </c>
      <c r="Q113" s="560">
        <v>6281.35</v>
      </c>
      <c r="R113" s="560">
        <v>6368.7</v>
      </c>
      <c r="S113" s="560">
        <v>6000</v>
      </c>
      <c r="T113" s="436">
        <f>T114</f>
        <v>6000</v>
      </c>
      <c r="U113" s="688">
        <f>U114</f>
        <v>6571.79</v>
      </c>
      <c r="V113" s="615">
        <f t="shared" si="1"/>
        <v>109.52983333333333</v>
      </c>
      <c r="X113" s="2"/>
    </row>
    <row r="114" spans="1:24" ht="13.5" thickBot="1">
      <c r="A114" s="291"/>
      <c r="B114" s="292"/>
      <c r="C114" s="66" t="s">
        <v>284</v>
      </c>
      <c r="D114" s="73">
        <v>10589</v>
      </c>
      <c r="E114" s="73">
        <v>11917</v>
      </c>
      <c r="F114" s="73">
        <v>11883</v>
      </c>
      <c r="G114" s="73">
        <v>4189</v>
      </c>
      <c r="H114" s="73">
        <v>5005</v>
      </c>
      <c r="I114" s="66">
        <v>5041</v>
      </c>
      <c r="J114" s="73">
        <v>5609</v>
      </c>
      <c r="K114" s="12">
        <v>6003</v>
      </c>
      <c r="L114" s="225">
        <v>3745.53</v>
      </c>
      <c r="M114" s="225">
        <v>5989.44</v>
      </c>
      <c r="N114" s="12">
        <v>5966.9</v>
      </c>
      <c r="O114" s="225">
        <v>6273.49</v>
      </c>
      <c r="P114" s="225">
        <v>6274.93</v>
      </c>
      <c r="Q114" s="225">
        <v>6281.35</v>
      </c>
      <c r="R114" s="225">
        <v>6368.7</v>
      </c>
      <c r="S114" s="225">
        <v>6582.96</v>
      </c>
      <c r="T114" s="438">
        <v>6000</v>
      </c>
      <c r="U114" s="687">
        <v>6571.79</v>
      </c>
      <c r="V114" s="533">
        <f t="shared" si="1"/>
        <v>109.52983333333333</v>
      </c>
      <c r="X114" s="2"/>
    </row>
    <row r="115" spans="1:24" ht="15.75" thickBot="1">
      <c r="A115" s="245" t="s">
        <v>303</v>
      </c>
      <c r="B115" s="777" t="s">
        <v>302</v>
      </c>
      <c r="C115" s="740"/>
      <c r="D115" s="69">
        <v>0</v>
      </c>
      <c r="E115" s="69">
        <v>122817</v>
      </c>
      <c r="F115" s="69">
        <v>236905</v>
      </c>
      <c r="G115" s="69">
        <v>210760</v>
      </c>
      <c r="H115" s="69">
        <v>216000</v>
      </c>
      <c r="I115" s="69">
        <v>173560</v>
      </c>
      <c r="J115" s="69">
        <v>168880</v>
      </c>
      <c r="K115" s="69">
        <v>168880</v>
      </c>
      <c r="L115" s="70">
        <v>166668</v>
      </c>
      <c r="M115" s="70">
        <v>150364</v>
      </c>
      <c r="N115" s="440">
        <v>136000</v>
      </c>
      <c r="O115" s="562">
        <v>141246.73</v>
      </c>
      <c r="P115" s="562">
        <v>166152.71</v>
      </c>
      <c r="Q115" s="562">
        <v>167000</v>
      </c>
      <c r="R115" s="562">
        <v>132714</v>
      </c>
      <c r="S115" s="562">
        <v>148143.92</v>
      </c>
      <c r="T115" s="440">
        <f>SUM(T116:T117)</f>
        <v>199115</v>
      </c>
      <c r="U115" s="688">
        <f>SUM(U116:U117)</f>
        <v>191418.9</v>
      </c>
      <c r="V115" s="615">
        <f t="shared" si="1"/>
        <v>96.1348466966326</v>
      </c>
      <c r="X115" s="2"/>
    </row>
    <row r="116" spans="1:24" ht="15">
      <c r="A116" s="774"/>
      <c r="B116" s="557">
        <v>630</v>
      </c>
      <c r="C116" s="234" t="s">
        <v>324</v>
      </c>
      <c r="D116" s="285"/>
      <c r="E116" s="285"/>
      <c r="F116" s="285"/>
      <c r="G116" s="285"/>
      <c r="H116" s="285"/>
      <c r="I116" s="285"/>
      <c r="J116" s="285"/>
      <c r="K116" s="554"/>
      <c r="L116" s="181"/>
      <c r="M116" s="181"/>
      <c r="N116" s="449"/>
      <c r="O116" s="566">
        <v>3112.73</v>
      </c>
      <c r="P116" s="566"/>
      <c r="Q116" s="566"/>
      <c r="R116" s="566"/>
      <c r="S116" s="566"/>
      <c r="T116" s="449"/>
      <c r="U116" s="693"/>
      <c r="V116" s="533">
        <f t="shared" si="1"/>
        <v>0</v>
      </c>
      <c r="X116" s="2"/>
    </row>
    <row r="117" spans="1:24" ht="13.5" thickBot="1">
      <c r="A117" s="776"/>
      <c r="B117" s="306">
        <v>640</v>
      </c>
      <c r="C117" s="279" t="s">
        <v>285</v>
      </c>
      <c r="D117" s="54"/>
      <c r="E117" s="54">
        <v>122817</v>
      </c>
      <c r="F117" s="54">
        <v>236905</v>
      </c>
      <c r="G117" s="54">
        <v>210760</v>
      </c>
      <c r="H117" s="54">
        <v>216000</v>
      </c>
      <c r="I117" s="41">
        <v>173560</v>
      </c>
      <c r="J117" s="54">
        <v>168880</v>
      </c>
      <c r="K117" s="43">
        <v>168880</v>
      </c>
      <c r="L117" s="233">
        <v>166668</v>
      </c>
      <c r="M117" s="233">
        <v>150364</v>
      </c>
      <c r="N117" s="43">
        <v>136000</v>
      </c>
      <c r="O117" s="233">
        <v>138134</v>
      </c>
      <c r="P117" s="233">
        <v>166152.71</v>
      </c>
      <c r="Q117" s="233">
        <v>167000</v>
      </c>
      <c r="R117" s="233">
        <v>132714</v>
      </c>
      <c r="S117" s="233">
        <v>148143.92</v>
      </c>
      <c r="T117" s="43">
        <v>199115</v>
      </c>
      <c r="U117" s="691">
        <v>191418.9</v>
      </c>
      <c r="V117" s="533">
        <f t="shared" si="1"/>
        <v>96.1348466966326</v>
      </c>
      <c r="X117" s="2"/>
    </row>
    <row r="118" spans="1:34" ht="15.75" thickBot="1">
      <c r="A118" s="245" t="s">
        <v>54</v>
      </c>
      <c r="B118" s="777" t="s">
        <v>286</v>
      </c>
      <c r="C118" s="740"/>
      <c r="D118" s="69">
        <v>0</v>
      </c>
      <c r="E118" s="69">
        <v>56430</v>
      </c>
      <c r="F118" s="69">
        <v>359789</v>
      </c>
      <c r="G118" s="69">
        <v>312928</v>
      </c>
      <c r="H118" s="69">
        <v>336361</v>
      </c>
      <c r="I118" s="69">
        <v>283963</v>
      </c>
      <c r="J118" s="69">
        <v>347786</v>
      </c>
      <c r="K118" s="69">
        <v>268221</v>
      </c>
      <c r="L118" s="69">
        <v>263798.23</v>
      </c>
      <c r="M118" s="70">
        <v>287887.32</v>
      </c>
      <c r="N118" s="440">
        <v>314491.48</v>
      </c>
      <c r="O118" s="562">
        <v>300556.48</v>
      </c>
      <c r="P118" s="562">
        <v>267198.25</v>
      </c>
      <c r="Q118" s="562">
        <v>301913.75</v>
      </c>
      <c r="R118" s="562">
        <v>417210.98</v>
      </c>
      <c r="S118" s="562">
        <v>438448.69</v>
      </c>
      <c r="T118" s="440">
        <f>SUM(T119:T128)</f>
        <v>560490</v>
      </c>
      <c r="U118" s="688">
        <f>SUM(U119:U128)</f>
        <v>583280.4600000001</v>
      </c>
      <c r="V118" s="615">
        <f t="shared" si="1"/>
        <v>104.0661671037842</v>
      </c>
      <c r="W118" s="471"/>
      <c r="X118" s="2"/>
      <c r="AF118" s="413"/>
      <c r="AH118" s="2"/>
    </row>
    <row r="119" spans="1:31" ht="12.75">
      <c r="A119" s="774"/>
      <c r="B119" s="207">
        <v>610</v>
      </c>
      <c r="C119" s="36" t="s">
        <v>233</v>
      </c>
      <c r="D119" s="37"/>
      <c r="E119" s="37"/>
      <c r="F119" s="37"/>
      <c r="G119" s="37"/>
      <c r="H119" s="37"/>
      <c r="I119" s="36">
        <v>264635</v>
      </c>
      <c r="J119" s="37">
        <v>24997</v>
      </c>
      <c r="K119" s="37">
        <v>24062</v>
      </c>
      <c r="L119" s="84">
        <v>22719.55</v>
      </c>
      <c r="M119" s="195">
        <v>28495.57</v>
      </c>
      <c r="N119" s="126">
        <v>28348.01</v>
      </c>
      <c r="O119" s="195">
        <v>31464.64</v>
      </c>
      <c r="P119" s="195">
        <v>33530.71</v>
      </c>
      <c r="Q119" s="195">
        <v>39895.85</v>
      </c>
      <c r="R119" s="195">
        <v>42789.65</v>
      </c>
      <c r="S119" s="364">
        <v>44602.43</v>
      </c>
      <c r="T119" s="451">
        <v>53792</v>
      </c>
      <c r="U119" s="685">
        <v>42900.8</v>
      </c>
      <c r="V119" s="533">
        <f t="shared" si="1"/>
        <v>79.75312314098751</v>
      </c>
      <c r="X119" s="2"/>
      <c r="AE119" s="2"/>
    </row>
    <row r="120" spans="1:34" ht="12.75">
      <c r="A120" s="775"/>
      <c r="B120" s="208">
        <v>620</v>
      </c>
      <c r="C120" s="38" t="s">
        <v>234</v>
      </c>
      <c r="D120" s="39"/>
      <c r="E120" s="39"/>
      <c r="F120" s="39"/>
      <c r="G120" s="39"/>
      <c r="H120" s="39"/>
      <c r="I120" s="38"/>
      <c r="J120" s="39">
        <v>9316</v>
      </c>
      <c r="K120" s="39">
        <v>8959</v>
      </c>
      <c r="L120" s="24">
        <v>9337.62</v>
      </c>
      <c r="M120" s="118">
        <v>10210.04</v>
      </c>
      <c r="N120" s="23">
        <v>10765.88</v>
      </c>
      <c r="O120" s="118">
        <v>11782.59</v>
      </c>
      <c r="P120" s="118">
        <v>12285.58</v>
      </c>
      <c r="Q120" s="118">
        <v>14108.66</v>
      </c>
      <c r="R120" s="118">
        <v>15095.93</v>
      </c>
      <c r="S120" s="500">
        <v>15721.4</v>
      </c>
      <c r="T120" s="458">
        <v>19056</v>
      </c>
      <c r="U120" s="611">
        <v>15172.28</v>
      </c>
      <c r="V120" s="533">
        <f t="shared" si="1"/>
        <v>79.61943744752308</v>
      </c>
      <c r="X120" s="2"/>
      <c r="AH120" s="2"/>
    </row>
    <row r="121" spans="1:40" ht="12.75">
      <c r="A121" s="775"/>
      <c r="B121" s="208">
        <v>630</v>
      </c>
      <c r="C121" s="38" t="s">
        <v>235</v>
      </c>
      <c r="D121" s="39"/>
      <c r="E121" s="39"/>
      <c r="F121" s="39"/>
      <c r="G121" s="39"/>
      <c r="H121" s="39"/>
      <c r="I121" s="38"/>
      <c r="J121" s="39">
        <v>291329</v>
      </c>
      <c r="K121" s="39">
        <v>212898</v>
      </c>
      <c r="L121" s="24">
        <v>204427.59</v>
      </c>
      <c r="M121" s="118">
        <v>218239.71</v>
      </c>
      <c r="N121" s="23">
        <v>254385.59</v>
      </c>
      <c r="O121" s="118">
        <v>246224.25</v>
      </c>
      <c r="P121" s="118">
        <v>219779.39</v>
      </c>
      <c r="Q121" s="118">
        <v>232209.24</v>
      </c>
      <c r="R121" s="118">
        <v>186571.02999999997</v>
      </c>
      <c r="S121" s="500">
        <v>291671.33</v>
      </c>
      <c r="T121" s="458">
        <v>269500</v>
      </c>
      <c r="U121" s="611">
        <f>408642.38-7.2</f>
        <v>408635.18</v>
      </c>
      <c r="V121" s="533">
        <f t="shared" si="1"/>
        <v>151.6271539888683</v>
      </c>
      <c r="X121" s="2"/>
      <c r="AN121" s="413"/>
    </row>
    <row r="122" spans="1:25" ht="12.75">
      <c r="A122" s="775"/>
      <c r="B122" s="182">
        <v>640</v>
      </c>
      <c r="C122" s="38" t="s">
        <v>352</v>
      </c>
      <c r="D122" s="39"/>
      <c r="E122" s="39"/>
      <c r="F122" s="39"/>
      <c r="G122" s="39"/>
      <c r="H122" s="39"/>
      <c r="I122" s="38"/>
      <c r="J122" s="39"/>
      <c r="K122" s="24">
        <v>158</v>
      </c>
      <c r="L122" s="24">
        <v>169.47</v>
      </c>
      <c r="M122" s="118"/>
      <c r="N122" s="23"/>
      <c r="O122" s="118"/>
      <c r="P122" s="118">
        <v>137.43</v>
      </c>
      <c r="Q122" s="118"/>
      <c r="R122" s="118">
        <v>164.3</v>
      </c>
      <c r="S122" s="500"/>
      <c r="T122" s="458">
        <v>85209</v>
      </c>
      <c r="U122" s="611"/>
      <c r="V122" s="533">
        <f t="shared" si="1"/>
        <v>0</v>
      </c>
      <c r="X122" s="2"/>
      <c r="Y122" s="2"/>
    </row>
    <row r="123" spans="1:33" ht="12.75">
      <c r="A123" s="775"/>
      <c r="B123" s="182">
        <v>630</v>
      </c>
      <c r="C123" s="38" t="s">
        <v>366</v>
      </c>
      <c r="D123" s="39"/>
      <c r="E123" s="39"/>
      <c r="F123" s="39"/>
      <c r="G123" s="39"/>
      <c r="H123" s="39"/>
      <c r="I123" s="38"/>
      <c r="J123" s="39"/>
      <c r="K123" s="24"/>
      <c r="L123" s="24"/>
      <c r="M123" s="118"/>
      <c r="N123" s="23"/>
      <c r="O123" s="118"/>
      <c r="P123" s="118"/>
      <c r="Q123" s="118"/>
      <c r="R123" s="118"/>
      <c r="S123" s="500"/>
      <c r="T123" s="458">
        <v>25000</v>
      </c>
      <c r="U123" s="611">
        <v>18898.4</v>
      </c>
      <c r="V123" s="533">
        <f t="shared" si="1"/>
        <v>75.59360000000001</v>
      </c>
      <c r="X123" s="2"/>
      <c r="AG123" s="2"/>
    </row>
    <row r="124" spans="1:24" ht="12.75">
      <c r="A124" s="775"/>
      <c r="B124" s="182">
        <v>630</v>
      </c>
      <c r="C124" s="38" t="s">
        <v>415</v>
      </c>
      <c r="D124" s="39"/>
      <c r="E124" s="39"/>
      <c r="F124" s="39"/>
      <c r="G124" s="39"/>
      <c r="H124" s="39"/>
      <c r="I124" s="38"/>
      <c r="J124" s="39"/>
      <c r="K124" s="24"/>
      <c r="L124" s="24"/>
      <c r="M124" s="118"/>
      <c r="N124" s="23"/>
      <c r="O124" s="118"/>
      <c r="P124" s="118"/>
      <c r="Q124" s="118"/>
      <c r="R124" s="118"/>
      <c r="S124" s="500"/>
      <c r="T124" s="458">
        <v>67325</v>
      </c>
      <c r="U124" s="611">
        <v>67324.5</v>
      </c>
      <c r="V124" s="533">
        <f t="shared" si="1"/>
        <v>99.99925733382844</v>
      </c>
      <c r="X124" s="2"/>
    </row>
    <row r="125" spans="1:25" ht="12.75">
      <c r="A125" s="775"/>
      <c r="B125" s="182"/>
      <c r="C125" s="38" t="s">
        <v>416</v>
      </c>
      <c r="D125" s="39"/>
      <c r="E125" s="39"/>
      <c r="F125" s="39"/>
      <c r="G125" s="39"/>
      <c r="H125" s="39"/>
      <c r="I125" s="38"/>
      <c r="J125" s="39"/>
      <c r="K125" s="24"/>
      <c r="L125" s="24"/>
      <c r="M125" s="118"/>
      <c r="N125" s="23"/>
      <c r="O125" s="118"/>
      <c r="P125" s="118"/>
      <c r="Q125" s="118"/>
      <c r="R125" s="118"/>
      <c r="S125" s="500"/>
      <c r="T125" s="458">
        <v>7000</v>
      </c>
      <c r="U125" s="686">
        <v>8670</v>
      </c>
      <c r="V125" s="533">
        <f t="shared" si="1"/>
        <v>123.85714285714286</v>
      </c>
      <c r="X125" s="2"/>
      <c r="Y125" s="2"/>
    </row>
    <row r="126" spans="1:24" ht="12.75">
      <c r="A126" s="775"/>
      <c r="B126" s="182"/>
      <c r="C126" s="38" t="s">
        <v>461</v>
      </c>
      <c r="D126" s="39"/>
      <c r="E126" s="39"/>
      <c r="F126" s="39"/>
      <c r="G126" s="39"/>
      <c r="H126" s="39"/>
      <c r="I126" s="38"/>
      <c r="J126" s="39"/>
      <c r="K126" s="24"/>
      <c r="L126" s="24"/>
      <c r="M126" s="118"/>
      <c r="N126" s="23"/>
      <c r="O126" s="118"/>
      <c r="P126" s="118"/>
      <c r="Q126" s="118"/>
      <c r="R126" s="118"/>
      <c r="S126" s="500"/>
      <c r="T126" s="458">
        <v>15000</v>
      </c>
      <c r="U126" s="686">
        <v>14890.49</v>
      </c>
      <c r="V126" s="533">
        <f t="shared" si="1"/>
        <v>99.26993333333333</v>
      </c>
      <c r="X126" s="2"/>
    </row>
    <row r="127" spans="1:24" ht="12.75">
      <c r="A127" s="775"/>
      <c r="B127" s="182"/>
      <c r="C127" s="38" t="s">
        <v>164</v>
      </c>
      <c r="D127" s="39"/>
      <c r="E127" s="39"/>
      <c r="F127" s="39"/>
      <c r="G127" s="39"/>
      <c r="H127" s="39"/>
      <c r="I127" s="38"/>
      <c r="J127" s="39"/>
      <c r="K127" s="24"/>
      <c r="L127" s="24"/>
      <c r="M127" s="118"/>
      <c r="N127" s="23"/>
      <c r="O127" s="118"/>
      <c r="P127" s="118"/>
      <c r="Q127" s="118"/>
      <c r="R127" s="118">
        <v>169312.07</v>
      </c>
      <c r="S127" s="611">
        <v>83861.95999999999</v>
      </c>
      <c r="T127" s="529"/>
      <c r="U127" s="686"/>
      <c r="V127" s="533">
        <f t="shared" si="1"/>
        <v>0</v>
      </c>
      <c r="X127" s="2"/>
    </row>
    <row r="128" spans="1:24" ht="13.5" thickBot="1">
      <c r="A128" s="776"/>
      <c r="B128" s="210">
        <v>640</v>
      </c>
      <c r="C128" s="102" t="s">
        <v>285</v>
      </c>
      <c r="D128" s="188"/>
      <c r="E128" s="188">
        <v>56430</v>
      </c>
      <c r="F128" s="188">
        <v>66388</v>
      </c>
      <c r="G128" s="188">
        <v>33070</v>
      </c>
      <c r="H128" s="188">
        <v>34000</v>
      </c>
      <c r="I128" s="102">
        <v>19328</v>
      </c>
      <c r="J128" s="188">
        <v>22144</v>
      </c>
      <c r="K128" s="68">
        <v>22144</v>
      </c>
      <c r="L128" s="68">
        <v>27144</v>
      </c>
      <c r="M128" s="189">
        <v>30942</v>
      </c>
      <c r="N128" s="68">
        <v>20992</v>
      </c>
      <c r="O128" s="189">
        <v>11085</v>
      </c>
      <c r="P128" s="189">
        <v>1465.14</v>
      </c>
      <c r="Q128" s="189">
        <v>15700</v>
      </c>
      <c r="R128" s="189">
        <v>3278</v>
      </c>
      <c r="S128" s="282">
        <v>2591.57</v>
      </c>
      <c r="T128" s="445">
        <v>18608</v>
      </c>
      <c r="U128" s="691">
        <v>6788.81</v>
      </c>
      <c r="V128" s="632">
        <f t="shared" si="1"/>
        <v>36.48328675838349</v>
      </c>
      <c r="X128" s="2"/>
    </row>
    <row r="129" spans="1:24" ht="15.75" thickBot="1">
      <c r="A129" s="271" t="s">
        <v>424</v>
      </c>
      <c r="B129" s="820" t="s">
        <v>425</v>
      </c>
      <c r="C129" s="821"/>
      <c r="D129" s="188"/>
      <c r="E129" s="188"/>
      <c r="F129" s="188"/>
      <c r="G129" s="188"/>
      <c r="H129" s="188"/>
      <c r="I129" s="102"/>
      <c r="J129" s="188"/>
      <c r="K129" s="68"/>
      <c r="L129" s="68"/>
      <c r="M129" s="189"/>
      <c r="N129" s="68"/>
      <c r="O129" s="189"/>
      <c r="P129" s="189"/>
      <c r="Q129" s="189"/>
      <c r="R129" s="189"/>
      <c r="S129" s="559">
        <v>21778.81</v>
      </c>
      <c r="T129" s="445"/>
      <c r="U129" s="696">
        <v>1065</v>
      </c>
      <c r="V129" s="634">
        <f t="shared" si="1"/>
        <v>0</v>
      </c>
      <c r="X129" s="2"/>
    </row>
    <row r="130" spans="1:24" ht="15.75" thickBot="1">
      <c r="A130" s="209"/>
      <c r="B130" s="612">
        <v>600</v>
      </c>
      <c r="C130" s="66" t="s">
        <v>426</v>
      </c>
      <c r="D130" s="188"/>
      <c r="E130" s="188"/>
      <c r="F130" s="188"/>
      <c r="G130" s="188"/>
      <c r="H130" s="188"/>
      <c r="I130" s="102"/>
      <c r="J130" s="188"/>
      <c r="K130" s="68"/>
      <c r="L130" s="68"/>
      <c r="M130" s="189"/>
      <c r="N130" s="68"/>
      <c r="O130" s="189"/>
      <c r="P130" s="189"/>
      <c r="Q130" s="189"/>
      <c r="R130" s="189"/>
      <c r="S130" s="189">
        <v>21778.81</v>
      </c>
      <c r="T130" s="445"/>
      <c r="U130" s="689">
        <v>1065</v>
      </c>
      <c r="V130" s="535">
        <f t="shared" si="1"/>
        <v>0</v>
      </c>
      <c r="X130" s="2"/>
    </row>
    <row r="131" spans="1:24" ht="15.75" thickBot="1">
      <c r="A131" s="245" t="s">
        <v>213</v>
      </c>
      <c r="B131" s="777" t="s">
        <v>287</v>
      </c>
      <c r="C131" s="740"/>
      <c r="D131" s="69">
        <v>398161</v>
      </c>
      <c r="E131" s="69">
        <v>245269</v>
      </c>
      <c r="F131" s="69">
        <v>266050</v>
      </c>
      <c r="G131" s="69">
        <v>237941</v>
      </c>
      <c r="H131" s="69">
        <v>273708</v>
      </c>
      <c r="I131" s="69">
        <v>262675</v>
      </c>
      <c r="J131" s="69">
        <v>162661</v>
      </c>
      <c r="K131" s="69">
        <v>165913</v>
      </c>
      <c r="L131" s="70">
        <v>173111</v>
      </c>
      <c r="M131" s="70">
        <v>179007.07</v>
      </c>
      <c r="N131" s="440">
        <v>207573.5</v>
      </c>
      <c r="O131" s="562">
        <v>252852.5</v>
      </c>
      <c r="P131" s="562">
        <v>259830</v>
      </c>
      <c r="Q131" s="562">
        <v>341183.70999999996</v>
      </c>
      <c r="R131" s="562">
        <v>311676.99</v>
      </c>
      <c r="S131" s="562">
        <v>363265.4</v>
      </c>
      <c r="T131" s="440">
        <f>SUM(T132:T135)</f>
        <v>459399</v>
      </c>
      <c r="U131" s="688">
        <f>SUM(U132:U135)</f>
        <v>463096.88</v>
      </c>
      <c r="V131" s="615">
        <f t="shared" si="1"/>
        <v>100.80493862633571</v>
      </c>
      <c r="X131" s="2"/>
    </row>
    <row r="132" spans="1:24" ht="12.75">
      <c r="A132" s="778"/>
      <c r="B132" s="293"/>
      <c r="C132" s="36" t="s">
        <v>357</v>
      </c>
      <c r="D132" s="37">
        <v>373863</v>
      </c>
      <c r="E132" s="37">
        <v>211312</v>
      </c>
      <c r="F132" s="37">
        <v>220574</v>
      </c>
      <c r="G132" s="37">
        <v>190734</v>
      </c>
      <c r="H132" s="37">
        <v>216608</v>
      </c>
      <c r="I132" s="36">
        <v>202225</v>
      </c>
      <c r="J132" s="39">
        <v>118262</v>
      </c>
      <c r="K132" s="39">
        <v>116713</v>
      </c>
      <c r="L132" s="105">
        <v>116713</v>
      </c>
      <c r="M132" s="105">
        <v>132538</v>
      </c>
      <c r="N132" s="21">
        <v>117290</v>
      </c>
      <c r="O132" s="21">
        <v>150490</v>
      </c>
      <c r="P132" s="21">
        <v>157200</v>
      </c>
      <c r="Q132" s="105">
        <v>183913.71</v>
      </c>
      <c r="R132" s="105">
        <v>217841.99</v>
      </c>
      <c r="S132" s="105">
        <v>257655.4</v>
      </c>
      <c r="T132" s="455">
        <v>316929</v>
      </c>
      <c r="U132" s="685">
        <v>320916.88</v>
      </c>
      <c r="V132" s="533">
        <f aca="true" t="shared" si="2" ref="V132:V196">IF(T132=0,0,U132/T132*100)</f>
        <v>101.25828813393537</v>
      </c>
      <c r="X132" s="2"/>
    </row>
    <row r="133" spans="1:24" ht="12.75">
      <c r="A133" s="779"/>
      <c r="B133" s="592"/>
      <c r="C133" s="38" t="s">
        <v>317</v>
      </c>
      <c r="D133" s="39"/>
      <c r="E133" s="39"/>
      <c r="F133" s="39"/>
      <c r="G133" s="39"/>
      <c r="H133" s="39"/>
      <c r="I133" s="38"/>
      <c r="J133" s="39"/>
      <c r="K133" s="39"/>
      <c r="L133" s="183"/>
      <c r="M133" s="183">
        <v>3467.07</v>
      </c>
      <c r="N133" s="24">
        <v>50283.5</v>
      </c>
      <c r="O133" s="24">
        <v>101647</v>
      </c>
      <c r="P133" s="24">
        <v>53450</v>
      </c>
      <c r="Q133" s="183">
        <v>57270</v>
      </c>
      <c r="R133" s="183">
        <v>18835</v>
      </c>
      <c r="S133" s="183">
        <v>105610</v>
      </c>
      <c r="T133" s="450">
        <v>47470</v>
      </c>
      <c r="U133" s="611">
        <v>142180</v>
      </c>
      <c r="V133" s="533">
        <f t="shared" si="2"/>
        <v>299.51548346323995</v>
      </c>
      <c r="X133" s="2"/>
    </row>
    <row r="134" spans="1:24" ht="12.75">
      <c r="A134" s="779"/>
      <c r="B134" s="592"/>
      <c r="C134" s="38" t="s">
        <v>347</v>
      </c>
      <c r="D134" s="39"/>
      <c r="E134" s="39"/>
      <c r="F134" s="39"/>
      <c r="G134" s="39"/>
      <c r="H134" s="39"/>
      <c r="I134" s="38"/>
      <c r="J134" s="39"/>
      <c r="K134" s="39"/>
      <c r="L134" s="183"/>
      <c r="M134" s="183"/>
      <c r="N134" s="24"/>
      <c r="O134" s="24"/>
      <c r="P134" s="24"/>
      <c r="Q134" s="183">
        <v>20000</v>
      </c>
      <c r="R134" s="183">
        <v>15000</v>
      </c>
      <c r="S134" s="183"/>
      <c r="T134" s="450">
        <v>10000</v>
      </c>
      <c r="U134" s="611"/>
      <c r="V134" s="533">
        <f t="shared" si="2"/>
        <v>0</v>
      </c>
      <c r="X134" s="2"/>
    </row>
    <row r="135" spans="1:24" ht="13.5" thickBot="1">
      <c r="A135" s="780"/>
      <c r="B135" s="294"/>
      <c r="C135" s="41" t="s">
        <v>288</v>
      </c>
      <c r="D135" s="54">
        <v>24298</v>
      </c>
      <c r="E135" s="54">
        <v>33957</v>
      </c>
      <c r="F135" s="54">
        <v>45476</v>
      </c>
      <c r="G135" s="54">
        <v>47207</v>
      </c>
      <c r="H135" s="54">
        <v>57100</v>
      </c>
      <c r="I135" s="41">
        <v>60450</v>
      </c>
      <c r="J135" s="39">
        <v>44399</v>
      </c>
      <c r="K135" s="39">
        <v>49200</v>
      </c>
      <c r="L135" s="201">
        <v>56398</v>
      </c>
      <c r="M135" s="201">
        <v>43002</v>
      </c>
      <c r="N135" s="27">
        <v>40000</v>
      </c>
      <c r="O135" s="27">
        <v>715.5</v>
      </c>
      <c r="P135" s="27">
        <v>49180</v>
      </c>
      <c r="Q135" s="201">
        <v>80000</v>
      </c>
      <c r="R135" s="201">
        <v>60000</v>
      </c>
      <c r="S135" s="201"/>
      <c r="T135" s="459">
        <v>85000</v>
      </c>
      <c r="U135" s="686"/>
      <c r="V135" s="533">
        <f t="shared" si="2"/>
        <v>0</v>
      </c>
      <c r="X135" s="2"/>
    </row>
    <row r="136" spans="1:24" ht="15.75" thickBot="1">
      <c r="A136" s="190" t="s">
        <v>301</v>
      </c>
      <c r="B136" s="748" t="s">
        <v>69</v>
      </c>
      <c r="C136" s="765"/>
      <c r="D136" s="60">
        <v>16298</v>
      </c>
      <c r="E136" s="60">
        <v>196674</v>
      </c>
      <c r="F136" s="60">
        <v>276704</v>
      </c>
      <c r="G136" s="60">
        <v>322185</v>
      </c>
      <c r="H136" s="60">
        <v>434860</v>
      </c>
      <c r="I136" s="60">
        <v>399432</v>
      </c>
      <c r="J136" s="60">
        <v>332348</v>
      </c>
      <c r="K136" s="60">
        <v>315787</v>
      </c>
      <c r="L136" s="192">
        <v>311192.31999999995</v>
      </c>
      <c r="M136" s="192">
        <v>355810.5</v>
      </c>
      <c r="N136" s="436">
        <v>384915.19</v>
      </c>
      <c r="O136" s="560">
        <v>388070.83</v>
      </c>
      <c r="P136" s="560">
        <v>361113.8</v>
      </c>
      <c r="Q136" s="560">
        <v>408594.14</v>
      </c>
      <c r="R136" s="560">
        <v>256337.72</v>
      </c>
      <c r="S136" s="560">
        <v>268647.67</v>
      </c>
      <c r="T136" s="436">
        <f>SUM(T137:T150)</f>
        <v>401502</v>
      </c>
      <c r="U136" s="688">
        <f>SUM(U137:U150)</f>
        <v>354233.36</v>
      </c>
      <c r="V136" s="615">
        <f t="shared" si="2"/>
        <v>88.22704743687453</v>
      </c>
      <c r="W136" s="2"/>
      <c r="X136" s="2"/>
    </row>
    <row r="137" spans="1:24" ht="12.75">
      <c r="A137" s="778"/>
      <c r="B137" s="295"/>
      <c r="C137" s="202" t="s">
        <v>289</v>
      </c>
      <c r="D137" s="296">
        <v>4913</v>
      </c>
      <c r="E137" s="296">
        <v>3850</v>
      </c>
      <c r="F137" s="296">
        <v>5112</v>
      </c>
      <c r="G137" s="296"/>
      <c r="H137" s="296"/>
      <c r="I137" s="202">
        <v>6756</v>
      </c>
      <c r="J137" s="296">
        <v>7114</v>
      </c>
      <c r="K137" s="37">
        <v>7113</v>
      </c>
      <c r="L137" s="84">
        <v>7438.6</v>
      </c>
      <c r="M137" s="181">
        <v>12903.29</v>
      </c>
      <c r="N137" s="84">
        <v>10157.04</v>
      </c>
      <c r="O137" s="181">
        <v>15460.72</v>
      </c>
      <c r="P137" s="181">
        <v>9192</v>
      </c>
      <c r="Q137" s="181">
        <v>10989.94</v>
      </c>
      <c r="R137" s="181">
        <v>7873.950000000001</v>
      </c>
      <c r="S137" s="181">
        <v>9714.43</v>
      </c>
      <c r="T137" s="449">
        <v>14300</v>
      </c>
      <c r="U137" s="685">
        <f>985.33+2871.56+10.06</f>
        <v>3866.95</v>
      </c>
      <c r="V137" s="533">
        <f t="shared" si="2"/>
        <v>27.041608391608392</v>
      </c>
      <c r="X137" s="2"/>
    </row>
    <row r="138" spans="1:24" ht="12.75">
      <c r="A138" s="779"/>
      <c r="B138" s="297"/>
      <c r="C138" s="204" t="s">
        <v>211</v>
      </c>
      <c r="D138" s="298"/>
      <c r="E138" s="298"/>
      <c r="F138" s="298"/>
      <c r="G138" s="298"/>
      <c r="H138" s="298"/>
      <c r="I138" s="299">
        <v>48971</v>
      </c>
      <c r="J138" s="298"/>
      <c r="K138" s="51"/>
      <c r="L138" s="21"/>
      <c r="M138" s="105"/>
      <c r="N138" s="21"/>
      <c r="O138" s="105"/>
      <c r="P138" s="105">
        <v>12970.5</v>
      </c>
      <c r="Q138" s="105">
        <v>4960</v>
      </c>
      <c r="R138" s="105">
        <v>1200</v>
      </c>
      <c r="S138" s="105"/>
      <c r="T138" s="455">
        <v>0</v>
      </c>
      <c r="U138" s="611"/>
      <c r="V138" s="533">
        <f t="shared" si="2"/>
        <v>0</v>
      </c>
      <c r="X138" s="2"/>
    </row>
    <row r="139" spans="1:25" ht="12.75">
      <c r="A139" s="779"/>
      <c r="B139" s="297"/>
      <c r="C139" s="204" t="s">
        <v>196</v>
      </c>
      <c r="D139" s="298"/>
      <c r="E139" s="298"/>
      <c r="F139" s="298"/>
      <c r="G139" s="298"/>
      <c r="H139" s="298"/>
      <c r="I139" s="299">
        <v>24304</v>
      </c>
      <c r="J139" s="298">
        <v>10566</v>
      </c>
      <c r="K139" s="51">
        <v>3350</v>
      </c>
      <c r="L139" s="21">
        <v>4052</v>
      </c>
      <c r="M139" s="105">
        <v>10555.27</v>
      </c>
      <c r="N139" s="21"/>
      <c r="O139" s="105">
        <v>12040.65</v>
      </c>
      <c r="P139" s="105">
        <v>15000</v>
      </c>
      <c r="Q139" s="105">
        <v>42000</v>
      </c>
      <c r="R139" s="105">
        <v>10000</v>
      </c>
      <c r="S139" s="105"/>
      <c r="T139" s="455">
        <v>55000</v>
      </c>
      <c r="U139" s="611">
        <v>55000</v>
      </c>
      <c r="V139" s="533">
        <f t="shared" si="2"/>
        <v>100</v>
      </c>
      <c r="X139" s="2"/>
      <c r="Y139" s="2"/>
    </row>
    <row r="140" spans="1:24" ht="12.75">
      <c r="A140" s="779"/>
      <c r="B140" s="297"/>
      <c r="C140" s="204" t="s">
        <v>319</v>
      </c>
      <c r="D140" s="298"/>
      <c r="E140" s="298"/>
      <c r="F140" s="298"/>
      <c r="G140" s="298"/>
      <c r="H140" s="298"/>
      <c r="I140" s="299"/>
      <c r="J140" s="298"/>
      <c r="K140" s="51"/>
      <c r="L140" s="21"/>
      <c r="M140" s="105">
        <v>19000</v>
      </c>
      <c r="N140" s="21">
        <v>10407.57</v>
      </c>
      <c r="O140" s="105">
        <v>19000</v>
      </c>
      <c r="P140" s="105">
        <v>3083.2</v>
      </c>
      <c r="Q140" s="105">
        <v>4899.4</v>
      </c>
      <c r="R140" s="105">
        <v>1620.77</v>
      </c>
      <c r="S140" s="105">
        <v>3257.1899999999996</v>
      </c>
      <c r="T140" s="455">
        <v>7000</v>
      </c>
      <c r="U140" s="611">
        <f>4550+2650</f>
        <v>7200</v>
      </c>
      <c r="V140" s="533">
        <f t="shared" si="2"/>
        <v>102.85714285714285</v>
      </c>
      <c r="X140" s="2"/>
    </row>
    <row r="141" spans="1:24" ht="12.75">
      <c r="A141" s="779"/>
      <c r="B141" s="297"/>
      <c r="C141" s="204" t="s">
        <v>290</v>
      </c>
      <c r="D141" s="298"/>
      <c r="E141" s="298"/>
      <c r="F141" s="298"/>
      <c r="G141" s="298"/>
      <c r="H141" s="298"/>
      <c r="I141" s="299"/>
      <c r="J141" s="298"/>
      <c r="K141" s="51"/>
      <c r="L141" s="21"/>
      <c r="M141" s="105"/>
      <c r="N141" s="21">
        <v>15000</v>
      </c>
      <c r="O141" s="105">
        <v>2377</v>
      </c>
      <c r="P141" s="105">
        <v>11700</v>
      </c>
      <c r="Q141" s="105">
        <v>17500</v>
      </c>
      <c r="R141" s="105">
        <v>420</v>
      </c>
      <c r="S141" s="105">
        <v>6500</v>
      </c>
      <c r="T141" s="455">
        <v>1000</v>
      </c>
      <c r="U141" s="611"/>
      <c r="V141" s="533">
        <f t="shared" si="2"/>
        <v>0</v>
      </c>
      <c r="X141" s="2"/>
    </row>
    <row r="142" spans="1:24" ht="12.75">
      <c r="A142" s="779"/>
      <c r="B142" s="300"/>
      <c r="C142" s="204" t="s">
        <v>356</v>
      </c>
      <c r="D142" s="184"/>
      <c r="E142" s="184">
        <v>7568</v>
      </c>
      <c r="F142" s="184">
        <v>15767</v>
      </c>
      <c r="G142" s="184">
        <v>15084</v>
      </c>
      <c r="H142" s="184"/>
      <c r="I142" s="204">
        <v>13552</v>
      </c>
      <c r="J142" s="184">
        <v>11060</v>
      </c>
      <c r="K142" s="39">
        <v>9650</v>
      </c>
      <c r="L142" s="24">
        <v>9100</v>
      </c>
      <c r="M142" s="183">
        <v>10889.5</v>
      </c>
      <c r="N142" s="24">
        <v>15000</v>
      </c>
      <c r="O142" s="183">
        <v>7950</v>
      </c>
      <c r="P142" s="183"/>
      <c r="Q142" s="183"/>
      <c r="R142" s="183">
        <v>4000</v>
      </c>
      <c r="S142" s="183"/>
      <c r="T142" s="450">
        <v>0</v>
      </c>
      <c r="U142" s="611"/>
      <c r="V142" s="533">
        <f t="shared" si="2"/>
        <v>0</v>
      </c>
      <c r="X142" s="2"/>
    </row>
    <row r="143" spans="1:24" ht="12.75">
      <c r="A143" s="779"/>
      <c r="B143" s="300"/>
      <c r="C143" s="204" t="s">
        <v>66</v>
      </c>
      <c r="D143" s="184"/>
      <c r="E143" s="184"/>
      <c r="F143" s="184"/>
      <c r="G143" s="184"/>
      <c r="H143" s="184"/>
      <c r="I143" s="204"/>
      <c r="J143" s="184"/>
      <c r="K143" s="39"/>
      <c r="L143" s="24"/>
      <c r="M143" s="24"/>
      <c r="N143" s="24"/>
      <c r="O143" s="183">
        <v>10000</v>
      </c>
      <c r="P143" s="183">
        <v>5000</v>
      </c>
      <c r="Q143" s="183"/>
      <c r="R143" s="183"/>
      <c r="S143" s="183"/>
      <c r="T143" s="450">
        <v>0</v>
      </c>
      <c r="U143" s="611"/>
      <c r="V143" s="533">
        <f t="shared" si="2"/>
        <v>0</v>
      </c>
      <c r="X143" s="2"/>
    </row>
    <row r="144" spans="1:25" ht="12.75">
      <c r="A144" s="779"/>
      <c r="B144" s="300"/>
      <c r="C144" s="204" t="s">
        <v>310</v>
      </c>
      <c r="D144" s="184"/>
      <c r="E144" s="184"/>
      <c r="F144" s="184"/>
      <c r="G144" s="184"/>
      <c r="H144" s="184"/>
      <c r="I144" s="204"/>
      <c r="J144" s="184"/>
      <c r="K144" s="39"/>
      <c r="L144" s="24"/>
      <c r="M144" s="24"/>
      <c r="N144" s="24">
        <v>256.58</v>
      </c>
      <c r="O144" s="183">
        <v>4000</v>
      </c>
      <c r="P144" s="183">
        <v>6335</v>
      </c>
      <c r="Q144" s="183">
        <v>10280.42</v>
      </c>
      <c r="R144" s="183">
        <v>2000</v>
      </c>
      <c r="S144" s="183"/>
      <c r="T144" s="450">
        <v>5000</v>
      </c>
      <c r="U144" s="611">
        <v>4000</v>
      </c>
      <c r="V144" s="533">
        <f t="shared" si="2"/>
        <v>80</v>
      </c>
      <c r="X144" s="2"/>
      <c r="Y144" s="2"/>
    </row>
    <row r="145" spans="1:26" ht="12.75">
      <c r="A145" s="779"/>
      <c r="B145" s="300"/>
      <c r="C145" s="204" t="s">
        <v>191</v>
      </c>
      <c r="D145" s="184"/>
      <c r="E145" s="184"/>
      <c r="F145" s="184"/>
      <c r="G145" s="184"/>
      <c r="H145" s="184"/>
      <c r="I145" s="204"/>
      <c r="J145" s="184"/>
      <c r="K145" s="39"/>
      <c r="L145" s="24"/>
      <c r="M145" s="24"/>
      <c r="N145" s="24">
        <v>4000</v>
      </c>
      <c r="O145" s="183">
        <v>1050</v>
      </c>
      <c r="P145" s="183">
        <v>42000.1</v>
      </c>
      <c r="Q145" s="183">
        <v>86465</v>
      </c>
      <c r="R145" s="183">
        <v>75178</v>
      </c>
      <c r="S145" s="183">
        <v>71700</v>
      </c>
      <c r="T145" s="450">
        <v>99317</v>
      </c>
      <c r="U145" s="611">
        <v>89723</v>
      </c>
      <c r="V145" s="533">
        <f t="shared" si="2"/>
        <v>90.34002235266873</v>
      </c>
      <c r="X145" s="2"/>
      <c r="Y145" s="2"/>
      <c r="Z145" s="2"/>
    </row>
    <row r="146" spans="1:26" ht="12.75">
      <c r="A146" s="779"/>
      <c r="B146" s="300"/>
      <c r="C146" s="204" t="s">
        <v>192</v>
      </c>
      <c r="D146" s="184"/>
      <c r="E146" s="184">
        <v>58189</v>
      </c>
      <c r="F146" s="184">
        <v>75483</v>
      </c>
      <c r="G146" s="184">
        <v>91400</v>
      </c>
      <c r="H146" s="184"/>
      <c r="I146" s="204">
        <v>152242</v>
      </c>
      <c r="J146" s="184">
        <v>162681</v>
      </c>
      <c r="K146" s="39">
        <v>150333</v>
      </c>
      <c r="L146" s="24">
        <v>119218</v>
      </c>
      <c r="M146" s="183">
        <v>148153</v>
      </c>
      <c r="N146" s="24">
        <v>76969</v>
      </c>
      <c r="O146" s="183">
        <v>70558</v>
      </c>
      <c r="P146" s="183">
        <v>77400</v>
      </c>
      <c r="Q146" s="183">
        <v>117346.38</v>
      </c>
      <c r="R146" s="183">
        <v>88613</v>
      </c>
      <c r="S146" s="183">
        <v>86733</v>
      </c>
      <c r="T146" s="450">
        <v>103402</v>
      </c>
      <c r="U146" s="611">
        <v>90525.41</v>
      </c>
      <c r="V146" s="533">
        <f t="shared" si="2"/>
        <v>87.54705905108219</v>
      </c>
      <c r="X146" s="2"/>
      <c r="Z146" s="2"/>
    </row>
    <row r="147" spans="1:26" ht="12.75" hidden="1">
      <c r="A147" s="779"/>
      <c r="B147" s="300"/>
      <c r="C147" s="204" t="s">
        <v>348</v>
      </c>
      <c r="D147" s="184"/>
      <c r="E147" s="184">
        <v>99250</v>
      </c>
      <c r="F147" s="184">
        <v>153754</v>
      </c>
      <c r="G147" s="184">
        <v>143286</v>
      </c>
      <c r="H147" s="184"/>
      <c r="I147" s="204">
        <v>86643</v>
      </c>
      <c r="J147" s="184">
        <v>82311</v>
      </c>
      <c r="K147" s="39">
        <v>93232</v>
      </c>
      <c r="L147" s="24">
        <v>109100</v>
      </c>
      <c r="M147" s="183">
        <v>88221</v>
      </c>
      <c r="N147" s="24">
        <v>81209</v>
      </c>
      <c r="O147" s="183">
        <v>72867</v>
      </c>
      <c r="P147" s="183"/>
      <c r="Q147" s="183"/>
      <c r="R147" s="183"/>
      <c r="S147" s="183"/>
      <c r="T147" s="450">
        <v>0</v>
      </c>
      <c r="U147" s="611"/>
      <c r="V147" s="533">
        <f t="shared" si="2"/>
        <v>0</v>
      </c>
      <c r="X147" s="2"/>
      <c r="Z147" s="2"/>
    </row>
    <row r="148" spans="1:26" ht="12.75" hidden="1">
      <c r="A148" s="779"/>
      <c r="B148" s="301"/>
      <c r="C148" s="38" t="s">
        <v>193</v>
      </c>
      <c r="D148" s="39"/>
      <c r="E148" s="39">
        <v>27817</v>
      </c>
      <c r="F148" s="39">
        <v>26588</v>
      </c>
      <c r="G148" s="39">
        <v>25790</v>
      </c>
      <c r="H148" s="39"/>
      <c r="I148" s="38">
        <v>66964</v>
      </c>
      <c r="J148" s="39">
        <v>58616</v>
      </c>
      <c r="K148" s="39">
        <v>52109</v>
      </c>
      <c r="L148" s="39">
        <v>49442</v>
      </c>
      <c r="M148" s="101">
        <v>49808</v>
      </c>
      <c r="N148" s="24">
        <v>60863</v>
      </c>
      <c r="O148" s="183">
        <v>64900</v>
      </c>
      <c r="P148" s="183">
        <v>67942</v>
      </c>
      <c r="Q148" s="183"/>
      <c r="R148" s="183"/>
      <c r="S148" s="183"/>
      <c r="T148" s="450">
        <v>0</v>
      </c>
      <c r="U148" s="611"/>
      <c r="V148" s="533">
        <f t="shared" si="2"/>
        <v>0</v>
      </c>
      <c r="X148" s="2"/>
      <c r="Z148" s="2"/>
    </row>
    <row r="149" spans="1:26" ht="12.75">
      <c r="A149" s="779"/>
      <c r="B149" s="414"/>
      <c r="C149" s="42" t="s">
        <v>194</v>
      </c>
      <c r="D149" s="65"/>
      <c r="E149" s="65"/>
      <c r="F149" s="65"/>
      <c r="G149" s="65"/>
      <c r="H149" s="65"/>
      <c r="I149" s="42"/>
      <c r="J149" s="65"/>
      <c r="K149" s="65"/>
      <c r="L149" s="65">
        <v>12841.72</v>
      </c>
      <c r="M149" s="232">
        <v>16280.44</v>
      </c>
      <c r="N149" s="27">
        <v>18152</v>
      </c>
      <c r="O149" s="201">
        <v>24031</v>
      </c>
      <c r="P149" s="201">
        <v>24298</v>
      </c>
      <c r="Q149" s="201">
        <v>25498</v>
      </c>
      <c r="R149" s="201">
        <v>7498</v>
      </c>
      <c r="S149" s="201">
        <v>18663</v>
      </c>
      <c r="T149" s="459">
        <v>21115</v>
      </c>
      <c r="U149" s="611">
        <v>21115</v>
      </c>
      <c r="V149" s="533">
        <f t="shared" si="2"/>
        <v>100</v>
      </c>
      <c r="X149" s="2"/>
      <c r="Z149" s="2"/>
    </row>
    <row r="150" spans="1:26" ht="13.5" thickBot="1">
      <c r="A150" s="780"/>
      <c r="B150" s="302"/>
      <c r="C150" s="41" t="s">
        <v>195</v>
      </c>
      <c r="D150" s="54"/>
      <c r="E150" s="54"/>
      <c r="F150" s="54"/>
      <c r="G150" s="54"/>
      <c r="H150" s="54"/>
      <c r="I150" s="41"/>
      <c r="J150" s="54"/>
      <c r="K150" s="54"/>
      <c r="L150" s="54"/>
      <c r="M150" s="54"/>
      <c r="N150" s="43">
        <v>92901</v>
      </c>
      <c r="O150" s="233">
        <v>83836.46</v>
      </c>
      <c r="P150" s="233">
        <v>86193</v>
      </c>
      <c r="Q150" s="233">
        <v>88655</v>
      </c>
      <c r="R150" s="233">
        <v>57934</v>
      </c>
      <c r="S150" s="233">
        <v>72080.05</v>
      </c>
      <c r="T150" s="441">
        <v>95368</v>
      </c>
      <c r="U150" s="686">
        <v>82803</v>
      </c>
      <c r="V150" s="533">
        <f t="shared" si="2"/>
        <v>86.82472108044628</v>
      </c>
      <c r="X150" s="2"/>
      <c r="Z150" s="2"/>
    </row>
    <row r="151" spans="1:24" ht="15.75" thickBot="1">
      <c r="A151" s="271" t="s">
        <v>291</v>
      </c>
      <c r="B151" s="748" t="s">
        <v>0</v>
      </c>
      <c r="C151" s="765"/>
      <c r="D151" s="60">
        <v>0</v>
      </c>
      <c r="E151" s="60">
        <v>44944</v>
      </c>
      <c r="F151" s="60">
        <v>55765</v>
      </c>
      <c r="G151" s="60">
        <v>48780</v>
      </c>
      <c r="H151" s="60">
        <v>52570</v>
      </c>
      <c r="I151" s="60">
        <v>48691</v>
      </c>
      <c r="J151" s="60">
        <v>46108</v>
      </c>
      <c r="K151" s="69">
        <v>47470</v>
      </c>
      <c r="L151" s="70">
        <v>48334.8</v>
      </c>
      <c r="M151" s="70">
        <v>45244.8</v>
      </c>
      <c r="N151" s="440">
        <v>51246.22</v>
      </c>
      <c r="O151" s="562">
        <v>45133.520000000004</v>
      </c>
      <c r="P151" s="562">
        <v>47476.15</v>
      </c>
      <c r="Q151" s="562">
        <v>47435.44</v>
      </c>
      <c r="R151" s="562">
        <v>50620.68</v>
      </c>
      <c r="S151" s="562">
        <v>55192.62</v>
      </c>
      <c r="T151" s="440">
        <f>SUM(T152:T153)</f>
        <v>61836</v>
      </c>
      <c r="U151" s="688">
        <f>SUM(U152:U153)</f>
        <v>49545.7</v>
      </c>
      <c r="V151" s="615">
        <f t="shared" si="2"/>
        <v>80.12436121353257</v>
      </c>
      <c r="X151" s="2"/>
    </row>
    <row r="152" spans="1:24" ht="12.75">
      <c r="A152" s="778"/>
      <c r="B152" s="207">
        <v>630</v>
      </c>
      <c r="C152" s="202" t="s">
        <v>199</v>
      </c>
      <c r="D152" s="296"/>
      <c r="E152" s="296">
        <v>36679</v>
      </c>
      <c r="F152" s="296">
        <v>46803</v>
      </c>
      <c r="G152" s="296">
        <v>39726</v>
      </c>
      <c r="H152" s="296">
        <v>43006</v>
      </c>
      <c r="I152" s="202">
        <v>38795</v>
      </c>
      <c r="J152" s="202">
        <v>36600</v>
      </c>
      <c r="K152" s="37">
        <v>37500</v>
      </c>
      <c r="L152" s="181">
        <v>40890</v>
      </c>
      <c r="M152" s="181">
        <v>37800</v>
      </c>
      <c r="N152" s="84">
        <v>39750</v>
      </c>
      <c r="O152" s="181">
        <v>33550</v>
      </c>
      <c r="P152" s="181">
        <v>37036.15</v>
      </c>
      <c r="Q152" s="181">
        <v>37925.44</v>
      </c>
      <c r="R152" s="181">
        <v>38002.68</v>
      </c>
      <c r="S152" s="181">
        <v>42509.62</v>
      </c>
      <c r="T152" s="84">
        <v>42836</v>
      </c>
      <c r="U152" s="685">
        <v>37622.7</v>
      </c>
      <c r="V152" s="533">
        <f t="shared" si="2"/>
        <v>87.82962928377998</v>
      </c>
      <c r="X152" s="2"/>
    </row>
    <row r="153" spans="1:24" ht="13.5" thickBot="1">
      <c r="A153" s="780"/>
      <c r="B153" s="231">
        <v>630</v>
      </c>
      <c r="C153" s="279" t="s">
        <v>1</v>
      </c>
      <c r="D153" s="281"/>
      <c r="E153" s="281">
        <v>8265</v>
      </c>
      <c r="F153" s="281">
        <v>8962</v>
      </c>
      <c r="G153" s="281">
        <v>9054</v>
      </c>
      <c r="H153" s="281">
        <v>9564</v>
      </c>
      <c r="I153" s="279">
        <v>9896</v>
      </c>
      <c r="J153" s="279">
        <v>9508</v>
      </c>
      <c r="K153" s="54">
        <v>9970</v>
      </c>
      <c r="L153" s="233">
        <v>7444.8</v>
      </c>
      <c r="M153" s="233">
        <v>7444.8</v>
      </c>
      <c r="N153" s="43">
        <v>11496.22</v>
      </c>
      <c r="O153" s="233">
        <v>11583.52</v>
      </c>
      <c r="P153" s="233">
        <v>10440</v>
      </c>
      <c r="Q153" s="233">
        <v>9510</v>
      </c>
      <c r="R153" s="233">
        <v>12618</v>
      </c>
      <c r="S153" s="233">
        <v>12683</v>
      </c>
      <c r="T153" s="441">
        <v>19000</v>
      </c>
      <c r="U153" s="686">
        <v>11923</v>
      </c>
      <c r="V153" s="533">
        <f t="shared" si="2"/>
        <v>62.75263157894737</v>
      </c>
      <c r="X153" s="2"/>
    </row>
    <row r="154" spans="1:32" ht="15.75" thickBot="1">
      <c r="A154" s="245" t="s">
        <v>59</v>
      </c>
      <c r="B154" s="748" t="s">
        <v>2</v>
      </c>
      <c r="C154" s="765"/>
      <c r="D154" s="60">
        <v>6008</v>
      </c>
      <c r="E154" s="60">
        <v>6373</v>
      </c>
      <c r="F154" s="60">
        <v>76413</v>
      </c>
      <c r="G154" s="60">
        <v>50904</v>
      </c>
      <c r="H154" s="60">
        <v>43602</v>
      </c>
      <c r="I154" s="60">
        <v>80402</v>
      </c>
      <c r="J154" s="60">
        <v>65201</v>
      </c>
      <c r="K154" s="60">
        <v>82763</v>
      </c>
      <c r="L154" s="192">
        <v>85325.96</v>
      </c>
      <c r="M154" s="192">
        <v>98428.31</v>
      </c>
      <c r="N154" s="436">
        <v>91637.84999999999</v>
      </c>
      <c r="O154" s="436">
        <v>98282.1</v>
      </c>
      <c r="P154" s="436">
        <v>86440.45</v>
      </c>
      <c r="Q154" s="560">
        <v>124303.2</v>
      </c>
      <c r="R154" s="560">
        <v>102268.20999999999</v>
      </c>
      <c r="S154" s="560">
        <v>120375.1</v>
      </c>
      <c r="T154" s="436">
        <f>SUM(T155:T159)</f>
        <v>133572</v>
      </c>
      <c r="U154" s="688">
        <f>SUM(U155:U159)</f>
        <v>131965.77000000002</v>
      </c>
      <c r="V154" s="615">
        <f t="shared" si="2"/>
        <v>98.79748001078072</v>
      </c>
      <c r="X154" s="2"/>
      <c r="AF154" s="413"/>
    </row>
    <row r="155" spans="1:24" ht="12.75">
      <c r="A155" s="792"/>
      <c r="B155" s="786"/>
      <c r="C155" s="38" t="s">
        <v>3</v>
      </c>
      <c r="D155" s="39"/>
      <c r="E155" s="39">
        <v>5842</v>
      </c>
      <c r="F155" s="39">
        <v>6108</v>
      </c>
      <c r="G155" s="39">
        <v>13480</v>
      </c>
      <c r="H155" s="39">
        <v>6009</v>
      </c>
      <c r="I155" s="38">
        <v>6900</v>
      </c>
      <c r="J155" s="184">
        <v>3787</v>
      </c>
      <c r="K155" s="39">
        <v>3290</v>
      </c>
      <c r="L155" s="105">
        <v>1483</v>
      </c>
      <c r="M155" s="105">
        <v>9142.95</v>
      </c>
      <c r="N155" s="21">
        <v>5153.01</v>
      </c>
      <c r="O155" s="21"/>
      <c r="P155" s="21"/>
      <c r="Q155" s="105"/>
      <c r="R155" s="105">
        <v>0</v>
      </c>
      <c r="S155" s="105"/>
      <c r="T155" s="455"/>
      <c r="U155" s="685"/>
      <c r="V155" s="533">
        <f t="shared" si="2"/>
        <v>0</v>
      </c>
      <c r="X155" s="2"/>
    </row>
    <row r="156" spans="1:25" ht="12.75">
      <c r="A156" s="792"/>
      <c r="B156" s="787"/>
      <c r="C156" s="38" t="s">
        <v>155</v>
      </c>
      <c r="D156" s="39"/>
      <c r="E156" s="39"/>
      <c r="F156" s="39"/>
      <c r="G156" s="39"/>
      <c r="H156" s="39"/>
      <c r="I156" s="38"/>
      <c r="J156" s="184"/>
      <c r="K156" s="39"/>
      <c r="L156" s="105"/>
      <c r="M156" s="105"/>
      <c r="N156" s="21"/>
      <c r="O156" s="105">
        <v>4985.1</v>
      </c>
      <c r="P156" s="105">
        <v>14458.009999999998</v>
      </c>
      <c r="Q156" s="105">
        <v>18101.53</v>
      </c>
      <c r="R156" s="105">
        <v>13673.17</v>
      </c>
      <c r="S156" s="105">
        <v>8198.2</v>
      </c>
      <c r="T156" s="455">
        <v>22628</v>
      </c>
      <c r="U156" s="685">
        <f>4092+1023+3000.8+750.2+3194.4+798.6</f>
        <v>12859</v>
      </c>
      <c r="V156" s="533">
        <f t="shared" si="2"/>
        <v>56.82782393494785</v>
      </c>
      <c r="X156" s="2"/>
      <c r="Y156" s="2"/>
    </row>
    <row r="157" spans="1:25" ht="12.75">
      <c r="A157" s="792"/>
      <c r="B157" s="787"/>
      <c r="C157" s="38" t="s">
        <v>427</v>
      </c>
      <c r="D157" s="39"/>
      <c r="E157" s="39"/>
      <c r="F157" s="39"/>
      <c r="G157" s="39"/>
      <c r="H157" s="39"/>
      <c r="I157" s="38"/>
      <c r="J157" s="184"/>
      <c r="K157" s="39"/>
      <c r="L157" s="105"/>
      <c r="M157" s="105"/>
      <c r="N157" s="21"/>
      <c r="O157" s="105"/>
      <c r="P157" s="105"/>
      <c r="Q157" s="105"/>
      <c r="R157" s="105"/>
      <c r="S157" s="105">
        <v>16026.380000000001</v>
      </c>
      <c r="T157" s="455"/>
      <c r="U157" s="685">
        <v>8502.77</v>
      </c>
      <c r="V157" s="533">
        <f t="shared" si="2"/>
        <v>0</v>
      </c>
      <c r="X157" s="2"/>
      <c r="Y157" s="2"/>
    </row>
    <row r="158" spans="1:24" ht="12.75">
      <c r="A158" s="792"/>
      <c r="B158" s="787"/>
      <c r="C158" s="38" t="s">
        <v>4</v>
      </c>
      <c r="D158" s="39"/>
      <c r="E158" s="39">
        <v>0</v>
      </c>
      <c r="F158" s="39">
        <v>66388</v>
      </c>
      <c r="G158" s="39">
        <v>33390</v>
      </c>
      <c r="H158" s="39">
        <v>32749</v>
      </c>
      <c r="I158" s="38">
        <v>70000</v>
      </c>
      <c r="J158" s="184">
        <v>59118</v>
      </c>
      <c r="K158" s="39">
        <v>75103</v>
      </c>
      <c r="L158" s="183">
        <v>81056.96</v>
      </c>
      <c r="M158" s="183">
        <v>86285.36</v>
      </c>
      <c r="N158" s="24">
        <v>5874.72</v>
      </c>
      <c r="O158" s="183">
        <v>90485</v>
      </c>
      <c r="P158" s="183">
        <v>71812.44</v>
      </c>
      <c r="Q158" s="183">
        <v>103201.67</v>
      </c>
      <c r="R158" s="183">
        <v>87345.04</v>
      </c>
      <c r="S158" s="183">
        <v>95300.52</v>
      </c>
      <c r="T158" s="450">
        <v>109444</v>
      </c>
      <c r="U158" s="611">
        <v>109444</v>
      </c>
      <c r="V158" s="533">
        <f t="shared" si="2"/>
        <v>100</v>
      </c>
      <c r="X158" s="2"/>
    </row>
    <row r="159" spans="1:24" ht="13.5" thickBot="1">
      <c r="A159" s="793"/>
      <c r="B159" s="788"/>
      <c r="C159" s="102" t="s">
        <v>5</v>
      </c>
      <c r="D159" s="188"/>
      <c r="E159" s="188">
        <v>531</v>
      </c>
      <c r="F159" s="188">
        <v>3917</v>
      </c>
      <c r="G159" s="188">
        <v>4034</v>
      </c>
      <c r="H159" s="188">
        <v>796</v>
      </c>
      <c r="I159" s="102">
        <v>3502</v>
      </c>
      <c r="J159" s="184">
        <v>2296</v>
      </c>
      <c r="K159" s="39">
        <v>4370</v>
      </c>
      <c r="L159" s="103">
        <v>2786</v>
      </c>
      <c r="M159" s="103">
        <v>3000</v>
      </c>
      <c r="N159" s="62">
        <v>80610.12</v>
      </c>
      <c r="O159" s="103">
        <v>2812</v>
      </c>
      <c r="P159" s="103">
        <v>170</v>
      </c>
      <c r="Q159" s="103">
        <v>3000</v>
      </c>
      <c r="R159" s="103">
        <v>1250</v>
      </c>
      <c r="S159" s="103">
        <v>850</v>
      </c>
      <c r="T159" s="21">
        <v>1500</v>
      </c>
      <c r="U159" s="531">
        <v>1160</v>
      </c>
      <c r="V159" s="533">
        <f t="shared" si="2"/>
        <v>77.33333333333333</v>
      </c>
      <c r="X159" s="2"/>
    </row>
    <row r="160" spans="1:32" ht="15.75" thickBot="1">
      <c r="A160" s="190" t="s">
        <v>6</v>
      </c>
      <c r="B160" s="748" t="s">
        <v>7</v>
      </c>
      <c r="C160" s="765"/>
      <c r="D160" s="60">
        <v>2960832</v>
      </c>
      <c r="E160" s="60">
        <v>3369814</v>
      </c>
      <c r="F160" s="60">
        <v>3780057</v>
      </c>
      <c r="G160" s="60">
        <v>4405952.43</v>
      </c>
      <c r="H160" s="60">
        <v>4455752</v>
      </c>
      <c r="I160" s="60">
        <v>4609033</v>
      </c>
      <c r="J160" s="60">
        <v>4840194</v>
      </c>
      <c r="K160" s="60">
        <v>4773475</v>
      </c>
      <c r="L160" s="192">
        <v>4944992.85</v>
      </c>
      <c r="M160" s="192">
        <v>5255422.85</v>
      </c>
      <c r="N160" s="436">
        <v>5401219.45</v>
      </c>
      <c r="O160" s="560">
        <v>5606281.4399999995</v>
      </c>
      <c r="P160" s="560">
        <v>5915004.52</v>
      </c>
      <c r="Q160" s="560">
        <v>6513428.659999999</v>
      </c>
      <c r="R160" s="560">
        <v>6870448.21</v>
      </c>
      <c r="S160" s="560">
        <v>7277274.319999999</v>
      </c>
      <c r="T160" s="436">
        <f>T161+T166</f>
        <v>8101817</v>
      </c>
      <c r="U160" s="688">
        <f>U161+U166</f>
        <v>8156314.79</v>
      </c>
      <c r="V160" s="615">
        <f t="shared" si="2"/>
        <v>100.67266133016828</v>
      </c>
      <c r="X160" s="2"/>
      <c r="AF160" s="413"/>
    </row>
    <row r="161" spans="1:24" ht="15.75" thickBot="1">
      <c r="A161" s="791"/>
      <c r="B161" s="800" t="s">
        <v>212</v>
      </c>
      <c r="C161" s="801"/>
      <c r="D161" s="58">
        <v>29177</v>
      </c>
      <c r="E161" s="58">
        <v>27518</v>
      </c>
      <c r="F161" s="58">
        <v>28447</v>
      </c>
      <c r="G161" s="58">
        <v>30677</v>
      </c>
      <c r="H161" s="58">
        <v>31410</v>
      </c>
      <c r="I161" s="58">
        <v>41249</v>
      </c>
      <c r="J161" s="58">
        <v>38808</v>
      </c>
      <c r="K161" s="58">
        <v>36313</v>
      </c>
      <c r="L161" s="138">
        <v>35493.83</v>
      </c>
      <c r="M161" s="138">
        <v>51463.89000000001</v>
      </c>
      <c r="N161" s="443">
        <v>56202.630000000005</v>
      </c>
      <c r="O161" s="567">
        <v>54280.090000000004</v>
      </c>
      <c r="P161" s="567">
        <v>61314.87</v>
      </c>
      <c r="Q161" s="567">
        <v>51737.259999999995</v>
      </c>
      <c r="R161" s="567">
        <v>69917.12000000001</v>
      </c>
      <c r="S161" s="567">
        <v>44484.13</v>
      </c>
      <c r="T161" s="443">
        <f>SUM(T162:T165)</f>
        <v>70862</v>
      </c>
      <c r="U161" s="688">
        <f>SUM(U162:U165)</f>
        <v>39859.219999999994</v>
      </c>
      <c r="V161" s="615">
        <f t="shared" si="2"/>
        <v>56.249075668200156</v>
      </c>
      <c r="X161" s="2"/>
    </row>
    <row r="162" spans="1:24" ht="12.75">
      <c r="A162" s="792"/>
      <c r="B162" s="289">
        <v>610</v>
      </c>
      <c r="C162" s="63" t="s">
        <v>233</v>
      </c>
      <c r="D162" s="220"/>
      <c r="E162" s="220">
        <v>18854</v>
      </c>
      <c r="F162" s="220">
        <v>18290</v>
      </c>
      <c r="G162" s="220">
        <v>19464</v>
      </c>
      <c r="H162" s="220">
        <v>22248</v>
      </c>
      <c r="I162" s="128">
        <v>29541</v>
      </c>
      <c r="J162" s="184">
        <v>26330</v>
      </c>
      <c r="K162" s="39">
        <v>25388</v>
      </c>
      <c r="L162" s="220">
        <v>24578.53</v>
      </c>
      <c r="M162" s="488">
        <v>33902.8</v>
      </c>
      <c r="N162" s="492">
        <v>34953.55</v>
      </c>
      <c r="O162" s="568">
        <v>37117.04</v>
      </c>
      <c r="P162" s="568">
        <v>39049.72</v>
      </c>
      <c r="Q162" s="568">
        <v>35866.21</v>
      </c>
      <c r="R162" s="568">
        <v>47781.15</v>
      </c>
      <c r="S162" s="568">
        <v>32858.17</v>
      </c>
      <c r="T162" s="463">
        <v>49504</v>
      </c>
      <c r="U162" s="685">
        <v>29279.14</v>
      </c>
      <c r="V162" s="533">
        <f t="shared" si="2"/>
        <v>59.144998383968975</v>
      </c>
      <c r="X162" s="2"/>
    </row>
    <row r="163" spans="1:24" ht="12.75">
      <c r="A163" s="792"/>
      <c r="B163" s="208">
        <v>620</v>
      </c>
      <c r="C163" s="38" t="s">
        <v>234</v>
      </c>
      <c r="D163" s="39"/>
      <c r="E163" s="39">
        <v>6473</v>
      </c>
      <c r="F163" s="39">
        <v>6340</v>
      </c>
      <c r="G163" s="39">
        <v>6869</v>
      </c>
      <c r="H163" s="39">
        <v>6877</v>
      </c>
      <c r="I163" s="38">
        <v>9575</v>
      </c>
      <c r="J163" s="184">
        <v>9735</v>
      </c>
      <c r="K163" s="39">
        <v>9358</v>
      </c>
      <c r="L163" s="39">
        <v>9719.8</v>
      </c>
      <c r="M163" s="171">
        <v>11551.79</v>
      </c>
      <c r="N163" s="86">
        <v>12736.3</v>
      </c>
      <c r="O163" s="569">
        <v>13736.32</v>
      </c>
      <c r="P163" s="569">
        <v>15439.53</v>
      </c>
      <c r="Q163" s="569">
        <v>12794.52</v>
      </c>
      <c r="R163" s="569">
        <v>16959.01</v>
      </c>
      <c r="S163" s="569">
        <v>10514.61</v>
      </c>
      <c r="T163" s="464">
        <v>17358</v>
      </c>
      <c r="U163" s="611">
        <v>9186.25</v>
      </c>
      <c r="V163" s="533">
        <f t="shared" si="2"/>
        <v>52.92228367323424</v>
      </c>
      <c r="X163" s="2"/>
    </row>
    <row r="164" spans="1:24" ht="13.5" thickBot="1">
      <c r="A164" s="792"/>
      <c r="B164" s="182">
        <v>630</v>
      </c>
      <c r="C164" s="38" t="s">
        <v>235</v>
      </c>
      <c r="D164" s="54"/>
      <c r="E164" s="54">
        <v>2191</v>
      </c>
      <c r="F164" s="54">
        <v>3817</v>
      </c>
      <c r="G164" s="54">
        <v>4344</v>
      </c>
      <c r="H164" s="54">
        <v>2285</v>
      </c>
      <c r="I164" s="41">
        <v>2133</v>
      </c>
      <c r="J164" s="184">
        <v>2743</v>
      </c>
      <c r="K164" s="39">
        <v>1567</v>
      </c>
      <c r="L164" s="39">
        <v>1195.5</v>
      </c>
      <c r="M164" s="101">
        <v>1127.3</v>
      </c>
      <c r="N164" s="24">
        <v>8512.78</v>
      </c>
      <c r="O164" s="183">
        <v>3426.73</v>
      </c>
      <c r="P164" s="183">
        <v>3125.62</v>
      </c>
      <c r="Q164" s="183">
        <v>3076.53</v>
      </c>
      <c r="R164" s="183">
        <v>4564.69</v>
      </c>
      <c r="S164" s="183">
        <v>1111.35</v>
      </c>
      <c r="T164" s="450">
        <v>4000</v>
      </c>
      <c r="U164" s="611">
        <v>1326.63</v>
      </c>
      <c r="V164" s="533">
        <f t="shared" si="2"/>
        <v>33.16575</v>
      </c>
      <c r="X164" s="2"/>
    </row>
    <row r="165" spans="1:24" ht="13.5" thickBot="1">
      <c r="A165" s="792"/>
      <c r="B165" s="40">
        <v>640</v>
      </c>
      <c r="C165" s="241" t="s">
        <v>236</v>
      </c>
      <c r="D165" s="188"/>
      <c r="E165" s="188"/>
      <c r="F165" s="188"/>
      <c r="G165" s="188"/>
      <c r="H165" s="188"/>
      <c r="I165" s="102"/>
      <c r="J165" s="211"/>
      <c r="K165" s="220"/>
      <c r="L165" s="220"/>
      <c r="M165" s="486">
        <v>4882</v>
      </c>
      <c r="N165" s="62"/>
      <c r="O165" s="103"/>
      <c r="P165" s="103">
        <v>3700</v>
      </c>
      <c r="Q165" s="103"/>
      <c r="R165" s="103">
        <v>612.27</v>
      </c>
      <c r="S165" s="103"/>
      <c r="T165" s="437"/>
      <c r="U165" s="689">
        <v>67.2</v>
      </c>
      <c r="V165" s="533">
        <f t="shared" si="2"/>
        <v>0</v>
      </c>
      <c r="X165" s="2"/>
    </row>
    <row r="166" spans="1:34" ht="13.5" thickBot="1">
      <c r="A166" s="792"/>
      <c r="B166" s="802" t="s">
        <v>8</v>
      </c>
      <c r="C166" s="803"/>
      <c r="D166" s="33">
        <v>2931655</v>
      </c>
      <c r="E166" s="33">
        <v>3342296</v>
      </c>
      <c r="F166" s="33">
        <v>3751610</v>
      </c>
      <c r="G166" s="33">
        <v>4375275.43</v>
      </c>
      <c r="H166" s="33">
        <v>4424342</v>
      </c>
      <c r="I166" s="33">
        <v>4567784</v>
      </c>
      <c r="J166" s="33">
        <v>4801386</v>
      </c>
      <c r="K166" s="33">
        <v>4737162</v>
      </c>
      <c r="L166" s="303">
        <v>4909499.02</v>
      </c>
      <c r="M166" s="303">
        <v>5203958.96</v>
      </c>
      <c r="N166" s="444">
        <v>5345016.82</v>
      </c>
      <c r="O166" s="570">
        <v>5552001.35</v>
      </c>
      <c r="P166" s="570">
        <v>5853689.649999999</v>
      </c>
      <c r="Q166" s="570">
        <v>6461691.399999999</v>
      </c>
      <c r="R166" s="570">
        <v>6800531.09</v>
      </c>
      <c r="S166" s="570">
        <v>7232790.1899999995</v>
      </c>
      <c r="T166" s="444">
        <f>SUM(T167:T179)</f>
        <v>8030955</v>
      </c>
      <c r="U166" s="688">
        <f>SUM(U167:U179)</f>
        <v>8116455.57</v>
      </c>
      <c r="V166" s="534">
        <f t="shared" si="2"/>
        <v>101.0646376427212</v>
      </c>
      <c r="X166" s="2"/>
      <c r="AH166" s="2"/>
    </row>
    <row r="167" spans="1:24" ht="12.75">
      <c r="A167" s="792"/>
      <c r="B167" s="786"/>
      <c r="C167" s="63" t="s">
        <v>9</v>
      </c>
      <c r="D167" s="51">
        <v>1541725</v>
      </c>
      <c r="E167" s="51">
        <v>1718084</v>
      </c>
      <c r="F167" s="51">
        <v>1793999</v>
      </c>
      <c r="G167" s="51">
        <v>1958942</v>
      </c>
      <c r="H167" s="51">
        <v>2084677</v>
      </c>
      <c r="I167" s="63">
        <v>2039732</v>
      </c>
      <c r="J167" s="51">
        <v>2241882</v>
      </c>
      <c r="K167" s="51">
        <v>2385291</v>
      </c>
      <c r="L167" s="105">
        <v>2363727.67</v>
      </c>
      <c r="M167" s="105">
        <v>2385302.7</v>
      </c>
      <c r="N167" s="21">
        <v>2457964.41</v>
      </c>
      <c r="O167" s="105">
        <v>2387323.05</v>
      </c>
      <c r="P167" s="105">
        <v>2377088.1</v>
      </c>
      <c r="Q167" s="105">
        <v>2542642.4799999995</v>
      </c>
      <c r="R167" s="105">
        <v>2775176.91</v>
      </c>
      <c r="S167" s="105">
        <v>3148124.82</v>
      </c>
      <c r="T167" s="455">
        <v>3118128</v>
      </c>
      <c r="U167" s="685">
        <f>3216728.2-13160.35</f>
        <v>3203567.85</v>
      </c>
      <c r="V167" s="533">
        <f t="shared" si="2"/>
        <v>102.74010079124398</v>
      </c>
      <c r="X167" s="2"/>
    </row>
    <row r="168" spans="1:36" ht="12.75">
      <c r="A168" s="792"/>
      <c r="B168" s="787"/>
      <c r="C168" s="38" t="s">
        <v>421</v>
      </c>
      <c r="D168" s="39">
        <v>1389930</v>
      </c>
      <c r="E168" s="39">
        <v>1591682</v>
      </c>
      <c r="F168" s="39">
        <v>1867423</v>
      </c>
      <c r="G168" s="39">
        <v>2134669.43</v>
      </c>
      <c r="H168" s="39">
        <v>2069302</v>
      </c>
      <c r="I168" s="38">
        <v>2182809</v>
      </c>
      <c r="J168" s="39">
        <v>2169532</v>
      </c>
      <c r="K168" s="39">
        <v>1972245</v>
      </c>
      <c r="L168" s="183">
        <v>2097007.99</v>
      </c>
      <c r="M168" s="183">
        <v>2239643.29</v>
      </c>
      <c r="N168" s="24">
        <v>2410623.65</v>
      </c>
      <c r="O168" s="183">
        <v>2546291.14</v>
      </c>
      <c r="P168" s="183">
        <v>2674051.77</v>
      </c>
      <c r="Q168" s="183">
        <v>2839554.52</v>
      </c>
      <c r="R168" s="183">
        <v>3035138.77</v>
      </c>
      <c r="S168" s="183">
        <v>3053951.34</v>
      </c>
      <c r="T168" s="450">
        <v>3506844</v>
      </c>
      <c r="U168" s="611">
        <v>3508477.43</v>
      </c>
      <c r="V168" s="533">
        <f t="shared" si="2"/>
        <v>100.04657834793906</v>
      </c>
      <c r="X168" s="2"/>
      <c r="AI168" s="2"/>
      <c r="AJ168" s="2"/>
    </row>
    <row r="169" spans="1:33" ht="12.75">
      <c r="A169" s="792"/>
      <c r="B169" s="787"/>
      <c r="C169" s="42" t="s">
        <v>10</v>
      </c>
      <c r="D169" s="65"/>
      <c r="E169" s="65"/>
      <c r="F169" s="65"/>
      <c r="G169" s="65"/>
      <c r="H169" s="65"/>
      <c r="I169" s="42"/>
      <c r="J169" s="42"/>
      <c r="K169" s="65">
        <v>6822</v>
      </c>
      <c r="L169" s="201">
        <v>58464.77</v>
      </c>
      <c r="M169" s="201">
        <v>145561.9699999993</v>
      </c>
      <c r="N169" s="27">
        <v>13019.76</v>
      </c>
      <c r="O169" s="201">
        <v>88405.36</v>
      </c>
      <c r="P169" s="201">
        <v>106886.92</v>
      </c>
      <c r="Q169" s="201">
        <v>135605.86</v>
      </c>
      <c r="R169" s="201">
        <v>153911.97999999998</v>
      </c>
      <c r="S169" s="201">
        <v>31662</v>
      </c>
      <c r="T169" s="459">
        <v>25794</v>
      </c>
      <c r="U169" s="611">
        <v>25794</v>
      </c>
      <c r="V169" s="533">
        <f t="shared" si="2"/>
        <v>100</v>
      </c>
      <c r="X169" s="2"/>
      <c r="AG169" s="2"/>
    </row>
    <row r="170" spans="1:24" ht="12.75">
      <c r="A170" s="792"/>
      <c r="B170" s="787"/>
      <c r="C170" s="42" t="s">
        <v>455</v>
      </c>
      <c r="D170" s="65"/>
      <c r="E170" s="65"/>
      <c r="F170" s="65"/>
      <c r="G170" s="65"/>
      <c r="H170" s="65"/>
      <c r="I170" s="42">
        <v>11276</v>
      </c>
      <c r="J170" s="42">
        <v>23184</v>
      </c>
      <c r="K170" s="65">
        <v>0</v>
      </c>
      <c r="L170" s="201">
        <v>4779.37</v>
      </c>
      <c r="M170" s="201">
        <v>0</v>
      </c>
      <c r="N170" s="27">
        <v>0</v>
      </c>
      <c r="O170" s="201"/>
      <c r="P170" s="201">
        <v>10000</v>
      </c>
      <c r="Q170" s="201">
        <v>2000</v>
      </c>
      <c r="R170" s="201">
        <v>7500</v>
      </c>
      <c r="S170" s="201"/>
      <c r="T170" s="459">
        <v>234762</v>
      </c>
      <c r="U170" s="611">
        <v>234762</v>
      </c>
      <c r="V170" s="533">
        <f t="shared" si="2"/>
        <v>100</v>
      </c>
      <c r="X170" s="2"/>
    </row>
    <row r="171" spans="1:24" ht="12.75">
      <c r="A171" s="792"/>
      <c r="B171" s="787"/>
      <c r="C171" s="42" t="s">
        <v>462</v>
      </c>
      <c r="D171" s="65"/>
      <c r="E171" s="65"/>
      <c r="F171" s="65"/>
      <c r="G171" s="65"/>
      <c r="H171" s="65"/>
      <c r="I171" s="42"/>
      <c r="J171" s="42"/>
      <c r="K171" s="65"/>
      <c r="L171" s="201"/>
      <c r="M171" s="201"/>
      <c r="N171" s="27"/>
      <c r="O171" s="201"/>
      <c r="P171" s="201"/>
      <c r="Q171" s="201"/>
      <c r="R171" s="201"/>
      <c r="S171" s="201"/>
      <c r="T171" s="459"/>
      <c r="U171" s="611">
        <v>1697.29</v>
      </c>
      <c r="V171" s="533">
        <f t="shared" si="2"/>
        <v>0</v>
      </c>
      <c r="X171" s="2"/>
    </row>
    <row r="172" spans="1:24" ht="12.75">
      <c r="A172" s="792"/>
      <c r="B172" s="787"/>
      <c r="C172" s="42" t="s">
        <v>369</v>
      </c>
      <c r="D172" s="65"/>
      <c r="E172" s="65"/>
      <c r="F172" s="65"/>
      <c r="G172" s="65"/>
      <c r="H172" s="65"/>
      <c r="I172" s="42"/>
      <c r="J172" s="42"/>
      <c r="K172" s="65"/>
      <c r="L172" s="201"/>
      <c r="M172" s="201"/>
      <c r="N172" s="27"/>
      <c r="O172" s="201"/>
      <c r="P172" s="201">
        <v>208274.06</v>
      </c>
      <c r="Q172" s="201">
        <v>197961.72999999998</v>
      </c>
      <c r="R172" s="201"/>
      <c r="S172" s="201">
        <v>74454.9</v>
      </c>
      <c r="T172" s="459">
        <v>0</v>
      </c>
      <c r="U172" s="611"/>
      <c r="V172" s="533">
        <f t="shared" si="2"/>
        <v>0</v>
      </c>
      <c r="X172" s="2"/>
    </row>
    <row r="173" spans="1:24" ht="12.75">
      <c r="A173" s="792"/>
      <c r="B173" s="787"/>
      <c r="C173" s="42" t="s">
        <v>338</v>
      </c>
      <c r="D173" s="65"/>
      <c r="E173" s="65"/>
      <c r="F173" s="65"/>
      <c r="G173" s="65"/>
      <c r="H173" s="65"/>
      <c r="I173" s="42"/>
      <c r="J173" s="42"/>
      <c r="K173" s="65"/>
      <c r="L173" s="201"/>
      <c r="M173" s="201"/>
      <c r="N173" s="27"/>
      <c r="O173" s="201"/>
      <c r="P173" s="201"/>
      <c r="Q173" s="201"/>
      <c r="R173" s="201">
        <v>73084.13</v>
      </c>
      <c r="S173" s="201">
        <v>123693</v>
      </c>
      <c r="T173" s="459">
        <v>312130</v>
      </c>
      <c r="U173" s="611">
        <f>280892.24+31237.76</f>
        <v>312130</v>
      </c>
      <c r="V173" s="533">
        <f t="shared" si="2"/>
        <v>100</v>
      </c>
      <c r="X173" s="2"/>
    </row>
    <row r="174" spans="1:24" ht="12.75">
      <c r="A174" s="792"/>
      <c r="B174" s="787"/>
      <c r="C174" s="42" t="s">
        <v>350</v>
      </c>
      <c r="D174" s="65"/>
      <c r="E174" s="65"/>
      <c r="F174" s="65"/>
      <c r="G174" s="65"/>
      <c r="H174" s="65"/>
      <c r="I174" s="42"/>
      <c r="J174" s="42"/>
      <c r="K174" s="65"/>
      <c r="L174" s="201"/>
      <c r="M174" s="201"/>
      <c r="N174" s="27"/>
      <c r="O174" s="201"/>
      <c r="P174" s="201"/>
      <c r="Q174" s="201"/>
      <c r="R174" s="201">
        <v>20000</v>
      </c>
      <c r="S174" s="201">
        <v>120016.06</v>
      </c>
      <c r="T174" s="459">
        <v>21652</v>
      </c>
      <c r="U174" s="611">
        <v>21652</v>
      </c>
      <c r="V174" s="533">
        <f t="shared" si="2"/>
        <v>100</v>
      </c>
      <c r="X174" s="2"/>
    </row>
    <row r="175" spans="1:24" ht="12.75">
      <c r="A175" s="792"/>
      <c r="B175" s="787"/>
      <c r="C175" s="42" t="s">
        <v>456</v>
      </c>
      <c r="D175" s="65"/>
      <c r="E175" s="65"/>
      <c r="F175" s="65"/>
      <c r="G175" s="65"/>
      <c r="H175" s="65"/>
      <c r="I175" s="42"/>
      <c r="J175" s="42"/>
      <c r="K175" s="65"/>
      <c r="L175" s="201"/>
      <c r="M175" s="201"/>
      <c r="N175" s="27"/>
      <c r="O175" s="201"/>
      <c r="P175" s="201"/>
      <c r="Q175" s="201"/>
      <c r="R175" s="201">
        <v>18132</v>
      </c>
      <c r="S175" s="201"/>
      <c r="T175" s="459">
        <v>3270</v>
      </c>
      <c r="U175" s="611"/>
      <c r="V175" s="533">
        <f t="shared" si="2"/>
        <v>0</v>
      </c>
      <c r="X175" s="2"/>
    </row>
    <row r="176" spans="1:32" ht="12.75">
      <c r="A176" s="792"/>
      <c r="B176" s="787"/>
      <c r="C176" s="42" t="s">
        <v>457</v>
      </c>
      <c r="D176" s="65"/>
      <c r="E176" s="65"/>
      <c r="F176" s="65"/>
      <c r="G176" s="65"/>
      <c r="H176" s="65">
        <v>2568</v>
      </c>
      <c r="I176" s="42">
        <v>2134</v>
      </c>
      <c r="J176" s="42"/>
      <c r="K176" s="65">
        <v>0</v>
      </c>
      <c r="L176" s="201">
        <v>240.97</v>
      </c>
      <c r="M176" s="201">
        <v>0</v>
      </c>
      <c r="N176" s="27">
        <v>0</v>
      </c>
      <c r="O176" s="201"/>
      <c r="P176" s="201">
        <v>4600</v>
      </c>
      <c r="Q176" s="201">
        <v>48000</v>
      </c>
      <c r="R176" s="201">
        <v>7007</v>
      </c>
      <c r="S176" s="201">
        <v>4000</v>
      </c>
      <c r="T176" s="459">
        <v>17352</v>
      </c>
      <c r="U176" s="611">
        <v>17352</v>
      </c>
      <c r="V176" s="533">
        <f t="shared" si="2"/>
        <v>100</v>
      </c>
      <c r="X176" s="2"/>
      <c r="AF176" s="413"/>
    </row>
    <row r="177" spans="1:24" ht="12.75">
      <c r="A177" s="792"/>
      <c r="B177" s="787"/>
      <c r="C177" s="42" t="s">
        <v>359</v>
      </c>
      <c r="D177" s="65"/>
      <c r="E177" s="65"/>
      <c r="F177" s="65"/>
      <c r="G177" s="65"/>
      <c r="H177" s="65"/>
      <c r="I177" s="42"/>
      <c r="J177" s="42"/>
      <c r="K177" s="65"/>
      <c r="L177" s="201">
        <v>8661.25</v>
      </c>
      <c r="M177" s="201"/>
      <c r="N177" s="27">
        <v>0</v>
      </c>
      <c r="O177" s="201"/>
      <c r="P177" s="201"/>
      <c r="Q177" s="201">
        <v>21500</v>
      </c>
      <c r="R177" s="201">
        <v>6212</v>
      </c>
      <c r="S177" s="201">
        <v>315.6</v>
      </c>
      <c r="T177" s="459">
        <v>0</v>
      </c>
      <c r="U177" s="611"/>
      <c r="V177" s="533">
        <f t="shared" si="2"/>
        <v>0</v>
      </c>
      <c r="X177" s="2"/>
    </row>
    <row r="178" spans="1:24" ht="12.75">
      <c r="A178" s="792"/>
      <c r="B178" s="787"/>
      <c r="C178" s="42" t="s">
        <v>311</v>
      </c>
      <c r="D178" s="65"/>
      <c r="E178" s="65"/>
      <c r="F178" s="65"/>
      <c r="G178" s="65"/>
      <c r="H178" s="65">
        <v>2166</v>
      </c>
      <c r="I178" s="42">
        <v>10924</v>
      </c>
      <c r="J178" s="42">
        <v>33868</v>
      </c>
      <c r="K178" s="65">
        <v>0</v>
      </c>
      <c r="L178" s="201"/>
      <c r="M178" s="201"/>
      <c r="N178" s="27">
        <v>0</v>
      </c>
      <c r="O178" s="201">
        <v>415.8</v>
      </c>
      <c r="P178" s="201">
        <v>2494.8</v>
      </c>
      <c r="Q178" s="201">
        <v>22623.81</v>
      </c>
      <c r="R178" s="201">
        <v>2470.2999999999993</v>
      </c>
      <c r="S178" s="201">
        <v>4548.47</v>
      </c>
      <c r="T178" s="459">
        <v>0</v>
      </c>
      <c r="U178" s="611"/>
      <c r="V178" s="533">
        <f t="shared" si="2"/>
        <v>0</v>
      </c>
      <c r="X178" s="2"/>
    </row>
    <row r="179" spans="1:27" ht="15.75" thickBot="1">
      <c r="A179" s="793"/>
      <c r="B179" s="788"/>
      <c r="C179" s="41" t="s">
        <v>11</v>
      </c>
      <c r="D179" s="54"/>
      <c r="E179" s="54">
        <v>32530</v>
      </c>
      <c r="F179" s="54">
        <v>90188</v>
      </c>
      <c r="G179" s="54">
        <v>281664</v>
      </c>
      <c r="H179" s="54">
        <v>265629</v>
      </c>
      <c r="I179" s="41">
        <v>320909</v>
      </c>
      <c r="J179" s="41">
        <v>332920</v>
      </c>
      <c r="K179" s="54">
        <v>372804</v>
      </c>
      <c r="L179" s="233">
        <v>376617</v>
      </c>
      <c r="M179" s="233">
        <v>433451</v>
      </c>
      <c r="N179" s="43">
        <v>463409</v>
      </c>
      <c r="O179" s="233">
        <v>529566</v>
      </c>
      <c r="P179" s="233">
        <v>470294</v>
      </c>
      <c r="Q179" s="233">
        <v>651803</v>
      </c>
      <c r="R179" s="233">
        <v>701898</v>
      </c>
      <c r="S179" s="233">
        <v>20800</v>
      </c>
      <c r="T179" s="441">
        <v>791023</v>
      </c>
      <c r="U179" s="686">
        <f>693248+97775</f>
        <v>791023</v>
      </c>
      <c r="V179" s="533">
        <f t="shared" si="2"/>
        <v>100</v>
      </c>
      <c r="X179" s="2"/>
      <c r="Y179" s="608"/>
      <c r="AA179" s="2"/>
    </row>
    <row r="180" spans="1:24" ht="15.75" hidden="1" thickBot="1">
      <c r="A180" s="304" t="s">
        <v>12</v>
      </c>
      <c r="B180" s="748" t="s">
        <v>13</v>
      </c>
      <c r="C180" s="765"/>
      <c r="D180" s="60">
        <v>14672</v>
      </c>
      <c r="E180" s="60">
        <v>18356</v>
      </c>
      <c r="F180" s="60">
        <v>24962</v>
      </c>
      <c r="G180" s="60">
        <v>26012</v>
      </c>
      <c r="H180" s="60">
        <v>24167</v>
      </c>
      <c r="I180" s="60">
        <v>21978</v>
      </c>
      <c r="J180" s="60">
        <v>26182</v>
      </c>
      <c r="K180" s="60">
        <v>16605</v>
      </c>
      <c r="L180" s="192">
        <v>19312.66</v>
      </c>
      <c r="M180" s="192">
        <v>17232.5</v>
      </c>
      <c r="N180" s="436">
        <v>19393.890000000003</v>
      </c>
      <c r="O180" s="436">
        <v>0</v>
      </c>
      <c r="P180" s="436">
        <v>0</v>
      </c>
      <c r="Q180" s="436">
        <v>0</v>
      </c>
      <c r="R180" s="560"/>
      <c r="S180" s="560">
        <v>651224</v>
      </c>
      <c r="T180" s="436">
        <v>0</v>
      </c>
      <c r="U180" s="687"/>
      <c r="V180" s="631">
        <f t="shared" si="2"/>
        <v>0</v>
      </c>
      <c r="X180" s="2"/>
    </row>
    <row r="181" spans="1:24" ht="13.5" hidden="1" thickBot="1">
      <c r="A181" s="815"/>
      <c r="B181" s="305">
        <v>610</v>
      </c>
      <c r="C181" s="63" t="s">
        <v>233</v>
      </c>
      <c r="D181" s="51"/>
      <c r="E181" s="51">
        <v>11817</v>
      </c>
      <c r="F181" s="51">
        <v>16331</v>
      </c>
      <c r="G181" s="51">
        <v>16188</v>
      </c>
      <c r="H181" s="51">
        <v>16639</v>
      </c>
      <c r="I181" s="51">
        <v>14808</v>
      </c>
      <c r="J181" s="51">
        <v>14984</v>
      </c>
      <c r="K181" s="51">
        <v>11095</v>
      </c>
      <c r="L181" s="105">
        <v>11946.75</v>
      </c>
      <c r="M181" s="105">
        <v>12156.96</v>
      </c>
      <c r="N181" s="21">
        <v>13480.65</v>
      </c>
      <c r="O181" s="21"/>
      <c r="P181" s="21"/>
      <c r="Q181" s="105"/>
      <c r="R181" s="105"/>
      <c r="S181" s="105"/>
      <c r="T181" s="455">
        <v>0</v>
      </c>
      <c r="U181" s="685"/>
      <c r="V181" s="533">
        <f t="shared" si="2"/>
        <v>0</v>
      </c>
      <c r="X181" s="2"/>
    </row>
    <row r="182" spans="1:24" ht="13.5" hidden="1" thickBot="1">
      <c r="A182" s="816"/>
      <c r="B182" s="182">
        <v>620</v>
      </c>
      <c r="C182" s="38" t="s">
        <v>234</v>
      </c>
      <c r="D182" s="39"/>
      <c r="E182" s="39">
        <v>3983</v>
      </c>
      <c r="F182" s="39">
        <v>5610</v>
      </c>
      <c r="G182" s="39">
        <v>5689</v>
      </c>
      <c r="H182" s="39">
        <v>5822</v>
      </c>
      <c r="I182" s="39">
        <v>5320</v>
      </c>
      <c r="J182" s="39">
        <v>5972</v>
      </c>
      <c r="K182" s="39">
        <v>4227</v>
      </c>
      <c r="L182" s="183">
        <v>4902.95</v>
      </c>
      <c r="M182" s="183">
        <v>3941.03</v>
      </c>
      <c r="N182" s="24">
        <v>4701.62</v>
      </c>
      <c r="O182" s="24"/>
      <c r="P182" s="24"/>
      <c r="Q182" s="183"/>
      <c r="R182" s="183"/>
      <c r="S182" s="183"/>
      <c r="T182" s="450">
        <v>0</v>
      </c>
      <c r="U182" s="611"/>
      <c r="V182" s="530">
        <f t="shared" si="2"/>
        <v>0</v>
      </c>
      <c r="X182" s="2"/>
    </row>
    <row r="183" spans="1:24" ht="13.5" hidden="1" thickBot="1">
      <c r="A183" s="816"/>
      <c r="B183" s="182">
        <v>630</v>
      </c>
      <c r="C183" s="38" t="s">
        <v>235</v>
      </c>
      <c r="D183" s="39"/>
      <c r="E183" s="39">
        <v>2556</v>
      </c>
      <c r="F183" s="39">
        <v>3021</v>
      </c>
      <c r="G183" s="39">
        <v>4135</v>
      </c>
      <c r="H183" s="39">
        <v>1706</v>
      </c>
      <c r="I183" s="39">
        <v>1850</v>
      </c>
      <c r="J183" s="39">
        <v>1495</v>
      </c>
      <c r="K183" s="39">
        <v>1200</v>
      </c>
      <c r="L183" s="183">
        <v>931.46</v>
      </c>
      <c r="M183" s="183">
        <v>1055.02</v>
      </c>
      <c r="N183" s="24">
        <v>1132.97</v>
      </c>
      <c r="O183" s="24"/>
      <c r="P183" s="24"/>
      <c r="Q183" s="183"/>
      <c r="R183" s="183"/>
      <c r="S183" s="183"/>
      <c r="T183" s="450">
        <v>0</v>
      </c>
      <c r="U183" s="611"/>
      <c r="V183" s="530">
        <f t="shared" si="2"/>
        <v>0</v>
      </c>
      <c r="X183" s="2"/>
    </row>
    <row r="184" spans="1:24" ht="2.25" customHeight="1" hidden="1" thickBot="1">
      <c r="A184" s="817"/>
      <c r="B184" s="306">
        <v>640</v>
      </c>
      <c r="C184" s="41" t="s">
        <v>14</v>
      </c>
      <c r="D184" s="54"/>
      <c r="E184" s="54"/>
      <c r="F184" s="54"/>
      <c r="G184" s="54"/>
      <c r="H184" s="54"/>
      <c r="I184" s="54"/>
      <c r="J184" s="54">
        <v>3731</v>
      </c>
      <c r="K184" s="220">
        <v>83</v>
      </c>
      <c r="L184" s="103">
        <v>1531.5</v>
      </c>
      <c r="M184" s="103">
        <v>79.49</v>
      </c>
      <c r="N184" s="62">
        <v>78.65</v>
      </c>
      <c r="O184" s="62"/>
      <c r="P184" s="62"/>
      <c r="Q184" s="103"/>
      <c r="R184" s="103"/>
      <c r="S184" s="103"/>
      <c r="T184" s="437"/>
      <c r="U184" s="686"/>
      <c r="V184" s="532">
        <f t="shared" si="2"/>
        <v>0</v>
      </c>
      <c r="X184" s="2"/>
    </row>
    <row r="185" spans="1:25" ht="15.75" thickBot="1">
      <c r="A185" s="190" t="s">
        <v>15</v>
      </c>
      <c r="B185" s="748" t="s">
        <v>16</v>
      </c>
      <c r="C185" s="765"/>
      <c r="D185" s="60">
        <v>42988</v>
      </c>
      <c r="E185" s="60">
        <v>41924</v>
      </c>
      <c r="F185" s="60">
        <v>49127</v>
      </c>
      <c r="G185" s="60">
        <v>48507</v>
      </c>
      <c r="H185" s="60">
        <v>53865</v>
      </c>
      <c r="I185" s="60">
        <v>59113.2</v>
      </c>
      <c r="J185" s="60">
        <v>51352</v>
      </c>
      <c r="K185" s="60">
        <v>57413</v>
      </c>
      <c r="L185" s="192">
        <v>142019.73</v>
      </c>
      <c r="M185" s="192">
        <v>67235.89000000001</v>
      </c>
      <c r="N185" s="436">
        <v>59484.65</v>
      </c>
      <c r="O185" s="560">
        <v>64756.130000000005</v>
      </c>
      <c r="P185" s="436">
        <v>109958.24</v>
      </c>
      <c r="Q185" s="560">
        <v>135589.8</v>
      </c>
      <c r="R185" s="560">
        <v>161526.48999999996</v>
      </c>
      <c r="S185" s="560">
        <v>157945.56</v>
      </c>
      <c r="T185" s="436">
        <f>T186+T193</f>
        <v>156336</v>
      </c>
      <c r="U185" s="688">
        <f>U186+U193</f>
        <v>167405.25</v>
      </c>
      <c r="V185" s="615">
        <f t="shared" si="2"/>
        <v>107.08042293521645</v>
      </c>
      <c r="X185" s="2"/>
      <c r="Y185" s="2"/>
    </row>
    <row r="186" spans="1:25" ht="15.75" thickBot="1">
      <c r="A186" s="791"/>
      <c r="B186" s="800" t="s">
        <v>17</v>
      </c>
      <c r="C186" s="801"/>
      <c r="D186" s="58">
        <v>39801</v>
      </c>
      <c r="E186" s="58">
        <v>41194</v>
      </c>
      <c r="F186" s="58">
        <v>47169</v>
      </c>
      <c r="G186" s="58">
        <v>47600</v>
      </c>
      <c r="H186" s="58">
        <v>53724</v>
      </c>
      <c r="I186" s="58">
        <v>56208.2</v>
      </c>
      <c r="J186" s="58">
        <v>47897</v>
      </c>
      <c r="K186" s="58">
        <v>54913</v>
      </c>
      <c r="L186" s="138">
        <v>59991.65</v>
      </c>
      <c r="M186" s="138">
        <v>64735.89000000001</v>
      </c>
      <c r="N186" s="443">
        <v>54463.6</v>
      </c>
      <c r="O186" s="567">
        <v>60460.66</v>
      </c>
      <c r="P186" s="443">
        <v>105530.11</v>
      </c>
      <c r="Q186" s="567">
        <v>129250.44999999998</v>
      </c>
      <c r="R186" s="567">
        <v>156009.15999999997</v>
      </c>
      <c r="S186" s="567">
        <v>153794.93</v>
      </c>
      <c r="T186" s="443">
        <f>SUM(T187:T191)</f>
        <v>147336</v>
      </c>
      <c r="U186" s="688">
        <f>SUM(U187:U191)</f>
        <v>159621.69</v>
      </c>
      <c r="V186" s="615">
        <f t="shared" si="2"/>
        <v>108.3385526958788</v>
      </c>
      <c r="X186" s="2"/>
      <c r="Y186" s="2"/>
    </row>
    <row r="187" spans="1:24" ht="12.75">
      <c r="A187" s="792"/>
      <c r="B187" s="289">
        <v>610</v>
      </c>
      <c r="C187" s="63" t="s">
        <v>233</v>
      </c>
      <c r="D187" s="51"/>
      <c r="E187" s="51">
        <v>22141</v>
      </c>
      <c r="F187" s="51">
        <v>25294</v>
      </c>
      <c r="G187" s="51">
        <v>27320</v>
      </c>
      <c r="H187" s="51">
        <v>30945</v>
      </c>
      <c r="I187" s="51">
        <v>30403</v>
      </c>
      <c r="J187" s="51">
        <v>28630</v>
      </c>
      <c r="K187" s="51">
        <v>28741</v>
      </c>
      <c r="L187" s="105">
        <v>31950.86</v>
      </c>
      <c r="M187" s="105">
        <v>36896.54</v>
      </c>
      <c r="N187" s="21">
        <v>32643.72</v>
      </c>
      <c r="O187" s="105">
        <v>34750.01</v>
      </c>
      <c r="P187" s="105">
        <v>39563.77</v>
      </c>
      <c r="Q187" s="105">
        <v>51910.33</v>
      </c>
      <c r="R187" s="105">
        <v>72971.43</v>
      </c>
      <c r="S187" s="105">
        <v>75745.25</v>
      </c>
      <c r="T187" s="455">
        <v>66562</v>
      </c>
      <c r="U187" s="715">
        <v>63557.98</v>
      </c>
      <c r="V187" s="533">
        <f t="shared" si="2"/>
        <v>95.48688440852139</v>
      </c>
      <c r="X187" s="2"/>
    </row>
    <row r="188" spans="1:24" ht="12.75">
      <c r="A188" s="792"/>
      <c r="B188" s="208">
        <v>620</v>
      </c>
      <c r="C188" s="38" t="s">
        <v>234</v>
      </c>
      <c r="D188" s="39"/>
      <c r="E188" s="39">
        <v>8265</v>
      </c>
      <c r="F188" s="39">
        <v>9427</v>
      </c>
      <c r="G188" s="39">
        <v>10234</v>
      </c>
      <c r="H188" s="39">
        <v>11482</v>
      </c>
      <c r="I188" s="39">
        <v>11730.2</v>
      </c>
      <c r="J188" s="39">
        <v>10691</v>
      </c>
      <c r="K188" s="39">
        <v>10646</v>
      </c>
      <c r="L188" s="183">
        <v>12860.64</v>
      </c>
      <c r="M188" s="183">
        <v>12687.37</v>
      </c>
      <c r="N188" s="24">
        <v>12446.38</v>
      </c>
      <c r="O188" s="183">
        <v>13294.12</v>
      </c>
      <c r="P188" s="183">
        <v>14895.57</v>
      </c>
      <c r="Q188" s="183">
        <v>19183.12</v>
      </c>
      <c r="R188" s="183">
        <v>26600.96</v>
      </c>
      <c r="S188" s="183">
        <v>24361.98</v>
      </c>
      <c r="T188" s="450">
        <v>24127</v>
      </c>
      <c r="U188" s="716">
        <v>23238.41</v>
      </c>
      <c r="V188" s="533">
        <f t="shared" si="2"/>
        <v>96.31703071247979</v>
      </c>
      <c r="X188" s="2"/>
    </row>
    <row r="189" spans="1:24" ht="12.75">
      <c r="A189" s="792"/>
      <c r="B189" s="290">
        <v>630</v>
      </c>
      <c r="C189" s="42" t="s">
        <v>235</v>
      </c>
      <c r="D189" s="39"/>
      <c r="E189" s="39">
        <v>10788</v>
      </c>
      <c r="F189" s="39">
        <v>12448</v>
      </c>
      <c r="G189" s="39">
        <v>10046</v>
      </c>
      <c r="H189" s="39">
        <v>11297</v>
      </c>
      <c r="I189" s="39">
        <v>14075</v>
      </c>
      <c r="J189" s="39">
        <v>8576</v>
      </c>
      <c r="K189" s="39">
        <v>15451</v>
      </c>
      <c r="L189" s="101">
        <v>15180.15</v>
      </c>
      <c r="M189" s="101">
        <v>15023.18</v>
      </c>
      <c r="N189" s="24">
        <v>9257.17</v>
      </c>
      <c r="O189" s="183">
        <v>12173.76</v>
      </c>
      <c r="P189" s="183">
        <v>13915.91</v>
      </c>
      <c r="Q189" s="183">
        <v>9666.879999999997</v>
      </c>
      <c r="R189" s="183">
        <v>10520.02</v>
      </c>
      <c r="S189" s="183">
        <v>11553.059999999998</v>
      </c>
      <c r="T189" s="450">
        <v>13550</v>
      </c>
      <c r="U189" s="716">
        <v>14258.839999999997</v>
      </c>
      <c r="V189" s="533">
        <f t="shared" si="2"/>
        <v>105.2312915129151</v>
      </c>
      <c r="X189" s="2"/>
    </row>
    <row r="190" spans="1:24" ht="12.75">
      <c r="A190" s="792"/>
      <c r="B190" s="182">
        <v>640</v>
      </c>
      <c r="C190" s="204" t="s">
        <v>236</v>
      </c>
      <c r="D190" s="184"/>
      <c r="E190" s="184"/>
      <c r="F190" s="184"/>
      <c r="G190" s="184"/>
      <c r="H190" s="184"/>
      <c r="I190" s="39"/>
      <c r="J190" s="39"/>
      <c r="K190" s="39">
        <v>75</v>
      </c>
      <c r="L190" s="24"/>
      <c r="M190" s="183">
        <v>128.8</v>
      </c>
      <c r="N190" s="24">
        <v>116.33</v>
      </c>
      <c r="O190" s="183">
        <v>242.77</v>
      </c>
      <c r="P190" s="183">
        <v>133.86</v>
      </c>
      <c r="Q190" s="183">
        <v>88.44</v>
      </c>
      <c r="R190" s="183">
        <v>0</v>
      </c>
      <c r="S190" s="183"/>
      <c r="T190" s="450">
        <v>0</v>
      </c>
      <c r="U190" s="716">
        <f>164.45+134.4</f>
        <v>298.85</v>
      </c>
      <c r="V190" s="533">
        <f t="shared" si="2"/>
        <v>0</v>
      </c>
      <c r="X190" s="2"/>
    </row>
    <row r="191" spans="1:32" ht="13.5" thickBot="1">
      <c r="A191" s="792"/>
      <c r="B191" s="306">
        <v>630</v>
      </c>
      <c r="C191" s="279" t="s">
        <v>337</v>
      </c>
      <c r="D191" s="281"/>
      <c r="E191" s="281"/>
      <c r="F191" s="281"/>
      <c r="G191" s="281"/>
      <c r="H191" s="281"/>
      <c r="I191" s="54"/>
      <c r="J191" s="54"/>
      <c r="K191" s="54"/>
      <c r="L191" s="43"/>
      <c r="M191" s="233"/>
      <c r="N191" s="43"/>
      <c r="O191" s="233"/>
      <c r="P191" s="233">
        <v>37021</v>
      </c>
      <c r="Q191" s="233">
        <v>48401.68</v>
      </c>
      <c r="R191" s="233">
        <v>45916.75</v>
      </c>
      <c r="S191" s="233">
        <v>42134.64</v>
      </c>
      <c r="T191" s="441">
        <v>43097</v>
      </c>
      <c r="U191" s="717">
        <v>58267.61</v>
      </c>
      <c r="V191" s="533">
        <f t="shared" si="2"/>
        <v>135.20108128175977</v>
      </c>
      <c r="X191" s="2"/>
      <c r="AF191" s="413"/>
    </row>
    <row r="192" spans="1:24" ht="13.5" hidden="1" thickBot="1">
      <c r="A192" s="792"/>
      <c r="B192" s="292">
        <v>630</v>
      </c>
      <c r="C192" s="241" t="s">
        <v>163</v>
      </c>
      <c r="D192" s="277"/>
      <c r="E192" s="277"/>
      <c r="F192" s="277"/>
      <c r="G192" s="277"/>
      <c r="H192" s="277"/>
      <c r="I192" s="307"/>
      <c r="J192" s="307"/>
      <c r="K192" s="54"/>
      <c r="L192" s="189">
        <v>82028.08</v>
      </c>
      <c r="M192" s="68"/>
      <c r="N192" s="68"/>
      <c r="O192" s="189"/>
      <c r="P192" s="189"/>
      <c r="Q192" s="189"/>
      <c r="R192" s="189"/>
      <c r="S192" s="189"/>
      <c r="T192" s="445"/>
      <c r="U192" s="718"/>
      <c r="V192" s="534">
        <f t="shared" si="2"/>
        <v>0</v>
      </c>
      <c r="X192" s="2"/>
    </row>
    <row r="193" spans="1:24" ht="15.75" thickBot="1">
      <c r="A193" s="792"/>
      <c r="B193" s="802" t="s">
        <v>18</v>
      </c>
      <c r="C193" s="803"/>
      <c r="D193" s="308">
        <v>3187</v>
      </c>
      <c r="E193" s="308">
        <v>730</v>
      </c>
      <c r="F193" s="308">
        <v>1958</v>
      </c>
      <c r="G193" s="308">
        <v>907</v>
      </c>
      <c r="H193" s="308">
        <v>141</v>
      </c>
      <c r="I193" s="307">
        <v>2905</v>
      </c>
      <c r="J193" s="307">
        <v>3455</v>
      </c>
      <c r="K193" s="307">
        <v>2500</v>
      </c>
      <c r="L193" s="307">
        <v>0</v>
      </c>
      <c r="M193" s="506">
        <v>2500</v>
      </c>
      <c r="N193" s="307">
        <v>5021.05</v>
      </c>
      <c r="O193" s="506">
        <v>4295.47</v>
      </c>
      <c r="P193" s="506">
        <v>4428.13</v>
      </c>
      <c r="Q193" s="506">
        <v>6339.35</v>
      </c>
      <c r="R193" s="604">
        <v>5517.33</v>
      </c>
      <c r="S193" s="604">
        <v>4150.63</v>
      </c>
      <c r="T193" s="446">
        <f>T194</f>
        <v>9000</v>
      </c>
      <c r="U193" s="688">
        <f>U194</f>
        <v>7783.56</v>
      </c>
      <c r="V193" s="615">
        <f t="shared" si="2"/>
        <v>86.48400000000001</v>
      </c>
      <c r="X193" s="2"/>
    </row>
    <row r="194" spans="1:24" ht="13.5" thickBot="1">
      <c r="A194" s="793"/>
      <c r="B194" s="309">
        <v>630</v>
      </c>
      <c r="C194" s="41" t="s">
        <v>235</v>
      </c>
      <c r="D194" s="54">
        <v>3187</v>
      </c>
      <c r="E194" s="54">
        <v>730</v>
      </c>
      <c r="F194" s="54">
        <v>1958</v>
      </c>
      <c r="G194" s="54">
        <v>907</v>
      </c>
      <c r="H194" s="54">
        <v>141</v>
      </c>
      <c r="I194" s="41">
        <v>2905</v>
      </c>
      <c r="J194" s="41">
        <v>3455</v>
      </c>
      <c r="K194" s="54">
        <v>2500</v>
      </c>
      <c r="L194" s="43">
        <v>0</v>
      </c>
      <c r="M194" s="233">
        <v>2500</v>
      </c>
      <c r="N194" s="43">
        <v>5021.05</v>
      </c>
      <c r="O194" s="233">
        <v>4295.47</v>
      </c>
      <c r="P194" s="233">
        <v>4428.13</v>
      </c>
      <c r="Q194" s="233">
        <v>6339.35</v>
      </c>
      <c r="R194" s="233">
        <v>5517.33</v>
      </c>
      <c r="S194" s="233">
        <v>4150.63</v>
      </c>
      <c r="T194" s="441">
        <v>9000</v>
      </c>
      <c r="U194" s="718">
        <v>7783.56</v>
      </c>
      <c r="V194" s="533">
        <f t="shared" si="2"/>
        <v>86.48400000000001</v>
      </c>
      <c r="X194" s="2"/>
    </row>
    <row r="195" spans="1:24" ht="15.75" thickBot="1">
      <c r="A195" s="597" t="s">
        <v>15</v>
      </c>
      <c r="B195" s="777" t="s">
        <v>19</v>
      </c>
      <c r="C195" s="740"/>
      <c r="D195" s="69">
        <v>90752</v>
      </c>
      <c r="E195" s="69">
        <v>96030</v>
      </c>
      <c r="F195" s="69">
        <v>117540</v>
      </c>
      <c r="G195" s="69">
        <v>141455</v>
      </c>
      <c r="H195" s="69">
        <v>157876</v>
      </c>
      <c r="I195" s="69">
        <v>153798</v>
      </c>
      <c r="J195" s="69">
        <v>141580</v>
      </c>
      <c r="K195" s="69">
        <v>144793</v>
      </c>
      <c r="L195" s="70">
        <v>138341.56</v>
      </c>
      <c r="M195" s="70">
        <v>147764.81</v>
      </c>
      <c r="N195" s="440">
        <v>187629.79</v>
      </c>
      <c r="O195" s="562">
        <v>231026.1</v>
      </c>
      <c r="P195" s="440">
        <v>241971.54</v>
      </c>
      <c r="Q195" s="562">
        <v>327330.75</v>
      </c>
      <c r="R195" s="562">
        <v>348471.9700000001</v>
      </c>
      <c r="S195" s="562">
        <v>321639.06</v>
      </c>
      <c r="T195" s="440">
        <f>SUM(T196:T199)</f>
        <v>381400</v>
      </c>
      <c r="U195" s="688">
        <f>SUM(U196:U199)</f>
        <v>330404.67</v>
      </c>
      <c r="V195" s="615">
        <f t="shared" si="2"/>
        <v>86.62943628736235</v>
      </c>
      <c r="X195" s="2"/>
    </row>
    <row r="196" spans="1:24" ht="12.75">
      <c r="A196" s="797"/>
      <c r="B196" s="207">
        <v>610</v>
      </c>
      <c r="C196" s="36" t="s">
        <v>233</v>
      </c>
      <c r="D196" s="37"/>
      <c r="E196" s="37">
        <v>65691</v>
      </c>
      <c r="F196" s="37">
        <v>80097</v>
      </c>
      <c r="G196" s="37">
        <v>93395</v>
      </c>
      <c r="H196" s="37">
        <v>102238</v>
      </c>
      <c r="I196" s="36">
        <v>102422</v>
      </c>
      <c r="J196" s="37">
        <v>93404</v>
      </c>
      <c r="K196" s="37">
        <v>93846</v>
      </c>
      <c r="L196" s="181">
        <v>85213.93</v>
      </c>
      <c r="M196" s="134">
        <v>101710.97</v>
      </c>
      <c r="N196" s="84">
        <v>126027.75</v>
      </c>
      <c r="O196" s="181">
        <v>154366.21</v>
      </c>
      <c r="P196" s="181">
        <v>162844.91</v>
      </c>
      <c r="Q196" s="181">
        <v>223275.62</v>
      </c>
      <c r="R196" s="181">
        <v>238861.14</v>
      </c>
      <c r="S196" s="181">
        <v>204838.15</v>
      </c>
      <c r="T196" s="449">
        <v>266298</v>
      </c>
      <c r="U196" s="719">
        <v>224556.43</v>
      </c>
      <c r="V196" s="633">
        <f t="shared" si="2"/>
        <v>84.32524089553807</v>
      </c>
      <c r="X196" s="2"/>
    </row>
    <row r="197" spans="1:24" ht="12.75">
      <c r="A197" s="798"/>
      <c r="B197" s="208">
        <v>620</v>
      </c>
      <c r="C197" s="38" t="s">
        <v>234</v>
      </c>
      <c r="D197" s="39"/>
      <c r="E197" s="39">
        <v>22738</v>
      </c>
      <c r="F197" s="39">
        <v>27783</v>
      </c>
      <c r="G197" s="39">
        <v>32056</v>
      </c>
      <c r="H197" s="39">
        <v>35361</v>
      </c>
      <c r="I197" s="38">
        <v>35526</v>
      </c>
      <c r="J197" s="39">
        <v>32703</v>
      </c>
      <c r="K197" s="39">
        <v>32877</v>
      </c>
      <c r="L197" s="183">
        <v>32579.829999999994</v>
      </c>
      <c r="M197" s="101">
        <v>29560.18</v>
      </c>
      <c r="N197" s="24">
        <v>41405.87</v>
      </c>
      <c r="O197" s="183">
        <v>53348.97</v>
      </c>
      <c r="P197" s="183">
        <v>57717.62</v>
      </c>
      <c r="Q197" s="183">
        <v>78315.26</v>
      </c>
      <c r="R197" s="183">
        <v>82449.41</v>
      </c>
      <c r="S197" s="183">
        <v>76270.92</v>
      </c>
      <c r="T197" s="450">
        <v>93702</v>
      </c>
      <c r="U197" s="716">
        <v>78579.13</v>
      </c>
      <c r="V197" s="533">
        <f aca="true" t="shared" si="3" ref="V197:V221">IF(T197=0,0,U197/T197*100)</f>
        <v>83.86067533243688</v>
      </c>
      <c r="X197" s="2"/>
    </row>
    <row r="198" spans="1:24" ht="12.75">
      <c r="A198" s="798"/>
      <c r="B198" s="290">
        <v>630</v>
      </c>
      <c r="C198" s="42" t="s">
        <v>235</v>
      </c>
      <c r="D198" s="65"/>
      <c r="E198" s="65">
        <v>7369</v>
      </c>
      <c r="F198" s="65">
        <v>8830</v>
      </c>
      <c r="G198" s="65">
        <v>15669</v>
      </c>
      <c r="H198" s="65">
        <v>19477</v>
      </c>
      <c r="I198" s="42">
        <v>15050</v>
      </c>
      <c r="J198" s="39">
        <v>14133</v>
      </c>
      <c r="K198" s="39">
        <v>17748</v>
      </c>
      <c r="L198" s="201">
        <v>20156.86</v>
      </c>
      <c r="M198" s="201">
        <v>15870.11</v>
      </c>
      <c r="N198" s="27">
        <v>19809.26</v>
      </c>
      <c r="O198" s="201">
        <v>22572.22</v>
      </c>
      <c r="P198" s="201">
        <v>20719.09</v>
      </c>
      <c r="Q198" s="201">
        <v>25179.48</v>
      </c>
      <c r="R198" s="201">
        <v>26224.89</v>
      </c>
      <c r="S198" s="201">
        <v>33111.74</v>
      </c>
      <c r="T198" s="459">
        <v>21400</v>
      </c>
      <c r="U198" s="716">
        <v>21537.92</v>
      </c>
      <c r="V198" s="533">
        <f t="shared" si="3"/>
        <v>100.64448598130839</v>
      </c>
      <c r="X198" s="2"/>
    </row>
    <row r="199" spans="1:24" ht="13.5" thickBot="1">
      <c r="A199" s="798"/>
      <c r="B199" s="306">
        <v>640</v>
      </c>
      <c r="C199" s="41" t="s">
        <v>236</v>
      </c>
      <c r="D199" s="54"/>
      <c r="E199" s="54"/>
      <c r="F199" s="54"/>
      <c r="G199" s="54"/>
      <c r="H199" s="54"/>
      <c r="I199" s="41"/>
      <c r="J199" s="54">
        <v>1340</v>
      </c>
      <c r="K199" s="54">
        <v>322</v>
      </c>
      <c r="L199" s="233">
        <v>390.94</v>
      </c>
      <c r="M199" s="233">
        <v>623.55</v>
      </c>
      <c r="N199" s="43">
        <v>386.91</v>
      </c>
      <c r="O199" s="233">
        <v>738.7</v>
      </c>
      <c r="P199" s="233">
        <v>689.92</v>
      </c>
      <c r="Q199" s="233">
        <v>560.39</v>
      </c>
      <c r="R199" s="233">
        <v>936.53</v>
      </c>
      <c r="S199" s="233">
        <v>7418.25</v>
      </c>
      <c r="T199" s="441"/>
      <c r="U199" s="717">
        <v>5731.19</v>
      </c>
      <c r="V199" s="632">
        <f t="shared" si="3"/>
        <v>0</v>
      </c>
      <c r="X199" s="2"/>
    </row>
    <row r="200" spans="1:24" ht="13.5" hidden="1" thickBot="1">
      <c r="A200" s="799"/>
      <c r="B200" s="210">
        <v>630</v>
      </c>
      <c r="C200" s="102" t="s">
        <v>20</v>
      </c>
      <c r="D200" s="188"/>
      <c r="E200" s="188">
        <v>232</v>
      </c>
      <c r="F200" s="188">
        <v>830</v>
      </c>
      <c r="G200" s="188">
        <v>335</v>
      </c>
      <c r="H200" s="188">
        <v>800</v>
      </c>
      <c r="I200" s="102">
        <v>800</v>
      </c>
      <c r="J200" s="102"/>
      <c r="K200" s="188"/>
      <c r="L200" s="68"/>
      <c r="M200" s="68"/>
      <c r="N200" s="68"/>
      <c r="O200" s="189"/>
      <c r="P200" s="189"/>
      <c r="Q200" s="189"/>
      <c r="R200" s="189"/>
      <c r="S200" s="189"/>
      <c r="T200" s="445"/>
      <c r="U200" s="718"/>
      <c r="V200" s="534">
        <f t="shared" si="3"/>
        <v>0</v>
      </c>
      <c r="X200" s="2"/>
    </row>
    <row r="201" spans="1:24" ht="15.75" thickBot="1">
      <c r="A201" s="472" t="s">
        <v>21</v>
      </c>
      <c r="B201" s="748" t="s">
        <v>49</v>
      </c>
      <c r="C201" s="765"/>
      <c r="D201" s="191">
        <v>35152</v>
      </c>
      <c r="E201" s="191">
        <v>34654</v>
      </c>
      <c r="F201" s="191">
        <v>45741</v>
      </c>
      <c r="G201" s="191">
        <v>45381</v>
      </c>
      <c r="H201" s="60">
        <v>47758</v>
      </c>
      <c r="I201" s="60">
        <v>57427</v>
      </c>
      <c r="J201" s="60">
        <v>33860</v>
      </c>
      <c r="K201" s="60">
        <v>33843</v>
      </c>
      <c r="L201" s="192">
        <v>35020.590000000004</v>
      </c>
      <c r="M201" s="192">
        <v>40552.41</v>
      </c>
      <c r="N201" s="436">
        <v>37850.049999999996</v>
      </c>
      <c r="O201" s="560">
        <v>37981.53</v>
      </c>
      <c r="P201" s="436">
        <v>31489.34</v>
      </c>
      <c r="Q201" s="560">
        <v>40039.15</v>
      </c>
      <c r="R201" s="560">
        <v>38636.58</v>
      </c>
      <c r="S201" s="560">
        <v>41664.05</v>
      </c>
      <c r="T201" s="436">
        <f>SUM(T202:T205)</f>
        <v>46300</v>
      </c>
      <c r="U201" s="688">
        <f>SUM(U202:U205)</f>
        <v>33379.97</v>
      </c>
      <c r="V201" s="615">
        <f t="shared" si="3"/>
        <v>72.0949676025918</v>
      </c>
      <c r="X201" s="2"/>
    </row>
    <row r="202" spans="1:24" ht="12.75">
      <c r="A202" s="804"/>
      <c r="B202" s="207">
        <v>610</v>
      </c>
      <c r="C202" s="202" t="s">
        <v>233</v>
      </c>
      <c r="D202" s="296"/>
      <c r="E202" s="296">
        <v>21277</v>
      </c>
      <c r="F202" s="296">
        <v>26622</v>
      </c>
      <c r="G202" s="296">
        <v>27938</v>
      </c>
      <c r="H202" s="296">
        <v>29205</v>
      </c>
      <c r="I202" s="37">
        <v>32982</v>
      </c>
      <c r="J202" s="37">
        <v>19537</v>
      </c>
      <c r="K202" s="37">
        <v>19331</v>
      </c>
      <c r="L202" s="181">
        <v>19931.3</v>
      </c>
      <c r="M202" s="181">
        <v>21474.28</v>
      </c>
      <c r="N202" s="84">
        <v>19698.37</v>
      </c>
      <c r="O202" s="181">
        <v>20600.24</v>
      </c>
      <c r="P202" s="181">
        <v>19790.26</v>
      </c>
      <c r="Q202" s="181">
        <v>21979.15</v>
      </c>
      <c r="R202" s="181">
        <v>20451.23</v>
      </c>
      <c r="S202" s="181">
        <v>20878.86</v>
      </c>
      <c r="T202" s="449">
        <v>26313</v>
      </c>
      <c r="U202" s="685">
        <v>23204.72</v>
      </c>
      <c r="V202" s="533">
        <f t="shared" si="3"/>
        <v>88.18728385208833</v>
      </c>
      <c r="X202" s="2"/>
    </row>
    <row r="203" spans="1:24" ht="12.75">
      <c r="A203" s="805"/>
      <c r="B203" s="208">
        <v>620</v>
      </c>
      <c r="C203" s="204" t="s">
        <v>234</v>
      </c>
      <c r="D203" s="184"/>
      <c r="E203" s="184">
        <v>8033</v>
      </c>
      <c r="F203" s="184">
        <v>9792</v>
      </c>
      <c r="G203" s="184">
        <v>10190</v>
      </c>
      <c r="H203" s="184">
        <v>10431</v>
      </c>
      <c r="I203" s="39">
        <v>13206</v>
      </c>
      <c r="J203" s="39">
        <v>7857</v>
      </c>
      <c r="K203" s="39">
        <v>7510</v>
      </c>
      <c r="L203" s="183">
        <v>8330.59</v>
      </c>
      <c r="M203" s="183">
        <v>7982.2</v>
      </c>
      <c r="N203" s="24">
        <v>7602.19</v>
      </c>
      <c r="O203" s="183">
        <v>8776.16</v>
      </c>
      <c r="P203" s="183">
        <v>7193.52</v>
      </c>
      <c r="Q203" s="183">
        <v>8019.72</v>
      </c>
      <c r="R203" s="183">
        <v>7342.82</v>
      </c>
      <c r="S203" s="183">
        <v>7600.32</v>
      </c>
      <c r="T203" s="450">
        <v>9452</v>
      </c>
      <c r="U203" s="611">
        <v>8387.87</v>
      </c>
      <c r="V203" s="533">
        <f t="shared" si="3"/>
        <v>88.741747778248</v>
      </c>
      <c r="X203" s="2"/>
    </row>
    <row r="204" spans="1:24" ht="12.75">
      <c r="A204" s="805"/>
      <c r="B204" s="208">
        <v>630</v>
      </c>
      <c r="C204" s="204" t="s">
        <v>235</v>
      </c>
      <c r="D204" s="184"/>
      <c r="E204" s="184">
        <v>5344</v>
      </c>
      <c r="F204" s="184">
        <v>9327</v>
      </c>
      <c r="G204" s="184">
        <v>7253</v>
      </c>
      <c r="H204" s="184">
        <v>8122</v>
      </c>
      <c r="I204" s="39">
        <v>7483</v>
      </c>
      <c r="J204" s="39">
        <v>6466</v>
      </c>
      <c r="K204" s="39">
        <v>6899</v>
      </c>
      <c r="L204" s="183">
        <v>6669.76</v>
      </c>
      <c r="M204" s="183">
        <v>10990.38</v>
      </c>
      <c r="N204" s="24">
        <v>10449.24</v>
      </c>
      <c r="O204" s="183">
        <v>5491.570000000001</v>
      </c>
      <c r="P204" s="183">
        <v>4505.56</v>
      </c>
      <c r="Q204" s="183">
        <v>10040.28</v>
      </c>
      <c r="R204" s="183">
        <v>10842.53</v>
      </c>
      <c r="S204" s="183">
        <v>13184.87</v>
      </c>
      <c r="T204" s="24">
        <v>10535</v>
      </c>
      <c r="U204" s="611">
        <v>1787.38</v>
      </c>
      <c r="V204" s="533">
        <f t="shared" si="3"/>
        <v>16.966112956810633</v>
      </c>
      <c r="X204" s="2"/>
    </row>
    <row r="205" spans="1:24" ht="13.5" thickBot="1">
      <c r="A205" s="806"/>
      <c r="B205" s="210">
        <v>640</v>
      </c>
      <c r="C205" s="241" t="s">
        <v>236</v>
      </c>
      <c r="D205" s="277"/>
      <c r="E205" s="277"/>
      <c r="F205" s="277"/>
      <c r="G205" s="277"/>
      <c r="H205" s="277"/>
      <c r="I205" s="188">
        <v>3756</v>
      </c>
      <c r="J205" s="188"/>
      <c r="K205" s="188">
        <v>103</v>
      </c>
      <c r="L205" s="310">
        <v>88.94</v>
      </c>
      <c r="M205" s="282">
        <v>105.55</v>
      </c>
      <c r="N205" s="43">
        <v>100.25</v>
      </c>
      <c r="O205" s="233">
        <v>3113.56</v>
      </c>
      <c r="P205" s="233"/>
      <c r="Q205" s="233"/>
      <c r="R205" s="233">
        <v>0</v>
      </c>
      <c r="S205" s="233"/>
      <c r="T205" s="441"/>
      <c r="U205" s="686"/>
      <c r="V205" s="533">
        <f t="shared" si="3"/>
        <v>0</v>
      </c>
      <c r="X205" s="2"/>
    </row>
    <row r="206" spans="1:33" ht="36" customHeight="1" thickBot="1">
      <c r="A206" s="311" t="s">
        <v>22</v>
      </c>
      <c r="B206" s="807" t="s">
        <v>23</v>
      </c>
      <c r="C206" s="808"/>
      <c r="D206" s="312">
        <v>105855</v>
      </c>
      <c r="E206" s="312">
        <v>102071</v>
      </c>
      <c r="F206" s="312">
        <v>77475</v>
      </c>
      <c r="G206" s="312">
        <v>119794</v>
      </c>
      <c r="H206" s="313">
        <v>122484</v>
      </c>
      <c r="I206" s="313">
        <v>95592</v>
      </c>
      <c r="J206" s="313">
        <v>235945</v>
      </c>
      <c r="K206" s="313">
        <v>566990</v>
      </c>
      <c r="L206" s="314">
        <v>568843.26</v>
      </c>
      <c r="M206" s="314">
        <v>470939.2299999999</v>
      </c>
      <c r="N206" s="447">
        <v>341351.46</v>
      </c>
      <c r="O206" s="571">
        <v>302230.36999999994</v>
      </c>
      <c r="P206" s="447">
        <v>332895.13</v>
      </c>
      <c r="Q206" s="571">
        <v>380830.30000000005</v>
      </c>
      <c r="R206" s="571">
        <v>455738.6099999999</v>
      </c>
      <c r="S206" s="571">
        <v>318162.5</v>
      </c>
      <c r="T206" s="447">
        <f>T207+T212+T213+T214+T215+T216+T217+T218+T219+T220</f>
        <v>593894</v>
      </c>
      <c r="U206" s="694">
        <f>U207+U212+U213+U214+U215+U216+U217+U218+U219+U220</f>
        <v>485514.21</v>
      </c>
      <c r="V206" s="635">
        <f t="shared" si="3"/>
        <v>81.75098754996684</v>
      </c>
      <c r="X206" s="2"/>
      <c r="AF206" s="413"/>
      <c r="AG206" s="413"/>
    </row>
    <row r="207" spans="1:24" ht="26.25" customHeight="1" thickBot="1">
      <c r="A207" s="794"/>
      <c r="B207" s="795" t="s">
        <v>336</v>
      </c>
      <c r="C207" s="796"/>
      <c r="D207" s="315">
        <v>26024</v>
      </c>
      <c r="E207" s="315">
        <v>26422</v>
      </c>
      <c r="F207" s="315">
        <v>12381</v>
      </c>
      <c r="G207" s="315">
        <v>67096</v>
      </c>
      <c r="H207" s="316">
        <v>63788</v>
      </c>
      <c r="I207" s="316">
        <v>2494</v>
      </c>
      <c r="J207" s="316">
        <v>41385</v>
      </c>
      <c r="K207" s="316">
        <v>80229</v>
      </c>
      <c r="L207" s="317">
        <v>66952.96999999999</v>
      </c>
      <c r="M207" s="317">
        <v>85074.98</v>
      </c>
      <c r="N207" s="316">
        <v>7365</v>
      </c>
      <c r="O207" s="317">
        <v>28865.35</v>
      </c>
      <c r="P207" s="316">
        <v>120501.78</v>
      </c>
      <c r="Q207" s="317">
        <v>126996.82000000002</v>
      </c>
      <c r="R207" s="317">
        <v>141830.08</v>
      </c>
      <c r="S207" s="317">
        <v>173154.97999999998</v>
      </c>
      <c r="T207" s="316">
        <f>SUM(T208:T211)</f>
        <v>202040</v>
      </c>
      <c r="U207" s="694">
        <f>SUM(U208:U211)</f>
        <v>175177.12</v>
      </c>
      <c r="V207" s="635">
        <f t="shared" si="3"/>
        <v>86.70417739061573</v>
      </c>
      <c r="X207" s="2"/>
    </row>
    <row r="208" spans="1:24" ht="12.75">
      <c r="A208" s="794"/>
      <c r="B208" s="180">
        <v>610</v>
      </c>
      <c r="C208" s="36" t="s">
        <v>233</v>
      </c>
      <c r="D208" s="37"/>
      <c r="E208" s="37">
        <v>16132</v>
      </c>
      <c r="F208" s="37">
        <v>7933</v>
      </c>
      <c r="G208" s="37">
        <v>43567</v>
      </c>
      <c r="H208" s="37">
        <v>42257</v>
      </c>
      <c r="I208" s="318">
        <v>2163</v>
      </c>
      <c r="J208" s="318">
        <v>27310</v>
      </c>
      <c r="K208" s="318">
        <v>54820</v>
      </c>
      <c r="L208" s="319">
        <v>43998.71</v>
      </c>
      <c r="M208" s="319">
        <v>61007.02</v>
      </c>
      <c r="N208" s="493">
        <v>1010.2</v>
      </c>
      <c r="O208" s="572">
        <v>19809.79</v>
      </c>
      <c r="P208" s="572">
        <v>74996.97</v>
      </c>
      <c r="Q208" s="572">
        <v>83271.48000000001</v>
      </c>
      <c r="R208" s="572">
        <v>92380.39</v>
      </c>
      <c r="S208" s="572">
        <v>116904.23</v>
      </c>
      <c r="T208" s="493">
        <v>136227</v>
      </c>
      <c r="U208" s="714">
        <v>114332.05</v>
      </c>
      <c r="V208" s="533">
        <f t="shared" si="3"/>
        <v>83.92759878731823</v>
      </c>
      <c r="X208" s="2"/>
    </row>
    <row r="209" spans="1:24" ht="12.75">
      <c r="A209" s="794"/>
      <c r="B209" s="182">
        <v>620</v>
      </c>
      <c r="C209" s="38" t="s">
        <v>234</v>
      </c>
      <c r="D209" s="39"/>
      <c r="E209" s="39">
        <v>5344</v>
      </c>
      <c r="F209" s="39">
        <v>2622</v>
      </c>
      <c r="G209" s="39">
        <v>14529</v>
      </c>
      <c r="H209" s="39">
        <v>14713</v>
      </c>
      <c r="I209" s="320">
        <v>323</v>
      </c>
      <c r="J209" s="320">
        <v>10254</v>
      </c>
      <c r="K209" s="320">
        <v>19614</v>
      </c>
      <c r="L209" s="321">
        <v>18142.44</v>
      </c>
      <c r="M209" s="321">
        <v>19303.48</v>
      </c>
      <c r="N209" s="322">
        <v>430.73</v>
      </c>
      <c r="O209" s="321">
        <v>6838.92</v>
      </c>
      <c r="P209" s="321">
        <v>26581.7</v>
      </c>
      <c r="Q209" s="321">
        <v>26861.5</v>
      </c>
      <c r="R209" s="321">
        <v>31948.02</v>
      </c>
      <c r="S209" s="321">
        <v>40364.94</v>
      </c>
      <c r="T209" s="322">
        <v>47813</v>
      </c>
      <c r="U209" s="611">
        <v>38100.61</v>
      </c>
      <c r="V209" s="533">
        <f t="shared" si="3"/>
        <v>79.68671700165227</v>
      </c>
      <c r="X209" s="2"/>
    </row>
    <row r="210" spans="1:24" ht="12.75">
      <c r="A210" s="794"/>
      <c r="B210" s="182">
        <v>630</v>
      </c>
      <c r="C210" s="38" t="s">
        <v>235</v>
      </c>
      <c r="D210" s="39"/>
      <c r="E210" s="39">
        <v>4946</v>
      </c>
      <c r="F210" s="39">
        <v>1826</v>
      </c>
      <c r="G210" s="39">
        <v>9000</v>
      </c>
      <c r="H210" s="39">
        <v>6818</v>
      </c>
      <c r="I210" s="39">
        <v>8</v>
      </c>
      <c r="J210" s="39">
        <v>3821</v>
      </c>
      <c r="K210" s="320">
        <v>5011</v>
      </c>
      <c r="L210" s="321">
        <v>4277.15</v>
      </c>
      <c r="M210" s="321">
        <v>4479.7</v>
      </c>
      <c r="N210" s="322">
        <v>5924.07</v>
      </c>
      <c r="O210" s="321">
        <v>2216.64</v>
      </c>
      <c r="P210" s="321">
        <v>18923.11</v>
      </c>
      <c r="Q210" s="321">
        <v>14768.490000000002</v>
      </c>
      <c r="R210" s="321">
        <v>17061.31</v>
      </c>
      <c r="S210" s="321">
        <v>15653.83</v>
      </c>
      <c r="T210" s="322">
        <v>18000</v>
      </c>
      <c r="U210" s="611">
        <v>21635.12</v>
      </c>
      <c r="V210" s="533">
        <f t="shared" si="3"/>
        <v>120.1951111111111</v>
      </c>
      <c r="X210" s="2"/>
    </row>
    <row r="211" spans="1:24" ht="13.5" thickBot="1">
      <c r="A211" s="794"/>
      <c r="B211" s="306">
        <v>640</v>
      </c>
      <c r="C211" s="279" t="s">
        <v>236</v>
      </c>
      <c r="D211" s="281"/>
      <c r="E211" s="281"/>
      <c r="F211" s="281"/>
      <c r="G211" s="281"/>
      <c r="H211" s="281"/>
      <c r="I211" s="281"/>
      <c r="J211" s="281"/>
      <c r="K211" s="323">
        <v>784</v>
      </c>
      <c r="L211" s="324">
        <v>534.67</v>
      </c>
      <c r="M211" s="324">
        <v>284.78</v>
      </c>
      <c r="N211" s="325"/>
      <c r="O211" s="324"/>
      <c r="P211" s="324"/>
      <c r="Q211" s="324">
        <v>2095.35</v>
      </c>
      <c r="R211" s="324">
        <v>440.36</v>
      </c>
      <c r="S211" s="324">
        <v>231.98</v>
      </c>
      <c r="T211" s="465"/>
      <c r="U211" s="691">
        <v>1109.3400000000001</v>
      </c>
      <c r="V211" s="632">
        <f t="shared" si="3"/>
        <v>0</v>
      </c>
      <c r="X211" s="2"/>
    </row>
    <row r="212" spans="1:24" ht="12.75">
      <c r="A212" s="794"/>
      <c r="B212" s="326"/>
      <c r="C212" s="299" t="s">
        <v>24</v>
      </c>
      <c r="D212" s="298"/>
      <c r="E212" s="298"/>
      <c r="F212" s="298"/>
      <c r="G212" s="298"/>
      <c r="H212" s="298"/>
      <c r="I212" s="299">
        <v>9265</v>
      </c>
      <c r="J212" s="184">
        <v>11343</v>
      </c>
      <c r="K212" s="39">
        <v>6313</v>
      </c>
      <c r="L212" s="105">
        <v>5404.14</v>
      </c>
      <c r="M212" s="105">
        <v>4327.68</v>
      </c>
      <c r="N212" s="21"/>
      <c r="O212" s="105">
        <v>3575.04</v>
      </c>
      <c r="P212" s="105">
        <v>3928.96</v>
      </c>
      <c r="Q212" s="105">
        <v>5212.52</v>
      </c>
      <c r="R212" s="105">
        <v>4480.02</v>
      </c>
      <c r="S212" s="105">
        <v>2417</v>
      </c>
      <c r="T212" s="455">
        <v>3500</v>
      </c>
      <c r="U212" s="685">
        <v>3205.42</v>
      </c>
      <c r="V212" s="533">
        <f t="shared" si="3"/>
        <v>91.58342857142857</v>
      </c>
      <c r="X212" s="2"/>
    </row>
    <row r="213" spans="1:24" ht="12.75">
      <c r="A213" s="794"/>
      <c r="B213" s="327"/>
      <c r="C213" s="204" t="s">
        <v>384</v>
      </c>
      <c r="D213" s="184"/>
      <c r="E213" s="184"/>
      <c r="F213" s="184"/>
      <c r="G213" s="184"/>
      <c r="H213" s="184"/>
      <c r="I213" s="204"/>
      <c r="J213" s="184"/>
      <c r="K213" s="39"/>
      <c r="L213" s="183"/>
      <c r="M213" s="24"/>
      <c r="N213" s="24">
        <v>0</v>
      </c>
      <c r="O213" s="183">
        <v>30265.35</v>
      </c>
      <c r="P213" s="183"/>
      <c r="Q213" s="183"/>
      <c r="R213" s="183"/>
      <c r="S213" s="183">
        <v>937.16</v>
      </c>
      <c r="T213" s="450">
        <v>33728</v>
      </c>
      <c r="U213" s="611">
        <v>31667.72</v>
      </c>
      <c r="V213" s="533">
        <f t="shared" si="3"/>
        <v>93.89148481973434</v>
      </c>
      <c r="X213" s="2"/>
    </row>
    <row r="214" spans="1:24" ht="12.75" customHeight="1">
      <c r="A214" s="794"/>
      <c r="B214" s="327">
        <v>630</v>
      </c>
      <c r="C214" s="204" t="s">
        <v>25</v>
      </c>
      <c r="D214" s="184"/>
      <c r="E214" s="184"/>
      <c r="F214" s="184"/>
      <c r="G214" s="184"/>
      <c r="H214" s="184"/>
      <c r="I214" s="204"/>
      <c r="J214" s="184"/>
      <c r="K214" s="39"/>
      <c r="L214" s="183"/>
      <c r="M214" s="24"/>
      <c r="N214" s="24">
        <v>0</v>
      </c>
      <c r="O214" s="183"/>
      <c r="P214" s="183"/>
      <c r="Q214" s="183"/>
      <c r="R214" s="183"/>
      <c r="S214" s="183"/>
      <c r="T214" s="450">
        <v>0</v>
      </c>
      <c r="U214" s="611"/>
      <c r="V214" s="533">
        <f t="shared" si="3"/>
        <v>0</v>
      </c>
      <c r="X214" s="2"/>
    </row>
    <row r="215" spans="1:24" ht="12.75" customHeight="1">
      <c r="A215" s="794"/>
      <c r="B215" s="327">
        <v>630</v>
      </c>
      <c r="C215" s="204" t="s">
        <v>26</v>
      </c>
      <c r="D215" s="184"/>
      <c r="E215" s="184"/>
      <c r="F215" s="184"/>
      <c r="G215" s="184"/>
      <c r="H215" s="184"/>
      <c r="I215" s="204">
        <v>66358</v>
      </c>
      <c r="J215" s="184">
        <v>95746</v>
      </c>
      <c r="K215" s="39">
        <v>85709</v>
      </c>
      <c r="L215" s="183">
        <v>56320.98000000001</v>
      </c>
      <c r="M215" s="183">
        <v>47905.93</v>
      </c>
      <c r="N215" s="24">
        <v>34336.340000000004</v>
      </c>
      <c r="O215" s="183">
        <v>29495.23</v>
      </c>
      <c r="P215" s="183">
        <v>24290.5</v>
      </c>
      <c r="Q215" s="183">
        <v>106460.45</v>
      </c>
      <c r="R215" s="183"/>
      <c r="S215" s="183"/>
      <c r="T215" s="450">
        <v>35000</v>
      </c>
      <c r="U215" s="611"/>
      <c r="V215" s="533">
        <f t="shared" si="3"/>
        <v>0</v>
      </c>
      <c r="X215" s="2"/>
    </row>
    <row r="216" spans="1:24" ht="12.75" hidden="1">
      <c r="A216" s="794"/>
      <c r="B216" s="327">
        <v>630</v>
      </c>
      <c r="C216" s="204"/>
      <c r="D216" s="184"/>
      <c r="E216" s="184"/>
      <c r="F216" s="184"/>
      <c r="G216" s="184"/>
      <c r="H216" s="184"/>
      <c r="I216" s="39">
        <v>642</v>
      </c>
      <c r="J216" s="184"/>
      <c r="K216" s="39"/>
      <c r="L216" s="183"/>
      <c r="M216" s="183">
        <v>323039.83999999997</v>
      </c>
      <c r="N216" s="24">
        <v>0</v>
      </c>
      <c r="O216" s="183"/>
      <c r="P216" s="183"/>
      <c r="Q216" s="183"/>
      <c r="R216" s="183">
        <v>179640.35</v>
      </c>
      <c r="S216" s="183">
        <v>0</v>
      </c>
      <c r="T216" s="450">
        <v>0</v>
      </c>
      <c r="U216" s="611"/>
      <c r="V216" s="533">
        <f t="shared" si="3"/>
        <v>0</v>
      </c>
      <c r="X216" s="2"/>
    </row>
    <row r="217" spans="1:24" ht="12.75">
      <c r="A217" s="794"/>
      <c r="B217" s="327"/>
      <c r="C217" s="204" t="s">
        <v>161</v>
      </c>
      <c r="D217" s="184"/>
      <c r="E217" s="184"/>
      <c r="F217" s="184"/>
      <c r="G217" s="184"/>
      <c r="H217" s="184"/>
      <c r="I217" s="204"/>
      <c r="J217" s="184">
        <v>85602</v>
      </c>
      <c r="K217" s="39">
        <v>393394</v>
      </c>
      <c r="L217" s="183">
        <v>426977.77</v>
      </c>
      <c r="M217" s="183">
        <v>6176.6</v>
      </c>
      <c r="N217" s="24">
        <v>281171.12</v>
      </c>
      <c r="O217" s="183">
        <v>192626.66999999998</v>
      </c>
      <c r="P217" s="183">
        <v>166083.11</v>
      </c>
      <c r="Q217" s="183">
        <v>128496.68000000001</v>
      </c>
      <c r="R217" s="183">
        <v>114012.98</v>
      </c>
      <c r="S217" s="183">
        <v>127195.48999999999</v>
      </c>
      <c r="T217" s="450">
        <v>285381</v>
      </c>
      <c r="U217" s="611">
        <f>234566.76+29718.68+410</f>
        <v>264695.44</v>
      </c>
      <c r="V217" s="533">
        <f t="shared" si="3"/>
        <v>92.75159873993013</v>
      </c>
      <c r="X217" s="2"/>
    </row>
    <row r="218" spans="1:24" ht="12.75">
      <c r="A218" s="794"/>
      <c r="B218" s="327">
        <v>630</v>
      </c>
      <c r="C218" s="204" t="s">
        <v>308</v>
      </c>
      <c r="D218" s="184"/>
      <c r="E218" s="184"/>
      <c r="F218" s="184"/>
      <c r="G218" s="184"/>
      <c r="H218" s="184"/>
      <c r="I218" s="204">
        <v>16833</v>
      </c>
      <c r="J218" s="184">
        <v>1809</v>
      </c>
      <c r="K218" s="39">
        <v>1345</v>
      </c>
      <c r="L218" s="183">
        <v>13077.4</v>
      </c>
      <c r="M218" s="183">
        <v>10590.8</v>
      </c>
      <c r="N218" s="24">
        <v>6654.32</v>
      </c>
      <c r="O218" s="183">
        <v>7292.93</v>
      </c>
      <c r="P218" s="183">
        <v>7200.599999999999</v>
      </c>
      <c r="Q218" s="183">
        <v>10049.73</v>
      </c>
      <c r="R218" s="183">
        <v>11058.380000000001</v>
      </c>
      <c r="S218" s="183">
        <v>11104.67</v>
      </c>
      <c r="T218" s="450">
        <v>12021</v>
      </c>
      <c r="U218" s="611">
        <f>7977.06+2791.45</f>
        <v>10768.51</v>
      </c>
      <c r="V218" s="533">
        <f t="shared" si="3"/>
        <v>89.58081690375177</v>
      </c>
      <c r="X218" s="2"/>
    </row>
    <row r="219" spans="1:24" ht="12.75">
      <c r="A219" s="794"/>
      <c r="B219" s="507"/>
      <c r="C219" s="204" t="s">
        <v>27</v>
      </c>
      <c r="D219" s="508"/>
      <c r="E219" s="508"/>
      <c r="F219" s="508"/>
      <c r="G219" s="508"/>
      <c r="H219" s="508"/>
      <c r="I219" s="390"/>
      <c r="J219" s="184"/>
      <c r="K219" s="39"/>
      <c r="L219" s="201"/>
      <c r="M219" s="201"/>
      <c r="N219" s="27">
        <v>9556.68</v>
      </c>
      <c r="O219" s="201">
        <v>7519.8</v>
      </c>
      <c r="P219" s="201">
        <v>6557</v>
      </c>
      <c r="Q219" s="201">
        <v>315.4</v>
      </c>
      <c r="R219" s="201">
        <v>3685.2000000000003</v>
      </c>
      <c r="S219" s="201">
        <v>3353.2</v>
      </c>
      <c r="T219" s="459">
        <v>20224</v>
      </c>
      <c r="U219" s="686"/>
      <c r="V219" s="533">
        <f t="shared" si="3"/>
        <v>0</v>
      </c>
      <c r="X219" s="2"/>
    </row>
    <row r="220" spans="1:24" ht="13.5" thickBot="1">
      <c r="A220" s="794"/>
      <c r="B220" s="328">
        <v>630</v>
      </c>
      <c r="C220" s="329" t="s">
        <v>28</v>
      </c>
      <c r="D220" s="330"/>
      <c r="E220" s="330"/>
      <c r="F220" s="330"/>
      <c r="G220" s="330"/>
      <c r="H220" s="330"/>
      <c r="I220" s="329"/>
      <c r="J220" s="184">
        <v>60</v>
      </c>
      <c r="K220" s="39"/>
      <c r="L220" s="201">
        <v>110</v>
      </c>
      <c r="M220" s="331"/>
      <c r="N220" s="331">
        <v>2268</v>
      </c>
      <c r="O220" s="573">
        <v>2590</v>
      </c>
      <c r="P220" s="573">
        <v>4333.18</v>
      </c>
      <c r="Q220" s="573">
        <v>3298.7</v>
      </c>
      <c r="R220" s="573">
        <v>1031.6</v>
      </c>
      <c r="S220" s="573"/>
      <c r="T220" s="466">
        <v>2000</v>
      </c>
      <c r="U220" s="686"/>
      <c r="V220" s="533">
        <f t="shared" si="3"/>
        <v>0</v>
      </c>
      <c r="X220" s="2"/>
    </row>
    <row r="221" spans="1:24" ht="17.25" thickBot="1" thickTop="1">
      <c r="A221" s="332"/>
      <c r="B221" s="333"/>
      <c r="C221" s="131" t="s">
        <v>29</v>
      </c>
      <c r="D221" s="90">
        <v>5867125</v>
      </c>
      <c r="E221" s="90">
        <v>6460200</v>
      </c>
      <c r="F221" s="90">
        <v>7832271</v>
      </c>
      <c r="G221" s="90">
        <v>8716285.43</v>
      </c>
      <c r="H221" s="90">
        <v>9309387</v>
      </c>
      <c r="I221" s="90">
        <v>8743512.2</v>
      </c>
      <c r="J221" s="90">
        <v>8908071</v>
      </c>
      <c r="K221" s="90">
        <v>8934542</v>
      </c>
      <c r="L221" s="334">
        <v>9572545.38</v>
      </c>
      <c r="M221" s="334">
        <v>9554914.799999999</v>
      </c>
      <c r="N221" s="448">
        <v>9695081.340000002</v>
      </c>
      <c r="O221" s="574">
        <v>10029034.879999999</v>
      </c>
      <c r="P221" s="448">
        <v>10815176.44</v>
      </c>
      <c r="Q221" s="574">
        <v>12072287.610000001</v>
      </c>
      <c r="R221" s="574">
        <v>12542381.569999998</v>
      </c>
      <c r="S221" s="574">
        <v>13351433.260000002</v>
      </c>
      <c r="T221" s="448">
        <f>T206+T201+T195+T185+T160+T154+T151+T136+T131+T118+T115+T113+T94+T89+T83+T76+T71+T57+T51+T44+T42+T37+T35+T29+T27+T25+T19+T14+T10+T4</f>
        <v>15206717</v>
      </c>
      <c r="U221" s="695">
        <f>U206+U201+U195+U185+U160+U154+U151+U136+U131+U118+U115+U113+U94+U89+U83+U76+U71+U57+U51+U44+U42+U37+U35+U29+U27+U25+U19+U14+U10+U4+U129</f>
        <v>14807895.809999999</v>
      </c>
      <c r="V221" s="628">
        <f t="shared" si="3"/>
        <v>97.37733535778958</v>
      </c>
      <c r="X221" s="2"/>
    </row>
    <row r="222" ht="13.5" thickTop="1">
      <c r="U222" s="413"/>
    </row>
    <row r="223" ht="12.75">
      <c r="U223" s="413"/>
    </row>
    <row r="224" ht="12.75">
      <c r="U224" s="413"/>
    </row>
    <row r="225" ht="12.75">
      <c r="U225" s="413"/>
    </row>
    <row r="226" ht="12.75">
      <c r="U226" s="413"/>
    </row>
    <row r="227" ht="12.75">
      <c r="U227" s="413"/>
    </row>
    <row r="228" ht="12.75">
      <c r="U228" s="413"/>
    </row>
    <row r="229" ht="12.75">
      <c r="U229" s="413"/>
    </row>
    <row r="230" ht="12.75">
      <c r="U230" s="413"/>
    </row>
    <row r="231" ht="12.75">
      <c r="U231" s="413"/>
    </row>
    <row r="232" ht="12.75">
      <c r="U232" s="413"/>
    </row>
    <row r="233" ht="12.75">
      <c r="U233" s="413"/>
    </row>
    <row r="234" ht="12.75">
      <c r="U234" s="413"/>
    </row>
    <row r="235" ht="12.75">
      <c r="U235" s="413"/>
    </row>
    <row r="236" ht="12.75">
      <c r="U236" s="413"/>
    </row>
    <row r="237" ht="12.75">
      <c r="U237" s="413"/>
    </row>
    <row r="238" ht="12.75">
      <c r="U238" s="413"/>
    </row>
    <row r="239" ht="12.75">
      <c r="U239" s="413"/>
    </row>
    <row r="240" ht="12.75">
      <c r="U240" s="413"/>
    </row>
    <row r="241" ht="12.75">
      <c r="U241" s="413"/>
    </row>
    <row r="242" ht="12.75">
      <c r="U242" s="413"/>
    </row>
    <row r="243" ht="12.75">
      <c r="U243" s="413"/>
    </row>
    <row r="244" ht="12.75">
      <c r="U244" s="413"/>
    </row>
    <row r="245" ht="12.75">
      <c r="U245" s="413"/>
    </row>
    <row r="246" ht="12.75">
      <c r="U246" s="413"/>
    </row>
  </sheetData>
  <sheetProtection/>
  <mergeCells count="90">
    <mergeCell ref="I2:I3"/>
    <mergeCell ref="J2:J3"/>
    <mergeCell ref="K2:K3"/>
    <mergeCell ref="A2:A3"/>
    <mergeCell ref="Q2:Q3"/>
    <mergeCell ref="O2:O3"/>
    <mergeCell ref="M2:M3"/>
    <mergeCell ref="E2:E3"/>
    <mergeCell ref="D2:D3"/>
    <mergeCell ref="C2:C3"/>
    <mergeCell ref="A45:A50"/>
    <mergeCell ref="A38:A41"/>
    <mergeCell ref="B42:C42"/>
    <mergeCell ref="A132:A135"/>
    <mergeCell ref="B136:C136"/>
    <mergeCell ref="B4:C4"/>
    <mergeCell ref="B129:C129"/>
    <mergeCell ref="A116:A117"/>
    <mergeCell ref="B115:C115"/>
    <mergeCell ref="A119:A128"/>
    <mergeCell ref="A152:A153"/>
    <mergeCell ref="A155:A159"/>
    <mergeCell ref="B155:B159"/>
    <mergeCell ref="B131:C131"/>
    <mergeCell ref="A137:A150"/>
    <mergeCell ref="A186:A194"/>
    <mergeCell ref="A181:A184"/>
    <mergeCell ref="B185:C185"/>
    <mergeCell ref="B186:C186"/>
    <mergeCell ref="B160:C160"/>
    <mergeCell ref="B151:C151"/>
    <mergeCell ref="B154:C154"/>
    <mergeCell ref="B206:C206"/>
    <mergeCell ref="B83:C83"/>
    <mergeCell ref="B94:C94"/>
    <mergeCell ref="B71:C71"/>
    <mergeCell ref="B76:C76"/>
    <mergeCell ref="B89:C89"/>
    <mergeCell ref="B81:C81"/>
    <mergeCell ref="B193:C193"/>
    <mergeCell ref="A161:A179"/>
    <mergeCell ref="A207:A220"/>
    <mergeCell ref="B207:C207"/>
    <mergeCell ref="B195:C195"/>
    <mergeCell ref="A196:A200"/>
    <mergeCell ref="B201:C201"/>
    <mergeCell ref="B161:C161"/>
    <mergeCell ref="B166:C166"/>
    <mergeCell ref="B180:C180"/>
    <mergeCell ref="A202:A205"/>
    <mergeCell ref="B167:B179"/>
    <mergeCell ref="V2:V3"/>
    <mergeCell ref="A30:A34"/>
    <mergeCell ref="B27:C27"/>
    <mergeCell ref="B29:C29"/>
    <mergeCell ref="A5:A9"/>
    <mergeCell ref="N2:N3"/>
    <mergeCell ref="U2:U3"/>
    <mergeCell ref="A20:A24"/>
    <mergeCell ref="B2:B3"/>
    <mergeCell ref="T2:T3"/>
    <mergeCell ref="R2:R3"/>
    <mergeCell ref="B14:C14"/>
    <mergeCell ref="P2:P3"/>
    <mergeCell ref="G2:G3"/>
    <mergeCell ref="B35:C35"/>
    <mergeCell ref="L2:L3"/>
    <mergeCell ref="H2:H3"/>
    <mergeCell ref="F2:F3"/>
    <mergeCell ref="S2:S3"/>
    <mergeCell ref="A95:A112"/>
    <mergeCell ref="A90:A93"/>
    <mergeCell ref="B118:C118"/>
    <mergeCell ref="B113:C113"/>
    <mergeCell ref="B25:C25"/>
    <mergeCell ref="A84:A88"/>
    <mergeCell ref="B51:C51"/>
    <mergeCell ref="A72:A75"/>
    <mergeCell ref="B58:C58"/>
    <mergeCell ref="B44:C44"/>
    <mergeCell ref="A1:C1"/>
    <mergeCell ref="B37:C37"/>
    <mergeCell ref="A52:A56"/>
    <mergeCell ref="B57:C57"/>
    <mergeCell ref="A58:A70"/>
    <mergeCell ref="A77:A80"/>
    <mergeCell ref="A11:A13"/>
    <mergeCell ref="B10:C10"/>
    <mergeCell ref="A15:A18"/>
    <mergeCell ref="B19:C19"/>
  </mergeCells>
  <printOptions/>
  <pageMargins left="0" right="0" top="0.1968503937007874" bottom="0.1968503937007874" header="0" footer="0"/>
  <pageSetup orientation="portrait" paperSize="9" scale="73" r:id="rId1"/>
  <rowBreaks count="3" manualBreakCount="3">
    <brk id="88" max="255" man="1"/>
    <brk id="194" max="255" man="1"/>
    <brk id="221" max="255" man="1"/>
  </rowBreaks>
  <ignoredErrors>
    <ignoredError sqref="B76:C76 B78:B80 C72:C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57"/>
  <sheetViews>
    <sheetView zoomScale="85" zoomScaleNormal="85" zoomScalePageLayoutView="0" workbookViewId="0" topLeftCell="A1">
      <selection activeCell="A2" sqref="A2:C2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5.421875" style="0" hidden="1" customWidth="1"/>
    <col min="19" max="19" width="15.28125" style="0" customWidth="1"/>
    <col min="20" max="20" width="13.00390625" style="0" customWidth="1"/>
    <col min="21" max="21" width="15.8515625" style="0" customWidth="1"/>
    <col min="22" max="22" width="13.57421875" style="0" customWidth="1"/>
    <col min="25" max="25" width="13.140625" style="0" customWidth="1"/>
  </cols>
  <sheetData>
    <row r="1" spans="1:3" ht="15">
      <c r="A1" s="826" t="s">
        <v>390</v>
      </c>
      <c r="B1" s="826"/>
      <c r="C1" s="826"/>
    </row>
    <row r="2" spans="1:3" ht="15.75" thickBot="1">
      <c r="A2" s="773" t="s">
        <v>391</v>
      </c>
      <c r="B2" s="773"/>
      <c r="C2" s="773"/>
    </row>
    <row r="3" spans="1:22" ht="14.25" customHeight="1" thickTop="1">
      <c r="A3" s="759" t="s">
        <v>75</v>
      </c>
      <c r="B3" s="766" t="s">
        <v>76</v>
      </c>
      <c r="C3" s="723" t="s">
        <v>77</v>
      </c>
      <c r="D3" s="723" t="s">
        <v>168</v>
      </c>
      <c r="E3" s="723" t="s">
        <v>169</v>
      </c>
      <c r="F3" s="723" t="s">
        <v>170</v>
      </c>
      <c r="G3" s="723" t="s">
        <v>171</v>
      </c>
      <c r="H3" s="723" t="s">
        <v>172</v>
      </c>
      <c r="I3" s="723" t="s">
        <v>83</v>
      </c>
      <c r="J3" s="723" t="s">
        <v>84</v>
      </c>
      <c r="K3" s="723" t="s">
        <v>85</v>
      </c>
      <c r="L3" s="723" t="s">
        <v>86</v>
      </c>
      <c r="M3" s="723" t="s">
        <v>307</v>
      </c>
      <c r="N3" s="723" t="s">
        <v>322</v>
      </c>
      <c r="O3" s="723" t="s">
        <v>339</v>
      </c>
      <c r="P3" s="723" t="s">
        <v>344</v>
      </c>
      <c r="Q3" s="723" t="s">
        <v>358</v>
      </c>
      <c r="R3" s="723" t="s">
        <v>372</v>
      </c>
      <c r="S3" s="723" t="s">
        <v>430</v>
      </c>
      <c r="T3" s="735" t="s">
        <v>394</v>
      </c>
      <c r="U3" s="721" t="s">
        <v>459</v>
      </c>
      <c r="V3" s="733" t="s">
        <v>460</v>
      </c>
    </row>
    <row r="4" spans="1:22" ht="27.75" customHeight="1" thickBot="1">
      <c r="A4" s="760"/>
      <c r="B4" s="767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36"/>
      <c r="U4" s="722"/>
      <c r="V4" s="734"/>
    </row>
    <row r="5" spans="1:22" ht="17.25" thickBot="1" thickTop="1">
      <c r="A5" s="91">
        <v>200</v>
      </c>
      <c r="B5" s="763" t="s">
        <v>106</v>
      </c>
      <c r="C5" s="764"/>
      <c r="D5" s="92">
        <v>355009</v>
      </c>
      <c r="E5" s="92">
        <v>311359</v>
      </c>
      <c r="F5" s="92">
        <v>955255</v>
      </c>
      <c r="G5" s="92">
        <v>1090339</v>
      </c>
      <c r="H5" s="92">
        <v>496614</v>
      </c>
      <c r="I5" s="92">
        <v>174771</v>
      </c>
      <c r="J5" s="92">
        <v>74221</v>
      </c>
      <c r="K5" s="92">
        <v>98051</v>
      </c>
      <c r="L5" s="92">
        <v>223532.5</v>
      </c>
      <c r="M5" s="509">
        <v>61991.15</v>
      </c>
      <c r="N5" s="92">
        <v>87107.9</v>
      </c>
      <c r="O5" s="509">
        <v>542510.87</v>
      </c>
      <c r="P5" s="509">
        <v>47974.47</v>
      </c>
      <c r="Q5" s="509">
        <v>147766.67</v>
      </c>
      <c r="R5" s="92">
        <v>652299.33</v>
      </c>
      <c r="S5" s="509">
        <v>989473.64</v>
      </c>
      <c r="T5" s="92">
        <f>T6</f>
        <v>93328</v>
      </c>
      <c r="U5" s="509">
        <f>U6</f>
        <v>85846.54000000001</v>
      </c>
      <c r="V5" s="636">
        <f aca="true" t="shared" si="0" ref="V5:V36">IF(T5=0,0,U5/T5*100)</f>
        <v>91.98369192525287</v>
      </c>
    </row>
    <row r="6" spans="1:22" ht="15.75" thickBot="1">
      <c r="A6" s="93">
        <v>230</v>
      </c>
      <c r="B6" s="747" t="s">
        <v>173</v>
      </c>
      <c r="C6" s="765"/>
      <c r="D6" s="94">
        <v>355009</v>
      </c>
      <c r="E6" s="94">
        <v>311359</v>
      </c>
      <c r="F6" s="94">
        <v>955255</v>
      </c>
      <c r="G6" s="94">
        <v>1090339</v>
      </c>
      <c r="H6" s="94">
        <v>496614</v>
      </c>
      <c r="I6" s="94">
        <v>174771</v>
      </c>
      <c r="J6" s="94">
        <v>74221</v>
      </c>
      <c r="K6" s="94">
        <v>98051</v>
      </c>
      <c r="L6" s="94">
        <v>223532.5</v>
      </c>
      <c r="M6" s="503">
        <v>61991.15</v>
      </c>
      <c r="N6" s="94">
        <v>87107.9</v>
      </c>
      <c r="O6" s="503">
        <v>542510.87</v>
      </c>
      <c r="P6" s="503">
        <v>47974.47</v>
      </c>
      <c r="Q6" s="503">
        <v>147766.67</v>
      </c>
      <c r="R6" s="94">
        <v>652299.33</v>
      </c>
      <c r="S6" s="503">
        <v>989473.64</v>
      </c>
      <c r="T6" s="60">
        <f>T7+T11</f>
        <v>93328</v>
      </c>
      <c r="U6" s="192">
        <f>U7+U11</f>
        <v>85846.54000000001</v>
      </c>
      <c r="V6" s="605">
        <f t="shared" si="0"/>
        <v>91.98369192525287</v>
      </c>
    </row>
    <row r="7" spans="1:22" ht="13.5" thickBot="1">
      <c r="A7" s="737"/>
      <c r="B7" s="95">
        <v>231</v>
      </c>
      <c r="C7" s="56" t="s">
        <v>174</v>
      </c>
      <c r="D7" s="87">
        <v>351125</v>
      </c>
      <c r="E7" s="87">
        <v>106121</v>
      </c>
      <c r="F7" s="87">
        <v>227246</v>
      </c>
      <c r="G7" s="87">
        <v>45397</v>
      </c>
      <c r="H7" s="87">
        <v>103200</v>
      </c>
      <c r="I7" s="87">
        <v>85320</v>
      </c>
      <c r="J7" s="87">
        <v>21933</v>
      </c>
      <c r="K7" s="87">
        <v>32153</v>
      </c>
      <c r="L7" s="87">
        <v>84811.72</v>
      </c>
      <c r="M7" s="124">
        <v>23898.96</v>
      </c>
      <c r="N7" s="87">
        <v>33003</v>
      </c>
      <c r="O7" s="124">
        <v>255643.36</v>
      </c>
      <c r="P7" s="124">
        <v>0</v>
      </c>
      <c r="Q7" s="124">
        <v>0</v>
      </c>
      <c r="R7" s="58">
        <v>38955</v>
      </c>
      <c r="S7" s="138">
        <v>5772</v>
      </c>
      <c r="T7" s="58">
        <v>0</v>
      </c>
      <c r="U7" s="138">
        <f>U8</f>
        <v>50505</v>
      </c>
      <c r="V7" s="125">
        <f t="shared" si="0"/>
        <v>0</v>
      </c>
    </row>
    <row r="8" spans="1:22" ht="12.75">
      <c r="A8" s="738"/>
      <c r="B8" s="744"/>
      <c r="C8" s="96" t="s">
        <v>175</v>
      </c>
      <c r="D8" s="97">
        <v>192923</v>
      </c>
      <c r="E8" s="97">
        <v>101839</v>
      </c>
      <c r="F8" s="97">
        <v>227246</v>
      </c>
      <c r="G8" s="97">
        <v>45397</v>
      </c>
      <c r="H8" s="97">
        <v>103200</v>
      </c>
      <c r="I8" s="78">
        <v>85320</v>
      </c>
      <c r="J8" s="20">
        <v>21933</v>
      </c>
      <c r="K8" s="21">
        <v>23657</v>
      </c>
      <c r="L8" s="21">
        <v>83346.52</v>
      </c>
      <c r="M8" s="105">
        <v>19336.16</v>
      </c>
      <c r="N8" s="21">
        <v>33003</v>
      </c>
      <c r="O8" s="105">
        <v>251642.36</v>
      </c>
      <c r="P8" s="105"/>
      <c r="Q8" s="105"/>
      <c r="R8" s="21"/>
      <c r="S8" s="105"/>
      <c r="T8" s="51"/>
      <c r="U8" s="64">
        <v>50505</v>
      </c>
      <c r="V8" s="127">
        <f t="shared" si="0"/>
        <v>0</v>
      </c>
    </row>
    <row r="9" spans="1:22" ht="12.75">
      <c r="A9" s="738"/>
      <c r="B9" s="745"/>
      <c r="C9" s="38" t="s">
        <v>176</v>
      </c>
      <c r="D9" s="98"/>
      <c r="E9" s="98"/>
      <c r="F9" s="98"/>
      <c r="G9" s="98"/>
      <c r="H9" s="98"/>
      <c r="I9" s="99"/>
      <c r="J9" s="100"/>
      <c r="K9" s="62"/>
      <c r="L9" s="101"/>
      <c r="M9" s="105">
        <v>4562.8</v>
      </c>
      <c r="N9" s="21"/>
      <c r="O9" s="105"/>
      <c r="P9" s="105"/>
      <c r="Q9" s="105"/>
      <c r="R9" s="105">
        <v>38955</v>
      </c>
      <c r="S9" s="105">
        <v>5772</v>
      </c>
      <c r="T9" s="51"/>
      <c r="U9" s="64"/>
      <c r="V9" s="127">
        <f t="shared" si="0"/>
        <v>0</v>
      </c>
    </row>
    <row r="10" spans="1:22" ht="13.5" thickBot="1">
      <c r="A10" s="738"/>
      <c r="B10" s="746"/>
      <c r="C10" s="102" t="s">
        <v>177</v>
      </c>
      <c r="D10" s="53">
        <v>158202</v>
      </c>
      <c r="E10" s="53">
        <v>4282</v>
      </c>
      <c r="F10" s="53">
        <v>0</v>
      </c>
      <c r="G10" s="53"/>
      <c r="H10" s="53"/>
      <c r="I10" s="53"/>
      <c r="J10" s="53"/>
      <c r="K10" s="43">
        <v>8496</v>
      </c>
      <c r="L10" s="21">
        <v>1465.2</v>
      </c>
      <c r="M10" s="62"/>
      <c r="N10" s="62"/>
      <c r="O10" s="103">
        <v>4001</v>
      </c>
      <c r="P10" s="103"/>
      <c r="Q10" s="103"/>
      <c r="R10" s="62"/>
      <c r="S10" s="103"/>
      <c r="T10" s="51"/>
      <c r="U10" s="64"/>
      <c r="V10" s="127">
        <f t="shared" si="0"/>
        <v>0</v>
      </c>
    </row>
    <row r="11" spans="1:22" ht="13.5" thickBot="1">
      <c r="A11" s="738"/>
      <c r="B11" s="104">
        <v>233</v>
      </c>
      <c r="C11" s="55" t="s">
        <v>178</v>
      </c>
      <c r="D11" s="87">
        <v>3884</v>
      </c>
      <c r="E11" s="87">
        <v>205238</v>
      </c>
      <c r="F11" s="87">
        <v>728009</v>
      </c>
      <c r="G11" s="87">
        <v>1044942</v>
      </c>
      <c r="H11" s="87">
        <v>393414</v>
      </c>
      <c r="I11" s="87">
        <v>89451</v>
      </c>
      <c r="J11" s="87">
        <v>52288</v>
      </c>
      <c r="K11" s="87">
        <v>65898</v>
      </c>
      <c r="L11" s="87">
        <v>138720.78</v>
      </c>
      <c r="M11" s="124">
        <v>38092.19</v>
      </c>
      <c r="N11" s="87">
        <v>54104.9</v>
      </c>
      <c r="O11" s="124">
        <v>286867.51</v>
      </c>
      <c r="P11" s="87">
        <v>47974.47</v>
      </c>
      <c r="Q11" s="124">
        <v>147766.67</v>
      </c>
      <c r="R11" s="58">
        <v>613344.33</v>
      </c>
      <c r="S11" s="138">
        <v>983701.64</v>
      </c>
      <c r="T11" s="58">
        <f>T12</f>
        <v>93328</v>
      </c>
      <c r="U11" s="138">
        <f>U12</f>
        <v>35341.54</v>
      </c>
      <c r="V11" s="125">
        <f t="shared" si="0"/>
        <v>37.86809960569176</v>
      </c>
    </row>
    <row r="12" spans="1:22" ht="13.5" thickBot="1">
      <c r="A12" s="738"/>
      <c r="B12" s="744"/>
      <c r="C12" s="36" t="s">
        <v>179</v>
      </c>
      <c r="D12" s="50">
        <v>3884</v>
      </c>
      <c r="E12" s="50">
        <v>205238</v>
      </c>
      <c r="F12" s="50">
        <v>728009</v>
      </c>
      <c r="G12" s="50">
        <v>98695</v>
      </c>
      <c r="H12" s="50">
        <v>393414</v>
      </c>
      <c r="I12" s="50">
        <v>89451</v>
      </c>
      <c r="J12" s="21">
        <v>52288</v>
      </c>
      <c r="K12" s="21">
        <v>65898</v>
      </c>
      <c r="L12" s="21">
        <v>138720.78</v>
      </c>
      <c r="M12" s="510">
        <v>38092.19</v>
      </c>
      <c r="N12" s="520">
        <v>54104.9</v>
      </c>
      <c r="O12" s="576">
        <v>286867.51</v>
      </c>
      <c r="P12" s="576">
        <v>47974.47</v>
      </c>
      <c r="Q12" s="576">
        <v>147766.67</v>
      </c>
      <c r="R12" s="520">
        <v>613344.33</v>
      </c>
      <c r="S12" s="576">
        <v>983701.64</v>
      </c>
      <c r="T12" s="51">
        <v>93328</v>
      </c>
      <c r="U12" s="64">
        <v>35341.54</v>
      </c>
      <c r="V12" s="127">
        <f t="shared" si="0"/>
        <v>37.86809960569176</v>
      </c>
    </row>
    <row r="13" spans="1:22" ht="13.5" hidden="1" thickBot="1">
      <c r="A13" s="738"/>
      <c r="B13" s="745"/>
      <c r="C13" s="106" t="s">
        <v>180</v>
      </c>
      <c r="D13" s="107"/>
      <c r="E13" s="107"/>
      <c r="F13" s="107"/>
      <c r="G13" s="107"/>
      <c r="H13" s="107"/>
      <c r="I13" s="107"/>
      <c r="J13" s="107"/>
      <c r="K13" s="86"/>
      <c r="L13" s="108"/>
      <c r="M13" s="108"/>
      <c r="N13" s="108"/>
      <c r="O13" s="577"/>
      <c r="P13" s="577"/>
      <c r="Q13" s="577"/>
      <c r="R13" s="108"/>
      <c r="S13" s="577"/>
      <c r="T13" s="164"/>
      <c r="U13" s="679"/>
      <c r="V13" s="637">
        <f t="shared" si="0"/>
        <v>0</v>
      </c>
    </row>
    <row r="14" spans="1:22" ht="13.5" hidden="1" thickBot="1">
      <c r="A14" s="738"/>
      <c r="B14" s="745"/>
      <c r="C14" s="106" t="s">
        <v>181</v>
      </c>
      <c r="D14" s="107"/>
      <c r="E14" s="107"/>
      <c r="F14" s="107"/>
      <c r="G14" s="107"/>
      <c r="H14" s="107"/>
      <c r="I14" s="107"/>
      <c r="J14" s="107"/>
      <c r="K14" s="86"/>
      <c r="L14" s="105"/>
      <c r="M14" s="108"/>
      <c r="N14" s="108"/>
      <c r="O14" s="577"/>
      <c r="P14" s="577"/>
      <c r="Q14" s="577"/>
      <c r="R14" s="108"/>
      <c r="S14" s="577"/>
      <c r="T14" s="164"/>
      <c r="U14" s="679"/>
      <c r="V14" s="637">
        <f t="shared" si="0"/>
        <v>0</v>
      </c>
    </row>
    <row r="15" spans="1:22" ht="13.5" hidden="1" thickBot="1">
      <c r="A15" s="738"/>
      <c r="B15" s="745"/>
      <c r="C15" s="106" t="s">
        <v>182</v>
      </c>
      <c r="D15" s="107"/>
      <c r="E15" s="107"/>
      <c r="F15" s="107"/>
      <c r="G15" s="107"/>
      <c r="H15" s="107"/>
      <c r="I15" s="107"/>
      <c r="J15" s="107"/>
      <c r="K15" s="86"/>
      <c r="L15" s="108"/>
      <c r="M15" s="108"/>
      <c r="N15" s="108"/>
      <c r="O15" s="577"/>
      <c r="P15" s="577"/>
      <c r="Q15" s="577"/>
      <c r="R15" s="108"/>
      <c r="S15" s="577"/>
      <c r="T15" s="164"/>
      <c r="U15" s="679"/>
      <c r="V15" s="637">
        <f t="shared" si="0"/>
        <v>0</v>
      </c>
    </row>
    <row r="16" spans="1:22" ht="13.5" hidden="1" thickBot="1">
      <c r="A16" s="738"/>
      <c r="B16" s="746"/>
      <c r="C16" s="109" t="s">
        <v>183</v>
      </c>
      <c r="D16" s="53"/>
      <c r="E16" s="53"/>
      <c r="F16" s="53"/>
      <c r="G16" s="53">
        <v>946247</v>
      </c>
      <c r="H16" s="53"/>
      <c r="I16" s="53"/>
      <c r="J16" s="53"/>
      <c r="K16" s="43"/>
      <c r="L16" s="62"/>
      <c r="M16" s="62"/>
      <c r="N16" s="62"/>
      <c r="O16" s="103"/>
      <c r="P16" s="103"/>
      <c r="Q16" s="103"/>
      <c r="R16" s="62"/>
      <c r="S16" s="103"/>
      <c r="T16" s="51"/>
      <c r="U16" s="64"/>
      <c r="V16" s="127">
        <f t="shared" si="0"/>
        <v>0</v>
      </c>
    </row>
    <row r="17" spans="1:26" ht="16.5" thickBot="1">
      <c r="A17" s="110">
        <v>300</v>
      </c>
      <c r="B17" s="761" t="s">
        <v>139</v>
      </c>
      <c r="C17" s="827"/>
      <c r="D17" s="111">
        <v>1758083</v>
      </c>
      <c r="E17" s="111">
        <v>706599</v>
      </c>
      <c r="F17" s="111">
        <v>290114</v>
      </c>
      <c r="G17" s="111">
        <v>3301074</v>
      </c>
      <c r="H17" s="111">
        <v>2959527</v>
      </c>
      <c r="I17" s="111">
        <v>4474942</v>
      </c>
      <c r="J17" s="111">
        <v>4428553.06</v>
      </c>
      <c r="K17" s="111">
        <v>3580446</v>
      </c>
      <c r="L17" s="111">
        <v>994806.09</v>
      </c>
      <c r="M17" s="511">
        <v>690306.37</v>
      </c>
      <c r="N17" s="111">
        <v>848428.28</v>
      </c>
      <c r="O17" s="511">
        <v>1153730.93</v>
      </c>
      <c r="P17" s="511">
        <v>2075273.05</v>
      </c>
      <c r="Q17" s="511">
        <v>1378895.97</v>
      </c>
      <c r="R17" s="111">
        <v>1784333.91</v>
      </c>
      <c r="S17" s="511">
        <v>1872835.86</v>
      </c>
      <c r="T17" s="467">
        <f>T18+T53</f>
        <v>3307638</v>
      </c>
      <c r="U17" s="680">
        <f>U18+U53</f>
        <v>3307638</v>
      </c>
      <c r="V17" s="638">
        <f t="shared" si="0"/>
        <v>100</v>
      </c>
      <c r="Z17" s="2"/>
    </row>
    <row r="18" spans="1:25" ht="15.75" thickBot="1">
      <c r="A18" s="93">
        <v>320</v>
      </c>
      <c r="B18" s="747" t="s">
        <v>445</v>
      </c>
      <c r="C18" s="765"/>
      <c r="D18" s="112">
        <v>1758083</v>
      </c>
      <c r="E18" s="112">
        <v>706599</v>
      </c>
      <c r="F18" s="112">
        <v>290114</v>
      </c>
      <c r="G18" s="112">
        <v>3301074</v>
      </c>
      <c r="H18" s="112">
        <v>2959527</v>
      </c>
      <c r="I18" s="112">
        <v>4417142</v>
      </c>
      <c r="J18" s="112">
        <v>4408068.06</v>
      </c>
      <c r="K18" s="112">
        <v>3580446</v>
      </c>
      <c r="L18" s="112">
        <v>994806.09</v>
      </c>
      <c r="M18" s="512">
        <v>690306.37</v>
      </c>
      <c r="N18" s="468">
        <v>848428.28</v>
      </c>
      <c r="O18" s="528">
        <v>1153730.93</v>
      </c>
      <c r="P18" s="468">
        <v>2075273.05</v>
      </c>
      <c r="Q18" s="528">
        <v>1378895.97</v>
      </c>
      <c r="R18" s="468">
        <v>1784333.91</v>
      </c>
      <c r="S18" s="528">
        <v>1872835.86</v>
      </c>
      <c r="T18" s="468">
        <f>T19</f>
        <v>1788943</v>
      </c>
      <c r="U18" s="528">
        <f>U19</f>
        <v>1788943.5</v>
      </c>
      <c r="V18" s="639">
        <f t="shared" si="0"/>
        <v>100.00002794946512</v>
      </c>
      <c r="X18" s="2"/>
      <c r="Y18" s="413"/>
    </row>
    <row r="19" spans="1:25" ht="13.5" customHeight="1" thickBot="1">
      <c r="A19" s="829"/>
      <c r="B19" s="104">
        <v>321</v>
      </c>
      <c r="C19" s="55" t="s">
        <v>141</v>
      </c>
      <c r="D19" s="56">
        <v>1758083</v>
      </c>
      <c r="E19" s="56">
        <v>706599</v>
      </c>
      <c r="F19" s="56">
        <v>290114</v>
      </c>
      <c r="G19" s="56">
        <v>3301074</v>
      </c>
      <c r="H19" s="56">
        <v>2959527</v>
      </c>
      <c r="I19" s="113">
        <v>4417142</v>
      </c>
      <c r="J19" s="113">
        <v>4408068.06</v>
      </c>
      <c r="K19" s="113">
        <v>3580446</v>
      </c>
      <c r="L19" s="113">
        <v>994806.09</v>
      </c>
      <c r="M19" s="513">
        <v>690306.37</v>
      </c>
      <c r="N19" s="113">
        <v>848428.28</v>
      </c>
      <c r="O19" s="513">
        <v>1153730.93</v>
      </c>
      <c r="P19" s="513">
        <v>2075273.05</v>
      </c>
      <c r="Q19" s="513">
        <v>1378895.97</v>
      </c>
      <c r="R19" s="113">
        <v>1784333.91</v>
      </c>
      <c r="S19" s="513">
        <v>1872835.86</v>
      </c>
      <c r="T19" s="33">
        <f>SUM(T20:T34)</f>
        <v>1788943</v>
      </c>
      <c r="U19" s="303">
        <f>SUM(U20:U35)</f>
        <v>1788943.5</v>
      </c>
      <c r="V19" s="619">
        <f t="shared" si="0"/>
        <v>100.00002794946512</v>
      </c>
      <c r="Y19" s="2"/>
    </row>
    <row r="20" spans="1:22" ht="15.75" customHeight="1">
      <c r="A20" s="830"/>
      <c r="B20" s="828"/>
      <c r="C20" s="114" t="s">
        <v>363</v>
      </c>
      <c r="D20" s="78"/>
      <c r="E20" s="78"/>
      <c r="F20" s="78"/>
      <c r="G20" s="78"/>
      <c r="H20" s="78"/>
      <c r="I20" s="78"/>
      <c r="J20" s="78"/>
      <c r="K20" s="20"/>
      <c r="L20" s="115"/>
      <c r="M20" s="115">
        <v>66064.15</v>
      </c>
      <c r="N20" s="20"/>
      <c r="O20" s="20"/>
      <c r="P20" s="20"/>
      <c r="Q20" s="115"/>
      <c r="R20" s="20"/>
      <c r="S20" s="20"/>
      <c r="T20" s="51">
        <v>494326</v>
      </c>
      <c r="U20" s="64">
        <v>494326.01</v>
      </c>
      <c r="V20" s="127">
        <f t="shared" si="0"/>
        <v>100.00000202295651</v>
      </c>
    </row>
    <row r="21" spans="1:22" ht="15.75" customHeight="1">
      <c r="A21" s="830"/>
      <c r="B21" s="828"/>
      <c r="C21" s="19" t="s">
        <v>364</v>
      </c>
      <c r="D21" s="78"/>
      <c r="E21" s="78"/>
      <c r="F21" s="78"/>
      <c r="G21" s="78"/>
      <c r="H21" s="78"/>
      <c r="I21" s="78"/>
      <c r="J21" s="78"/>
      <c r="K21" s="20"/>
      <c r="L21" s="115"/>
      <c r="M21" s="115">
        <v>58454.17</v>
      </c>
      <c r="N21" s="20"/>
      <c r="O21" s="20"/>
      <c r="P21" s="20"/>
      <c r="Q21" s="115"/>
      <c r="R21" s="20"/>
      <c r="S21" s="20"/>
      <c r="T21" s="51">
        <v>42125</v>
      </c>
      <c r="U21" s="64">
        <v>42125.41</v>
      </c>
      <c r="V21" s="127">
        <f t="shared" si="0"/>
        <v>100.00097329376855</v>
      </c>
    </row>
    <row r="22" spans="1:22" ht="15.75" customHeight="1">
      <c r="A22" s="830"/>
      <c r="B22" s="828"/>
      <c r="C22" s="19" t="s">
        <v>419</v>
      </c>
      <c r="D22" s="50"/>
      <c r="E22" s="50"/>
      <c r="F22" s="50"/>
      <c r="G22" s="50"/>
      <c r="H22" s="50"/>
      <c r="I22" s="50"/>
      <c r="J22" s="50"/>
      <c r="K22" s="20"/>
      <c r="L22" s="115"/>
      <c r="M22" s="115"/>
      <c r="N22" s="20"/>
      <c r="O22" s="20"/>
      <c r="P22" s="20"/>
      <c r="Q22" s="115"/>
      <c r="R22" s="20"/>
      <c r="S22" s="20"/>
      <c r="T22" s="51">
        <v>9000</v>
      </c>
      <c r="U22" s="64">
        <v>9000</v>
      </c>
      <c r="V22" s="127">
        <f t="shared" si="0"/>
        <v>100</v>
      </c>
    </row>
    <row r="23" spans="1:25" ht="15.75" customHeight="1">
      <c r="A23" s="830"/>
      <c r="B23" s="828"/>
      <c r="C23" s="19" t="s">
        <v>418</v>
      </c>
      <c r="D23" s="19"/>
      <c r="E23" s="19"/>
      <c r="F23" s="19"/>
      <c r="G23" s="19"/>
      <c r="H23" s="19">
        <v>341897</v>
      </c>
      <c r="I23" s="79">
        <v>341897</v>
      </c>
      <c r="J23" s="79">
        <v>344900</v>
      </c>
      <c r="K23" s="23">
        <v>341900</v>
      </c>
      <c r="L23" s="21">
        <v>341900</v>
      </c>
      <c r="M23" s="115">
        <v>340000</v>
      </c>
      <c r="N23" s="20">
        <v>340000</v>
      </c>
      <c r="O23" s="20"/>
      <c r="P23" s="20"/>
      <c r="Q23" s="115"/>
      <c r="R23" s="20"/>
      <c r="S23" s="20"/>
      <c r="T23" s="51">
        <v>12000</v>
      </c>
      <c r="U23" s="64">
        <v>12000</v>
      </c>
      <c r="V23" s="127">
        <f t="shared" si="0"/>
        <v>100</v>
      </c>
      <c r="Y23" s="2"/>
    </row>
    <row r="24" spans="1:25" ht="15.75" customHeight="1">
      <c r="A24" s="830"/>
      <c r="B24" s="828"/>
      <c r="C24" s="38" t="s">
        <v>439</v>
      </c>
      <c r="D24" s="52"/>
      <c r="E24" s="52"/>
      <c r="F24" s="52"/>
      <c r="G24" s="52"/>
      <c r="H24" s="52"/>
      <c r="I24" s="52"/>
      <c r="J24" s="52"/>
      <c r="K24" s="23"/>
      <c r="L24" s="21">
        <v>68448.02</v>
      </c>
      <c r="M24" s="115">
        <v>6610.12</v>
      </c>
      <c r="N24" s="20"/>
      <c r="O24" s="20"/>
      <c r="P24" s="20"/>
      <c r="Q24" s="115">
        <v>0</v>
      </c>
      <c r="R24" s="20"/>
      <c r="S24" s="20"/>
      <c r="T24" s="51">
        <v>95571</v>
      </c>
      <c r="U24" s="64">
        <v>95570.82</v>
      </c>
      <c r="V24" s="127">
        <f t="shared" si="0"/>
        <v>99.99981165834825</v>
      </c>
      <c r="Y24" s="2"/>
    </row>
    <row r="25" spans="1:25" ht="15.75" customHeight="1">
      <c r="A25" s="830"/>
      <c r="B25" s="828"/>
      <c r="C25" s="38" t="s">
        <v>439</v>
      </c>
      <c r="D25" s="52"/>
      <c r="E25" s="52"/>
      <c r="F25" s="52"/>
      <c r="G25" s="52"/>
      <c r="H25" s="52"/>
      <c r="I25" s="52"/>
      <c r="J25" s="52"/>
      <c r="K25" s="23"/>
      <c r="L25" s="21"/>
      <c r="M25" s="115"/>
      <c r="N25" s="20"/>
      <c r="O25" s="20"/>
      <c r="P25" s="20"/>
      <c r="Q25" s="115"/>
      <c r="R25" s="20"/>
      <c r="S25" s="20"/>
      <c r="T25" s="51">
        <v>43849</v>
      </c>
      <c r="U25" s="64">
        <v>43848.36</v>
      </c>
      <c r="V25" s="127">
        <f t="shared" si="0"/>
        <v>99.9985404456202</v>
      </c>
      <c r="Y25" s="2"/>
    </row>
    <row r="26" spans="1:25" ht="15.75" customHeight="1">
      <c r="A26" s="830"/>
      <c r="B26" s="828"/>
      <c r="C26" s="38" t="s">
        <v>439</v>
      </c>
      <c r="D26" s="52"/>
      <c r="E26" s="52"/>
      <c r="F26" s="52"/>
      <c r="G26" s="52"/>
      <c r="H26" s="52"/>
      <c r="I26" s="52"/>
      <c r="J26" s="52"/>
      <c r="K26" s="23"/>
      <c r="L26" s="21"/>
      <c r="M26" s="115"/>
      <c r="N26" s="20"/>
      <c r="O26" s="20"/>
      <c r="P26" s="20"/>
      <c r="Q26" s="115"/>
      <c r="R26" s="20"/>
      <c r="S26" s="20"/>
      <c r="T26" s="51">
        <v>102992</v>
      </c>
      <c r="U26" s="64">
        <v>102992.03</v>
      </c>
      <c r="V26" s="127">
        <f t="shared" si="0"/>
        <v>100.00002912847599</v>
      </c>
      <c r="Y26" s="2"/>
    </row>
    <row r="27" spans="1:27" ht="15.75" customHeight="1">
      <c r="A27" s="830"/>
      <c r="B27" s="828"/>
      <c r="C27" s="38" t="s">
        <v>440</v>
      </c>
      <c r="D27" s="52"/>
      <c r="E27" s="52"/>
      <c r="F27" s="52"/>
      <c r="G27" s="52"/>
      <c r="H27" s="52"/>
      <c r="I27" s="52"/>
      <c r="J27" s="52"/>
      <c r="K27" s="23"/>
      <c r="L27" s="115"/>
      <c r="M27" s="115">
        <v>9000</v>
      </c>
      <c r="N27" s="20"/>
      <c r="O27" s="20"/>
      <c r="P27" s="20"/>
      <c r="Q27" s="115">
        <v>0</v>
      </c>
      <c r="R27" s="20"/>
      <c r="S27" s="20"/>
      <c r="T27" s="51">
        <v>151523</v>
      </c>
      <c r="U27" s="64">
        <v>151523.08</v>
      </c>
      <c r="V27" s="127">
        <f t="shared" si="0"/>
        <v>100.0000527972651</v>
      </c>
      <c r="AA27" s="2"/>
    </row>
    <row r="28" spans="1:26" ht="15.75" customHeight="1">
      <c r="A28" s="830"/>
      <c r="B28" s="828"/>
      <c r="C28" s="116" t="s">
        <v>441</v>
      </c>
      <c r="D28" s="117"/>
      <c r="E28" s="117"/>
      <c r="F28" s="117"/>
      <c r="G28" s="117"/>
      <c r="H28" s="117"/>
      <c r="I28" s="52"/>
      <c r="J28" s="52"/>
      <c r="K28" s="23"/>
      <c r="L28" s="115"/>
      <c r="M28" s="115">
        <v>8142.7</v>
      </c>
      <c r="N28" s="20"/>
      <c r="O28" s="20"/>
      <c r="P28" s="20"/>
      <c r="Q28" s="115">
        <v>0</v>
      </c>
      <c r="R28" s="20"/>
      <c r="S28" s="20"/>
      <c r="T28" s="51">
        <v>258534</v>
      </c>
      <c r="U28" s="64">
        <v>258533.93</v>
      </c>
      <c r="V28" s="127">
        <f t="shared" si="0"/>
        <v>99.99997292425753</v>
      </c>
      <c r="Z28" s="2"/>
    </row>
    <row r="29" spans="1:22" ht="15.75" customHeight="1">
      <c r="A29" s="830"/>
      <c r="B29" s="828"/>
      <c r="C29" s="38" t="s">
        <v>442</v>
      </c>
      <c r="D29" s="52"/>
      <c r="E29" s="52"/>
      <c r="F29" s="52"/>
      <c r="G29" s="52"/>
      <c r="H29" s="52"/>
      <c r="I29" s="52"/>
      <c r="J29" s="52"/>
      <c r="K29" s="23"/>
      <c r="L29" s="118"/>
      <c r="M29" s="23"/>
      <c r="N29" s="23">
        <v>5221.4</v>
      </c>
      <c r="O29" s="39"/>
      <c r="P29" s="39"/>
      <c r="Q29" s="101">
        <v>0</v>
      </c>
      <c r="R29" s="39"/>
      <c r="S29" s="39"/>
      <c r="T29" s="39">
        <v>98600</v>
      </c>
      <c r="U29" s="101">
        <v>98600</v>
      </c>
      <c r="V29" s="127">
        <f t="shared" si="0"/>
        <v>100</v>
      </c>
    </row>
    <row r="30" spans="1:26" ht="15.75" customHeight="1">
      <c r="A30" s="830"/>
      <c r="B30" s="828"/>
      <c r="C30" s="38" t="s">
        <v>443</v>
      </c>
      <c r="D30" s="52"/>
      <c r="E30" s="52"/>
      <c r="F30" s="52"/>
      <c r="G30" s="52"/>
      <c r="H30" s="52"/>
      <c r="I30" s="52"/>
      <c r="J30" s="52"/>
      <c r="K30" s="23"/>
      <c r="L30" s="118"/>
      <c r="M30" s="23"/>
      <c r="N30" s="23"/>
      <c r="O30" s="23"/>
      <c r="P30" s="23"/>
      <c r="Q30" s="118">
        <v>0</v>
      </c>
      <c r="R30" s="23"/>
      <c r="S30" s="23"/>
      <c r="T30" s="39">
        <v>32233</v>
      </c>
      <c r="U30" s="101">
        <v>32233.34</v>
      </c>
      <c r="V30" s="127">
        <f t="shared" si="0"/>
        <v>100.00105481959483</v>
      </c>
      <c r="Z30" s="2"/>
    </row>
    <row r="31" spans="1:22" ht="15.75" customHeight="1">
      <c r="A31" s="830"/>
      <c r="B31" s="828"/>
      <c r="C31" s="38" t="s">
        <v>446</v>
      </c>
      <c r="D31" s="52"/>
      <c r="E31" s="52"/>
      <c r="F31" s="52"/>
      <c r="G31" s="52"/>
      <c r="H31" s="52"/>
      <c r="I31" s="52"/>
      <c r="J31" s="52"/>
      <c r="K31" s="23"/>
      <c r="L31" s="118"/>
      <c r="M31" s="23"/>
      <c r="N31" s="23"/>
      <c r="O31" s="23"/>
      <c r="P31" s="23"/>
      <c r="Q31" s="118"/>
      <c r="R31" s="23"/>
      <c r="S31" s="23"/>
      <c r="T31" s="39">
        <v>85459</v>
      </c>
      <c r="U31" s="101">
        <v>85459.1</v>
      </c>
      <c r="V31" s="127">
        <f t="shared" si="0"/>
        <v>100.00011701517688</v>
      </c>
    </row>
    <row r="32" spans="1:22" ht="15.75" customHeight="1">
      <c r="A32" s="830"/>
      <c r="B32" s="828"/>
      <c r="C32" s="38" t="s">
        <v>440</v>
      </c>
      <c r="D32" s="52"/>
      <c r="E32" s="52"/>
      <c r="F32" s="52"/>
      <c r="G32" s="52"/>
      <c r="H32" s="52"/>
      <c r="I32" s="52"/>
      <c r="J32" s="52"/>
      <c r="K32" s="23"/>
      <c r="L32" s="118"/>
      <c r="M32" s="23"/>
      <c r="N32" s="23"/>
      <c r="O32" s="23"/>
      <c r="P32" s="23"/>
      <c r="Q32" s="118">
        <v>0</v>
      </c>
      <c r="R32" s="23"/>
      <c r="S32" s="23"/>
      <c r="T32" s="39">
        <v>0</v>
      </c>
      <c r="U32" s="101"/>
      <c r="V32" s="127">
        <f t="shared" si="0"/>
        <v>0</v>
      </c>
    </row>
    <row r="33" spans="1:22" ht="15.75" customHeight="1">
      <c r="A33" s="830"/>
      <c r="B33" s="828"/>
      <c r="C33" s="38" t="s">
        <v>447</v>
      </c>
      <c r="D33" s="52"/>
      <c r="E33" s="52"/>
      <c r="F33" s="52"/>
      <c r="G33" s="52"/>
      <c r="H33" s="52"/>
      <c r="I33" s="52"/>
      <c r="J33" s="52"/>
      <c r="K33" s="23"/>
      <c r="L33" s="118"/>
      <c r="M33" s="23"/>
      <c r="N33" s="23"/>
      <c r="O33" s="23"/>
      <c r="P33" s="23"/>
      <c r="Q33" s="118">
        <v>0</v>
      </c>
      <c r="R33" s="23"/>
      <c r="S33" s="23"/>
      <c r="T33" s="39">
        <v>69073</v>
      </c>
      <c r="U33" s="101">
        <v>69073.23</v>
      </c>
      <c r="V33" s="127">
        <f t="shared" si="0"/>
        <v>100.00033298104903</v>
      </c>
    </row>
    <row r="34" spans="1:22" ht="15.75" customHeight="1" thickBot="1">
      <c r="A34" s="830"/>
      <c r="B34" s="828"/>
      <c r="C34" s="63" t="s">
        <v>458</v>
      </c>
      <c r="D34" s="59"/>
      <c r="E34" s="59"/>
      <c r="F34" s="59"/>
      <c r="G34" s="59"/>
      <c r="H34" s="59"/>
      <c r="I34" s="52"/>
      <c r="J34" s="52"/>
      <c r="K34" s="23"/>
      <c r="L34" s="118"/>
      <c r="M34" s="23"/>
      <c r="N34" s="23"/>
      <c r="O34" s="23"/>
      <c r="P34" s="23"/>
      <c r="Q34" s="118">
        <v>0</v>
      </c>
      <c r="R34" s="23"/>
      <c r="S34" s="23"/>
      <c r="T34" s="101">
        <v>293658</v>
      </c>
      <c r="U34" s="101">
        <f>109677.27+88166.02+23029.74+72785.16</f>
        <v>293658.19</v>
      </c>
      <c r="V34" s="127">
        <f t="shared" si="0"/>
        <v>100.00006470111491</v>
      </c>
    </row>
    <row r="35" spans="1:22" ht="15.75" customHeight="1" hidden="1">
      <c r="A35" s="830"/>
      <c r="B35" s="828"/>
      <c r="C35" s="63"/>
      <c r="D35" s="50"/>
      <c r="E35" s="50"/>
      <c r="F35" s="50"/>
      <c r="G35" s="50"/>
      <c r="H35" s="50"/>
      <c r="I35" s="52"/>
      <c r="J35" s="52"/>
      <c r="K35" s="23"/>
      <c r="L35" s="118"/>
      <c r="M35" s="23"/>
      <c r="N35" s="23"/>
      <c r="O35" s="23"/>
      <c r="P35" s="23"/>
      <c r="Q35" s="118">
        <v>0</v>
      </c>
      <c r="R35" s="23"/>
      <c r="S35" s="23"/>
      <c r="T35" s="101"/>
      <c r="U35" s="101"/>
      <c r="V35" s="119">
        <f t="shared" si="0"/>
        <v>0</v>
      </c>
    </row>
    <row r="36" spans="1:22" ht="15.75" customHeight="1" hidden="1">
      <c r="A36" s="830"/>
      <c r="B36" s="828"/>
      <c r="C36" s="63"/>
      <c r="D36" s="52"/>
      <c r="E36" s="52"/>
      <c r="F36" s="52"/>
      <c r="G36" s="52"/>
      <c r="H36" s="52"/>
      <c r="I36" s="52"/>
      <c r="J36" s="52"/>
      <c r="K36" s="23">
        <v>0</v>
      </c>
      <c r="L36" s="118"/>
      <c r="M36" s="23"/>
      <c r="N36" s="23"/>
      <c r="O36" s="23"/>
      <c r="P36" s="23"/>
      <c r="Q36" s="118">
        <v>0</v>
      </c>
      <c r="R36" s="23"/>
      <c r="S36" s="23"/>
      <c r="T36" s="101"/>
      <c r="U36" s="101"/>
      <c r="V36" s="119">
        <f t="shared" si="0"/>
        <v>0</v>
      </c>
    </row>
    <row r="37" spans="1:22" ht="15.75" customHeight="1" hidden="1">
      <c r="A37" s="830"/>
      <c r="B37" s="828"/>
      <c r="C37" s="63"/>
      <c r="D37" s="52"/>
      <c r="E37" s="52"/>
      <c r="F37" s="52"/>
      <c r="G37" s="52"/>
      <c r="H37" s="52"/>
      <c r="I37" s="52"/>
      <c r="J37" s="52"/>
      <c r="K37" s="23">
        <v>0</v>
      </c>
      <c r="L37" s="118"/>
      <c r="M37" s="23"/>
      <c r="N37" s="23"/>
      <c r="O37" s="23"/>
      <c r="P37" s="23"/>
      <c r="Q37" s="118">
        <v>0</v>
      </c>
      <c r="R37" s="23"/>
      <c r="S37" s="23"/>
      <c r="T37" s="101"/>
      <c r="U37" s="101"/>
      <c r="V37" s="119">
        <f aca="true" t="shared" si="1" ref="V37:V57">IF(T37=0,0,U37/T37*100)</f>
        <v>0</v>
      </c>
    </row>
    <row r="38" spans="1:22" ht="15.75" customHeight="1" hidden="1">
      <c r="A38" s="830"/>
      <c r="B38" s="828"/>
      <c r="C38" s="63"/>
      <c r="D38" s="52"/>
      <c r="E38" s="52"/>
      <c r="F38" s="52"/>
      <c r="G38" s="52"/>
      <c r="H38" s="52"/>
      <c r="I38" s="52"/>
      <c r="J38" s="52"/>
      <c r="K38" s="23"/>
      <c r="L38" s="118"/>
      <c r="M38" s="23"/>
      <c r="N38" s="23"/>
      <c r="O38" s="23"/>
      <c r="P38" s="23"/>
      <c r="Q38" s="118">
        <v>0</v>
      </c>
      <c r="R38" s="23"/>
      <c r="S38" s="23"/>
      <c r="T38" s="101"/>
      <c r="U38" s="101"/>
      <c r="V38" s="119">
        <f t="shared" si="1"/>
        <v>0</v>
      </c>
    </row>
    <row r="39" spans="1:22" ht="15.75" customHeight="1" hidden="1">
      <c r="A39" s="830"/>
      <c r="B39" s="828"/>
      <c r="C39" s="38"/>
      <c r="D39" s="52"/>
      <c r="E39" s="52"/>
      <c r="F39" s="52"/>
      <c r="G39" s="52"/>
      <c r="H39" s="52"/>
      <c r="I39" s="52"/>
      <c r="J39" s="52"/>
      <c r="K39" s="23"/>
      <c r="L39" s="118"/>
      <c r="M39" s="23"/>
      <c r="N39" s="23"/>
      <c r="O39" s="23"/>
      <c r="P39" s="23"/>
      <c r="Q39" s="118">
        <v>0</v>
      </c>
      <c r="R39" s="23"/>
      <c r="S39" s="23"/>
      <c r="T39" s="101"/>
      <c r="U39" s="101"/>
      <c r="V39" s="119">
        <f t="shared" si="1"/>
        <v>0</v>
      </c>
    </row>
    <row r="40" spans="1:22" ht="15.75" customHeight="1" hidden="1">
      <c r="A40" s="830"/>
      <c r="B40" s="828"/>
      <c r="C40" s="38"/>
      <c r="D40" s="52"/>
      <c r="E40" s="52"/>
      <c r="F40" s="52"/>
      <c r="G40" s="52"/>
      <c r="H40" s="52"/>
      <c r="I40" s="52"/>
      <c r="J40" s="52"/>
      <c r="K40" s="23"/>
      <c r="L40" s="118"/>
      <c r="M40" s="23"/>
      <c r="N40" s="23"/>
      <c r="O40" s="23"/>
      <c r="P40" s="23"/>
      <c r="Q40" s="118">
        <v>0</v>
      </c>
      <c r="R40" s="23"/>
      <c r="S40" s="23"/>
      <c r="T40" s="101"/>
      <c r="U40" s="101"/>
      <c r="V40" s="119">
        <f t="shared" si="1"/>
        <v>0</v>
      </c>
    </row>
    <row r="41" spans="1:22" ht="15.75" customHeight="1" hidden="1">
      <c r="A41" s="830"/>
      <c r="B41" s="828"/>
      <c r="C41" s="38"/>
      <c r="D41" s="52"/>
      <c r="E41" s="52"/>
      <c r="F41" s="52"/>
      <c r="G41" s="52"/>
      <c r="H41" s="52"/>
      <c r="I41" s="52"/>
      <c r="J41" s="52"/>
      <c r="K41" s="23"/>
      <c r="L41" s="118"/>
      <c r="M41" s="23"/>
      <c r="N41" s="23"/>
      <c r="O41" s="23"/>
      <c r="P41" s="23"/>
      <c r="Q41" s="118">
        <v>0</v>
      </c>
      <c r="R41" s="23"/>
      <c r="S41" s="23"/>
      <c r="T41" s="101"/>
      <c r="U41" s="101"/>
      <c r="V41" s="119">
        <f t="shared" si="1"/>
        <v>0</v>
      </c>
    </row>
    <row r="42" spans="1:22" ht="15.75" customHeight="1" hidden="1">
      <c r="A42" s="830"/>
      <c r="B42" s="828"/>
      <c r="C42" s="38"/>
      <c r="D42" s="52"/>
      <c r="E42" s="52"/>
      <c r="F42" s="52"/>
      <c r="G42" s="52"/>
      <c r="H42" s="52"/>
      <c r="I42" s="52"/>
      <c r="J42" s="52"/>
      <c r="K42" s="23"/>
      <c r="L42" s="118"/>
      <c r="M42" s="23">
        <v>136054.5</v>
      </c>
      <c r="N42" s="23"/>
      <c r="O42" s="23"/>
      <c r="P42" s="23"/>
      <c r="Q42" s="118">
        <v>0</v>
      </c>
      <c r="R42" s="23"/>
      <c r="S42" s="23"/>
      <c r="T42" s="101"/>
      <c r="U42" s="101"/>
      <c r="V42" s="119">
        <f t="shared" si="1"/>
        <v>0</v>
      </c>
    </row>
    <row r="43" spans="1:22" ht="15.75" customHeight="1" hidden="1">
      <c r="A43" s="830"/>
      <c r="B43" s="828"/>
      <c r="C43" s="38"/>
      <c r="D43" s="52"/>
      <c r="E43" s="52"/>
      <c r="F43" s="52"/>
      <c r="G43" s="52"/>
      <c r="H43" s="52"/>
      <c r="I43" s="52"/>
      <c r="J43" s="52"/>
      <c r="K43" s="23"/>
      <c r="L43" s="118"/>
      <c r="M43" s="118">
        <v>65980.73</v>
      </c>
      <c r="N43" s="23"/>
      <c r="O43" s="23"/>
      <c r="P43" s="23"/>
      <c r="Q43" s="118">
        <v>0</v>
      </c>
      <c r="R43" s="23"/>
      <c r="S43" s="23"/>
      <c r="T43" s="39"/>
      <c r="U43" s="101"/>
      <c r="V43" s="119">
        <f t="shared" si="1"/>
        <v>0</v>
      </c>
    </row>
    <row r="44" spans="1:22" ht="15.75" customHeight="1" hidden="1">
      <c r="A44" s="830"/>
      <c r="B44" s="828"/>
      <c r="C44" s="38"/>
      <c r="D44" s="52"/>
      <c r="E44" s="52"/>
      <c r="F44" s="52"/>
      <c r="G44" s="52"/>
      <c r="H44" s="52"/>
      <c r="I44" s="52"/>
      <c r="J44" s="52"/>
      <c r="K44" s="23"/>
      <c r="L44" s="118"/>
      <c r="M44" s="23"/>
      <c r="N44" s="23">
        <v>4000</v>
      </c>
      <c r="O44" s="23"/>
      <c r="P44" s="23"/>
      <c r="Q44" s="118"/>
      <c r="R44" s="23"/>
      <c r="S44" s="23"/>
      <c r="T44" s="39"/>
      <c r="U44" s="101"/>
      <c r="V44" s="119">
        <f t="shared" si="1"/>
        <v>0</v>
      </c>
    </row>
    <row r="45" spans="1:22" ht="15.75" customHeight="1" hidden="1">
      <c r="A45" s="830"/>
      <c r="B45" s="828"/>
      <c r="C45" s="38"/>
      <c r="D45" s="52"/>
      <c r="E45" s="52"/>
      <c r="F45" s="52"/>
      <c r="G45" s="52"/>
      <c r="H45" s="52"/>
      <c r="I45" s="52"/>
      <c r="J45" s="52"/>
      <c r="K45" s="23"/>
      <c r="L45" s="118"/>
      <c r="M45" s="23"/>
      <c r="N45" s="23">
        <v>15000</v>
      </c>
      <c r="O45" s="23"/>
      <c r="P45" s="23"/>
      <c r="Q45" s="118">
        <v>0</v>
      </c>
      <c r="R45" s="23"/>
      <c r="S45" s="23"/>
      <c r="T45" s="39"/>
      <c r="U45" s="101"/>
      <c r="V45" s="119">
        <f t="shared" si="1"/>
        <v>0</v>
      </c>
    </row>
    <row r="46" spans="1:22" ht="15.75" customHeight="1" hidden="1">
      <c r="A46" s="830"/>
      <c r="B46" s="828"/>
      <c r="C46" s="38"/>
      <c r="D46" s="52"/>
      <c r="E46" s="52"/>
      <c r="F46" s="52"/>
      <c r="G46" s="52"/>
      <c r="H46" s="52"/>
      <c r="I46" s="52"/>
      <c r="J46" s="52"/>
      <c r="K46" s="23"/>
      <c r="L46" s="118"/>
      <c r="M46" s="23"/>
      <c r="N46" s="23"/>
      <c r="O46" s="23"/>
      <c r="P46" s="23"/>
      <c r="Q46" s="118"/>
      <c r="R46" s="23"/>
      <c r="S46" s="23"/>
      <c r="T46" s="39"/>
      <c r="U46" s="101"/>
      <c r="V46" s="119">
        <f t="shared" si="1"/>
        <v>0</v>
      </c>
    </row>
    <row r="47" spans="1:22" ht="15.75" customHeight="1" hidden="1">
      <c r="A47" s="830"/>
      <c r="B47" s="828"/>
      <c r="C47" s="38"/>
      <c r="D47" s="52"/>
      <c r="E47" s="52"/>
      <c r="F47" s="52"/>
      <c r="G47" s="52"/>
      <c r="H47" s="52"/>
      <c r="I47" s="52"/>
      <c r="J47" s="52"/>
      <c r="K47" s="23"/>
      <c r="L47" s="118"/>
      <c r="M47" s="23"/>
      <c r="N47" s="23">
        <v>484206.88</v>
      </c>
      <c r="O47" s="23"/>
      <c r="P47" s="23"/>
      <c r="Q47" s="118"/>
      <c r="R47" s="23"/>
      <c r="S47" s="23"/>
      <c r="T47" s="39"/>
      <c r="U47" s="101"/>
      <c r="V47" s="119">
        <f t="shared" si="1"/>
        <v>0</v>
      </c>
    </row>
    <row r="48" spans="1:22" ht="15.75" customHeight="1" hidden="1">
      <c r="A48" s="830"/>
      <c r="B48" s="828"/>
      <c r="C48" s="38"/>
      <c r="D48" s="52"/>
      <c r="E48" s="52"/>
      <c r="F48" s="52"/>
      <c r="G48" s="52"/>
      <c r="H48" s="52"/>
      <c r="I48" s="52"/>
      <c r="J48" s="52"/>
      <c r="K48" s="23"/>
      <c r="L48" s="118"/>
      <c r="M48" s="23"/>
      <c r="N48" s="23"/>
      <c r="O48" s="23"/>
      <c r="P48" s="23"/>
      <c r="Q48" s="118"/>
      <c r="R48" s="23"/>
      <c r="S48" s="23"/>
      <c r="T48" s="39"/>
      <c r="U48" s="101"/>
      <c r="V48" s="119">
        <f t="shared" si="1"/>
        <v>0</v>
      </c>
    </row>
    <row r="49" spans="1:22" ht="15.75" customHeight="1" hidden="1">
      <c r="A49" s="830"/>
      <c r="B49" s="828"/>
      <c r="C49" s="38"/>
      <c r="D49" s="52"/>
      <c r="E49" s="52"/>
      <c r="F49" s="52"/>
      <c r="G49" s="52"/>
      <c r="H49" s="52"/>
      <c r="I49" s="52"/>
      <c r="J49" s="52"/>
      <c r="K49" s="23"/>
      <c r="L49" s="118"/>
      <c r="M49" s="23"/>
      <c r="N49" s="23"/>
      <c r="O49" s="23"/>
      <c r="P49" s="23"/>
      <c r="Q49" s="118"/>
      <c r="R49" s="23"/>
      <c r="S49" s="23"/>
      <c r="T49" s="39"/>
      <c r="U49" s="101"/>
      <c r="V49" s="119">
        <f t="shared" si="1"/>
        <v>0</v>
      </c>
    </row>
    <row r="50" spans="1:22" ht="15.75" customHeight="1" hidden="1">
      <c r="A50" s="830"/>
      <c r="B50" s="828"/>
      <c r="C50" s="38"/>
      <c r="D50" s="52"/>
      <c r="E50" s="52"/>
      <c r="F50" s="52"/>
      <c r="G50" s="52"/>
      <c r="H50" s="52"/>
      <c r="I50" s="52"/>
      <c r="J50" s="52"/>
      <c r="K50" s="23"/>
      <c r="L50" s="118"/>
      <c r="M50" s="23"/>
      <c r="N50" s="23"/>
      <c r="O50" s="23"/>
      <c r="P50" s="23"/>
      <c r="Q50" s="118"/>
      <c r="R50" s="23"/>
      <c r="S50" s="23"/>
      <c r="T50" s="39"/>
      <c r="U50" s="101"/>
      <c r="V50" s="119">
        <f t="shared" si="1"/>
        <v>0</v>
      </c>
    </row>
    <row r="51" spans="1:22" ht="15.75" customHeight="1" hidden="1">
      <c r="A51" s="830"/>
      <c r="B51" s="828"/>
      <c r="C51" s="38"/>
      <c r="D51" s="52"/>
      <c r="E51" s="52"/>
      <c r="F51" s="52"/>
      <c r="G51" s="52"/>
      <c r="H51" s="52"/>
      <c r="I51" s="52"/>
      <c r="J51" s="52"/>
      <c r="K51" s="23"/>
      <c r="L51" s="118"/>
      <c r="M51" s="23"/>
      <c r="N51" s="23"/>
      <c r="O51" s="23"/>
      <c r="P51" s="23"/>
      <c r="Q51" s="118"/>
      <c r="R51" s="23"/>
      <c r="S51" s="23"/>
      <c r="T51" s="39"/>
      <c r="U51" s="101"/>
      <c r="V51" s="119">
        <f t="shared" si="1"/>
        <v>0</v>
      </c>
    </row>
    <row r="52" spans="1:22" ht="15.75" customHeight="1" hidden="1" thickBot="1">
      <c r="A52" s="831"/>
      <c r="B52" s="828"/>
      <c r="C52" s="38"/>
      <c r="D52" s="52"/>
      <c r="E52" s="52"/>
      <c r="F52" s="52"/>
      <c r="G52" s="52"/>
      <c r="H52" s="52"/>
      <c r="I52" s="52"/>
      <c r="J52" s="52"/>
      <c r="K52" s="23"/>
      <c r="L52" s="118"/>
      <c r="M52" s="23"/>
      <c r="N52" s="23"/>
      <c r="O52" s="23"/>
      <c r="P52" s="23"/>
      <c r="Q52" s="118"/>
      <c r="R52" s="23"/>
      <c r="S52" s="23"/>
      <c r="T52" s="101"/>
      <c r="U52" s="101"/>
      <c r="V52" s="119">
        <f t="shared" si="1"/>
        <v>0</v>
      </c>
    </row>
    <row r="53" spans="1:25" ht="15.75" thickBot="1">
      <c r="A53" s="120">
        <v>330</v>
      </c>
      <c r="B53" s="747" t="s">
        <v>165</v>
      </c>
      <c r="C53" s="765"/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57800</v>
      </c>
      <c r="J53" s="122">
        <v>20485</v>
      </c>
      <c r="K53" s="121">
        <v>0</v>
      </c>
      <c r="L53" s="123"/>
      <c r="M53" s="121">
        <v>0</v>
      </c>
      <c r="N53" s="121">
        <v>0</v>
      </c>
      <c r="O53" s="121">
        <v>0</v>
      </c>
      <c r="P53" s="121"/>
      <c r="Q53" s="123">
        <v>0</v>
      </c>
      <c r="R53" s="212"/>
      <c r="S53" s="212"/>
      <c r="T53" s="469">
        <f>T54</f>
        <v>1518695</v>
      </c>
      <c r="U53" s="681">
        <f>U54</f>
        <v>1518694.5</v>
      </c>
      <c r="V53" s="640">
        <f t="shared" si="1"/>
        <v>99.99996707699704</v>
      </c>
      <c r="Y53" s="2"/>
    </row>
    <row r="54" spans="1:22" ht="13.5" thickBot="1">
      <c r="A54" s="727"/>
      <c r="B54" s="104">
        <v>341</v>
      </c>
      <c r="C54" s="55" t="s">
        <v>218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57800</v>
      </c>
      <c r="J54" s="87">
        <v>20485</v>
      </c>
      <c r="K54" s="56">
        <v>0</v>
      </c>
      <c r="L54" s="124"/>
      <c r="M54" s="56">
        <v>0</v>
      </c>
      <c r="N54" s="56">
        <v>0</v>
      </c>
      <c r="O54" s="56">
        <v>0</v>
      </c>
      <c r="P54" s="56"/>
      <c r="Q54" s="124">
        <v>0</v>
      </c>
      <c r="R54" s="87"/>
      <c r="S54" s="87"/>
      <c r="T54" s="87">
        <f>T55</f>
        <v>1518695</v>
      </c>
      <c r="U54" s="138">
        <f>U55</f>
        <v>1518694.5</v>
      </c>
      <c r="V54" s="125">
        <f t="shared" si="1"/>
        <v>99.99996707699704</v>
      </c>
    </row>
    <row r="55" spans="1:22" ht="12.75">
      <c r="A55" s="728"/>
      <c r="B55" s="744"/>
      <c r="C55" s="114" t="s">
        <v>219</v>
      </c>
      <c r="D55" s="76"/>
      <c r="E55" s="76"/>
      <c r="F55" s="76"/>
      <c r="G55" s="76"/>
      <c r="H55" s="76"/>
      <c r="I55" s="76">
        <v>57800</v>
      </c>
      <c r="J55" s="126">
        <v>20485</v>
      </c>
      <c r="K55" s="126"/>
      <c r="L55" s="20"/>
      <c r="M55" s="20"/>
      <c r="N55" s="20"/>
      <c r="O55" s="20"/>
      <c r="P55" s="20"/>
      <c r="Q55" s="115"/>
      <c r="R55" s="20"/>
      <c r="S55" s="20"/>
      <c r="T55" s="64">
        <v>1518695</v>
      </c>
      <c r="U55" s="64">
        <f>1471786.88+46907.62</f>
        <v>1518694.5</v>
      </c>
      <c r="V55" s="127">
        <f t="shared" si="1"/>
        <v>99.99996707699704</v>
      </c>
    </row>
    <row r="56" spans="1:22" ht="13.5" thickBot="1">
      <c r="A56" s="728"/>
      <c r="B56" s="745"/>
      <c r="C56" s="128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103"/>
      <c r="R56" s="62"/>
      <c r="S56" s="62"/>
      <c r="T56" s="64"/>
      <c r="U56" s="64"/>
      <c r="V56" s="127">
        <f t="shared" si="1"/>
        <v>0</v>
      </c>
    </row>
    <row r="57" spans="1:22" ht="17.25" thickBot="1" thickTop="1">
      <c r="A57" s="129"/>
      <c r="B57" s="130"/>
      <c r="C57" s="131" t="s">
        <v>220</v>
      </c>
      <c r="D57" s="90">
        <v>2113092</v>
      </c>
      <c r="E57" s="90">
        <v>1017958</v>
      </c>
      <c r="F57" s="90">
        <v>1245369</v>
      </c>
      <c r="G57" s="90">
        <v>4391413</v>
      </c>
      <c r="H57" s="90">
        <v>3456141</v>
      </c>
      <c r="I57" s="90">
        <v>4649713</v>
      </c>
      <c r="J57" s="90">
        <v>4502774.06</v>
      </c>
      <c r="K57" s="90">
        <v>3678497</v>
      </c>
      <c r="L57" s="90">
        <v>1218338.5899999999</v>
      </c>
      <c r="M57" s="334">
        <v>752297.52</v>
      </c>
      <c r="N57" s="90">
        <v>935536.18</v>
      </c>
      <c r="O57" s="90">
        <v>1696241.7999999998</v>
      </c>
      <c r="P57" s="90">
        <v>2123247.52</v>
      </c>
      <c r="Q57" s="334">
        <v>1526662.64</v>
      </c>
      <c r="R57" s="334">
        <v>2436633.2399999998</v>
      </c>
      <c r="S57" s="334">
        <v>2862309.5</v>
      </c>
      <c r="T57" s="90">
        <f>T17+T5</f>
        <v>3400966</v>
      </c>
      <c r="U57" s="334">
        <f>U17+U5</f>
        <v>3393484.54</v>
      </c>
      <c r="V57" s="641">
        <f t="shared" si="1"/>
        <v>99.78001955914878</v>
      </c>
    </row>
    <row r="58" ht="13.5" thickTop="1"/>
  </sheetData>
  <sheetProtection/>
  <mergeCells count="36">
    <mergeCell ref="B17:C17"/>
    <mergeCell ref="A54:A56"/>
    <mergeCell ref="B55:B56"/>
    <mergeCell ref="B18:C18"/>
    <mergeCell ref="B20:B52"/>
    <mergeCell ref="B53:C53"/>
    <mergeCell ref="A19:A52"/>
    <mergeCell ref="B8:B10"/>
    <mergeCell ref="A7:A16"/>
    <mergeCell ref="S3:S4"/>
    <mergeCell ref="B6:C6"/>
    <mergeCell ref="B12:B16"/>
    <mergeCell ref="G3:G4"/>
    <mergeCell ref="H3:H4"/>
    <mergeCell ref="B5:C5"/>
    <mergeCell ref="B3:B4"/>
    <mergeCell ref="C3:C4"/>
    <mergeCell ref="V3:V4"/>
    <mergeCell ref="T3:T4"/>
    <mergeCell ref="O3:O4"/>
    <mergeCell ref="Q3:Q4"/>
    <mergeCell ref="P3:P4"/>
    <mergeCell ref="A3:A4"/>
    <mergeCell ref="J3:J4"/>
    <mergeCell ref="D3:D4"/>
    <mergeCell ref="U3:U4"/>
    <mergeCell ref="A1:C1"/>
    <mergeCell ref="A2:C2"/>
    <mergeCell ref="R3:R4"/>
    <mergeCell ref="M3:M4"/>
    <mergeCell ref="I3:I4"/>
    <mergeCell ref="N3:N4"/>
    <mergeCell ref="K3:K4"/>
    <mergeCell ref="L3:L4"/>
    <mergeCell ref="E3:E4"/>
    <mergeCell ref="F3:F4"/>
  </mergeCells>
  <printOptions/>
  <pageMargins left="0.15748031496062992" right="0" top="0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B165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34.140625" style="1" customWidth="1"/>
    <col min="4" max="11" width="9.140625" style="1" hidden="1" customWidth="1"/>
    <col min="12" max="12" width="14.421875" style="1" hidden="1" customWidth="1"/>
    <col min="13" max="14" width="14.7109375" style="1" hidden="1" customWidth="1"/>
    <col min="15" max="18" width="15.28125" style="1" hidden="1" customWidth="1"/>
    <col min="19" max="19" width="14.57421875" style="1" customWidth="1"/>
    <col min="20" max="20" width="12.28125" style="1" customWidth="1"/>
    <col min="21" max="21" width="14.28125" style="1" customWidth="1"/>
    <col min="22" max="22" width="14.140625" style="1" customWidth="1"/>
    <col min="23" max="23" width="9.140625" style="1" customWidth="1"/>
    <col min="24" max="24" width="11.7109375" style="1" bestFit="1" customWidth="1"/>
    <col min="25" max="25" width="10.7109375" style="1" customWidth="1"/>
    <col min="26" max="26" width="12.421875" style="1" customWidth="1"/>
    <col min="27" max="16384" width="9.140625" style="1" customWidth="1"/>
  </cols>
  <sheetData>
    <row r="1" spans="1:10" ht="15.75" thickBot="1">
      <c r="A1" s="773" t="s">
        <v>464</v>
      </c>
      <c r="B1" s="773"/>
      <c r="C1" s="773"/>
      <c r="D1" s="720"/>
      <c r="E1" s="720"/>
      <c r="F1" s="720"/>
      <c r="G1" s="720"/>
      <c r="H1" s="720"/>
      <c r="I1" s="720"/>
      <c r="J1" s="720"/>
    </row>
    <row r="2" spans="1:28" ht="13.5" customHeight="1" thickTop="1">
      <c r="A2" s="822" t="s">
        <v>41</v>
      </c>
      <c r="B2" s="845" t="s">
        <v>76</v>
      </c>
      <c r="C2" s="824" t="s">
        <v>42</v>
      </c>
      <c r="D2" s="723" t="s">
        <v>168</v>
      </c>
      <c r="E2" s="723" t="s">
        <v>169</v>
      </c>
      <c r="F2" s="723" t="s">
        <v>170</v>
      </c>
      <c r="G2" s="723" t="s">
        <v>171</v>
      </c>
      <c r="H2" s="723" t="s">
        <v>172</v>
      </c>
      <c r="I2" s="723" t="s">
        <v>83</v>
      </c>
      <c r="J2" s="723" t="s">
        <v>84</v>
      </c>
      <c r="K2" s="723" t="s">
        <v>85</v>
      </c>
      <c r="L2" s="723" t="s">
        <v>86</v>
      </c>
      <c r="M2" s="832" t="s">
        <v>87</v>
      </c>
      <c r="N2" s="832" t="s">
        <v>322</v>
      </c>
      <c r="O2" s="723" t="s">
        <v>339</v>
      </c>
      <c r="P2" s="723" t="s">
        <v>344</v>
      </c>
      <c r="Q2" s="723" t="s">
        <v>358</v>
      </c>
      <c r="R2" s="723" t="s">
        <v>372</v>
      </c>
      <c r="S2" s="723" t="s">
        <v>430</v>
      </c>
      <c r="T2" s="735" t="s">
        <v>394</v>
      </c>
      <c r="U2" s="721" t="s">
        <v>459</v>
      </c>
      <c r="V2" s="733" t="s">
        <v>460</v>
      </c>
      <c r="X2" s="607"/>
      <c r="Y2" s="607"/>
      <c r="Z2" s="607"/>
      <c r="AA2" s="607"/>
      <c r="AB2" s="607"/>
    </row>
    <row r="3" spans="1:28" ht="24.75" customHeight="1" thickBot="1">
      <c r="A3" s="823"/>
      <c r="B3" s="846"/>
      <c r="C3" s="825"/>
      <c r="D3" s="724"/>
      <c r="E3" s="724"/>
      <c r="F3" s="724"/>
      <c r="G3" s="724"/>
      <c r="H3" s="724"/>
      <c r="I3" s="724"/>
      <c r="J3" s="724"/>
      <c r="K3" s="724"/>
      <c r="L3" s="724"/>
      <c r="M3" s="833"/>
      <c r="N3" s="833"/>
      <c r="O3" s="724"/>
      <c r="P3" s="724"/>
      <c r="Q3" s="724"/>
      <c r="R3" s="724"/>
      <c r="S3" s="724"/>
      <c r="T3" s="736"/>
      <c r="U3" s="722"/>
      <c r="V3" s="734"/>
      <c r="X3" s="607"/>
      <c r="Y3" s="607"/>
      <c r="Z3" s="607"/>
      <c r="AA3" s="607"/>
      <c r="AB3" s="607"/>
    </row>
    <row r="4" spans="1:22" ht="16.5" thickBot="1" thickTop="1">
      <c r="A4" s="245" t="s">
        <v>231</v>
      </c>
      <c r="B4" s="837" t="s">
        <v>30</v>
      </c>
      <c r="C4" s="837"/>
      <c r="D4" s="335">
        <v>372735</v>
      </c>
      <c r="E4" s="335">
        <v>64629</v>
      </c>
      <c r="F4" s="335">
        <v>39833</v>
      </c>
      <c r="G4" s="335">
        <v>3383</v>
      </c>
      <c r="H4" s="335"/>
      <c r="I4" s="336">
        <v>18260</v>
      </c>
      <c r="J4" s="336">
        <v>0</v>
      </c>
      <c r="K4" s="336">
        <v>0</v>
      </c>
      <c r="L4" s="336">
        <v>0</v>
      </c>
      <c r="M4" s="336">
        <v>0</v>
      </c>
      <c r="N4" s="335">
        <v>6946.8</v>
      </c>
      <c r="O4" s="335">
        <v>10541.5</v>
      </c>
      <c r="P4" s="485">
        <v>23813.83</v>
      </c>
      <c r="Q4" s="485">
        <v>0</v>
      </c>
      <c r="R4" s="485">
        <v>27286.1</v>
      </c>
      <c r="S4" s="485">
        <v>9109</v>
      </c>
      <c r="T4" s="335">
        <f>SUM(T5:T6)</f>
        <v>0</v>
      </c>
      <c r="U4" s="485">
        <f>SUM(U5:U6)</f>
        <v>0</v>
      </c>
      <c r="V4" s="642">
        <f aca="true" t="shared" si="0" ref="V4:V35">IF(T4=0,0,U4/T4*100)</f>
        <v>0</v>
      </c>
    </row>
    <row r="5" spans="1:22" ht="12.75">
      <c r="A5" s="778"/>
      <c r="B5" s="834"/>
      <c r="C5" s="63" t="s">
        <v>367</v>
      </c>
      <c r="D5" s="21"/>
      <c r="E5" s="21"/>
      <c r="F5" s="21"/>
      <c r="G5" s="21"/>
      <c r="H5" s="50"/>
      <c r="I5" s="50"/>
      <c r="J5" s="50"/>
      <c r="K5" s="21"/>
      <c r="L5" s="21"/>
      <c r="M5" s="21"/>
      <c r="N5" s="21"/>
      <c r="O5" s="21"/>
      <c r="P5" s="105"/>
      <c r="Q5" s="105"/>
      <c r="R5" s="105"/>
      <c r="S5" s="105"/>
      <c r="T5" s="51"/>
      <c r="U5" s="64"/>
      <c r="V5" s="643">
        <f t="shared" si="0"/>
        <v>0</v>
      </c>
    </row>
    <row r="6" spans="1:22" ht="13.5" thickBot="1">
      <c r="A6" s="779"/>
      <c r="B6" s="835"/>
      <c r="C6" s="63" t="s">
        <v>368</v>
      </c>
      <c r="D6" s="21"/>
      <c r="E6" s="21"/>
      <c r="F6" s="21"/>
      <c r="G6" s="21"/>
      <c r="H6" s="50"/>
      <c r="I6" s="50"/>
      <c r="J6" s="50"/>
      <c r="K6" s="21"/>
      <c r="L6" s="21"/>
      <c r="M6" s="21"/>
      <c r="N6" s="21"/>
      <c r="O6" s="21"/>
      <c r="P6" s="105"/>
      <c r="Q6" s="105"/>
      <c r="R6" s="105"/>
      <c r="S6" s="105"/>
      <c r="T6" s="51"/>
      <c r="U6" s="64"/>
      <c r="V6" s="643">
        <f t="shared" si="0"/>
        <v>0</v>
      </c>
    </row>
    <row r="7" spans="1:22" ht="13.5" hidden="1" thickBot="1">
      <c r="A7" s="779"/>
      <c r="B7" s="835"/>
      <c r="C7" s="63"/>
      <c r="D7" s="21"/>
      <c r="E7" s="21"/>
      <c r="F7" s="21"/>
      <c r="G7" s="21"/>
      <c r="H7" s="50"/>
      <c r="I7" s="50"/>
      <c r="J7" s="50"/>
      <c r="K7" s="21"/>
      <c r="L7" s="21"/>
      <c r="M7" s="21"/>
      <c r="N7" s="21"/>
      <c r="O7" s="21"/>
      <c r="P7" s="105"/>
      <c r="Q7" s="105"/>
      <c r="R7" s="105"/>
      <c r="S7" s="105"/>
      <c r="T7" s="51"/>
      <c r="U7" s="64"/>
      <c r="V7" s="643">
        <f t="shared" si="0"/>
        <v>0</v>
      </c>
    </row>
    <row r="8" spans="1:22" ht="13.5" hidden="1" thickBot="1">
      <c r="A8" s="780"/>
      <c r="B8" s="836"/>
      <c r="C8" s="63"/>
      <c r="D8" s="21"/>
      <c r="E8" s="21"/>
      <c r="F8" s="21"/>
      <c r="G8" s="21"/>
      <c r="H8" s="50"/>
      <c r="I8" s="50"/>
      <c r="J8" s="50"/>
      <c r="K8" s="21"/>
      <c r="L8" s="21"/>
      <c r="M8" s="21"/>
      <c r="N8" s="21"/>
      <c r="O8" s="21"/>
      <c r="P8" s="105"/>
      <c r="Q8" s="105"/>
      <c r="R8" s="105"/>
      <c r="S8" s="105"/>
      <c r="T8" s="51"/>
      <c r="U8" s="64"/>
      <c r="V8" s="643">
        <f t="shared" si="0"/>
        <v>0</v>
      </c>
    </row>
    <row r="9" spans="1:22" ht="15.75" thickBot="1">
      <c r="A9" s="190" t="s">
        <v>62</v>
      </c>
      <c r="B9" s="838" t="s">
        <v>63</v>
      </c>
      <c r="C9" s="838"/>
      <c r="D9" s="212">
        <v>17958</v>
      </c>
      <c r="E9" s="212">
        <v>0</v>
      </c>
      <c r="F9" s="212">
        <v>19916</v>
      </c>
      <c r="G9" s="212">
        <v>18253</v>
      </c>
      <c r="H9" s="212">
        <v>16675</v>
      </c>
      <c r="I9" s="121">
        <v>3031</v>
      </c>
      <c r="J9" s="121">
        <v>0</v>
      </c>
      <c r="K9" s="60">
        <v>10398</v>
      </c>
      <c r="L9" s="60"/>
      <c r="M9" s="60">
        <v>0</v>
      </c>
      <c r="N9" s="60">
        <v>5666.4</v>
      </c>
      <c r="O9" s="60">
        <v>10703.82</v>
      </c>
      <c r="P9" s="192">
        <v>12513.86</v>
      </c>
      <c r="Q9" s="192">
        <v>14947.44</v>
      </c>
      <c r="R9" s="192">
        <v>13076.5</v>
      </c>
      <c r="S9" s="192">
        <v>5729.45</v>
      </c>
      <c r="T9" s="60">
        <f>T10</f>
        <v>0</v>
      </c>
      <c r="U9" s="192">
        <f>U10</f>
        <v>0</v>
      </c>
      <c r="V9" s="644">
        <f t="shared" si="0"/>
        <v>0</v>
      </c>
    </row>
    <row r="10" spans="1:22" ht="13.5" thickBot="1">
      <c r="A10" s="337"/>
      <c r="B10" s="834"/>
      <c r="C10" s="36" t="s">
        <v>31</v>
      </c>
      <c r="D10" s="84"/>
      <c r="E10" s="84"/>
      <c r="F10" s="84"/>
      <c r="G10" s="84"/>
      <c r="H10" s="49"/>
      <c r="I10" s="49"/>
      <c r="J10" s="49"/>
      <c r="K10" s="84">
        <v>10398</v>
      </c>
      <c r="L10" s="84"/>
      <c r="M10" s="84"/>
      <c r="N10" s="84"/>
      <c r="O10" s="84"/>
      <c r="P10" s="181"/>
      <c r="Q10" s="181"/>
      <c r="R10" s="181"/>
      <c r="S10" s="181"/>
      <c r="T10" s="37"/>
      <c r="U10" s="134"/>
      <c r="V10" s="645">
        <f t="shared" si="0"/>
        <v>0</v>
      </c>
    </row>
    <row r="11" spans="1:22" ht="13.5" hidden="1" thickBot="1">
      <c r="A11" s="337"/>
      <c r="B11" s="836"/>
      <c r="C11" s="128" t="s">
        <v>197</v>
      </c>
      <c r="D11" s="62"/>
      <c r="E11" s="62"/>
      <c r="F11" s="62"/>
      <c r="G11" s="62"/>
      <c r="H11" s="61"/>
      <c r="I11" s="61"/>
      <c r="J11" s="61"/>
      <c r="K11" s="62"/>
      <c r="L11" s="62"/>
      <c r="M11" s="62"/>
      <c r="N11" s="62"/>
      <c r="O11" s="62"/>
      <c r="P11" s="103"/>
      <c r="Q11" s="103"/>
      <c r="R11" s="103"/>
      <c r="S11" s="103"/>
      <c r="T11" s="51"/>
      <c r="U11" s="64"/>
      <c r="V11" s="643">
        <f t="shared" si="0"/>
        <v>0</v>
      </c>
    </row>
    <row r="12" spans="1:22" ht="15.75" thickBot="1">
      <c r="A12" s="190" t="s">
        <v>57</v>
      </c>
      <c r="B12" s="838" t="s">
        <v>58</v>
      </c>
      <c r="C12" s="838"/>
      <c r="D12" s="212">
        <v>894211</v>
      </c>
      <c r="E12" s="212">
        <v>382958</v>
      </c>
      <c r="F12" s="212">
        <v>343590</v>
      </c>
      <c r="G12" s="212">
        <v>610914</v>
      </c>
      <c r="H12" s="212">
        <v>1718795</v>
      </c>
      <c r="I12" s="121">
        <v>495900</v>
      </c>
      <c r="J12" s="212">
        <v>421522</v>
      </c>
      <c r="K12" s="60">
        <v>2058954</v>
      </c>
      <c r="L12" s="60">
        <v>108548.12</v>
      </c>
      <c r="M12" s="192">
        <v>187078.06</v>
      </c>
      <c r="N12" s="60">
        <v>923357.06</v>
      </c>
      <c r="O12" s="60">
        <v>421573.23</v>
      </c>
      <c r="P12" s="192">
        <v>904828.37</v>
      </c>
      <c r="Q12" s="192">
        <v>1191812.5499999998</v>
      </c>
      <c r="R12" s="192">
        <v>902832.48</v>
      </c>
      <c r="S12" s="192">
        <v>1324755.3800000001</v>
      </c>
      <c r="T12" s="60">
        <f>SUM(T13:T20)</f>
        <v>107010</v>
      </c>
      <c r="U12" s="192">
        <f>SUM(U13:U20)</f>
        <v>85680.63</v>
      </c>
      <c r="V12" s="644">
        <f t="shared" si="0"/>
        <v>80.06787216148024</v>
      </c>
    </row>
    <row r="13" spans="1:22" ht="12.75">
      <c r="A13" s="779"/>
      <c r="B13" s="853"/>
      <c r="C13" s="63" t="s">
        <v>32</v>
      </c>
      <c r="D13" s="21"/>
      <c r="E13" s="21"/>
      <c r="F13" s="21"/>
      <c r="G13" s="21"/>
      <c r="H13" s="50"/>
      <c r="I13" s="50"/>
      <c r="J13" s="21"/>
      <c r="K13" s="21">
        <v>47371</v>
      </c>
      <c r="L13" s="21">
        <v>31209.2</v>
      </c>
      <c r="M13" s="105">
        <v>11397.78</v>
      </c>
      <c r="N13" s="21"/>
      <c r="O13" s="21"/>
      <c r="P13" s="105"/>
      <c r="Q13" s="105"/>
      <c r="R13" s="105"/>
      <c r="S13" s="105"/>
      <c r="T13" s="51">
        <v>96700</v>
      </c>
      <c r="U13" s="64">
        <f>75370.2</f>
        <v>75370.2</v>
      </c>
      <c r="V13" s="643">
        <f t="shared" si="0"/>
        <v>77.94229576008273</v>
      </c>
    </row>
    <row r="14" spans="1:22" ht="12.75" hidden="1">
      <c r="A14" s="779"/>
      <c r="B14" s="853"/>
      <c r="C14" s="63" t="s">
        <v>72</v>
      </c>
      <c r="D14" s="21"/>
      <c r="E14" s="21"/>
      <c r="F14" s="21"/>
      <c r="G14" s="21"/>
      <c r="H14" s="50"/>
      <c r="I14" s="50"/>
      <c r="J14" s="21"/>
      <c r="K14" s="21"/>
      <c r="L14" s="21"/>
      <c r="M14" s="105"/>
      <c r="N14" s="21"/>
      <c r="O14" s="21"/>
      <c r="P14" s="105"/>
      <c r="Q14" s="105"/>
      <c r="R14" s="105"/>
      <c r="S14" s="105"/>
      <c r="T14" s="51"/>
      <c r="U14" s="64"/>
      <c r="V14" s="643">
        <f t="shared" si="0"/>
        <v>0</v>
      </c>
    </row>
    <row r="15" spans="1:22" ht="12.75" hidden="1">
      <c r="A15" s="779"/>
      <c r="B15" s="853"/>
      <c r="C15" s="38" t="s">
        <v>33</v>
      </c>
      <c r="D15" s="24"/>
      <c r="E15" s="24"/>
      <c r="F15" s="24"/>
      <c r="G15" s="24"/>
      <c r="H15" s="52"/>
      <c r="I15" s="52"/>
      <c r="J15" s="24"/>
      <c r="K15" s="24"/>
      <c r="L15" s="21"/>
      <c r="M15" s="105">
        <v>4562.8</v>
      </c>
      <c r="N15" s="21"/>
      <c r="O15" s="21"/>
      <c r="P15" s="105"/>
      <c r="Q15" s="105"/>
      <c r="R15" s="105"/>
      <c r="S15" s="105"/>
      <c r="T15" s="51"/>
      <c r="U15" s="64"/>
      <c r="V15" s="643">
        <f t="shared" si="0"/>
        <v>0</v>
      </c>
    </row>
    <row r="16" spans="1:22" ht="12.75" hidden="1">
      <c r="A16" s="779"/>
      <c r="B16" s="853"/>
      <c r="C16" s="42" t="s">
        <v>71</v>
      </c>
      <c r="D16" s="27"/>
      <c r="E16" s="27"/>
      <c r="F16" s="27"/>
      <c r="G16" s="27"/>
      <c r="H16" s="59"/>
      <c r="I16" s="59"/>
      <c r="J16" s="27"/>
      <c r="K16" s="27"/>
      <c r="L16" s="21"/>
      <c r="M16" s="105"/>
      <c r="N16" s="21"/>
      <c r="O16" s="21"/>
      <c r="P16" s="105"/>
      <c r="Q16" s="105"/>
      <c r="R16" s="105"/>
      <c r="S16" s="105"/>
      <c r="T16" s="51"/>
      <c r="U16" s="64"/>
      <c r="V16" s="643">
        <f t="shared" si="0"/>
        <v>0</v>
      </c>
    </row>
    <row r="17" spans="1:22" ht="12.75" hidden="1">
      <c r="A17" s="779"/>
      <c r="B17" s="853"/>
      <c r="C17" s="42" t="s">
        <v>329</v>
      </c>
      <c r="D17" s="27"/>
      <c r="E17" s="27"/>
      <c r="F17" s="27"/>
      <c r="G17" s="27"/>
      <c r="H17" s="59"/>
      <c r="I17" s="59"/>
      <c r="J17" s="27"/>
      <c r="K17" s="27">
        <v>282056</v>
      </c>
      <c r="L17" s="21"/>
      <c r="M17" s="101">
        <v>0</v>
      </c>
      <c r="N17" s="51"/>
      <c r="O17" s="51"/>
      <c r="P17" s="64"/>
      <c r="Q17" s="64"/>
      <c r="R17" s="64"/>
      <c r="S17" s="64"/>
      <c r="T17" s="51"/>
      <c r="U17" s="64"/>
      <c r="V17" s="643">
        <f t="shared" si="0"/>
        <v>0</v>
      </c>
    </row>
    <row r="18" spans="1:22" ht="12.75" hidden="1">
      <c r="A18" s="779"/>
      <c r="B18" s="853"/>
      <c r="C18" s="42" t="s">
        <v>334</v>
      </c>
      <c r="D18" s="24"/>
      <c r="E18" s="24"/>
      <c r="F18" s="24"/>
      <c r="G18" s="24"/>
      <c r="H18" s="52"/>
      <c r="I18" s="52"/>
      <c r="J18" s="24"/>
      <c r="K18" s="24">
        <v>881052</v>
      </c>
      <c r="L18" s="21">
        <v>70504.9</v>
      </c>
      <c r="M18" s="105"/>
      <c r="N18" s="21"/>
      <c r="O18" s="21"/>
      <c r="P18" s="105"/>
      <c r="Q18" s="105"/>
      <c r="R18" s="105"/>
      <c r="S18" s="105"/>
      <c r="T18" s="51"/>
      <c r="U18" s="64"/>
      <c r="V18" s="643">
        <f t="shared" si="0"/>
        <v>0</v>
      </c>
    </row>
    <row r="19" spans="1:22" ht="12.75" hidden="1">
      <c r="A19" s="779"/>
      <c r="B19" s="853"/>
      <c r="C19" s="38" t="s">
        <v>361</v>
      </c>
      <c r="D19" s="24"/>
      <c r="E19" s="24"/>
      <c r="F19" s="24"/>
      <c r="G19" s="24"/>
      <c r="H19" s="52"/>
      <c r="I19" s="52"/>
      <c r="J19" s="24"/>
      <c r="K19" s="24">
        <v>100004</v>
      </c>
      <c r="L19" s="21"/>
      <c r="M19" s="105">
        <v>13200</v>
      </c>
      <c r="N19" s="21"/>
      <c r="O19" s="21"/>
      <c r="P19" s="105"/>
      <c r="Q19" s="105"/>
      <c r="R19" s="105"/>
      <c r="S19" s="105"/>
      <c r="T19" s="51"/>
      <c r="U19" s="64"/>
      <c r="V19" s="643">
        <f t="shared" si="0"/>
        <v>0</v>
      </c>
    </row>
    <row r="20" spans="1:22" ht="13.5" thickBot="1">
      <c r="A20" s="779"/>
      <c r="B20" s="853"/>
      <c r="C20" s="38" t="s">
        <v>360</v>
      </c>
      <c r="D20" s="24"/>
      <c r="E20" s="24"/>
      <c r="F20" s="24"/>
      <c r="G20" s="24"/>
      <c r="H20" s="52"/>
      <c r="I20" s="52"/>
      <c r="J20" s="24"/>
      <c r="K20" s="24">
        <v>0</v>
      </c>
      <c r="L20" s="21"/>
      <c r="M20" s="105"/>
      <c r="N20" s="21"/>
      <c r="O20" s="21"/>
      <c r="P20" s="105"/>
      <c r="Q20" s="105"/>
      <c r="R20" s="105"/>
      <c r="S20" s="105"/>
      <c r="T20" s="51">
        <v>10310</v>
      </c>
      <c r="U20" s="64">
        <v>10310.43</v>
      </c>
      <c r="V20" s="643">
        <f t="shared" si="0"/>
        <v>100.00417070805044</v>
      </c>
    </row>
    <row r="21" spans="1:22" ht="13.5" hidden="1" thickBot="1">
      <c r="A21" s="779"/>
      <c r="B21" s="853"/>
      <c r="C21" s="38" t="s">
        <v>217</v>
      </c>
      <c r="D21" s="24"/>
      <c r="E21" s="24"/>
      <c r="F21" s="24"/>
      <c r="G21" s="24"/>
      <c r="H21" s="52"/>
      <c r="I21" s="52"/>
      <c r="J21" s="24"/>
      <c r="K21" s="24"/>
      <c r="L21" s="21"/>
      <c r="M21" s="105">
        <v>144897.48</v>
      </c>
      <c r="N21" s="21"/>
      <c r="O21" s="21"/>
      <c r="P21" s="105"/>
      <c r="Q21" s="105"/>
      <c r="R21" s="105"/>
      <c r="S21" s="105"/>
      <c r="T21" s="51"/>
      <c r="U21" s="64"/>
      <c r="V21" s="643">
        <f t="shared" si="0"/>
        <v>0</v>
      </c>
    </row>
    <row r="22" spans="1:22" ht="13.5" hidden="1" thickBot="1">
      <c r="A22" s="779"/>
      <c r="B22" s="853"/>
      <c r="C22" s="38" t="s">
        <v>189</v>
      </c>
      <c r="D22" s="24"/>
      <c r="E22" s="24"/>
      <c r="F22" s="24"/>
      <c r="G22" s="24"/>
      <c r="H22" s="52"/>
      <c r="I22" s="52"/>
      <c r="J22" s="24"/>
      <c r="K22" s="24"/>
      <c r="L22" s="21"/>
      <c r="M22" s="105"/>
      <c r="N22" s="21"/>
      <c r="O22" s="21"/>
      <c r="P22" s="105"/>
      <c r="Q22" s="105"/>
      <c r="R22" s="105"/>
      <c r="S22" s="105"/>
      <c r="T22" s="51"/>
      <c r="U22" s="64"/>
      <c r="V22" s="643">
        <f t="shared" si="0"/>
        <v>0</v>
      </c>
    </row>
    <row r="23" spans="1:22" ht="13.5" hidden="1" thickBot="1">
      <c r="A23" s="779"/>
      <c r="B23" s="853"/>
      <c r="C23" s="38" t="s">
        <v>304</v>
      </c>
      <c r="D23" s="24"/>
      <c r="E23" s="24"/>
      <c r="F23" s="24"/>
      <c r="G23" s="24"/>
      <c r="H23" s="52"/>
      <c r="I23" s="52"/>
      <c r="J23" s="24"/>
      <c r="K23" s="24"/>
      <c r="L23" s="24"/>
      <c r="M23" s="183"/>
      <c r="N23" s="24"/>
      <c r="O23" s="24"/>
      <c r="P23" s="183"/>
      <c r="Q23" s="183"/>
      <c r="R23" s="183"/>
      <c r="S23" s="183"/>
      <c r="T23" s="24"/>
      <c r="U23" s="64"/>
      <c r="V23" s="646">
        <f t="shared" si="0"/>
        <v>0</v>
      </c>
    </row>
    <row r="24" spans="1:22" ht="13.5" hidden="1" thickBot="1">
      <c r="A24" s="779"/>
      <c r="B24" s="853"/>
      <c r="C24" s="38" t="s">
        <v>188</v>
      </c>
      <c r="D24" s="24"/>
      <c r="E24" s="24"/>
      <c r="F24" s="24"/>
      <c r="G24" s="24"/>
      <c r="H24" s="52"/>
      <c r="I24" s="52"/>
      <c r="J24" s="24"/>
      <c r="K24" s="24"/>
      <c r="L24" s="24"/>
      <c r="M24" s="183"/>
      <c r="N24" s="24"/>
      <c r="O24" s="24"/>
      <c r="P24" s="183"/>
      <c r="Q24" s="183"/>
      <c r="R24" s="183"/>
      <c r="S24" s="183"/>
      <c r="T24" s="39"/>
      <c r="U24" s="64"/>
      <c r="V24" s="646">
        <f t="shared" si="0"/>
        <v>0</v>
      </c>
    </row>
    <row r="25" spans="1:22" ht="13.5" hidden="1" thickBot="1">
      <c r="A25" s="779"/>
      <c r="B25" s="853"/>
      <c r="C25" s="38" t="s">
        <v>305</v>
      </c>
      <c r="D25" s="24"/>
      <c r="E25" s="24"/>
      <c r="F25" s="24"/>
      <c r="G25" s="24"/>
      <c r="H25" s="52"/>
      <c r="I25" s="52"/>
      <c r="J25" s="24"/>
      <c r="K25" s="24"/>
      <c r="L25" s="24"/>
      <c r="M25" s="183">
        <v>1500</v>
      </c>
      <c r="N25" s="24"/>
      <c r="O25" s="24"/>
      <c r="P25" s="183"/>
      <c r="Q25" s="183"/>
      <c r="R25" s="183"/>
      <c r="S25" s="183"/>
      <c r="T25" s="39"/>
      <c r="U25" s="101"/>
      <c r="V25" s="646">
        <f t="shared" si="0"/>
        <v>0</v>
      </c>
    </row>
    <row r="26" spans="1:22" ht="13.5" hidden="1" thickBot="1">
      <c r="A26" s="779"/>
      <c r="B26" s="853"/>
      <c r="C26" s="38" t="s">
        <v>316</v>
      </c>
      <c r="D26" s="24"/>
      <c r="E26" s="24"/>
      <c r="F26" s="24"/>
      <c r="G26" s="24"/>
      <c r="H26" s="52"/>
      <c r="I26" s="52"/>
      <c r="J26" s="24"/>
      <c r="K26" s="24"/>
      <c r="L26" s="24"/>
      <c r="M26" s="183"/>
      <c r="N26" s="24"/>
      <c r="O26" s="24"/>
      <c r="P26" s="183"/>
      <c r="Q26" s="183"/>
      <c r="R26" s="183"/>
      <c r="S26" s="183"/>
      <c r="T26" s="39"/>
      <c r="U26" s="101"/>
      <c r="V26" s="643">
        <f t="shared" si="0"/>
        <v>0</v>
      </c>
    </row>
    <row r="27" spans="1:22" ht="13.5" hidden="1" thickBot="1">
      <c r="A27" s="779"/>
      <c r="B27" s="853"/>
      <c r="C27" s="38" t="s">
        <v>312</v>
      </c>
      <c r="D27" s="24"/>
      <c r="E27" s="24"/>
      <c r="F27" s="24"/>
      <c r="G27" s="24"/>
      <c r="H27" s="52"/>
      <c r="I27" s="52"/>
      <c r="J27" s="24"/>
      <c r="K27" s="24"/>
      <c r="L27" s="24"/>
      <c r="M27" s="183"/>
      <c r="N27" s="24"/>
      <c r="O27" s="24"/>
      <c r="P27" s="183"/>
      <c r="Q27" s="183"/>
      <c r="R27" s="183"/>
      <c r="S27" s="183"/>
      <c r="T27" s="39"/>
      <c r="U27" s="101"/>
      <c r="V27" s="643">
        <f t="shared" si="0"/>
        <v>0</v>
      </c>
    </row>
    <row r="28" spans="1:22" ht="13.5" hidden="1" thickBot="1">
      <c r="A28" s="779"/>
      <c r="B28" s="853"/>
      <c r="C28" s="38" t="s">
        <v>188</v>
      </c>
      <c r="D28" s="24"/>
      <c r="E28" s="24"/>
      <c r="F28" s="24"/>
      <c r="G28" s="24"/>
      <c r="H28" s="52"/>
      <c r="I28" s="52"/>
      <c r="J28" s="24"/>
      <c r="K28" s="24"/>
      <c r="L28" s="24"/>
      <c r="M28" s="183"/>
      <c r="N28" s="24"/>
      <c r="O28" s="24"/>
      <c r="P28" s="183"/>
      <c r="Q28" s="183"/>
      <c r="R28" s="183"/>
      <c r="S28" s="183"/>
      <c r="T28" s="39"/>
      <c r="U28" s="101"/>
      <c r="V28" s="643">
        <f t="shared" si="0"/>
        <v>0</v>
      </c>
    </row>
    <row r="29" spans="1:22" ht="13.5" hidden="1" thickBot="1">
      <c r="A29" s="780"/>
      <c r="B29" s="854"/>
      <c r="C29" s="128" t="s">
        <v>185</v>
      </c>
      <c r="D29" s="62"/>
      <c r="E29" s="62"/>
      <c r="F29" s="62"/>
      <c r="G29" s="62"/>
      <c r="H29" s="61"/>
      <c r="I29" s="61"/>
      <c r="J29" s="62"/>
      <c r="K29" s="62">
        <v>748471</v>
      </c>
      <c r="L29" s="62"/>
      <c r="M29" s="103">
        <v>11520</v>
      </c>
      <c r="N29" s="62"/>
      <c r="O29" s="62"/>
      <c r="P29" s="103"/>
      <c r="Q29" s="103"/>
      <c r="R29" s="103"/>
      <c r="S29" s="103"/>
      <c r="T29" s="51"/>
      <c r="U29" s="64"/>
      <c r="V29" s="643">
        <f t="shared" si="0"/>
        <v>0</v>
      </c>
    </row>
    <row r="30" spans="1:25" ht="15.75" thickBot="1">
      <c r="A30" s="338" t="s">
        <v>204</v>
      </c>
      <c r="B30" s="747" t="s">
        <v>34</v>
      </c>
      <c r="C30" s="765"/>
      <c r="D30" s="212">
        <v>154053</v>
      </c>
      <c r="E30" s="212">
        <v>194317</v>
      </c>
      <c r="F30" s="212">
        <v>340238</v>
      </c>
      <c r="G30" s="212">
        <v>484191</v>
      </c>
      <c r="H30" s="212">
        <v>181309</v>
      </c>
      <c r="I30" s="121">
        <v>33695</v>
      </c>
      <c r="J30" s="212">
        <v>79908</v>
      </c>
      <c r="K30" s="60">
        <v>0</v>
      </c>
      <c r="L30" s="60">
        <v>75693</v>
      </c>
      <c r="M30" s="192">
        <v>107849.53999999998</v>
      </c>
      <c r="N30" s="60">
        <v>206988.84</v>
      </c>
      <c r="O30" s="60">
        <v>350387.76999999996</v>
      </c>
      <c r="P30" s="192">
        <v>405936.13</v>
      </c>
      <c r="Q30" s="192">
        <v>500251.95999999996</v>
      </c>
      <c r="R30" s="192">
        <v>456247.63</v>
      </c>
      <c r="S30" s="192">
        <v>149635.12</v>
      </c>
      <c r="T30" s="60">
        <f>SUM(T37:T48)</f>
        <v>1588587</v>
      </c>
      <c r="U30" s="192">
        <f>SUM(U37:U48)</f>
        <v>446723.64</v>
      </c>
      <c r="V30" s="644">
        <f t="shared" si="0"/>
        <v>28.120816801346106</v>
      </c>
      <c r="Y30" s="713"/>
    </row>
    <row r="31" spans="1:22" ht="12.75" hidden="1">
      <c r="A31" s="337"/>
      <c r="B31" s="339"/>
      <c r="C31" s="38" t="s">
        <v>325</v>
      </c>
      <c r="D31" s="24"/>
      <c r="E31" s="24"/>
      <c r="F31" s="24"/>
      <c r="G31" s="24"/>
      <c r="H31" s="52"/>
      <c r="I31" s="340"/>
      <c r="J31" s="341"/>
      <c r="K31" s="24"/>
      <c r="L31" s="21">
        <v>23757.12</v>
      </c>
      <c r="M31" s="105"/>
      <c r="N31" s="21"/>
      <c r="O31" s="21"/>
      <c r="P31" s="105"/>
      <c r="Q31" s="105"/>
      <c r="R31" s="105"/>
      <c r="S31" s="105"/>
      <c r="T31" s="51"/>
      <c r="U31" s="64"/>
      <c r="V31" s="643">
        <f t="shared" si="0"/>
        <v>0</v>
      </c>
    </row>
    <row r="32" spans="1:22" ht="12.75" hidden="1">
      <c r="A32" s="337"/>
      <c r="B32" s="339"/>
      <c r="C32" s="38" t="s">
        <v>331</v>
      </c>
      <c r="D32" s="24"/>
      <c r="E32" s="24"/>
      <c r="F32" s="24"/>
      <c r="G32" s="24"/>
      <c r="H32" s="52"/>
      <c r="I32" s="340"/>
      <c r="J32" s="341"/>
      <c r="K32" s="24"/>
      <c r="L32" s="21"/>
      <c r="M32" s="105"/>
      <c r="N32" s="21"/>
      <c r="O32" s="21"/>
      <c r="P32" s="105"/>
      <c r="Q32" s="105"/>
      <c r="R32" s="105"/>
      <c r="S32" s="105"/>
      <c r="T32" s="51"/>
      <c r="U32" s="64"/>
      <c r="V32" s="643">
        <f t="shared" si="0"/>
        <v>0</v>
      </c>
    </row>
    <row r="33" spans="1:22" ht="12.75" hidden="1">
      <c r="A33" s="337"/>
      <c r="B33" s="339"/>
      <c r="C33" s="38" t="s">
        <v>73</v>
      </c>
      <c r="D33" s="24"/>
      <c r="E33" s="24"/>
      <c r="F33" s="24"/>
      <c r="G33" s="24"/>
      <c r="H33" s="52"/>
      <c r="I33" s="340"/>
      <c r="J33" s="341"/>
      <c r="K33" s="24"/>
      <c r="L33" s="21"/>
      <c r="M33" s="105"/>
      <c r="N33" s="21"/>
      <c r="O33" s="21"/>
      <c r="P33" s="105"/>
      <c r="Q33" s="105"/>
      <c r="R33" s="105"/>
      <c r="S33" s="105"/>
      <c r="T33" s="51"/>
      <c r="U33" s="64"/>
      <c r="V33" s="643">
        <f t="shared" si="0"/>
        <v>0</v>
      </c>
    </row>
    <row r="34" spans="1:22" ht="12.75" hidden="1">
      <c r="A34" s="337"/>
      <c r="B34" s="339"/>
      <c r="C34" s="38" t="s">
        <v>74</v>
      </c>
      <c r="D34" s="24"/>
      <c r="E34" s="24"/>
      <c r="F34" s="24"/>
      <c r="G34" s="24"/>
      <c r="H34" s="52"/>
      <c r="I34" s="340"/>
      <c r="J34" s="341"/>
      <c r="K34" s="24"/>
      <c r="L34" s="21"/>
      <c r="M34" s="105"/>
      <c r="N34" s="21"/>
      <c r="O34" s="21"/>
      <c r="P34" s="105"/>
      <c r="Q34" s="105"/>
      <c r="R34" s="105"/>
      <c r="S34" s="105"/>
      <c r="T34" s="51"/>
      <c r="U34" s="64"/>
      <c r="V34" s="643">
        <f t="shared" si="0"/>
        <v>0</v>
      </c>
    </row>
    <row r="35" spans="1:22" ht="12.75" hidden="1">
      <c r="A35" s="337"/>
      <c r="B35" s="339"/>
      <c r="C35" s="38" t="s">
        <v>313</v>
      </c>
      <c r="D35" s="24"/>
      <c r="E35" s="24"/>
      <c r="F35" s="24"/>
      <c r="G35" s="24"/>
      <c r="H35" s="52"/>
      <c r="I35" s="340"/>
      <c r="J35" s="341"/>
      <c r="K35" s="24"/>
      <c r="L35" s="21"/>
      <c r="M35" s="105"/>
      <c r="N35" s="21"/>
      <c r="O35" s="21"/>
      <c r="P35" s="105"/>
      <c r="Q35" s="105"/>
      <c r="R35" s="105"/>
      <c r="S35" s="105"/>
      <c r="T35" s="51"/>
      <c r="U35" s="64"/>
      <c r="V35" s="643">
        <f t="shared" si="0"/>
        <v>0</v>
      </c>
    </row>
    <row r="36" spans="1:22" ht="12.75" hidden="1">
      <c r="A36" s="337"/>
      <c r="B36" s="339"/>
      <c r="C36" s="38" t="s">
        <v>164</v>
      </c>
      <c r="D36" s="24"/>
      <c r="E36" s="24"/>
      <c r="F36" s="24"/>
      <c r="G36" s="24"/>
      <c r="H36" s="52"/>
      <c r="I36" s="340"/>
      <c r="J36" s="341"/>
      <c r="K36" s="24"/>
      <c r="L36" s="21"/>
      <c r="M36" s="105"/>
      <c r="N36" s="21"/>
      <c r="O36" s="21"/>
      <c r="P36" s="105"/>
      <c r="Q36" s="105"/>
      <c r="R36" s="105"/>
      <c r="S36" s="105"/>
      <c r="T36" s="51"/>
      <c r="U36" s="64"/>
      <c r="V36" s="643">
        <f aca="true" t="shared" si="1" ref="V36:V67">IF(T36=0,0,U36/T36*100)</f>
        <v>0</v>
      </c>
    </row>
    <row r="37" spans="1:22" ht="12.75">
      <c r="A37" s="779"/>
      <c r="B37" s="835"/>
      <c r="C37" s="38" t="s">
        <v>365</v>
      </c>
      <c r="D37" s="24"/>
      <c r="E37" s="24"/>
      <c r="F37" s="24"/>
      <c r="G37" s="24"/>
      <c r="H37" s="52"/>
      <c r="I37" s="340"/>
      <c r="J37" s="341"/>
      <c r="K37" s="24"/>
      <c r="L37" s="21"/>
      <c r="M37" s="105"/>
      <c r="N37" s="21"/>
      <c r="O37" s="21"/>
      <c r="P37" s="105"/>
      <c r="Q37" s="105"/>
      <c r="R37" s="105"/>
      <c r="S37" s="105"/>
      <c r="T37" s="51">
        <v>581730</v>
      </c>
      <c r="U37" s="64">
        <v>98714.46</v>
      </c>
      <c r="V37" s="643">
        <f t="shared" si="1"/>
        <v>16.96911969470373</v>
      </c>
    </row>
    <row r="38" spans="1:22" ht="12.75">
      <c r="A38" s="779"/>
      <c r="B38" s="835"/>
      <c r="C38" s="38" t="s">
        <v>375</v>
      </c>
      <c r="D38" s="24"/>
      <c r="E38" s="24"/>
      <c r="F38" s="24"/>
      <c r="G38" s="24"/>
      <c r="H38" s="52"/>
      <c r="I38" s="340"/>
      <c r="J38" s="341"/>
      <c r="K38" s="24"/>
      <c r="L38" s="21"/>
      <c r="M38" s="105"/>
      <c r="N38" s="21"/>
      <c r="O38" s="21"/>
      <c r="P38" s="105"/>
      <c r="Q38" s="105"/>
      <c r="R38" s="105"/>
      <c r="S38" s="105"/>
      <c r="T38" s="51">
        <v>92700</v>
      </c>
      <c r="U38" s="64">
        <v>91340.47</v>
      </c>
      <c r="V38" s="643">
        <f t="shared" si="1"/>
        <v>98.53340884573895</v>
      </c>
    </row>
    <row r="39" spans="1:22" ht="12.75" customHeight="1">
      <c r="A39" s="779"/>
      <c r="B39" s="835"/>
      <c r="C39" s="38" t="s">
        <v>400</v>
      </c>
      <c r="D39" s="24"/>
      <c r="E39" s="24"/>
      <c r="F39" s="24"/>
      <c r="G39" s="24"/>
      <c r="H39" s="52"/>
      <c r="I39" s="340"/>
      <c r="J39" s="341"/>
      <c r="K39" s="24"/>
      <c r="L39" s="21"/>
      <c r="M39" s="105"/>
      <c r="N39" s="21"/>
      <c r="O39" s="21"/>
      <c r="P39" s="105"/>
      <c r="Q39" s="105"/>
      <c r="R39" s="105"/>
      <c r="S39" s="105"/>
      <c r="T39" s="51">
        <v>105107</v>
      </c>
      <c r="U39" s="64">
        <f>86713.8+4699.8</f>
        <v>91413.6</v>
      </c>
      <c r="V39" s="643">
        <f t="shared" si="1"/>
        <v>86.97194287725843</v>
      </c>
    </row>
    <row r="40" spans="1:22" ht="12.75" customHeight="1">
      <c r="A40" s="779"/>
      <c r="B40" s="835"/>
      <c r="C40" s="38" t="s">
        <v>395</v>
      </c>
      <c r="D40" s="24"/>
      <c r="E40" s="24"/>
      <c r="F40" s="24"/>
      <c r="G40" s="24"/>
      <c r="H40" s="52"/>
      <c r="I40" s="340"/>
      <c r="J40" s="341"/>
      <c r="K40" s="24"/>
      <c r="L40" s="21"/>
      <c r="M40" s="105"/>
      <c r="N40" s="21"/>
      <c r="O40" s="21"/>
      <c r="P40" s="105"/>
      <c r="Q40" s="105"/>
      <c r="R40" s="105"/>
      <c r="S40" s="105"/>
      <c r="T40" s="51">
        <v>136000</v>
      </c>
      <c r="U40" s="64">
        <v>96417.5</v>
      </c>
      <c r="V40" s="643">
        <f t="shared" si="1"/>
        <v>70.8952205882353</v>
      </c>
    </row>
    <row r="41" spans="1:22" ht="12.75" customHeight="1">
      <c r="A41" s="779"/>
      <c r="B41" s="835"/>
      <c r="C41" s="38" t="s">
        <v>399</v>
      </c>
      <c r="D41" s="24"/>
      <c r="E41" s="24"/>
      <c r="F41" s="24"/>
      <c r="G41" s="24"/>
      <c r="H41" s="52"/>
      <c r="I41" s="340"/>
      <c r="J41" s="341"/>
      <c r="K41" s="24"/>
      <c r="L41" s="21">
        <v>29104.44</v>
      </c>
      <c r="M41" s="105"/>
      <c r="N41" s="21"/>
      <c r="O41" s="21"/>
      <c r="P41" s="105"/>
      <c r="Q41" s="105"/>
      <c r="R41" s="105"/>
      <c r="S41" s="105"/>
      <c r="T41" s="51">
        <v>0</v>
      </c>
      <c r="U41" s="64"/>
      <c r="V41" s="643">
        <f t="shared" si="1"/>
        <v>0</v>
      </c>
    </row>
    <row r="42" spans="1:22" ht="12.75" customHeight="1">
      <c r="A42" s="779"/>
      <c r="B42" s="835"/>
      <c r="C42" s="38" t="s">
        <v>431</v>
      </c>
      <c r="D42" s="24"/>
      <c r="E42" s="24"/>
      <c r="F42" s="24"/>
      <c r="G42" s="24"/>
      <c r="H42" s="52"/>
      <c r="I42" s="340"/>
      <c r="J42" s="341"/>
      <c r="K42" s="24"/>
      <c r="L42" s="21"/>
      <c r="M42" s="105"/>
      <c r="N42" s="21"/>
      <c r="O42" s="21"/>
      <c r="P42" s="105"/>
      <c r="Q42" s="105"/>
      <c r="R42" s="105"/>
      <c r="S42" s="105"/>
      <c r="T42" s="51">
        <v>40000</v>
      </c>
      <c r="U42" s="64">
        <v>40000</v>
      </c>
      <c r="V42" s="643">
        <f t="shared" si="1"/>
        <v>100</v>
      </c>
    </row>
    <row r="43" spans="1:22" ht="12.75" customHeight="1">
      <c r="A43" s="779"/>
      <c r="B43" s="835"/>
      <c r="C43" s="38" t="s">
        <v>385</v>
      </c>
      <c r="D43" s="24"/>
      <c r="E43" s="24"/>
      <c r="F43" s="24"/>
      <c r="G43" s="24"/>
      <c r="H43" s="52"/>
      <c r="I43" s="340"/>
      <c r="J43" s="341"/>
      <c r="K43" s="24"/>
      <c r="L43" s="21"/>
      <c r="M43" s="105">
        <v>35969.53</v>
      </c>
      <c r="N43" s="21"/>
      <c r="O43" s="21"/>
      <c r="P43" s="105"/>
      <c r="Q43" s="105"/>
      <c r="R43" s="105"/>
      <c r="S43" s="105"/>
      <c r="T43" s="51">
        <v>53000</v>
      </c>
      <c r="U43" s="64"/>
      <c r="V43" s="643">
        <f t="shared" si="1"/>
        <v>0</v>
      </c>
    </row>
    <row r="44" spans="1:22" ht="12.75" customHeight="1">
      <c r="A44" s="779"/>
      <c r="B44" s="835"/>
      <c r="C44" s="38" t="s">
        <v>402</v>
      </c>
      <c r="D44" s="27"/>
      <c r="E44" s="27"/>
      <c r="F44" s="27"/>
      <c r="G44" s="27"/>
      <c r="H44" s="59"/>
      <c r="I44" s="342"/>
      <c r="J44" s="343"/>
      <c r="K44" s="27"/>
      <c r="L44" s="62"/>
      <c r="M44" s="105"/>
      <c r="N44" s="21"/>
      <c r="O44" s="21"/>
      <c r="P44" s="105"/>
      <c r="Q44" s="105"/>
      <c r="R44" s="105"/>
      <c r="S44" s="105"/>
      <c r="T44" s="51">
        <v>101100</v>
      </c>
      <c r="U44" s="64"/>
      <c r="V44" s="643">
        <f t="shared" si="1"/>
        <v>0</v>
      </c>
    </row>
    <row r="45" spans="1:22" ht="12.75" customHeight="1">
      <c r="A45" s="779"/>
      <c r="B45" s="835"/>
      <c r="C45" s="38" t="s">
        <v>403</v>
      </c>
      <c r="D45" s="27"/>
      <c r="E45" s="27"/>
      <c r="F45" s="27"/>
      <c r="G45" s="27"/>
      <c r="H45" s="59"/>
      <c r="I45" s="342"/>
      <c r="J45" s="343"/>
      <c r="K45" s="27"/>
      <c r="L45" s="62"/>
      <c r="M45" s="105"/>
      <c r="N45" s="21"/>
      <c r="O45" s="21"/>
      <c r="P45" s="105"/>
      <c r="Q45" s="105"/>
      <c r="R45" s="105"/>
      <c r="S45" s="105"/>
      <c r="T45" s="51">
        <v>136050</v>
      </c>
      <c r="U45" s="64">
        <f>25000+3411.61</f>
        <v>28411.61</v>
      </c>
      <c r="V45" s="643">
        <f t="shared" si="1"/>
        <v>20.883212054391766</v>
      </c>
    </row>
    <row r="46" spans="1:22" ht="12.75" customHeight="1">
      <c r="A46" s="779"/>
      <c r="B46" s="835"/>
      <c r="C46" s="38" t="s">
        <v>404</v>
      </c>
      <c r="D46" s="27"/>
      <c r="E46" s="27"/>
      <c r="F46" s="27"/>
      <c r="G46" s="27"/>
      <c r="H46" s="59"/>
      <c r="I46" s="342"/>
      <c r="J46" s="343"/>
      <c r="K46" s="27"/>
      <c r="L46" s="62"/>
      <c r="M46" s="105"/>
      <c r="N46" s="21"/>
      <c r="O46" s="21"/>
      <c r="P46" s="105"/>
      <c r="Q46" s="105"/>
      <c r="R46" s="105"/>
      <c r="S46" s="105"/>
      <c r="T46" s="51">
        <v>130000</v>
      </c>
      <c r="U46" s="64"/>
      <c r="V46" s="643">
        <f t="shared" si="1"/>
        <v>0</v>
      </c>
    </row>
    <row r="47" spans="1:22" ht="12.75" customHeight="1">
      <c r="A47" s="779"/>
      <c r="B47" s="835"/>
      <c r="C47" s="38" t="s">
        <v>405</v>
      </c>
      <c r="D47" s="27"/>
      <c r="E47" s="27"/>
      <c r="F47" s="27"/>
      <c r="G47" s="27"/>
      <c r="H47" s="59"/>
      <c r="I47" s="342"/>
      <c r="J47" s="343"/>
      <c r="K47" s="27"/>
      <c r="L47" s="62"/>
      <c r="M47" s="105"/>
      <c r="N47" s="21"/>
      <c r="O47" s="21"/>
      <c r="P47" s="105"/>
      <c r="Q47" s="105"/>
      <c r="R47" s="105"/>
      <c r="S47" s="105"/>
      <c r="T47" s="51">
        <v>122900</v>
      </c>
      <c r="U47" s="64"/>
      <c r="V47" s="643">
        <f t="shared" si="1"/>
        <v>0</v>
      </c>
    </row>
    <row r="48" spans="1:22" ht="12.75" customHeight="1" thickBot="1">
      <c r="A48" s="779"/>
      <c r="B48" s="835"/>
      <c r="C48" s="38" t="s">
        <v>406</v>
      </c>
      <c r="D48" s="27"/>
      <c r="E48" s="27"/>
      <c r="F48" s="27"/>
      <c r="G48" s="27"/>
      <c r="H48" s="59"/>
      <c r="I48" s="342"/>
      <c r="J48" s="343"/>
      <c r="K48" s="27"/>
      <c r="L48" s="27"/>
      <c r="M48" s="105">
        <v>2200</v>
      </c>
      <c r="N48" s="21"/>
      <c r="O48" s="21"/>
      <c r="P48" s="105"/>
      <c r="Q48" s="105"/>
      <c r="R48" s="105"/>
      <c r="S48" s="105"/>
      <c r="T48" s="51">
        <v>90000</v>
      </c>
      <c r="U48" s="64">
        <v>426</v>
      </c>
      <c r="V48" s="643">
        <f t="shared" si="1"/>
        <v>0.47333333333333333</v>
      </c>
    </row>
    <row r="49" spans="1:22" ht="12.75" customHeight="1" hidden="1">
      <c r="A49" s="779"/>
      <c r="B49" s="835"/>
      <c r="C49" s="38"/>
      <c r="D49" s="27"/>
      <c r="E49" s="27"/>
      <c r="F49" s="27"/>
      <c r="G49" s="27"/>
      <c r="H49" s="59"/>
      <c r="I49" s="342"/>
      <c r="J49" s="343"/>
      <c r="K49" s="27"/>
      <c r="L49" s="27"/>
      <c r="M49" s="105">
        <v>28928.71</v>
      </c>
      <c r="N49" s="21"/>
      <c r="O49" s="21"/>
      <c r="P49" s="105"/>
      <c r="Q49" s="105"/>
      <c r="R49" s="105"/>
      <c r="S49" s="105"/>
      <c r="T49" s="51"/>
      <c r="U49" s="64"/>
      <c r="V49" s="643">
        <f t="shared" si="1"/>
        <v>0</v>
      </c>
    </row>
    <row r="50" spans="1:22" ht="12.75" customHeight="1" hidden="1">
      <c r="A50" s="779"/>
      <c r="B50" s="835"/>
      <c r="C50" s="38"/>
      <c r="D50" s="27"/>
      <c r="E50" s="27"/>
      <c r="F50" s="27"/>
      <c r="G50" s="27"/>
      <c r="H50" s="59"/>
      <c r="I50" s="342"/>
      <c r="J50" s="343"/>
      <c r="K50" s="27"/>
      <c r="L50" s="27"/>
      <c r="M50" s="183">
        <v>19756.98</v>
      </c>
      <c r="N50" s="21"/>
      <c r="O50" s="21"/>
      <c r="P50" s="105"/>
      <c r="Q50" s="105"/>
      <c r="R50" s="105"/>
      <c r="S50" s="105"/>
      <c r="T50" s="51"/>
      <c r="U50" s="64"/>
      <c r="V50" s="643">
        <f t="shared" si="1"/>
        <v>0</v>
      </c>
    </row>
    <row r="51" spans="1:22" ht="12.75" customHeight="1" hidden="1">
      <c r="A51" s="779"/>
      <c r="B51" s="835"/>
      <c r="C51" s="38"/>
      <c r="D51" s="27"/>
      <c r="E51" s="27"/>
      <c r="F51" s="27"/>
      <c r="G51" s="27"/>
      <c r="H51" s="59"/>
      <c r="I51" s="342"/>
      <c r="J51" s="343"/>
      <c r="K51" s="27"/>
      <c r="L51" s="27"/>
      <c r="M51" s="183">
        <v>20994.32</v>
      </c>
      <c r="N51" s="21"/>
      <c r="O51" s="21"/>
      <c r="P51" s="105"/>
      <c r="Q51" s="105"/>
      <c r="R51" s="105"/>
      <c r="S51" s="105"/>
      <c r="T51" s="51"/>
      <c r="U51" s="64"/>
      <c r="V51" s="643">
        <f t="shared" si="1"/>
        <v>0</v>
      </c>
    </row>
    <row r="52" spans="1:22" ht="12.75" customHeight="1" hidden="1">
      <c r="A52" s="779"/>
      <c r="B52" s="835"/>
      <c r="C52" s="38"/>
      <c r="D52" s="27"/>
      <c r="E52" s="27"/>
      <c r="F52" s="27"/>
      <c r="G52" s="27"/>
      <c r="H52" s="59"/>
      <c r="I52" s="342"/>
      <c r="J52" s="343"/>
      <c r="K52" s="27"/>
      <c r="L52" s="27">
        <v>22831.440000000002</v>
      </c>
      <c r="M52" s="24">
        <v>0</v>
      </c>
      <c r="N52" s="21"/>
      <c r="O52" s="21"/>
      <c r="P52" s="105"/>
      <c r="Q52" s="105"/>
      <c r="R52" s="105"/>
      <c r="S52" s="105"/>
      <c r="T52" s="51"/>
      <c r="U52" s="64"/>
      <c r="V52" s="643">
        <f t="shared" si="1"/>
        <v>0</v>
      </c>
    </row>
    <row r="53" spans="1:22" ht="12.75" customHeight="1" hidden="1">
      <c r="A53" s="779"/>
      <c r="B53" s="835"/>
      <c r="C53" s="38"/>
      <c r="D53" s="27"/>
      <c r="E53" s="27"/>
      <c r="F53" s="27"/>
      <c r="G53" s="27"/>
      <c r="H53" s="59"/>
      <c r="I53" s="342"/>
      <c r="J53" s="343"/>
      <c r="K53" s="27"/>
      <c r="L53" s="27"/>
      <c r="M53" s="24"/>
      <c r="N53" s="21"/>
      <c r="O53" s="21"/>
      <c r="P53" s="105"/>
      <c r="Q53" s="105"/>
      <c r="R53" s="105"/>
      <c r="S53" s="105"/>
      <c r="T53" s="51"/>
      <c r="U53" s="64"/>
      <c r="V53" s="643">
        <f t="shared" si="1"/>
        <v>0</v>
      </c>
    </row>
    <row r="54" spans="1:22" ht="12.75" customHeight="1" hidden="1">
      <c r="A54" s="779"/>
      <c r="B54" s="835"/>
      <c r="C54" s="38"/>
      <c r="D54" s="27"/>
      <c r="E54" s="27"/>
      <c r="F54" s="27"/>
      <c r="G54" s="27"/>
      <c r="H54" s="59"/>
      <c r="I54" s="342"/>
      <c r="J54" s="343"/>
      <c r="K54" s="27"/>
      <c r="L54" s="27"/>
      <c r="M54" s="27"/>
      <c r="N54" s="24"/>
      <c r="O54" s="39"/>
      <c r="P54" s="64"/>
      <c r="Q54" s="64"/>
      <c r="R54" s="64"/>
      <c r="S54" s="64"/>
      <c r="T54" s="51"/>
      <c r="U54" s="64"/>
      <c r="V54" s="643">
        <f t="shared" si="1"/>
        <v>0</v>
      </c>
    </row>
    <row r="55" spans="1:22" ht="12.75" customHeight="1" hidden="1">
      <c r="A55" s="779"/>
      <c r="B55" s="835"/>
      <c r="C55" s="38"/>
      <c r="D55" s="27"/>
      <c r="E55" s="27"/>
      <c r="F55" s="27"/>
      <c r="G55" s="27"/>
      <c r="H55" s="59"/>
      <c r="I55" s="342"/>
      <c r="J55" s="343"/>
      <c r="K55" s="27"/>
      <c r="L55" s="27"/>
      <c r="M55" s="27"/>
      <c r="N55" s="24"/>
      <c r="O55" s="39"/>
      <c r="P55" s="64"/>
      <c r="Q55" s="64"/>
      <c r="R55" s="64"/>
      <c r="S55" s="64"/>
      <c r="T55" s="51"/>
      <c r="U55" s="64"/>
      <c r="V55" s="643">
        <f t="shared" si="1"/>
        <v>0</v>
      </c>
    </row>
    <row r="56" spans="1:22" ht="13.5" hidden="1" thickBot="1">
      <c r="A56" s="779"/>
      <c r="B56" s="835"/>
      <c r="C56" s="38"/>
      <c r="D56" s="27"/>
      <c r="E56" s="27"/>
      <c r="F56" s="27"/>
      <c r="G56" s="27"/>
      <c r="H56" s="59"/>
      <c r="I56" s="342"/>
      <c r="J56" s="343"/>
      <c r="K56" s="27"/>
      <c r="L56" s="27"/>
      <c r="M56" s="27"/>
      <c r="N56" s="24"/>
      <c r="O56" s="39"/>
      <c r="P56" s="64"/>
      <c r="Q56" s="64"/>
      <c r="R56" s="64"/>
      <c r="S56" s="64"/>
      <c r="T56" s="51"/>
      <c r="U56" s="64"/>
      <c r="V56" s="643">
        <f t="shared" si="1"/>
        <v>0</v>
      </c>
    </row>
    <row r="57" spans="1:22" ht="13.5" hidden="1" thickBot="1">
      <c r="A57" s="337"/>
      <c r="B57" s="339"/>
      <c r="C57" s="38"/>
      <c r="D57" s="27"/>
      <c r="E57" s="27"/>
      <c r="F57" s="27"/>
      <c r="G57" s="27"/>
      <c r="H57" s="59"/>
      <c r="I57" s="342"/>
      <c r="J57" s="343"/>
      <c r="K57" s="27"/>
      <c r="L57" s="27"/>
      <c r="M57" s="43"/>
      <c r="N57" s="43"/>
      <c r="O57" s="54"/>
      <c r="P57" s="486"/>
      <c r="Q57" s="486"/>
      <c r="R57" s="486"/>
      <c r="S57" s="486"/>
      <c r="T57" s="51"/>
      <c r="U57" s="64"/>
      <c r="V57" s="643">
        <f t="shared" si="1"/>
        <v>0</v>
      </c>
    </row>
    <row r="58" spans="1:22" ht="15.75" thickBot="1">
      <c r="A58" s="344" t="s">
        <v>64</v>
      </c>
      <c r="B58" s="747" t="s">
        <v>35</v>
      </c>
      <c r="C58" s="765"/>
      <c r="D58" s="345">
        <v>80894</v>
      </c>
      <c r="E58" s="212">
        <v>8298</v>
      </c>
      <c r="F58" s="212">
        <v>71666</v>
      </c>
      <c r="G58" s="212">
        <v>1330064</v>
      </c>
      <c r="H58" s="212">
        <v>2147096</v>
      </c>
      <c r="I58" s="121">
        <v>8121</v>
      </c>
      <c r="J58" s="212">
        <v>93729</v>
      </c>
      <c r="K58" s="60">
        <v>28919</v>
      </c>
      <c r="L58" s="60">
        <v>0</v>
      </c>
      <c r="M58" s="192">
        <v>69453.41</v>
      </c>
      <c r="N58" s="60">
        <v>5501</v>
      </c>
      <c r="O58" s="60">
        <v>396374.4</v>
      </c>
      <c r="P58" s="192">
        <v>215644.72</v>
      </c>
      <c r="Q58" s="192">
        <v>36876</v>
      </c>
      <c r="R58" s="192">
        <v>13188</v>
      </c>
      <c r="S58" s="192">
        <v>86260</v>
      </c>
      <c r="T58" s="60">
        <f>T59</f>
        <v>0</v>
      </c>
      <c r="U58" s="192">
        <f>U59</f>
        <v>0</v>
      </c>
      <c r="V58" s="644">
        <f t="shared" si="1"/>
        <v>0</v>
      </c>
    </row>
    <row r="59" spans="1:22" ht="13.5" thickBot="1">
      <c r="A59" s="346"/>
      <c r="B59" s="347"/>
      <c r="C59" s="36"/>
      <c r="D59" s="84"/>
      <c r="E59" s="84"/>
      <c r="F59" s="84"/>
      <c r="G59" s="84"/>
      <c r="H59" s="49"/>
      <c r="I59" s="348"/>
      <c r="J59" s="349"/>
      <c r="K59" s="84">
        <v>28919</v>
      </c>
      <c r="L59" s="21"/>
      <c r="M59" s="105"/>
      <c r="N59" s="21"/>
      <c r="O59" s="21"/>
      <c r="P59" s="105"/>
      <c r="Q59" s="105"/>
      <c r="R59" s="105"/>
      <c r="S59" s="105"/>
      <c r="T59" s="51"/>
      <c r="U59" s="64"/>
      <c r="V59" s="643">
        <f t="shared" si="1"/>
        <v>0</v>
      </c>
    </row>
    <row r="60" spans="1:22" ht="13.5" hidden="1" thickBot="1">
      <c r="A60" s="337"/>
      <c r="B60" s="339"/>
      <c r="C60" s="63" t="s">
        <v>306</v>
      </c>
      <c r="D60" s="21"/>
      <c r="E60" s="21"/>
      <c r="F60" s="21"/>
      <c r="G60" s="21"/>
      <c r="H60" s="50"/>
      <c r="I60" s="350"/>
      <c r="J60" s="351"/>
      <c r="K60" s="21"/>
      <c r="L60" s="21"/>
      <c r="M60" s="105">
        <v>69453.41</v>
      </c>
      <c r="N60" s="21"/>
      <c r="O60" s="21"/>
      <c r="P60" s="105"/>
      <c r="Q60" s="105"/>
      <c r="R60" s="105"/>
      <c r="S60" s="105"/>
      <c r="T60" s="51"/>
      <c r="U60" s="64"/>
      <c r="V60" s="643">
        <f t="shared" si="1"/>
        <v>0</v>
      </c>
    </row>
    <row r="61" spans="1:22" ht="13.5" hidden="1" thickBot="1">
      <c r="A61" s="337"/>
      <c r="B61" s="339"/>
      <c r="C61" s="38" t="s">
        <v>321</v>
      </c>
      <c r="D61" s="21"/>
      <c r="E61" s="21"/>
      <c r="F61" s="21"/>
      <c r="G61" s="21"/>
      <c r="H61" s="50"/>
      <c r="I61" s="350"/>
      <c r="J61" s="351"/>
      <c r="K61" s="21"/>
      <c r="L61" s="21"/>
      <c r="M61" s="21"/>
      <c r="N61" s="21"/>
      <c r="O61" s="21"/>
      <c r="P61" s="105"/>
      <c r="Q61" s="105"/>
      <c r="R61" s="105"/>
      <c r="S61" s="105"/>
      <c r="T61" s="51"/>
      <c r="U61" s="64"/>
      <c r="V61" s="643">
        <f t="shared" si="1"/>
        <v>0</v>
      </c>
    </row>
    <row r="62" spans="1:22" ht="13.5" hidden="1" thickBot="1">
      <c r="A62" s="337"/>
      <c r="B62" s="339"/>
      <c r="C62" s="38" t="s">
        <v>314</v>
      </c>
      <c r="D62" s="24"/>
      <c r="E62" s="24"/>
      <c r="F62" s="24"/>
      <c r="G62" s="24"/>
      <c r="H62" s="52"/>
      <c r="I62" s="340"/>
      <c r="J62" s="341"/>
      <c r="K62" s="24"/>
      <c r="L62" s="24"/>
      <c r="M62" s="24"/>
      <c r="N62" s="24"/>
      <c r="O62" s="24"/>
      <c r="P62" s="183"/>
      <c r="Q62" s="183"/>
      <c r="R62" s="183"/>
      <c r="S62" s="183"/>
      <c r="T62" s="39"/>
      <c r="U62" s="101"/>
      <c r="V62" s="646">
        <f t="shared" si="1"/>
        <v>0</v>
      </c>
    </row>
    <row r="63" spans="1:22" ht="13.5" hidden="1" thickBot="1">
      <c r="A63" s="337"/>
      <c r="B63" s="339"/>
      <c r="C63" s="38" t="s">
        <v>36</v>
      </c>
      <c r="D63" s="24"/>
      <c r="E63" s="24"/>
      <c r="F63" s="24"/>
      <c r="G63" s="24"/>
      <c r="H63" s="52"/>
      <c r="I63" s="340"/>
      <c r="J63" s="341"/>
      <c r="K63" s="24"/>
      <c r="L63" s="24"/>
      <c r="M63" s="24"/>
      <c r="N63" s="24"/>
      <c r="O63" s="24"/>
      <c r="P63" s="183"/>
      <c r="Q63" s="183"/>
      <c r="R63" s="183"/>
      <c r="S63" s="183"/>
      <c r="T63" s="39"/>
      <c r="U63" s="101"/>
      <c r="V63" s="646">
        <f t="shared" si="1"/>
        <v>0</v>
      </c>
    </row>
    <row r="64" spans="1:22" ht="13.5" hidden="1" thickBot="1">
      <c r="A64" s="354"/>
      <c r="B64" s="355"/>
      <c r="C64" s="63" t="s">
        <v>328</v>
      </c>
      <c r="D64" s="62"/>
      <c r="E64" s="62"/>
      <c r="F64" s="62"/>
      <c r="G64" s="62"/>
      <c r="H64" s="61"/>
      <c r="I64" s="352"/>
      <c r="J64" s="353"/>
      <c r="K64" s="68"/>
      <c r="L64" s="62"/>
      <c r="M64" s="62"/>
      <c r="N64" s="62"/>
      <c r="O64" s="62"/>
      <c r="P64" s="103"/>
      <c r="Q64" s="103"/>
      <c r="R64" s="103"/>
      <c r="S64" s="103"/>
      <c r="T64" s="220"/>
      <c r="U64" s="486"/>
      <c r="V64" s="647">
        <f t="shared" si="1"/>
        <v>0</v>
      </c>
    </row>
    <row r="65" spans="1:22" ht="15.75" hidden="1" thickBot="1">
      <c r="A65" s="356" t="s">
        <v>215</v>
      </c>
      <c r="B65" s="838" t="s">
        <v>216</v>
      </c>
      <c r="C65" s="838"/>
      <c r="D65" s="357"/>
      <c r="E65" s="357"/>
      <c r="F65" s="357"/>
      <c r="G65" s="357"/>
      <c r="H65" s="358">
        <v>182399</v>
      </c>
      <c r="I65" s="358"/>
      <c r="J65" s="359"/>
      <c r="K65" s="94"/>
      <c r="L65" s="94"/>
      <c r="M65" s="94"/>
      <c r="N65" s="94"/>
      <c r="O65" s="94"/>
      <c r="P65" s="503"/>
      <c r="Q65" s="503"/>
      <c r="R65" s="503"/>
      <c r="S65" s="503"/>
      <c r="T65" s="60"/>
      <c r="U65" s="192"/>
      <c r="V65" s="644">
        <f t="shared" si="1"/>
        <v>0</v>
      </c>
    </row>
    <row r="66" spans="1:22" ht="13.5" hidden="1" thickBot="1">
      <c r="A66" s="337"/>
      <c r="B66" s="339"/>
      <c r="C66" s="61"/>
      <c r="D66" s="62"/>
      <c r="E66" s="62"/>
      <c r="F66" s="62"/>
      <c r="G66" s="62"/>
      <c r="H66" s="61"/>
      <c r="I66" s="352"/>
      <c r="J66" s="353"/>
      <c r="K66" s="62"/>
      <c r="L66" s="62"/>
      <c r="M66" s="62"/>
      <c r="N66" s="62"/>
      <c r="O66" s="62"/>
      <c r="P66" s="103"/>
      <c r="Q66" s="103"/>
      <c r="R66" s="103"/>
      <c r="S66" s="103"/>
      <c r="T66" s="220"/>
      <c r="U66" s="486"/>
      <c r="V66" s="647">
        <f t="shared" si="1"/>
        <v>0</v>
      </c>
    </row>
    <row r="67" spans="1:22" ht="15.75" thickBot="1">
      <c r="A67" s="190" t="s">
        <v>44</v>
      </c>
      <c r="B67" s="747" t="s">
        <v>45</v>
      </c>
      <c r="C67" s="765"/>
      <c r="D67" s="191">
        <v>0</v>
      </c>
      <c r="E67" s="191">
        <v>0</v>
      </c>
      <c r="F67" s="191">
        <v>6639</v>
      </c>
      <c r="G67" s="191">
        <v>113606</v>
      </c>
      <c r="H67" s="191">
        <v>254005</v>
      </c>
      <c r="I67" s="258">
        <v>2699311</v>
      </c>
      <c r="J67" s="191">
        <v>3603230</v>
      </c>
      <c r="K67" s="60">
        <v>1781346</v>
      </c>
      <c r="L67" s="60">
        <v>11891.04</v>
      </c>
      <c r="M67" s="192">
        <v>1099.52</v>
      </c>
      <c r="N67" s="60">
        <v>9688.17</v>
      </c>
      <c r="O67" s="60">
        <v>125008.29000000001</v>
      </c>
      <c r="P67" s="192">
        <v>30038.8</v>
      </c>
      <c r="Q67" s="192">
        <v>3055</v>
      </c>
      <c r="R67" s="605">
        <v>14350.8</v>
      </c>
      <c r="S67" s="503">
        <v>5554</v>
      </c>
      <c r="T67" s="60">
        <f>T68</f>
        <v>0</v>
      </c>
      <c r="U67" s="192">
        <f>U68</f>
        <v>0</v>
      </c>
      <c r="V67" s="644">
        <f t="shared" si="1"/>
        <v>0</v>
      </c>
    </row>
    <row r="68" spans="1:22" ht="15.75" thickBot="1">
      <c r="A68" s="774"/>
      <c r="B68" s="842"/>
      <c r="C68" s="360" t="s">
        <v>318</v>
      </c>
      <c r="D68" s="361"/>
      <c r="E68" s="361"/>
      <c r="F68" s="361"/>
      <c r="G68" s="361"/>
      <c r="H68" s="360"/>
      <c r="I68" s="362"/>
      <c r="J68" s="363"/>
      <c r="K68" s="285"/>
      <c r="L68" s="77">
        <v>11891.04</v>
      </c>
      <c r="M68" s="364">
        <v>1099.52</v>
      </c>
      <c r="N68" s="364"/>
      <c r="O68" s="364"/>
      <c r="P68" s="364"/>
      <c r="Q68" s="364"/>
      <c r="R68" s="364"/>
      <c r="S68" s="364"/>
      <c r="T68" s="77"/>
      <c r="U68" s="364"/>
      <c r="V68" s="648">
        <f aca="true" t="shared" si="2" ref="V68:V99">IF(T68=0,0,U68/T68*100)</f>
        <v>0</v>
      </c>
    </row>
    <row r="69" spans="1:22" ht="15.75" hidden="1" thickBot="1">
      <c r="A69" s="775"/>
      <c r="B69" s="843"/>
      <c r="C69" s="365" t="s">
        <v>315</v>
      </c>
      <c r="D69" s="366"/>
      <c r="E69" s="366"/>
      <c r="F69" s="366"/>
      <c r="G69" s="366"/>
      <c r="H69" s="365"/>
      <c r="I69" s="367"/>
      <c r="J69" s="368"/>
      <c r="K69" s="287"/>
      <c r="L69" s="79"/>
      <c r="M69" s="487"/>
      <c r="N69" s="487"/>
      <c r="O69" s="79"/>
      <c r="P69" s="487"/>
      <c r="Q69" s="487"/>
      <c r="R69" s="487"/>
      <c r="S69" s="487"/>
      <c r="T69" s="79"/>
      <c r="U69" s="487"/>
      <c r="V69" s="649">
        <f t="shared" si="2"/>
        <v>0</v>
      </c>
    </row>
    <row r="70" spans="1:22" ht="15.75" hidden="1" thickBot="1">
      <c r="A70" s="775"/>
      <c r="B70" s="843"/>
      <c r="C70" s="365" t="s">
        <v>309</v>
      </c>
      <c r="D70" s="366"/>
      <c r="E70" s="366"/>
      <c r="F70" s="366"/>
      <c r="G70" s="366"/>
      <c r="H70" s="365"/>
      <c r="I70" s="367"/>
      <c r="J70" s="368"/>
      <c r="K70" s="287"/>
      <c r="L70" s="287"/>
      <c r="M70" s="79"/>
      <c r="N70" s="79"/>
      <c r="O70" s="79"/>
      <c r="P70" s="487"/>
      <c r="Q70" s="487"/>
      <c r="R70" s="487"/>
      <c r="S70" s="487"/>
      <c r="T70" s="79"/>
      <c r="U70" s="487"/>
      <c r="V70" s="650">
        <f t="shared" si="2"/>
        <v>0</v>
      </c>
    </row>
    <row r="71" spans="1:22" ht="15.75" hidden="1" thickBot="1">
      <c r="A71" s="775"/>
      <c r="B71" s="843"/>
      <c r="C71" s="365" t="s">
        <v>318</v>
      </c>
      <c r="D71" s="366"/>
      <c r="E71" s="366"/>
      <c r="F71" s="366"/>
      <c r="G71" s="366"/>
      <c r="H71" s="365"/>
      <c r="I71" s="367"/>
      <c r="J71" s="368"/>
      <c r="K71" s="287"/>
      <c r="L71" s="287"/>
      <c r="M71" s="287"/>
      <c r="N71" s="526"/>
      <c r="O71" s="79"/>
      <c r="P71" s="487"/>
      <c r="Q71" s="487"/>
      <c r="R71" s="487"/>
      <c r="S71" s="487"/>
      <c r="T71" s="79"/>
      <c r="U71" s="487"/>
      <c r="V71" s="649">
        <f t="shared" si="2"/>
        <v>0</v>
      </c>
    </row>
    <row r="72" spans="1:22" ht="15.75" hidden="1" thickBot="1">
      <c r="A72" s="775"/>
      <c r="B72" s="843"/>
      <c r="C72" s="369" t="s">
        <v>275</v>
      </c>
      <c r="D72" s="370"/>
      <c r="E72" s="370"/>
      <c r="F72" s="370"/>
      <c r="G72" s="370"/>
      <c r="H72" s="369"/>
      <c r="I72" s="371"/>
      <c r="J72" s="372"/>
      <c r="K72" s="373"/>
      <c r="L72" s="373"/>
      <c r="M72" s="373"/>
      <c r="N72" s="373"/>
      <c r="O72" s="373"/>
      <c r="P72" s="601"/>
      <c r="Q72" s="601"/>
      <c r="R72" s="601"/>
      <c r="S72" s="601"/>
      <c r="T72" s="546"/>
      <c r="U72" s="500"/>
      <c r="V72" s="651">
        <f t="shared" si="2"/>
        <v>0</v>
      </c>
    </row>
    <row r="73" spans="1:22" ht="15.75" hidden="1" thickBot="1">
      <c r="A73" s="775"/>
      <c r="B73" s="843"/>
      <c r="C73" s="369" t="s">
        <v>187</v>
      </c>
      <c r="D73" s="370"/>
      <c r="E73" s="370"/>
      <c r="F73" s="370"/>
      <c r="G73" s="370"/>
      <c r="H73" s="369"/>
      <c r="I73" s="371"/>
      <c r="J73" s="372"/>
      <c r="K73" s="373"/>
      <c r="L73" s="373"/>
      <c r="M73" s="373"/>
      <c r="N73" s="373"/>
      <c r="O73" s="373"/>
      <c r="P73" s="601"/>
      <c r="Q73" s="601"/>
      <c r="R73" s="601"/>
      <c r="S73" s="601"/>
      <c r="T73" s="546"/>
      <c r="U73" s="500"/>
      <c r="V73" s="651">
        <f t="shared" si="2"/>
        <v>0</v>
      </c>
    </row>
    <row r="74" spans="1:22" ht="13.5" hidden="1" thickBot="1">
      <c r="A74" s="776"/>
      <c r="B74" s="844"/>
      <c r="C74" s="41" t="s">
        <v>326</v>
      </c>
      <c r="D74" s="43"/>
      <c r="E74" s="43"/>
      <c r="F74" s="43"/>
      <c r="G74" s="43"/>
      <c r="H74" s="53"/>
      <c r="I74" s="374"/>
      <c r="J74" s="375"/>
      <c r="K74" s="43">
        <v>1781346</v>
      </c>
      <c r="L74" s="68"/>
      <c r="M74" s="68"/>
      <c r="N74" s="68"/>
      <c r="O74" s="68"/>
      <c r="P74" s="189"/>
      <c r="Q74" s="189"/>
      <c r="R74" s="189"/>
      <c r="S74" s="189"/>
      <c r="T74" s="188"/>
      <c r="U74" s="310"/>
      <c r="V74" s="652">
        <f t="shared" si="2"/>
        <v>0</v>
      </c>
    </row>
    <row r="75" spans="1:22" ht="15.75" thickBot="1">
      <c r="A75" s="338" t="s">
        <v>303</v>
      </c>
      <c r="B75" s="838" t="s">
        <v>302</v>
      </c>
      <c r="C75" s="838"/>
      <c r="D75" s="212">
        <v>38040</v>
      </c>
      <c r="E75" s="212">
        <v>144792</v>
      </c>
      <c r="F75" s="212">
        <v>36414</v>
      </c>
      <c r="G75" s="212">
        <v>3228</v>
      </c>
      <c r="H75" s="212">
        <v>15058</v>
      </c>
      <c r="I75" s="358"/>
      <c r="J75" s="359"/>
      <c r="K75" s="94">
        <v>5000</v>
      </c>
      <c r="L75" s="94">
        <v>35480.8</v>
      </c>
      <c r="M75" s="503">
        <v>555131.6</v>
      </c>
      <c r="N75" s="94">
        <v>10197.6</v>
      </c>
      <c r="O75" s="94">
        <v>323.6</v>
      </c>
      <c r="P75" s="503">
        <v>16171.269999999999</v>
      </c>
      <c r="Q75" s="503">
        <v>27465.02</v>
      </c>
      <c r="R75" s="503">
        <v>153985</v>
      </c>
      <c r="S75" s="503">
        <v>22014.41</v>
      </c>
      <c r="T75" s="60">
        <f>T76</f>
        <v>11409</v>
      </c>
      <c r="U75" s="192">
        <f>U76</f>
        <v>11409.12</v>
      </c>
      <c r="V75" s="644">
        <f t="shared" si="2"/>
        <v>100.00105180120957</v>
      </c>
    </row>
    <row r="76" spans="1:22" ht="15" thickBot="1">
      <c r="A76" s="774"/>
      <c r="B76" s="839"/>
      <c r="C76" s="36" t="s">
        <v>376</v>
      </c>
      <c r="D76" s="84"/>
      <c r="E76" s="84"/>
      <c r="F76" s="84"/>
      <c r="G76" s="84"/>
      <c r="H76" s="49"/>
      <c r="I76" s="348"/>
      <c r="J76" s="349"/>
      <c r="K76" s="377">
        <v>5000</v>
      </c>
      <c r="L76" s="377">
        <v>20503.12</v>
      </c>
      <c r="M76" s="515"/>
      <c r="N76" s="377"/>
      <c r="O76" s="377"/>
      <c r="P76" s="515"/>
      <c r="Q76" s="515"/>
      <c r="R76" s="515"/>
      <c r="S76" s="515"/>
      <c r="T76" s="37">
        <v>11409</v>
      </c>
      <c r="U76" s="710">
        <v>11409.12</v>
      </c>
      <c r="V76" s="653">
        <f t="shared" si="2"/>
        <v>100.00105180120957</v>
      </c>
    </row>
    <row r="77" spans="1:22" ht="15" hidden="1" thickBot="1">
      <c r="A77" s="775"/>
      <c r="B77" s="840"/>
      <c r="C77" s="63"/>
      <c r="D77" s="62"/>
      <c r="E77" s="62"/>
      <c r="F77" s="62"/>
      <c r="G77" s="62"/>
      <c r="H77" s="61"/>
      <c r="I77" s="352"/>
      <c r="J77" s="353"/>
      <c r="K77" s="514"/>
      <c r="L77" s="537"/>
      <c r="M77" s="538">
        <v>555131.6</v>
      </c>
      <c r="N77" s="537"/>
      <c r="O77" s="537"/>
      <c r="P77" s="537"/>
      <c r="Q77" s="538"/>
      <c r="R77" s="538"/>
      <c r="S77" s="538"/>
      <c r="T77" s="539"/>
      <c r="U77" s="711"/>
      <c r="V77" s="654">
        <f t="shared" si="2"/>
        <v>0</v>
      </c>
    </row>
    <row r="78" spans="1:22" ht="13.5" hidden="1" thickBot="1">
      <c r="A78" s="776"/>
      <c r="B78" s="841"/>
      <c r="C78" s="38"/>
      <c r="D78" s="62"/>
      <c r="E78" s="62"/>
      <c r="F78" s="62"/>
      <c r="G78" s="62"/>
      <c r="H78" s="61"/>
      <c r="I78" s="352"/>
      <c r="J78" s="353"/>
      <c r="K78" s="62"/>
      <c r="L78" s="62">
        <v>14977.68</v>
      </c>
      <c r="M78" s="103"/>
      <c r="N78" s="62"/>
      <c r="O78" s="62"/>
      <c r="P78" s="62"/>
      <c r="Q78" s="103"/>
      <c r="R78" s="103"/>
      <c r="S78" s="103"/>
      <c r="T78" s="220"/>
      <c r="U78" s="486"/>
      <c r="V78" s="647">
        <f t="shared" si="2"/>
        <v>0</v>
      </c>
    </row>
    <row r="79" spans="1:22" ht="15.75" thickBot="1">
      <c r="A79" s="338" t="s">
        <v>54</v>
      </c>
      <c r="B79" s="838" t="s">
        <v>286</v>
      </c>
      <c r="C79" s="838"/>
      <c r="D79" s="212">
        <v>326960</v>
      </c>
      <c r="E79" s="212">
        <v>144858</v>
      </c>
      <c r="F79" s="212">
        <v>123880</v>
      </c>
      <c r="G79" s="212">
        <v>20761</v>
      </c>
      <c r="H79" s="212">
        <v>158221</v>
      </c>
      <c r="I79" s="121">
        <v>92051</v>
      </c>
      <c r="J79" s="212">
        <v>68225</v>
      </c>
      <c r="K79" s="60">
        <v>16198</v>
      </c>
      <c r="L79" s="60">
        <v>1305435.64</v>
      </c>
      <c r="M79" s="192">
        <v>139207.66</v>
      </c>
      <c r="N79" s="60">
        <v>44614.21</v>
      </c>
      <c r="O79" s="192">
        <v>60675.76000000001</v>
      </c>
      <c r="P79" s="192">
        <v>54775.5</v>
      </c>
      <c r="Q79" s="192">
        <v>566821.34</v>
      </c>
      <c r="R79" s="192">
        <v>879183.79</v>
      </c>
      <c r="S79" s="192">
        <v>4461136.199999999</v>
      </c>
      <c r="T79" s="60">
        <f>SUM(T80:T104)</f>
        <v>4398472</v>
      </c>
      <c r="U79" s="192">
        <f>SUM(U80:U104)</f>
        <v>2803985.6499999994</v>
      </c>
      <c r="V79" s="644">
        <f t="shared" si="2"/>
        <v>63.74908490948674</v>
      </c>
    </row>
    <row r="80" spans="1:22" ht="12.75">
      <c r="A80" s="778"/>
      <c r="B80" s="834"/>
      <c r="C80" s="378" t="s">
        <v>419</v>
      </c>
      <c r="D80" s="379"/>
      <c r="E80" s="379"/>
      <c r="F80" s="379"/>
      <c r="G80" s="379"/>
      <c r="H80" s="380"/>
      <c r="I80" s="381"/>
      <c r="J80" s="382"/>
      <c r="K80" s="84"/>
      <c r="L80" s="84"/>
      <c r="M80" s="181">
        <v>1289.08</v>
      </c>
      <c r="N80" s="21"/>
      <c r="O80" s="21"/>
      <c r="P80" s="21"/>
      <c r="Q80" s="105"/>
      <c r="R80" s="105"/>
      <c r="S80" s="105"/>
      <c r="T80" s="39">
        <v>13000</v>
      </c>
      <c r="U80" s="101">
        <v>12490</v>
      </c>
      <c r="V80" s="646">
        <f t="shared" si="2"/>
        <v>96.07692307692308</v>
      </c>
    </row>
    <row r="81" spans="1:22" ht="12.75">
      <c r="A81" s="779"/>
      <c r="B81" s="835"/>
      <c r="C81" s="38" t="s">
        <v>352</v>
      </c>
      <c r="D81" s="383"/>
      <c r="E81" s="383"/>
      <c r="F81" s="383"/>
      <c r="G81" s="383"/>
      <c r="H81" s="384"/>
      <c r="I81" s="385"/>
      <c r="J81" s="267"/>
      <c r="K81" s="24"/>
      <c r="L81" s="21"/>
      <c r="M81" s="105">
        <v>0</v>
      </c>
      <c r="N81" s="21"/>
      <c r="O81" s="21"/>
      <c r="P81" s="21"/>
      <c r="Q81" s="105"/>
      <c r="R81" s="105"/>
      <c r="S81" s="105"/>
      <c r="T81" s="51">
        <v>1026770</v>
      </c>
      <c r="U81" s="101">
        <v>840746.1</v>
      </c>
      <c r="V81" s="646">
        <f t="shared" si="2"/>
        <v>81.88261246432988</v>
      </c>
    </row>
    <row r="82" spans="1:24" ht="12.75">
      <c r="A82" s="779"/>
      <c r="B82" s="835"/>
      <c r="C82" s="38" t="s">
        <v>377</v>
      </c>
      <c r="D82" s="383"/>
      <c r="E82" s="383"/>
      <c r="F82" s="383"/>
      <c r="G82" s="383"/>
      <c r="H82" s="384"/>
      <c r="I82" s="385"/>
      <c r="J82" s="267"/>
      <c r="K82" s="24"/>
      <c r="L82" s="21"/>
      <c r="M82" s="105">
        <v>0</v>
      </c>
      <c r="N82" s="21"/>
      <c r="O82" s="21"/>
      <c r="P82" s="21"/>
      <c r="Q82" s="105"/>
      <c r="R82" s="105"/>
      <c r="S82" s="105"/>
      <c r="T82" s="51">
        <v>608443</v>
      </c>
      <c r="U82" s="101">
        <f>390169.04</f>
        <v>390169.04</v>
      </c>
      <c r="V82" s="646">
        <f t="shared" si="2"/>
        <v>64.1258162227193</v>
      </c>
      <c r="X82" s="713"/>
    </row>
    <row r="83" spans="1:22" ht="12.75">
      <c r="A83" s="779"/>
      <c r="B83" s="835"/>
      <c r="C83" s="38" t="s">
        <v>378</v>
      </c>
      <c r="D83" s="383"/>
      <c r="E83" s="383"/>
      <c r="F83" s="383"/>
      <c r="G83" s="383"/>
      <c r="H83" s="384"/>
      <c r="I83" s="385"/>
      <c r="J83" s="267"/>
      <c r="K83" s="24"/>
      <c r="L83" s="21"/>
      <c r="M83" s="105">
        <v>0</v>
      </c>
      <c r="N83" s="21"/>
      <c r="O83" s="21"/>
      <c r="P83" s="21"/>
      <c r="Q83" s="105"/>
      <c r="R83" s="105"/>
      <c r="S83" s="105"/>
      <c r="T83" s="51">
        <v>775510</v>
      </c>
      <c r="U83" s="101">
        <v>420228</v>
      </c>
      <c r="V83" s="646">
        <f t="shared" si="2"/>
        <v>54.18730899666026</v>
      </c>
    </row>
    <row r="84" spans="1:26" ht="12.75">
      <c r="A84" s="779"/>
      <c r="B84" s="835"/>
      <c r="C84" s="38" t="s">
        <v>409</v>
      </c>
      <c r="D84" s="383"/>
      <c r="E84" s="383"/>
      <c r="F84" s="383"/>
      <c r="G84" s="383"/>
      <c r="H84" s="384"/>
      <c r="I84" s="385"/>
      <c r="J84" s="267"/>
      <c r="K84" s="24"/>
      <c r="L84" s="21"/>
      <c r="M84" s="105"/>
      <c r="N84" s="21"/>
      <c r="O84" s="21"/>
      <c r="P84" s="21"/>
      <c r="Q84" s="105"/>
      <c r="R84" s="105"/>
      <c r="S84" s="105"/>
      <c r="T84" s="51">
        <v>12000</v>
      </c>
      <c r="U84" s="101">
        <f>1827</f>
        <v>1827</v>
      </c>
      <c r="V84" s="646">
        <f t="shared" si="2"/>
        <v>15.225</v>
      </c>
      <c r="Z84" s="713"/>
    </row>
    <row r="85" spans="1:22" ht="12.75">
      <c r="A85" s="779"/>
      <c r="B85" s="835"/>
      <c r="C85" s="38" t="s">
        <v>413</v>
      </c>
      <c r="D85" s="383"/>
      <c r="E85" s="383"/>
      <c r="F85" s="383"/>
      <c r="G85" s="383"/>
      <c r="H85" s="384"/>
      <c r="I85" s="385"/>
      <c r="J85" s="267"/>
      <c r="K85" s="24"/>
      <c r="L85" s="21"/>
      <c r="M85" s="105"/>
      <c r="N85" s="21"/>
      <c r="O85" s="21"/>
      <c r="P85" s="21"/>
      <c r="Q85" s="105"/>
      <c r="R85" s="105"/>
      <c r="S85" s="105"/>
      <c r="T85" s="51">
        <v>15762</v>
      </c>
      <c r="U85" s="101">
        <v>13860</v>
      </c>
      <c r="V85" s="646">
        <f t="shared" si="2"/>
        <v>87.93300342596118</v>
      </c>
    </row>
    <row r="86" spans="1:22" ht="12.75">
      <c r="A86" s="779"/>
      <c r="B86" s="835"/>
      <c r="C86" s="38" t="s">
        <v>362</v>
      </c>
      <c r="D86" s="383"/>
      <c r="E86" s="383"/>
      <c r="F86" s="383"/>
      <c r="G86" s="383"/>
      <c r="H86" s="384"/>
      <c r="I86" s="385"/>
      <c r="J86" s="267"/>
      <c r="K86" s="24"/>
      <c r="L86" s="21"/>
      <c r="M86" s="105">
        <v>0</v>
      </c>
      <c r="N86" s="24"/>
      <c r="O86" s="39"/>
      <c r="P86" s="39"/>
      <c r="Q86" s="101"/>
      <c r="R86" s="101"/>
      <c r="S86" s="101"/>
      <c r="T86" s="51">
        <v>44288</v>
      </c>
      <c r="U86" s="101">
        <v>43794.38</v>
      </c>
      <c r="V86" s="646">
        <f t="shared" si="2"/>
        <v>98.88543171965317</v>
      </c>
    </row>
    <row r="87" spans="1:22" ht="12.75">
      <c r="A87" s="779"/>
      <c r="B87" s="835"/>
      <c r="C87" s="38" t="s">
        <v>379</v>
      </c>
      <c r="D87" s="386"/>
      <c r="E87" s="386"/>
      <c r="F87" s="386"/>
      <c r="G87" s="386"/>
      <c r="H87" s="387"/>
      <c r="I87" s="388"/>
      <c r="J87" s="389"/>
      <c r="K87" s="27"/>
      <c r="L87" s="62"/>
      <c r="M87" s="103">
        <v>0</v>
      </c>
      <c r="N87" s="24"/>
      <c r="O87" s="39"/>
      <c r="P87" s="39"/>
      <c r="Q87" s="101"/>
      <c r="R87" s="101"/>
      <c r="S87" s="101"/>
      <c r="T87" s="51">
        <v>100642</v>
      </c>
      <c r="U87" s="101">
        <v>100642.19</v>
      </c>
      <c r="V87" s="646">
        <f t="shared" si="2"/>
        <v>100.00018878798116</v>
      </c>
    </row>
    <row r="88" spans="1:22" ht="12.75">
      <c r="A88" s="779"/>
      <c r="B88" s="835"/>
      <c r="C88" s="38" t="s">
        <v>380</v>
      </c>
      <c r="D88" s="391"/>
      <c r="E88" s="391"/>
      <c r="F88" s="391"/>
      <c r="G88" s="391"/>
      <c r="H88" s="392"/>
      <c r="I88" s="393"/>
      <c r="J88" s="394"/>
      <c r="K88" s="27"/>
      <c r="L88" s="62"/>
      <c r="M88" s="103">
        <v>0</v>
      </c>
      <c r="N88" s="24"/>
      <c r="O88" s="39"/>
      <c r="P88" s="39"/>
      <c r="Q88" s="101"/>
      <c r="R88" s="101"/>
      <c r="S88" s="101"/>
      <c r="T88" s="51">
        <v>66610</v>
      </c>
      <c r="U88" s="101">
        <v>59285.6</v>
      </c>
      <c r="V88" s="646">
        <f t="shared" si="2"/>
        <v>89.00405344542861</v>
      </c>
    </row>
    <row r="89" spans="1:22" ht="12.75" customHeight="1">
      <c r="A89" s="779"/>
      <c r="B89" s="835"/>
      <c r="C89" s="38" t="s">
        <v>354</v>
      </c>
      <c r="D89" s="391"/>
      <c r="E89" s="391"/>
      <c r="F89" s="391"/>
      <c r="G89" s="391"/>
      <c r="H89" s="392"/>
      <c r="I89" s="393"/>
      <c r="J89" s="394"/>
      <c r="K89" s="27"/>
      <c r="L89" s="62"/>
      <c r="M89" s="103">
        <v>0</v>
      </c>
      <c r="N89" s="24"/>
      <c r="O89" s="39"/>
      <c r="P89" s="39"/>
      <c r="Q89" s="101"/>
      <c r="R89" s="101"/>
      <c r="S89" s="101"/>
      <c r="T89" s="51">
        <v>0</v>
      </c>
      <c r="U89" s="101"/>
      <c r="V89" s="646">
        <f t="shared" si="2"/>
        <v>0</v>
      </c>
    </row>
    <row r="90" spans="1:22" ht="12.75" customHeight="1">
      <c r="A90" s="779"/>
      <c r="B90" s="835"/>
      <c r="C90" s="38" t="s">
        <v>401</v>
      </c>
      <c r="D90" s="24"/>
      <c r="E90" s="24"/>
      <c r="F90" s="24"/>
      <c r="G90" s="24"/>
      <c r="H90" s="52"/>
      <c r="I90" s="340"/>
      <c r="J90" s="341"/>
      <c r="K90" s="24"/>
      <c r="L90" s="24"/>
      <c r="M90" s="183">
        <v>0</v>
      </c>
      <c r="N90" s="24"/>
      <c r="O90" s="39"/>
      <c r="P90" s="39"/>
      <c r="Q90" s="101"/>
      <c r="R90" s="101"/>
      <c r="S90" s="101"/>
      <c r="T90" s="51">
        <v>109600</v>
      </c>
      <c r="U90" s="101">
        <v>109420.66</v>
      </c>
      <c r="V90" s="646">
        <f t="shared" si="2"/>
        <v>99.83636861313869</v>
      </c>
    </row>
    <row r="91" spans="1:22" ht="12.75" customHeight="1">
      <c r="A91" s="779"/>
      <c r="B91" s="835"/>
      <c r="C91" s="38" t="s">
        <v>381</v>
      </c>
      <c r="D91" s="24"/>
      <c r="E91" s="24"/>
      <c r="F91" s="24"/>
      <c r="G91" s="24"/>
      <c r="H91" s="52"/>
      <c r="I91" s="340"/>
      <c r="J91" s="341"/>
      <c r="K91" s="24">
        <v>7632</v>
      </c>
      <c r="L91" s="24"/>
      <c r="M91" s="183">
        <v>0</v>
      </c>
      <c r="N91" s="24"/>
      <c r="O91" s="39"/>
      <c r="P91" s="39"/>
      <c r="Q91" s="101"/>
      <c r="R91" s="101"/>
      <c r="S91" s="101"/>
      <c r="T91" s="51">
        <v>19096</v>
      </c>
      <c r="U91" s="101">
        <v>19000</v>
      </c>
      <c r="V91" s="646">
        <f t="shared" si="2"/>
        <v>99.49727691663176</v>
      </c>
    </row>
    <row r="92" spans="1:22" ht="12.75">
      <c r="A92" s="779"/>
      <c r="B92" s="835"/>
      <c r="C92" s="38" t="s">
        <v>363</v>
      </c>
      <c r="D92" s="24"/>
      <c r="E92" s="24"/>
      <c r="F92" s="24"/>
      <c r="G92" s="24"/>
      <c r="H92" s="52"/>
      <c r="I92" s="340"/>
      <c r="J92" s="341"/>
      <c r="K92" s="24"/>
      <c r="L92" s="24"/>
      <c r="M92" s="183">
        <v>0</v>
      </c>
      <c r="N92" s="24"/>
      <c r="O92" s="39"/>
      <c r="P92" s="39"/>
      <c r="Q92" s="101"/>
      <c r="R92" s="101"/>
      <c r="S92" s="101"/>
      <c r="T92" s="51">
        <v>494326</v>
      </c>
      <c r="U92" s="101">
        <v>494326.01</v>
      </c>
      <c r="V92" s="646">
        <f t="shared" si="2"/>
        <v>100.00000202295651</v>
      </c>
    </row>
    <row r="93" spans="1:22" ht="12.75" customHeight="1">
      <c r="A93" s="779"/>
      <c r="B93" s="835"/>
      <c r="C93" s="38" t="s">
        <v>364</v>
      </c>
      <c r="D93" s="24"/>
      <c r="E93" s="24"/>
      <c r="F93" s="24"/>
      <c r="G93" s="24"/>
      <c r="H93" s="52"/>
      <c r="I93" s="340"/>
      <c r="J93" s="341"/>
      <c r="K93" s="24">
        <v>0</v>
      </c>
      <c r="L93" s="24"/>
      <c r="M93" s="183">
        <v>0</v>
      </c>
      <c r="N93" s="24"/>
      <c r="O93" s="24"/>
      <c r="P93" s="24"/>
      <c r="Q93" s="183"/>
      <c r="R93" s="183"/>
      <c r="S93" s="183"/>
      <c r="T93" s="51">
        <v>42125</v>
      </c>
      <c r="U93" s="101">
        <v>42125.41</v>
      </c>
      <c r="V93" s="646">
        <f t="shared" si="2"/>
        <v>100.00097329376855</v>
      </c>
    </row>
    <row r="94" spans="1:22" ht="12.75" customHeight="1">
      <c r="A94" s="779"/>
      <c r="B94" s="835"/>
      <c r="C94" s="38" t="s">
        <v>407</v>
      </c>
      <c r="D94" s="24"/>
      <c r="E94" s="24"/>
      <c r="F94" s="24"/>
      <c r="G94" s="24"/>
      <c r="H94" s="52"/>
      <c r="I94" s="340"/>
      <c r="J94" s="341"/>
      <c r="K94" s="24"/>
      <c r="L94" s="24"/>
      <c r="M94" s="183"/>
      <c r="N94" s="24"/>
      <c r="O94" s="24"/>
      <c r="P94" s="24"/>
      <c r="Q94" s="183"/>
      <c r="R94" s="183"/>
      <c r="S94" s="183"/>
      <c r="T94" s="51">
        <v>14000</v>
      </c>
      <c r="U94" s="101"/>
      <c r="V94" s="646">
        <f t="shared" si="2"/>
        <v>0</v>
      </c>
    </row>
    <row r="95" spans="1:22" ht="12.75" customHeight="1">
      <c r="A95" s="779"/>
      <c r="B95" s="835"/>
      <c r="C95" s="38" t="s">
        <v>417</v>
      </c>
      <c r="D95" s="24"/>
      <c r="E95" s="24"/>
      <c r="F95" s="24"/>
      <c r="G95" s="24"/>
      <c r="H95" s="52"/>
      <c r="I95" s="340"/>
      <c r="J95" s="341"/>
      <c r="K95" s="24"/>
      <c r="L95" s="24"/>
      <c r="M95" s="183"/>
      <c r="N95" s="24"/>
      <c r="O95" s="24"/>
      <c r="P95" s="24"/>
      <c r="Q95" s="183"/>
      <c r="R95" s="183"/>
      <c r="S95" s="183"/>
      <c r="T95" s="51">
        <v>0</v>
      </c>
      <c r="U95" s="101"/>
      <c r="V95" s="646">
        <f t="shared" si="2"/>
        <v>0</v>
      </c>
    </row>
    <row r="96" spans="1:22" ht="12.75" customHeight="1">
      <c r="A96" s="779"/>
      <c r="B96" s="835"/>
      <c r="C96" s="38" t="s">
        <v>412</v>
      </c>
      <c r="D96" s="24"/>
      <c r="E96" s="24"/>
      <c r="F96" s="24"/>
      <c r="G96" s="24"/>
      <c r="H96" s="52"/>
      <c r="I96" s="340"/>
      <c r="J96" s="341"/>
      <c r="K96" s="24"/>
      <c r="L96" s="24"/>
      <c r="M96" s="183"/>
      <c r="N96" s="24"/>
      <c r="O96" s="24"/>
      <c r="P96" s="24"/>
      <c r="Q96" s="183"/>
      <c r="R96" s="183"/>
      <c r="S96" s="183"/>
      <c r="T96" s="51">
        <v>3300</v>
      </c>
      <c r="U96" s="101">
        <v>3289.15</v>
      </c>
      <c r="V96" s="646">
        <f t="shared" si="2"/>
        <v>99.67121212121212</v>
      </c>
    </row>
    <row r="97" spans="1:22" ht="12.75">
      <c r="A97" s="779"/>
      <c r="B97" s="835"/>
      <c r="C97" s="38" t="s">
        <v>398</v>
      </c>
      <c r="D97" s="24"/>
      <c r="E97" s="24"/>
      <c r="F97" s="24"/>
      <c r="G97" s="24"/>
      <c r="H97" s="52"/>
      <c r="I97" s="340"/>
      <c r="J97" s="341"/>
      <c r="K97" s="24">
        <v>0</v>
      </c>
      <c r="L97" s="24">
        <v>1302435.64</v>
      </c>
      <c r="M97" s="183">
        <v>95467.84</v>
      </c>
      <c r="N97" s="24"/>
      <c r="O97" s="24"/>
      <c r="P97" s="24"/>
      <c r="Q97" s="183"/>
      <c r="R97" s="183"/>
      <c r="S97" s="183"/>
      <c r="T97" s="39">
        <v>609000</v>
      </c>
      <c r="U97" s="101">
        <f>12074+1576+201116.24</f>
        <v>214766.24</v>
      </c>
      <c r="V97" s="646">
        <f t="shared" si="2"/>
        <v>35.265392446633825</v>
      </c>
    </row>
    <row r="98" spans="1:22" ht="12.75">
      <c r="A98" s="779"/>
      <c r="B98" s="835"/>
      <c r="C98" s="38" t="s">
        <v>408</v>
      </c>
      <c r="D98" s="24"/>
      <c r="E98" s="24"/>
      <c r="F98" s="24"/>
      <c r="G98" s="24"/>
      <c r="H98" s="52"/>
      <c r="I98" s="340"/>
      <c r="J98" s="341"/>
      <c r="K98" s="24"/>
      <c r="L98" s="24"/>
      <c r="M98" s="183">
        <v>38905.74</v>
      </c>
      <c r="N98" s="24"/>
      <c r="O98" s="24"/>
      <c r="P98" s="24"/>
      <c r="Q98" s="183"/>
      <c r="R98" s="183"/>
      <c r="S98" s="183"/>
      <c r="T98" s="39">
        <v>402000</v>
      </c>
      <c r="U98" s="101"/>
      <c r="V98" s="646">
        <f t="shared" si="2"/>
        <v>0</v>
      </c>
    </row>
    <row r="99" spans="1:22" ht="12.75" customHeight="1">
      <c r="A99" s="779"/>
      <c r="B99" s="835"/>
      <c r="C99" s="38" t="s">
        <v>418</v>
      </c>
      <c r="D99" s="24"/>
      <c r="E99" s="24"/>
      <c r="F99" s="24"/>
      <c r="G99" s="24"/>
      <c r="H99" s="52"/>
      <c r="I99" s="340"/>
      <c r="J99" s="341"/>
      <c r="K99" s="24"/>
      <c r="L99" s="24"/>
      <c r="M99" s="183">
        <v>0</v>
      </c>
      <c r="N99" s="24"/>
      <c r="O99" s="24"/>
      <c r="P99" s="24"/>
      <c r="Q99" s="183"/>
      <c r="R99" s="183"/>
      <c r="S99" s="183"/>
      <c r="T99" s="39">
        <v>25000</v>
      </c>
      <c r="U99" s="101">
        <v>22330</v>
      </c>
      <c r="V99" s="646">
        <f t="shared" si="2"/>
        <v>89.32</v>
      </c>
    </row>
    <row r="100" spans="1:22" ht="12.75" customHeight="1" thickBot="1">
      <c r="A100" s="779"/>
      <c r="B100" s="835"/>
      <c r="C100" s="38" t="s">
        <v>422</v>
      </c>
      <c r="D100" s="24"/>
      <c r="E100" s="24"/>
      <c r="F100" s="24"/>
      <c r="G100" s="24"/>
      <c r="H100" s="52"/>
      <c r="I100" s="340"/>
      <c r="J100" s="341"/>
      <c r="K100" s="24"/>
      <c r="L100" s="24"/>
      <c r="M100" s="183">
        <v>0</v>
      </c>
      <c r="N100" s="24"/>
      <c r="O100" s="24"/>
      <c r="P100" s="24"/>
      <c r="Q100" s="183"/>
      <c r="R100" s="183"/>
      <c r="S100" s="183"/>
      <c r="T100" s="39">
        <v>17000</v>
      </c>
      <c r="U100" s="101">
        <v>15685.87</v>
      </c>
      <c r="V100" s="646">
        <f aca="true" t="shared" si="3" ref="V100:V131">IF(T100=0,0,U100/T100*100)</f>
        <v>92.26982352941177</v>
      </c>
    </row>
    <row r="101" spans="1:22" ht="12.75" customHeight="1" hidden="1">
      <c r="A101" s="779"/>
      <c r="B101" s="835"/>
      <c r="C101" s="38"/>
      <c r="D101" s="24"/>
      <c r="E101" s="24"/>
      <c r="F101" s="24"/>
      <c r="G101" s="24"/>
      <c r="H101" s="52"/>
      <c r="I101" s="340"/>
      <c r="J101" s="341"/>
      <c r="K101" s="24">
        <v>8090</v>
      </c>
      <c r="L101" s="24"/>
      <c r="M101" s="183">
        <v>0</v>
      </c>
      <c r="N101" s="24"/>
      <c r="O101" s="24"/>
      <c r="P101" s="24"/>
      <c r="Q101" s="183"/>
      <c r="R101" s="183"/>
      <c r="S101" s="183"/>
      <c r="T101" s="39"/>
      <c r="U101" s="101"/>
      <c r="V101" s="646">
        <f t="shared" si="3"/>
        <v>0</v>
      </c>
    </row>
    <row r="102" spans="1:22" ht="13.5" hidden="1" thickBot="1">
      <c r="A102" s="779"/>
      <c r="B102" s="835"/>
      <c r="C102" s="38"/>
      <c r="D102" s="24"/>
      <c r="E102" s="24"/>
      <c r="F102" s="24"/>
      <c r="G102" s="24"/>
      <c r="H102" s="52"/>
      <c r="I102" s="340"/>
      <c r="J102" s="341"/>
      <c r="K102" s="24"/>
      <c r="L102" s="24"/>
      <c r="M102" s="183"/>
      <c r="N102" s="24"/>
      <c r="O102" s="24"/>
      <c r="P102" s="24"/>
      <c r="Q102" s="183"/>
      <c r="R102" s="183"/>
      <c r="S102" s="183"/>
      <c r="T102" s="39"/>
      <c r="U102" s="101"/>
      <c r="V102" s="646">
        <f t="shared" si="3"/>
        <v>0</v>
      </c>
    </row>
    <row r="103" spans="1:22" ht="13.5" hidden="1" thickBot="1">
      <c r="A103" s="779"/>
      <c r="B103" s="835"/>
      <c r="C103" s="38"/>
      <c r="D103" s="27"/>
      <c r="E103" s="27"/>
      <c r="F103" s="27"/>
      <c r="G103" s="27"/>
      <c r="H103" s="59"/>
      <c r="I103" s="342"/>
      <c r="J103" s="343"/>
      <c r="K103" s="27"/>
      <c r="L103" s="27"/>
      <c r="M103" s="201"/>
      <c r="N103" s="27"/>
      <c r="O103" s="27"/>
      <c r="P103" s="27"/>
      <c r="Q103" s="201"/>
      <c r="R103" s="201"/>
      <c r="S103" s="201"/>
      <c r="T103" s="39"/>
      <c r="U103" s="101"/>
      <c r="V103" s="646">
        <f t="shared" si="3"/>
        <v>0</v>
      </c>
    </row>
    <row r="104" spans="1:22" ht="15" customHeight="1" hidden="1" thickBot="1">
      <c r="A104" s="780"/>
      <c r="B104" s="836"/>
      <c r="C104" s="128"/>
      <c r="D104" s="27"/>
      <c r="E104" s="27"/>
      <c r="F104" s="27"/>
      <c r="G104" s="27"/>
      <c r="H104" s="59"/>
      <c r="I104" s="342"/>
      <c r="J104" s="343"/>
      <c r="K104" s="27"/>
      <c r="L104" s="27"/>
      <c r="M104" s="201"/>
      <c r="N104" s="27"/>
      <c r="O104" s="27"/>
      <c r="P104" s="27"/>
      <c r="Q104" s="201"/>
      <c r="R104" s="201"/>
      <c r="S104" s="201"/>
      <c r="T104" s="65"/>
      <c r="U104" s="101"/>
      <c r="V104" s="655">
        <f t="shared" si="3"/>
        <v>0</v>
      </c>
    </row>
    <row r="105" spans="1:22" s="547" customFormat="1" ht="15.75" hidden="1" thickBot="1">
      <c r="A105" s="609" t="s">
        <v>341</v>
      </c>
      <c r="B105" s="852" t="s">
        <v>342</v>
      </c>
      <c r="C105" s="812"/>
      <c r="D105" s="587"/>
      <c r="E105" s="587"/>
      <c r="F105" s="587"/>
      <c r="G105" s="587"/>
      <c r="H105" s="588"/>
      <c r="I105" s="589"/>
      <c r="J105" s="590"/>
      <c r="K105" s="587"/>
      <c r="L105" s="587"/>
      <c r="M105" s="591"/>
      <c r="N105" s="94"/>
      <c r="O105" s="94"/>
      <c r="P105" s="503">
        <v>5880</v>
      </c>
      <c r="Q105" s="503">
        <v>44123.79</v>
      </c>
      <c r="R105" s="503"/>
      <c r="S105" s="503"/>
      <c r="T105" s="60">
        <f>T106</f>
        <v>0</v>
      </c>
      <c r="U105" s="192">
        <f>U106</f>
        <v>0</v>
      </c>
      <c r="V105" s="644">
        <f t="shared" si="3"/>
        <v>0</v>
      </c>
    </row>
    <row r="106" spans="1:22" ht="13.5" hidden="1" thickBot="1">
      <c r="A106" s="354"/>
      <c r="B106" s="355"/>
      <c r="C106" s="102" t="s">
        <v>343</v>
      </c>
      <c r="D106" s="43"/>
      <c r="E106" s="43"/>
      <c r="F106" s="43"/>
      <c r="G106" s="43"/>
      <c r="H106" s="53"/>
      <c r="I106" s="374"/>
      <c r="J106" s="375"/>
      <c r="K106" s="43">
        <v>476</v>
      </c>
      <c r="L106" s="43">
        <v>3000</v>
      </c>
      <c r="M106" s="233">
        <v>3545</v>
      </c>
      <c r="N106" s="12"/>
      <c r="O106" s="12"/>
      <c r="P106" s="12"/>
      <c r="Q106" s="224"/>
      <c r="R106" s="486"/>
      <c r="S106" s="224"/>
      <c r="T106" s="220"/>
      <c r="U106" s="486"/>
      <c r="V106" s="647">
        <f t="shared" si="3"/>
        <v>0</v>
      </c>
    </row>
    <row r="107" spans="1:22" ht="15.75" hidden="1" thickBot="1">
      <c r="A107" s="271" t="s">
        <v>37</v>
      </c>
      <c r="B107" s="739" t="s">
        <v>0</v>
      </c>
      <c r="C107" s="740"/>
      <c r="D107" s="395"/>
      <c r="E107" s="395"/>
      <c r="F107" s="395"/>
      <c r="G107" s="395"/>
      <c r="H107" s="246"/>
      <c r="I107" s="396"/>
      <c r="J107" s="397"/>
      <c r="K107" s="376"/>
      <c r="L107" s="376"/>
      <c r="M107" s="376"/>
      <c r="N107" s="376"/>
      <c r="O107" s="376"/>
      <c r="P107" s="376"/>
      <c r="Q107" s="578"/>
      <c r="R107" s="578"/>
      <c r="S107" s="578"/>
      <c r="T107" s="60"/>
      <c r="U107" s="192"/>
      <c r="V107" s="644">
        <f t="shared" si="3"/>
        <v>0</v>
      </c>
    </row>
    <row r="108" spans="1:22" ht="13.5" hidden="1" thickBot="1">
      <c r="A108" s="337"/>
      <c r="B108" s="339"/>
      <c r="C108" s="38"/>
      <c r="D108" s="24"/>
      <c r="E108" s="24"/>
      <c r="F108" s="24"/>
      <c r="G108" s="24"/>
      <c r="H108" s="52"/>
      <c r="I108" s="340"/>
      <c r="J108" s="341"/>
      <c r="K108" s="24"/>
      <c r="L108" s="24"/>
      <c r="M108" s="24"/>
      <c r="N108" s="24"/>
      <c r="O108" s="24"/>
      <c r="P108" s="24"/>
      <c r="Q108" s="183"/>
      <c r="R108" s="183"/>
      <c r="S108" s="183"/>
      <c r="T108" s="39"/>
      <c r="U108" s="101"/>
      <c r="V108" s="646">
        <f t="shared" si="3"/>
        <v>0</v>
      </c>
    </row>
    <row r="109" spans="1:22" ht="13.5" hidden="1" thickBot="1">
      <c r="A109" s="337"/>
      <c r="B109" s="339"/>
      <c r="C109" s="38"/>
      <c r="D109" s="24"/>
      <c r="E109" s="24"/>
      <c r="F109" s="24"/>
      <c r="G109" s="24"/>
      <c r="H109" s="52"/>
      <c r="I109" s="340"/>
      <c r="J109" s="341"/>
      <c r="K109" s="24"/>
      <c r="L109" s="24"/>
      <c r="M109" s="24"/>
      <c r="N109" s="24"/>
      <c r="O109" s="24"/>
      <c r="P109" s="24"/>
      <c r="Q109" s="183"/>
      <c r="R109" s="183"/>
      <c r="S109" s="183"/>
      <c r="T109" s="39"/>
      <c r="U109" s="101"/>
      <c r="V109" s="646">
        <f t="shared" si="3"/>
        <v>0</v>
      </c>
    </row>
    <row r="110" spans="1:22" ht="13.5" hidden="1" thickBot="1">
      <c r="A110" s="337"/>
      <c r="B110" s="339"/>
      <c r="C110" s="42"/>
      <c r="D110" s="27"/>
      <c r="E110" s="27"/>
      <c r="F110" s="27"/>
      <c r="G110" s="27"/>
      <c r="H110" s="59"/>
      <c r="I110" s="342"/>
      <c r="J110" s="343"/>
      <c r="K110" s="27"/>
      <c r="L110" s="27"/>
      <c r="M110" s="27"/>
      <c r="N110" s="27"/>
      <c r="O110" s="27"/>
      <c r="P110" s="27"/>
      <c r="Q110" s="201"/>
      <c r="R110" s="201"/>
      <c r="S110" s="201"/>
      <c r="T110" s="65"/>
      <c r="U110" s="232"/>
      <c r="V110" s="655">
        <f t="shared" si="3"/>
        <v>0</v>
      </c>
    </row>
    <row r="111" spans="1:22" ht="15.75" thickBot="1">
      <c r="A111" s="338" t="s">
        <v>213</v>
      </c>
      <c r="B111" s="838" t="s">
        <v>214</v>
      </c>
      <c r="C111" s="838"/>
      <c r="D111" s="212">
        <v>8298</v>
      </c>
      <c r="E111" s="212">
        <v>3983</v>
      </c>
      <c r="F111" s="212">
        <v>175065</v>
      </c>
      <c r="G111" s="212">
        <v>138049</v>
      </c>
      <c r="H111" s="212">
        <v>127764</v>
      </c>
      <c r="I111" s="121">
        <v>149292</v>
      </c>
      <c r="J111" s="212">
        <v>3000</v>
      </c>
      <c r="K111" s="60">
        <v>6455</v>
      </c>
      <c r="L111" s="60">
        <v>131475.39</v>
      </c>
      <c r="M111" s="192">
        <v>1775474.1500000001</v>
      </c>
      <c r="N111" s="60">
        <v>12967.75</v>
      </c>
      <c r="O111" s="192">
        <v>2000</v>
      </c>
      <c r="P111" s="192">
        <v>138793.75</v>
      </c>
      <c r="Q111" s="192">
        <v>36288</v>
      </c>
      <c r="R111" s="192">
        <v>84304.32</v>
      </c>
      <c r="S111" s="192"/>
      <c r="T111" s="60">
        <v>7700</v>
      </c>
      <c r="U111" s="192">
        <f>U112</f>
        <v>0</v>
      </c>
      <c r="V111" s="644">
        <f t="shared" si="3"/>
        <v>0</v>
      </c>
    </row>
    <row r="112" spans="1:22" ht="13.5" thickBot="1">
      <c r="A112" s="774"/>
      <c r="B112" s="842"/>
      <c r="C112" s="360" t="s">
        <v>432</v>
      </c>
      <c r="D112" s="398"/>
      <c r="E112" s="398"/>
      <c r="F112" s="398"/>
      <c r="G112" s="398"/>
      <c r="H112" s="399"/>
      <c r="I112" s="400"/>
      <c r="J112" s="401"/>
      <c r="K112" s="126"/>
      <c r="L112" s="126">
        <v>123141.28</v>
      </c>
      <c r="M112" s="195">
        <v>1602434.8900000001</v>
      </c>
      <c r="N112" s="126"/>
      <c r="O112" s="126"/>
      <c r="P112" s="126"/>
      <c r="Q112" s="195"/>
      <c r="R112" s="195"/>
      <c r="S112" s="195"/>
      <c r="T112" s="77">
        <v>7700</v>
      </c>
      <c r="U112" s="364"/>
      <c r="V112" s="656">
        <f t="shared" si="3"/>
        <v>0</v>
      </c>
    </row>
    <row r="113" spans="1:22" ht="13.5" hidden="1" thickBot="1">
      <c r="A113" s="775"/>
      <c r="B113" s="843"/>
      <c r="C113" s="365"/>
      <c r="D113" s="402"/>
      <c r="E113" s="402"/>
      <c r="F113" s="402"/>
      <c r="G113" s="402"/>
      <c r="H113" s="403"/>
      <c r="I113" s="404"/>
      <c r="J113" s="405"/>
      <c r="K113" s="20"/>
      <c r="L113" s="20"/>
      <c r="M113" s="115">
        <v>18092.39</v>
      </c>
      <c r="N113" s="20"/>
      <c r="O113" s="20"/>
      <c r="P113" s="20"/>
      <c r="Q113" s="115"/>
      <c r="R113" s="115"/>
      <c r="S113" s="115"/>
      <c r="T113" s="79"/>
      <c r="U113" s="487"/>
      <c r="V113" s="650">
        <f t="shared" si="3"/>
        <v>0</v>
      </c>
    </row>
    <row r="114" spans="1:22" ht="13.5" hidden="1" thickBot="1">
      <c r="A114" s="775"/>
      <c r="B114" s="843"/>
      <c r="C114" s="365"/>
      <c r="D114" s="402"/>
      <c r="E114" s="402"/>
      <c r="F114" s="402"/>
      <c r="G114" s="402"/>
      <c r="H114" s="403"/>
      <c r="I114" s="404"/>
      <c r="J114" s="405"/>
      <c r="K114" s="20"/>
      <c r="L114" s="20"/>
      <c r="M114" s="115">
        <v>16624.5</v>
      </c>
      <c r="N114" s="20"/>
      <c r="O114" s="20"/>
      <c r="P114" s="20"/>
      <c r="Q114" s="115"/>
      <c r="R114" s="115"/>
      <c r="S114" s="115"/>
      <c r="T114" s="79"/>
      <c r="U114" s="487"/>
      <c r="V114" s="650">
        <f t="shared" si="3"/>
        <v>0</v>
      </c>
    </row>
    <row r="115" spans="1:22" ht="13.5" hidden="1" thickBot="1">
      <c r="A115" s="775"/>
      <c r="B115" s="843"/>
      <c r="C115" s="365"/>
      <c r="D115" s="402"/>
      <c r="E115" s="402"/>
      <c r="F115" s="402"/>
      <c r="G115" s="402"/>
      <c r="H115" s="403"/>
      <c r="I115" s="404"/>
      <c r="J115" s="405"/>
      <c r="K115" s="20"/>
      <c r="L115" s="20"/>
      <c r="M115" s="115">
        <v>120000</v>
      </c>
      <c r="N115" s="20"/>
      <c r="O115" s="20"/>
      <c r="P115" s="20"/>
      <c r="Q115" s="115"/>
      <c r="R115" s="115"/>
      <c r="S115" s="115"/>
      <c r="T115" s="79"/>
      <c r="U115" s="487"/>
      <c r="V115" s="650">
        <f t="shared" si="3"/>
        <v>0</v>
      </c>
    </row>
    <row r="116" spans="1:22" ht="13.5" hidden="1" thickBot="1">
      <c r="A116" s="775"/>
      <c r="B116" s="843"/>
      <c r="C116" s="63"/>
      <c r="D116" s="21"/>
      <c r="E116" s="21"/>
      <c r="F116" s="21"/>
      <c r="G116" s="21"/>
      <c r="H116" s="50"/>
      <c r="I116" s="350"/>
      <c r="J116" s="351"/>
      <c r="K116" s="21">
        <v>6455</v>
      </c>
      <c r="L116" s="21"/>
      <c r="M116" s="105">
        <v>14992.37</v>
      </c>
      <c r="N116" s="21"/>
      <c r="O116" s="21"/>
      <c r="P116" s="21"/>
      <c r="Q116" s="105"/>
      <c r="R116" s="105"/>
      <c r="S116" s="105"/>
      <c r="T116" s="51"/>
      <c r="U116" s="64"/>
      <c r="V116" s="643">
        <f t="shared" si="3"/>
        <v>0</v>
      </c>
    </row>
    <row r="117" spans="1:22" ht="13.5" hidden="1" thickBot="1">
      <c r="A117" s="775"/>
      <c r="B117" s="843"/>
      <c r="C117" s="128"/>
      <c r="D117" s="62"/>
      <c r="E117" s="62"/>
      <c r="F117" s="62"/>
      <c r="G117" s="62"/>
      <c r="H117" s="61"/>
      <c r="I117" s="352"/>
      <c r="J117" s="353"/>
      <c r="K117" s="62"/>
      <c r="L117" s="39"/>
      <c r="M117" s="183"/>
      <c r="N117" s="21"/>
      <c r="O117" s="21"/>
      <c r="P117" s="21"/>
      <c r="Q117" s="105"/>
      <c r="R117" s="105"/>
      <c r="S117" s="105"/>
      <c r="T117" s="51"/>
      <c r="U117" s="64"/>
      <c r="V117" s="643">
        <f t="shared" si="3"/>
        <v>0</v>
      </c>
    </row>
    <row r="118" spans="1:22" ht="13.5" hidden="1" thickBot="1">
      <c r="A118" s="776"/>
      <c r="B118" s="844"/>
      <c r="C118" s="41"/>
      <c r="D118" s="43"/>
      <c r="E118" s="43"/>
      <c r="F118" s="43"/>
      <c r="G118" s="43"/>
      <c r="H118" s="53"/>
      <c r="I118" s="374"/>
      <c r="J118" s="375"/>
      <c r="K118" s="43"/>
      <c r="L118" s="68">
        <v>8334.11</v>
      </c>
      <c r="M118" s="189">
        <v>3330</v>
      </c>
      <c r="N118" s="68"/>
      <c r="O118" s="68"/>
      <c r="P118" s="68"/>
      <c r="Q118" s="189"/>
      <c r="R118" s="189"/>
      <c r="S118" s="189"/>
      <c r="T118" s="188"/>
      <c r="U118" s="310"/>
      <c r="V118" s="652">
        <f t="shared" si="3"/>
        <v>0</v>
      </c>
    </row>
    <row r="119" spans="1:22" ht="15.75" thickBot="1">
      <c r="A119" s="338" t="s">
        <v>51</v>
      </c>
      <c r="B119" s="838" t="s">
        <v>69</v>
      </c>
      <c r="C119" s="838"/>
      <c r="D119" s="212"/>
      <c r="E119" s="212">
        <v>22472</v>
      </c>
      <c r="F119" s="212">
        <v>20713</v>
      </c>
      <c r="G119" s="212">
        <v>11074</v>
      </c>
      <c r="H119" s="212">
        <v>15914</v>
      </c>
      <c r="I119" s="121">
        <v>116842</v>
      </c>
      <c r="J119" s="212">
        <v>38905</v>
      </c>
      <c r="K119" s="60">
        <v>15848</v>
      </c>
      <c r="L119" s="60">
        <v>26915.190000000002</v>
      </c>
      <c r="M119" s="192">
        <v>9771.24</v>
      </c>
      <c r="N119" s="60">
        <v>62531.63</v>
      </c>
      <c r="O119" s="192">
        <v>193266.02</v>
      </c>
      <c r="P119" s="192">
        <v>3920.81</v>
      </c>
      <c r="Q119" s="192"/>
      <c r="R119" s="192"/>
      <c r="S119" s="192"/>
      <c r="T119" s="60">
        <f>T120</f>
        <v>48265</v>
      </c>
      <c r="U119" s="192"/>
      <c r="V119" s="644">
        <f t="shared" si="3"/>
        <v>0</v>
      </c>
    </row>
    <row r="120" spans="1:22" ht="13.5" thickBot="1">
      <c r="A120" s="778"/>
      <c r="B120" s="834"/>
      <c r="C120" s="36" t="s">
        <v>411</v>
      </c>
      <c r="D120" s="84"/>
      <c r="E120" s="84"/>
      <c r="F120" s="84"/>
      <c r="G120" s="84"/>
      <c r="H120" s="49"/>
      <c r="I120" s="348"/>
      <c r="J120" s="349"/>
      <c r="K120" s="84">
        <v>7000</v>
      </c>
      <c r="L120" s="21">
        <v>16662.2</v>
      </c>
      <c r="M120" s="105"/>
      <c r="N120" s="21"/>
      <c r="O120" s="21"/>
      <c r="P120" s="12"/>
      <c r="Q120" s="225"/>
      <c r="R120" s="225"/>
      <c r="S120" s="225"/>
      <c r="T120" s="73">
        <v>48265</v>
      </c>
      <c r="U120" s="224"/>
      <c r="V120" s="657">
        <f t="shared" si="3"/>
        <v>0</v>
      </c>
    </row>
    <row r="121" spans="1:22" ht="13.5" hidden="1" thickBot="1">
      <c r="A121" s="779"/>
      <c r="B121" s="835"/>
      <c r="C121" s="38"/>
      <c r="D121" s="24"/>
      <c r="E121" s="24"/>
      <c r="F121" s="24"/>
      <c r="G121" s="24"/>
      <c r="H121" s="52"/>
      <c r="I121" s="340"/>
      <c r="J121" s="341"/>
      <c r="K121" s="24"/>
      <c r="L121" s="24"/>
      <c r="M121" s="183"/>
      <c r="N121" s="24"/>
      <c r="O121" s="24"/>
      <c r="P121" s="21"/>
      <c r="Q121" s="105"/>
      <c r="R121" s="105"/>
      <c r="S121" s="105"/>
      <c r="T121" s="51"/>
      <c r="U121" s="64"/>
      <c r="V121" s="643">
        <f t="shared" si="3"/>
        <v>0</v>
      </c>
    </row>
    <row r="122" spans="1:22" ht="13.5" hidden="1" thickBot="1">
      <c r="A122" s="779"/>
      <c r="B122" s="835"/>
      <c r="C122" s="38"/>
      <c r="D122" s="24"/>
      <c r="E122" s="24"/>
      <c r="F122" s="24"/>
      <c r="G122" s="24"/>
      <c r="H122" s="52"/>
      <c r="I122" s="340"/>
      <c r="J122" s="341"/>
      <c r="K122" s="24"/>
      <c r="L122" s="24"/>
      <c r="M122" s="183"/>
      <c r="N122" s="24"/>
      <c r="O122" s="24"/>
      <c r="P122" s="24"/>
      <c r="Q122" s="183"/>
      <c r="R122" s="183"/>
      <c r="S122" s="183"/>
      <c r="T122" s="39"/>
      <c r="U122" s="101"/>
      <c r="V122" s="646">
        <f t="shared" si="3"/>
        <v>0</v>
      </c>
    </row>
    <row r="123" spans="1:22" ht="13.5" hidden="1" thickBot="1">
      <c r="A123" s="779"/>
      <c r="B123" s="835"/>
      <c r="C123" s="38"/>
      <c r="D123" s="24"/>
      <c r="E123" s="24"/>
      <c r="F123" s="24"/>
      <c r="G123" s="24"/>
      <c r="H123" s="52"/>
      <c r="I123" s="340"/>
      <c r="J123" s="341"/>
      <c r="K123" s="24"/>
      <c r="L123" s="24"/>
      <c r="M123" s="183"/>
      <c r="N123" s="24"/>
      <c r="O123" s="24"/>
      <c r="P123" s="24"/>
      <c r="Q123" s="183"/>
      <c r="R123" s="183"/>
      <c r="S123" s="183"/>
      <c r="T123" s="39"/>
      <c r="U123" s="101"/>
      <c r="V123" s="646">
        <f t="shared" si="3"/>
        <v>0</v>
      </c>
    </row>
    <row r="124" spans="1:22" ht="13.5" hidden="1" thickBot="1">
      <c r="A124" s="779"/>
      <c r="B124" s="835"/>
      <c r="C124" s="41"/>
      <c r="D124" s="43"/>
      <c r="E124" s="43"/>
      <c r="F124" s="43"/>
      <c r="G124" s="43"/>
      <c r="H124" s="53"/>
      <c r="I124" s="374"/>
      <c r="J124" s="375"/>
      <c r="K124" s="43"/>
      <c r="L124" s="43"/>
      <c r="M124" s="233">
        <v>9771.24</v>
      </c>
      <c r="N124" s="43"/>
      <c r="O124" s="43"/>
      <c r="P124" s="43"/>
      <c r="Q124" s="233"/>
      <c r="R124" s="233"/>
      <c r="S124" s="233"/>
      <c r="T124" s="256"/>
      <c r="U124" s="712"/>
      <c r="V124" s="658">
        <f t="shared" si="3"/>
        <v>0</v>
      </c>
    </row>
    <row r="125" spans="1:22" ht="13.5" hidden="1" thickBot="1">
      <c r="A125" s="780"/>
      <c r="B125" s="836"/>
      <c r="C125" s="102"/>
      <c r="D125" s="68"/>
      <c r="E125" s="68"/>
      <c r="F125" s="68"/>
      <c r="G125" s="68"/>
      <c r="H125" s="67"/>
      <c r="I125" s="555"/>
      <c r="J125" s="556"/>
      <c r="K125" s="68">
        <v>8848</v>
      </c>
      <c r="L125" s="68">
        <v>10252.99</v>
      </c>
      <c r="M125" s="189"/>
      <c r="N125" s="68"/>
      <c r="O125" s="68"/>
      <c r="P125" s="68"/>
      <c r="Q125" s="189"/>
      <c r="R125" s="189"/>
      <c r="S125" s="189"/>
      <c r="T125" s="188"/>
      <c r="U125" s="310"/>
      <c r="V125" s="652">
        <f t="shared" si="3"/>
        <v>0</v>
      </c>
    </row>
    <row r="126" spans="1:22" ht="17.25" customHeight="1" thickBot="1">
      <c r="A126" s="338" t="s">
        <v>38</v>
      </c>
      <c r="B126" s="747" t="s">
        <v>2</v>
      </c>
      <c r="C126" s="765"/>
      <c r="D126" s="395"/>
      <c r="E126" s="395"/>
      <c r="F126" s="395"/>
      <c r="G126" s="395"/>
      <c r="H126" s="246"/>
      <c r="I126" s="396"/>
      <c r="J126" s="397"/>
      <c r="K126" s="376">
        <v>5500</v>
      </c>
      <c r="L126" s="376"/>
      <c r="M126" s="376">
        <v>0</v>
      </c>
      <c r="N126" s="376"/>
      <c r="O126" s="578">
        <v>10000</v>
      </c>
      <c r="P126" s="578">
        <v>2238</v>
      </c>
      <c r="Q126" s="578">
        <v>21924.4</v>
      </c>
      <c r="R126" s="578">
        <v>1080</v>
      </c>
      <c r="S126" s="578"/>
      <c r="T126" s="69">
        <f>T127</f>
        <v>84299</v>
      </c>
      <c r="U126" s="70">
        <f>U127</f>
        <v>12820.31</v>
      </c>
      <c r="V126" s="659">
        <f t="shared" si="3"/>
        <v>15.208140072835977</v>
      </c>
    </row>
    <row r="127" spans="1:22" ht="12.75" customHeight="1" thickBot="1">
      <c r="A127" s="337"/>
      <c r="B127" s="339"/>
      <c r="C127" s="102" t="s">
        <v>36</v>
      </c>
      <c r="D127" s="62"/>
      <c r="E127" s="62"/>
      <c r="F127" s="62"/>
      <c r="G127" s="62"/>
      <c r="H127" s="61"/>
      <c r="I127" s="352"/>
      <c r="J127" s="353"/>
      <c r="K127" s="62">
        <v>5500</v>
      </c>
      <c r="L127" s="62"/>
      <c r="M127" s="62"/>
      <c r="N127" s="62"/>
      <c r="O127" s="103"/>
      <c r="P127" s="103"/>
      <c r="Q127" s="103"/>
      <c r="R127" s="103"/>
      <c r="S127" s="103"/>
      <c r="T127" s="39">
        <v>84299</v>
      </c>
      <c r="U127" s="101">
        <v>12820.31</v>
      </c>
      <c r="V127" s="646">
        <f t="shared" si="3"/>
        <v>15.208140072835977</v>
      </c>
    </row>
    <row r="128" spans="1:25" ht="17.25" customHeight="1" thickBot="1">
      <c r="A128" s="406" t="s">
        <v>6</v>
      </c>
      <c r="B128" s="849" t="s">
        <v>7</v>
      </c>
      <c r="C128" s="849"/>
      <c r="D128" s="212">
        <v>666567</v>
      </c>
      <c r="E128" s="212">
        <v>223164</v>
      </c>
      <c r="F128" s="212">
        <v>527019</v>
      </c>
      <c r="G128" s="212">
        <v>279677</v>
      </c>
      <c r="H128" s="212">
        <v>1160065</v>
      </c>
      <c r="I128" s="407">
        <v>2097438</v>
      </c>
      <c r="J128" s="212">
        <v>344577</v>
      </c>
      <c r="K128" s="60">
        <v>11076</v>
      </c>
      <c r="L128" s="60">
        <v>22611.84</v>
      </c>
      <c r="M128" s="192">
        <v>52135.36</v>
      </c>
      <c r="N128" s="60">
        <v>60359.19</v>
      </c>
      <c r="O128" s="192">
        <v>319793.29</v>
      </c>
      <c r="P128" s="192">
        <v>478985.9</v>
      </c>
      <c r="Q128" s="192">
        <v>204385.99</v>
      </c>
      <c r="R128" s="192">
        <v>183771.86</v>
      </c>
      <c r="S128" s="192">
        <v>196595</v>
      </c>
      <c r="T128" s="60">
        <f>SUM(T129:T141)</f>
        <v>518029</v>
      </c>
      <c r="U128" s="192">
        <f>SUM(U129:U141)</f>
        <v>410130.78</v>
      </c>
      <c r="V128" s="644">
        <f t="shared" si="3"/>
        <v>79.17139387949324</v>
      </c>
      <c r="X128" s="536"/>
      <c r="Y128" s="536"/>
    </row>
    <row r="129" spans="1:22" ht="12.75" hidden="1">
      <c r="A129" s="778"/>
      <c r="B129" s="834"/>
      <c r="C129" s="38"/>
      <c r="D129" s="52"/>
      <c r="E129" s="52"/>
      <c r="F129" s="52"/>
      <c r="G129" s="52"/>
      <c r="H129" s="52"/>
      <c r="I129" s="340"/>
      <c r="J129" s="341"/>
      <c r="K129" s="24">
        <v>11076</v>
      </c>
      <c r="L129" s="21"/>
      <c r="M129" s="21"/>
      <c r="N129" s="21"/>
      <c r="O129" s="21"/>
      <c r="P129" s="21"/>
      <c r="Q129" s="105"/>
      <c r="R129" s="105"/>
      <c r="S129" s="105"/>
      <c r="T129" s="51"/>
      <c r="U129" s="64"/>
      <c r="V129" s="643">
        <f t="shared" si="3"/>
        <v>0</v>
      </c>
    </row>
    <row r="130" spans="1:22" ht="12.75">
      <c r="A130" s="779"/>
      <c r="B130" s="835"/>
      <c r="C130" s="38" t="s">
        <v>370</v>
      </c>
      <c r="D130" s="52"/>
      <c r="E130" s="52"/>
      <c r="F130" s="52"/>
      <c r="G130" s="52"/>
      <c r="H130" s="52"/>
      <c r="I130" s="340"/>
      <c r="J130" s="341"/>
      <c r="K130" s="24"/>
      <c r="L130" s="21"/>
      <c r="M130" s="21"/>
      <c r="N130" s="21"/>
      <c r="O130" s="21"/>
      <c r="P130" s="21"/>
      <c r="Q130" s="105"/>
      <c r="R130" s="105"/>
      <c r="S130" s="105"/>
      <c r="T130" s="51">
        <v>17000</v>
      </c>
      <c r="U130" s="64">
        <v>17000</v>
      </c>
      <c r="V130" s="643">
        <f t="shared" si="3"/>
        <v>100</v>
      </c>
    </row>
    <row r="131" spans="1:22" ht="12.75">
      <c r="A131" s="779"/>
      <c r="B131" s="835"/>
      <c r="C131" s="38" t="s">
        <v>340</v>
      </c>
      <c r="D131" s="52"/>
      <c r="E131" s="52"/>
      <c r="F131" s="52"/>
      <c r="G131" s="52"/>
      <c r="H131" s="52"/>
      <c r="I131" s="340"/>
      <c r="J131" s="341"/>
      <c r="K131" s="24"/>
      <c r="L131" s="21"/>
      <c r="M131" s="21"/>
      <c r="N131" s="21"/>
      <c r="O131" s="21"/>
      <c r="P131" s="21"/>
      <c r="Q131" s="105"/>
      <c r="R131" s="105"/>
      <c r="S131" s="105"/>
      <c r="T131" s="51">
        <v>10737</v>
      </c>
      <c r="U131" s="64">
        <v>10737</v>
      </c>
      <c r="V131" s="643">
        <f t="shared" si="3"/>
        <v>100</v>
      </c>
    </row>
    <row r="132" spans="1:22" ht="12.75">
      <c r="A132" s="779"/>
      <c r="B132" s="835"/>
      <c r="C132" s="38" t="s">
        <v>428</v>
      </c>
      <c r="D132" s="52"/>
      <c r="E132" s="52"/>
      <c r="F132" s="52"/>
      <c r="G132" s="52"/>
      <c r="H132" s="52"/>
      <c r="I132" s="340"/>
      <c r="J132" s="341"/>
      <c r="K132" s="24"/>
      <c r="L132" s="21"/>
      <c r="M132" s="21"/>
      <c r="N132" s="21"/>
      <c r="O132" s="21"/>
      <c r="P132" s="21"/>
      <c r="Q132" s="105"/>
      <c r="R132" s="105"/>
      <c r="S132" s="105"/>
      <c r="T132" s="51">
        <v>15889</v>
      </c>
      <c r="U132" s="64">
        <v>15888.28</v>
      </c>
      <c r="V132" s="643">
        <f aca="true" t="shared" si="4" ref="V132:V153">IF(T132=0,0,U132/T132*100)</f>
        <v>99.9954685631569</v>
      </c>
    </row>
    <row r="133" spans="1:25" ht="12.75">
      <c r="A133" s="779"/>
      <c r="B133" s="835"/>
      <c r="C133" s="38" t="s">
        <v>429</v>
      </c>
      <c r="D133" s="52"/>
      <c r="E133" s="52"/>
      <c r="F133" s="52"/>
      <c r="G133" s="52"/>
      <c r="H133" s="52"/>
      <c r="I133" s="340"/>
      <c r="J133" s="341"/>
      <c r="K133" s="24"/>
      <c r="L133" s="21"/>
      <c r="M133" s="21"/>
      <c r="N133" s="21"/>
      <c r="O133" s="21"/>
      <c r="P133" s="21"/>
      <c r="Q133" s="105"/>
      <c r="R133" s="105"/>
      <c r="S133" s="105"/>
      <c r="T133" s="51">
        <v>19000</v>
      </c>
      <c r="U133" s="64">
        <v>18089.72</v>
      </c>
      <c r="V133" s="643">
        <f t="shared" si="4"/>
        <v>95.20905263157896</v>
      </c>
      <c r="Y133" s="536"/>
    </row>
    <row r="134" spans="1:25" ht="12.75">
      <c r="A134" s="779"/>
      <c r="B134" s="835"/>
      <c r="C134" s="38" t="s">
        <v>359</v>
      </c>
      <c r="D134" s="52"/>
      <c r="E134" s="52"/>
      <c r="F134" s="52"/>
      <c r="G134" s="52"/>
      <c r="H134" s="52"/>
      <c r="I134" s="340"/>
      <c r="J134" s="341"/>
      <c r="K134" s="24"/>
      <c r="L134" s="21"/>
      <c r="M134" s="21"/>
      <c r="N134" s="21"/>
      <c r="O134" s="21"/>
      <c r="P134" s="21"/>
      <c r="Q134" s="105"/>
      <c r="R134" s="105"/>
      <c r="S134" s="105"/>
      <c r="T134" s="51">
        <v>98600</v>
      </c>
      <c r="U134" s="64">
        <v>98600</v>
      </c>
      <c r="V134" s="643">
        <f t="shared" si="4"/>
        <v>100</v>
      </c>
      <c r="Y134" s="536"/>
    </row>
    <row r="135" spans="1:25" ht="12.75">
      <c r="A135" s="779"/>
      <c r="B135" s="835"/>
      <c r="C135" s="38" t="s">
        <v>434</v>
      </c>
      <c r="D135" s="52"/>
      <c r="E135" s="52"/>
      <c r="F135" s="52"/>
      <c r="G135" s="52"/>
      <c r="H135" s="52"/>
      <c r="I135" s="340"/>
      <c r="J135" s="341"/>
      <c r="K135" s="24"/>
      <c r="L135" s="21"/>
      <c r="M135" s="21"/>
      <c r="N135" s="21"/>
      <c r="O135" s="21"/>
      <c r="P135" s="21"/>
      <c r="Q135" s="105"/>
      <c r="R135" s="105"/>
      <c r="S135" s="105"/>
      <c r="T135" s="51">
        <v>15251</v>
      </c>
      <c r="U135" s="64">
        <v>15251</v>
      </c>
      <c r="V135" s="643">
        <f t="shared" si="4"/>
        <v>100</v>
      </c>
      <c r="Y135" s="536"/>
    </row>
    <row r="136" spans="1:22" ht="12.75">
      <c r="A136" s="779"/>
      <c r="B136" s="835"/>
      <c r="C136" s="38" t="s">
        <v>311</v>
      </c>
      <c r="D136" s="52"/>
      <c r="E136" s="52"/>
      <c r="F136" s="52"/>
      <c r="G136" s="52"/>
      <c r="H136" s="52"/>
      <c r="I136" s="340"/>
      <c r="J136" s="341"/>
      <c r="K136" s="24"/>
      <c r="L136" s="21"/>
      <c r="M136" s="21"/>
      <c r="N136" s="21"/>
      <c r="O136" s="21"/>
      <c r="P136" s="21"/>
      <c r="Q136" s="105"/>
      <c r="R136" s="105"/>
      <c r="S136" s="105"/>
      <c r="T136" s="51">
        <v>13777</v>
      </c>
      <c r="U136" s="64"/>
      <c r="V136" s="643">
        <f t="shared" si="4"/>
        <v>0</v>
      </c>
    </row>
    <row r="137" spans="1:22" ht="12.75">
      <c r="A137" s="779"/>
      <c r="B137" s="835"/>
      <c r="C137" s="38" t="s">
        <v>433</v>
      </c>
      <c r="D137" s="52"/>
      <c r="E137" s="52"/>
      <c r="F137" s="52"/>
      <c r="G137" s="52"/>
      <c r="H137" s="52"/>
      <c r="I137" s="340"/>
      <c r="J137" s="341"/>
      <c r="K137" s="24"/>
      <c r="L137" s="21"/>
      <c r="M137" s="21"/>
      <c r="N137" s="21"/>
      <c r="O137" s="21"/>
      <c r="P137" s="21"/>
      <c r="Q137" s="105"/>
      <c r="R137" s="105"/>
      <c r="S137" s="105"/>
      <c r="T137" s="51">
        <v>113145</v>
      </c>
      <c r="U137" s="64">
        <v>109822.75</v>
      </c>
      <c r="V137" s="643">
        <f t="shared" si="4"/>
        <v>97.0637235405895</v>
      </c>
    </row>
    <row r="138" spans="1:22" ht="12.75" hidden="1">
      <c r="A138" s="779"/>
      <c r="B138" s="835"/>
      <c r="C138" s="38"/>
      <c r="D138" s="52"/>
      <c r="E138" s="52"/>
      <c r="F138" s="52"/>
      <c r="G138" s="52"/>
      <c r="H138" s="52"/>
      <c r="I138" s="340"/>
      <c r="J138" s="341"/>
      <c r="K138" s="24"/>
      <c r="L138" s="21">
        <v>22611.84</v>
      </c>
      <c r="M138" s="105"/>
      <c r="N138" s="21"/>
      <c r="O138" s="21"/>
      <c r="P138" s="21"/>
      <c r="Q138" s="105"/>
      <c r="R138" s="105"/>
      <c r="S138" s="105"/>
      <c r="T138" s="51">
        <v>0</v>
      </c>
      <c r="U138" s="64"/>
      <c r="V138" s="643">
        <f t="shared" si="4"/>
        <v>0</v>
      </c>
    </row>
    <row r="139" spans="1:22" ht="12.75">
      <c r="A139" s="779"/>
      <c r="B139" s="835"/>
      <c r="C139" s="38" t="s">
        <v>414</v>
      </c>
      <c r="D139" s="52"/>
      <c r="E139" s="52"/>
      <c r="F139" s="52"/>
      <c r="G139" s="52"/>
      <c r="H139" s="52"/>
      <c r="I139" s="340"/>
      <c r="J139" s="341"/>
      <c r="K139" s="24"/>
      <c r="L139" s="21"/>
      <c r="M139" s="105"/>
      <c r="N139" s="21"/>
      <c r="O139" s="21"/>
      <c r="P139" s="21"/>
      <c r="Q139" s="105"/>
      <c r="R139" s="105"/>
      <c r="S139" s="105"/>
      <c r="T139" s="51">
        <v>15669</v>
      </c>
      <c r="U139" s="64">
        <v>15669</v>
      </c>
      <c r="V139" s="643">
        <f t="shared" si="4"/>
        <v>100</v>
      </c>
    </row>
    <row r="140" spans="1:22" ht="12.75">
      <c r="A140" s="779"/>
      <c r="B140" s="835"/>
      <c r="C140" s="38" t="s">
        <v>382</v>
      </c>
      <c r="D140" s="52"/>
      <c r="E140" s="52"/>
      <c r="F140" s="52"/>
      <c r="G140" s="52"/>
      <c r="H140" s="52"/>
      <c r="I140" s="340"/>
      <c r="J140" s="341"/>
      <c r="K140" s="24"/>
      <c r="L140" s="21"/>
      <c r="M140" s="105">
        <v>31200</v>
      </c>
      <c r="N140" s="21"/>
      <c r="O140" s="21"/>
      <c r="P140" s="21"/>
      <c r="Q140" s="105"/>
      <c r="R140" s="105"/>
      <c r="S140" s="105"/>
      <c r="T140" s="51">
        <v>89887</v>
      </c>
      <c r="U140" s="64"/>
      <c r="V140" s="643">
        <f t="shared" si="4"/>
        <v>0</v>
      </c>
    </row>
    <row r="141" spans="1:22" ht="13.5" thickBot="1">
      <c r="A141" s="779"/>
      <c r="B141" s="835"/>
      <c r="C141" s="38" t="s">
        <v>410</v>
      </c>
      <c r="D141" s="52"/>
      <c r="E141" s="52"/>
      <c r="F141" s="52"/>
      <c r="G141" s="52"/>
      <c r="H141" s="52"/>
      <c r="I141" s="340"/>
      <c r="J141" s="341"/>
      <c r="K141" s="24"/>
      <c r="L141" s="21"/>
      <c r="M141" s="105">
        <v>12085.36</v>
      </c>
      <c r="N141" s="21"/>
      <c r="O141" s="21"/>
      <c r="P141" s="21"/>
      <c r="Q141" s="105"/>
      <c r="R141" s="105"/>
      <c r="S141" s="105"/>
      <c r="T141" s="51">
        <v>109074</v>
      </c>
      <c r="U141" s="64">
        <v>109073.03</v>
      </c>
      <c r="V141" s="643">
        <f t="shared" si="4"/>
        <v>99.99911069549114</v>
      </c>
    </row>
    <row r="142" spans="1:22" ht="13.5" hidden="1" thickBot="1">
      <c r="A142" s="779"/>
      <c r="B142" s="835"/>
      <c r="C142" s="38"/>
      <c r="D142" s="59"/>
      <c r="E142" s="59"/>
      <c r="F142" s="59"/>
      <c r="G142" s="59"/>
      <c r="H142" s="59"/>
      <c r="I142" s="342"/>
      <c r="J142" s="343"/>
      <c r="K142" s="27"/>
      <c r="L142" s="21"/>
      <c r="M142" s="105"/>
      <c r="N142" s="21"/>
      <c r="O142" s="21"/>
      <c r="P142" s="21"/>
      <c r="Q142" s="105"/>
      <c r="R142" s="105"/>
      <c r="S142" s="105"/>
      <c r="T142" s="51"/>
      <c r="U142" s="64"/>
      <c r="V142" s="643">
        <f t="shared" si="4"/>
        <v>0</v>
      </c>
    </row>
    <row r="143" spans="1:22" ht="13.5" hidden="1" thickBot="1">
      <c r="A143" s="779"/>
      <c r="B143" s="835"/>
      <c r="C143" s="38"/>
      <c r="D143" s="59"/>
      <c r="E143" s="59"/>
      <c r="F143" s="59"/>
      <c r="G143" s="59"/>
      <c r="H143" s="59"/>
      <c r="I143" s="342"/>
      <c r="J143" s="343"/>
      <c r="K143" s="27"/>
      <c r="L143" s="24"/>
      <c r="M143" s="183">
        <v>8850</v>
      </c>
      <c r="N143" s="39"/>
      <c r="O143" s="51"/>
      <c r="P143" s="51"/>
      <c r="Q143" s="64"/>
      <c r="R143" s="64"/>
      <c r="S143" s="64"/>
      <c r="T143" s="51"/>
      <c r="U143" s="64"/>
      <c r="V143" s="643">
        <f t="shared" si="4"/>
        <v>0</v>
      </c>
    </row>
    <row r="144" spans="1:22" ht="13.5" hidden="1" thickBot="1">
      <c r="A144" s="779"/>
      <c r="B144" s="835"/>
      <c r="C144" s="42"/>
      <c r="D144" s="59"/>
      <c r="E144" s="59"/>
      <c r="F144" s="59"/>
      <c r="G144" s="59"/>
      <c r="H144" s="59"/>
      <c r="I144" s="342"/>
      <c r="J144" s="343"/>
      <c r="K144" s="27"/>
      <c r="L144" s="62"/>
      <c r="M144" s="103"/>
      <c r="N144" s="62"/>
      <c r="O144" s="62"/>
      <c r="P144" s="62"/>
      <c r="Q144" s="103"/>
      <c r="R144" s="103"/>
      <c r="S144" s="103"/>
      <c r="T144" s="51"/>
      <c r="U144" s="64"/>
      <c r="V144" s="643">
        <f t="shared" si="4"/>
        <v>0</v>
      </c>
    </row>
    <row r="145" spans="1:22" ht="13.5" hidden="1" thickBot="1">
      <c r="A145" s="780"/>
      <c r="B145" s="836"/>
      <c r="C145" s="42"/>
      <c r="D145" s="59"/>
      <c r="E145" s="59"/>
      <c r="F145" s="59"/>
      <c r="G145" s="59"/>
      <c r="H145" s="59"/>
      <c r="I145" s="342"/>
      <c r="J145" s="343"/>
      <c r="K145" s="27"/>
      <c r="L145" s="27"/>
      <c r="M145" s="201"/>
      <c r="N145" s="27"/>
      <c r="O145" s="27"/>
      <c r="P145" s="27"/>
      <c r="Q145" s="201"/>
      <c r="R145" s="201"/>
      <c r="S145" s="201"/>
      <c r="T145" s="39"/>
      <c r="U145" s="101"/>
      <c r="V145" s="646">
        <f t="shared" si="4"/>
        <v>0</v>
      </c>
    </row>
    <row r="146" spans="1:22" ht="15.75" thickBot="1">
      <c r="A146" s="190" t="s">
        <v>15</v>
      </c>
      <c r="B146" s="747" t="s">
        <v>16</v>
      </c>
      <c r="C146" s="765"/>
      <c r="D146" s="6"/>
      <c r="E146" s="6"/>
      <c r="F146" s="6"/>
      <c r="G146" s="6"/>
      <c r="H146" s="6"/>
      <c r="I146" s="258">
        <v>104542</v>
      </c>
      <c r="J146" s="191">
        <v>66000</v>
      </c>
      <c r="K146" s="60">
        <v>0</v>
      </c>
      <c r="L146" s="94"/>
      <c r="M146" s="94"/>
      <c r="N146" s="94"/>
      <c r="O146" s="94"/>
      <c r="P146" s="94">
        <v>35641.19</v>
      </c>
      <c r="Q146" s="503">
        <v>17</v>
      </c>
      <c r="R146" s="503"/>
      <c r="S146" s="503"/>
      <c r="T146" s="60">
        <f>T147</f>
        <v>0</v>
      </c>
      <c r="U146" s="192">
        <f>U147</f>
        <v>0</v>
      </c>
      <c r="V146" s="644">
        <f t="shared" si="4"/>
        <v>0</v>
      </c>
    </row>
    <row r="147" spans="1:22" ht="13.5" hidden="1" thickBot="1">
      <c r="A147" s="408"/>
      <c r="B147" s="521"/>
      <c r="C147" s="521"/>
      <c r="D147" s="409"/>
      <c r="E147" s="409"/>
      <c r="F147" s="409"/>
      <c r="G147" s="409"/>
      <c r="H147" s="409"/>
      <c r="I147" s="409"/>
      <c r="J147" s="409"/>
      <c r="K147" s="409"/>
      <c r="L147" s="522"/>
      <c r="M147" s="521"/>
      <c r="N147" s="523"/>
      <c r="O147" s="523"/>
      <c r="P147" s="523"/>
      <c r="Q147" s="524"/>
      <c r="R147" s="524"/>
      <c r="S147" s="524"/>
      <c r="T147" s="521"/>
      <c r="U147" s="524"/>
      <c r="V147" s="660">
        <f t="shared" si="4"/>
        <v>0</v>
      </c>
    </row>
    <row r="148" spans="1:22" ht="15.75" thickBot="1">
      <c r="A148" s="406" t="s">
        <v>21</v>
      </c>
      <c r="B148" s="777" t="s">
        <v>49</v>
      </c>
      <c r="C148" s="740"/>
      <c r="D148" s="409"/>
      <c r="E148" s="409"/>
      <c r="F148" s="409"/>
      <c r="G148" s="409"/>
      <c r="H148" s="409"/>
      <c r="I148" s="409"/>
      <c r="J148" s="409"/>
      <c r="K148" s="409"/>
      <c r="L148" s="492"/>
      <c r="M148" s="117"/>
      <c r="N148" s="409"/>
      <c r="O148" s="409"/>
      <c r="P148" s="521"/>
      <c r="Q148" s="524">
        <v>1550</v>
      </c>
      <c r="R148" s="524"/>
      <c r="S148" s="613"/>
      <c r="T148" s="472">
        <f>T149</f>
        <v>0</v>
      </c>
      <c r="U148" s="681">
        <f>U149</f>
        <v>0</v>
      </c>
      <c r="V148" s="661">
        <f t="shared" si="4"/>
        <v>0</v>
      </c>
    </row>
    <row r="149" spans="1:22" ht="13.5" hidden="1" thickBot="1">
      <c r="A149" s="408"/>
      <c r="B149" s="409"/>
      <c r="C149" s="116" t="s">
        <v>351</v>
      </c>
      <c r="D149" s="409"/>
      <c r="E149" s="409"/>
      <c r="F149" s="409"/>
      <c r="G149" s="409"/>
      <c r="H149" s="409"/>
      <c r="I149" s="409"/>
      <c r="J149" s="409"/>
      <c r="K149" s="409"/>
      <c r="L149" s="492"/>
      <c r="M149" s="117"/>
      <c r="N149" s="409"/>
      <c r="O149" s="409"/>
      <c r="P149" s="409"/>
      <c r="Q149" s="602"/>
      <c r="R149" s="488"/>
      <c r="S149" s="488"/>
      <c r="T149" s="116"/>
      <c r="U149" s="488"/>
      <c r="V149" s="662">
        <f t="shared" si="4"/>
        <v>0</v>
      </c>
    </row>
    <row r="150" spans="1:22" ht="13.5" hidden="1" thickBot="1">
      <c r="A150" s="337"/>
      <c r="B150" s="339"/>
      <c r="C150" s="128"/>
      <c r="D150" s="61"/>
      <c r="E150" s="61"/>
      <c r="F150" s="61"/>
      <c r="G150" s="61"/>
      <c r="H150" s="61"/>
      <c r="I150" s="61"/>
      <c r="J150" s="61"/>
      <c r="K150" s="62"/>
      <c r="L150" s="62"/>
      <c r="M150" s="62"/>
      <c r="N150" s="62"/>
      <c r="O150" s="62"/>
      <c r="P150" s="62"/>
      <c r="Q150" s="310"/>
      <c r="R150" s="486"/>
      <c r="S150" s="486"/>
      <c r="T150" s="220"/>
      <c r="U150" s="486">
        <v>0</v>
      </c>
      <c r="V150" s="647">
        <f t="shared" si="4"/>
        <v>0</v>
      </c>
    </row>
    <row r="151" spans="1:22" ht="13.5" hidden="1" thickBot="1">
      <c r="A151" s="410" t="s">
        <v>39</v>
      </c>
      <c r="B151" s="850" t="s">
        <v>23</v>
      </c>
      <c r="C151" s="851"/>
      <c r="D151" s="411"/>
      <c r="E151" s="411"/>
      <c r="F151" s="411"/>
      <c r="G151" s="411"/>
      <c r="H151" s="411"/>
      <c r="I151" s="113">
        <v>0</v>
      </c>
      <c r="J151" s="113">
        <v>0</v>
      </c>
      <c r="K151" s="113">
        <v>0</v>
      </c>
      <c r="L151" s="113">
        <v>82887.77</v>
      </c>
      <c r="M151" s="513">
        <v>7399.64</v>
      </c>
      <c r="N151" s="470">
        <v>0</v>
      </c>
      <c r="O151" s="470">
        <v>0</v>
      </c>
      <c r="P151" s="470"/>
      <c r="Q151" s="303"/>
      <c r="R151" s="303"/>
      <c r="S151" s="303"/>
      <c r="T151" s="470">
        <v>0</v>
      </c>
      <c r="U151" s="303">
        <v>0</v>
      </c>
      <c r="V151" s="663">
        <f t="shared" si="4"/>
        <v>0</v>
      </c>
    </row>
    <row r="152" spans="1:22" ht="13.5" hidden="1" thickBot="1">
      <c r="A152" s="337"/>
      <c r="B152" s="339"/>
      <c r="C152" s="409" t="s">
        <v>184</v>
      </c>
      <c r="D152" s="409"/>
      <c r="E152" s="409"/>
      <c r="F152" s="409"/>
      <c r="G152" s="409"/>
      <c r="H152" s="409"/>
      <c r="I152" s="61"/>
      <c r="J152" s="61"/>
      <c r="K152" s="62"/>
      <c r="L152" s="62">
        <v>82887.77</v>
      </c>
      <c r="M152" s="103">
        <v>7399.64</v>
      </c>
      <c r="N152" s="62"/>
      <c r="O152" s="62"/>
      <c r="P152" s="62"/>
      <c r="Q152" s="103"/>
      <c r="R152" s="103"/>
      <c r="S152" s="103"/>
      <c r="T152" s="220"/>
      <c r="U152" s="486">
        <v>0</v>
      </c>
      <c r="V152" s="647">
        <f t="shared" si="4"/>
        <v>0</v>
      </c>
    </row>
    <row r="153" spans="1:22" ht="17.25" thickBot="1" thickTop="1">
      <c r="A153" s="847" t="s">
        <v>40</v>
      </c>
      <c r="B153" s="848"/>
      <c r="C153" s="848"/>
      <c r="D153" s="90">
        <v>2988050</v>
      </c>
      <c r="E153" s="90">
        <v>1793069</v>
      </c>
      <c r="F153" s="90">
        <v>2942409</v>
      </c>
      <c r="G153" s="90">
        <v>4880528</v>
      </c>
      <c r="H153" s="90">
        <v>5977301</v>
      </c>
      <c r="I153" s="90">
        <v>5818483</v>
      </c>
      <c r="J153" s="90">
        <v>4719096</v>
      </c>
      <c r="K153" s="90">
        <v>3939694</v>
      </c>
      <c r="L153" s="90">
        <v>1800938.79</v>
      </c>
      <c r="M153" s="334">
        <v>2904600.1800000006</v>
      </c>
      <c r="N153" s="90">
        <v>1348818.6500000001</v>
      </c>
      <c r="O153" s="334">
        <v>1900647.68</v>
      </c>
      <c r="P153" s="90">
        <v>2329182.13</v>
      </c>
      <c r="Q153" s="334">
        <v>2649518.4899999998</v>
      </c>
      <c r="R153" s="334">
        <v>2729306.48</v>
      </c>
      <c r="S153" s="334">
        <v>6260788.56</v>
      </c>
      <c r="T153" s="90">
        <f>T148+T146+T128+T126+T111+T105+T79+T75+T67+T58+T30+T12+T9+T4+T119</f>
        <v>6763771</v>
      </c>
      <c r="U153" s="334">
        <f>U148+U146+U128+U126+U111+U105+U79+U75+U67+U58+U30+U12+U9+U4</f>
        <v>3770750.1299999994</v>
      </c>
      <c r="V153" s="664">
        <f t="shared" si="4"/>
        <v>55.74922820420738</v>
      </c>
    </row>
    <row r="154" ht="13.5" thickTop="1"/>
    <row r="156" spans="20:22" ht="12.75">
      <c r="T156" s="536"/>
      <c r="U156" s="536"/>
      <c r="V156" s="536"/>
    </row>
    <row r="158" spans="21:22" ht="12.75">
      <c r="U158" s="713"/>
      <c r="V158" s="536"/>
    </row>
    <row r="159" spans="17:22" ht="12.75">
      <c r="Q159" s="536"/>
      <c r="R159" s="536"/>
      <c r="S159" s="536"/>
      <c r="T159" s="536"/>
      <c r="U159" s="536"/>
      <c r="V159" s="536"/>
    </row>
    <row r="162" spans="20:22" ht="12.75">
      <c r="T162" s="536"/>
      <c r="U162" s="713"/>
      <c r="V162" s="536"/>
    </row>
    <row r="165" spans="18:19" ht="12.75">
      <c r="R165" s="536"/>
      <c r="S165" s="536"/>
    </row>
  </sheetData>
  <sheetProtection/>
  <mergeCells count="61">
    <mergeCell ref="B111:C111"/>
    <mergeCell ref="I2:I3"/>
    <mergeCell ref="J2:J3"/>
    <mergeCell ref="H2:H3"/>
    <mergeCell ref="F2:F3"/>
    <mergeCell ref="A2:A3"/>
    <mergeCell ref="B10:B11"/>
    <mergeCell ref="B13:B29"/>
    <mergeCell ref="A13:A29"/>
    <mergeCell ref="A153:C153"/>
    <mergeCell ref="B126:C126"/>
    <mergeCell ref="B128:C128"/>
    <mergeCell ref="A129:A145"/>
    <mergeCell ref="B129:B145"/>
    <mergeCell ref="E2:E3"/>
    <mergeCell ref="B151:C151"/>
    <mergeCell ref="B105:C105"/>
    <mergeCell ref="A80:A104"/>
    <mergeCell ref="B146:C146"/>
    <mergeCell ref="B119:C119"/>
    <mergeCell ref="A112:A118"/>
    <mergeCell ref="B112:B118"/>
    <mergeCell ref="B107:C107"/>
    <mergeCell ref="A5:A8"/>
    <mergeCell ref="B67:C67"/>
    <mergeCell ref="B65:C65"/>
    <mergeCell ref="B58:C58"/>
    <mergeCell ref="B9:C9"/>
    <mergeCell ref="B12:C12"/>
    <mergeCell ref="A37:A56"/>
    <mergeCell ref="B5:B8"/>
    <mergeCell ref="D2:D3"/>
    <mergeCell ref="S2:S3"/>
    <mergeCell ref="G2:G3"/>
    <mergeCell ref="L2:L3"/>
    <mergeCell ref="B79:C79"/>
    <mergeCell ref="B76:B78"/>
    <mergeCell ref="B68:B74"/>
    <mergeCell ref="B75:C75"/>
    <mergeCell ref="M2:M3"/>
    <mergeCell ref="C2:C3"/>
    <mergeCell ref="B2:B3"/>
    <mergeCell ref="B37:B56"/>
    <mergeCell ref="B4:C4"/>
    <mergeCell ref="V2:V3"/>
    <mergeCell ref="Q2:Q3"/>
    <mergeCell ref="T2:T3"/>
    <mergeCell ref="P2:P3"/>
    <mergeCell ref="K2:K3"/>
    <mergeCell ref="R2:R3"/>
    <mergeCell ref="U2:U3"/>
    <mergeCell ref="A1:C1"/>
    <mergeCell ref="B148:C148"/>
    <mergeCell ref="O2:O3"/>
    <mergeCell ref="N2:N3"/>
    <mergeCell ref="A120:A125"/>
    <mergeCell ref="B120:B125"/>
    <mergeCell ref="B30:C30"/>
    <mergeCell ref="A76:A78"/>
    <mergeCell ref="B80:B104"/>
    <mergeCell ref="A68:A74"/>
  </mergeCells>
  <printOptions/>
  <pageMargins left="0" right="0" top="0.1968503937007874" bottom="0.1968503937007874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C31"/>
  <sheetViews>
    <sheetView zoomScalePageLayoutView="0" workbookViewId="0" topLeftCell="A1">
      <selection activeCell="X15" sqref="X15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19" width="13.57421875" style="0" customWidth="1"/>
    <col min="20" max="20" width="11.421875" style="0" customWidth="1"/>
    <col min="21" max="21" width="12.421875" style="0" customWidth="1"/>
    <col min="22" max="22" width="11.7109375" style="0" customWidth="1"/>
    <col min="24" max="24" width="11.7109375" style="0" bestFit="1" customWidth="1"/>
    <col min="26" max="27" width="9.7109375" style="0" bestFit="1" customWidth="1"/>
    <col min="29" max="29" width="9.7109375" style="0" bestFit="1" customWidth="1"/>
  </cols>
  <sheetData>
    <row r="1" spans="1:3" ht="15">
      <c r="A1" s="826" t="s">
        <v>392</v>
      </c>
      <c r="B1" s="826"/>
      <c r="C1" s="826"/>
    </row>
    <row r="2" spans="1:3" ht="15.75" thickBot="1">
      <c r="A2" s="773" t="s">
        <v>393</v>
      </c>
      <c r="B2" s="773"/>
      <c r="C2" s="773"/>
    </row>
    <row r="3" spans="1:22" ht="14.25" customHeight="1" thickTop="1">
      <c r="A3" s="759" t="s">
        <v>75</v>
      </c>
      <c r="B3" s="766" t="s">
        <v>76</v>
      </c>
      <c r="C3" s="723" t="s">
        <v>77</v>
      </c>
      <c r="D3" s="723" t="s">
        <v>168</v>
      </c>
      <c r="E3" s="723" t="s">
        <v>169</v>
      </c>
      <c r="F3" s="723" t="s">
        <v>170</v>
      </c>
      <c r="G3" s="723" t="s">
        <v>171</v>
      </c>
      <c r="H3" s="723" t="s">
        <v>172</v>
      </c>
      <c r="I3" s="723" t="s">
        <v>83</v>
      </c>
      <c r="J3" s="723" t="s">
        <v>84</v>
      </c>
      <c r="K3" s="723" t="s">
        <v>85</v>
      </c>
      <c r="L3" s="723" t="s">
        <v>86</v>
      </c>
      <c r="M3" s="723" t="s">
        <v>307</v>
      </c>
      <c r="N3" s="723" t="s">
        <v>322</v>
      </c>
      <c r="O3" s="723" t="s">
        <v>339</v>
      </c>
      <c r="P3" s="723" t="s">
        <v>344</v>
      </c>
      <c r="Q3" s="723" t="s">
        <v>358</v>
      </c>
      <c r="R3" s="723" t="s">
        <v>372</v>
      </c>
      <c r="S3" s="723" t="s">
        <v>430</v>
      </c>
      <c r="T3" s="735" t="s">
        <v>394</v>
      </c>
      <c r="U3" s="721" t="s">
        <v>459</v>
      </c>
      <c r="V3" s="733" t="s">
        <v>460</v>
      </c>
    </row>
    <row r="4" spans="1:22" ht="27.75" customHeight="1" thickBot="1">
      <c r="A4" s="760"/>
      <c r="B4" s="767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36"/>
      <c r="U4" s="722"/>
      <c r="V4" s="734"/>
    </row>
    <row r="5" spans="1:24" ht="14.25" thickBot="1" thickTop="1">
      <c r="A5" s="34">
        <v>519</v>
      </c>
      <c r="B5" s="861" t="s">
        <v>50</v>
      </c>
      <c r="C5" s="862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32">
        <v>1041848.1</v>
      </c>
      <c r="M5" s="132">
        <v>1842801.75</v>
      </c>
      <c r="N5" s="16">
        <v>1578149.94</v>
      </c>
      <c r="O5" s="132">
        <v>597135.82</v>
      </c>
      <c r="P5" s="16">
        <v>61339.119999999995</v>
      </c>
      <c r="Q5" s="132">
        <v>493589.98</v>
      </c>
      <c r="R5" s="16">
        <v>2007334.25</v>
      </c>
      <c r="S5" s="132">
        <v>5473933.26</v>
      </c>
      <c r="T5" s="16">
        <f>SUM(T6:T12)</f>
        <v>4701664</v>
      </c>
      <c r="U5" s="132">
        <f>SUM(U6:U12)</f>
        <v>3663651.06</v>
      </c>
      <c r="V5" s="618">
        <f aca="true" t="shared" si="0" ref="V5:V22">IF(T5=0,0,U5/T5*100)</f>
        <v>77.922434695461</v>
      </c>
      <c r="X5" s="2"/>
    </row>
    <row r="6" spans="1:22" ht="12.75">
      <c r="A6" s="737"/>
      <c r="B6" s="133"/>
      <c r="C6" s="36" t="s">
        <v>222</v>
      </c>
      <c r="D6" s="36"/>
      <c r="E6" s="36"/>
      <c r="F6" s="36"/>
      <c r="G6" s="36">
        <v>186636</v>
      </c>
      <c r="H6" s="36">
        <v>1102901</v>
      </c>
      <c r="I6" s="36">
        <v>1052724</v>
      </c>
      <c r="J6" s="37">
        <v>232649</v>
      </c>
      <c r="K6" s="37">
        <v>638944</v>
      </c>
      <c r="L6" s="134">
        <v>96973.2</v>
      </c>
      <c r="M6" s="134">
        <v>633655.25</v>
      </c>
      <c r="N6" s="37">
        <v>1495900</v>
      </c>
      <c r="O6" s="134">
        <v>363308.49</v>
      </c>
      <c r="P6" s="134">
        <v>47962.56</v>
      </c>
      <c r="Q6" s="134">
        <v>347415</v>
      </c>
      <c r="R6" s="37">
        <v>3158344</v>
      </c>
      <c r="S6" s="134"/>
      <c r="T6" s="37">
        <v>289111</v>
      </c>
      <c r="U6" s="134">
        <v>74.89</v>
      </c>
      <c r="V6" s="665">
        <f t="shared" si="0"/>
        <v>0.025903545696981438</v>
      </c>
    </row>
    <row r="7" spans="1:22" ht="12.75">
      <c r="A7" s="738"/>
      <c r="B7" s="603"/>
      <c r="C7" s="38" t="s">
        <v>410</v>
      </c>
      <c r="D7" s="38"/>
      <c r="E7" s="38"/>
      <c r="F7" s="38"/>
      <c r="G7" s="38"/>
      <c r="H7" s="38"/>
      <c r="I7" s="38"/>
      <c r="J7" s="39"/>
      <c r="K7" s="39"/>
      <c r="L7" s="101"/>
      <c r="M7" s="101"/>
      <c r="N7" s="39"/>
      <c r="O7" s="101"/>
      <c r="P7" s="101"/>
      <c r="Q7" s="101"/>
      <c r="R7" s="39"/>
      <c r="S7" s="101"/>
      <c r="T7" s="39">
        <v>0</v>
      </c>
      <c r="U7" s="101"/>
      <c r="V7" s="119">
        <f t="shared" si="0"/>
        <v>0</v>
      </c>
    </row>
    <row r="8" spans="1:26" ht="12.75">
      <c r="A8" s="738"/>
      <c r="B8" s="603"/>
      <c r="C8" s="38" t="s">
        <v>383</v>
      </c>
      <c r="D8" s="38"/>
      <c r="E8" s="38"/>
      <c r="F8" s="38"/>
      <c r="G8" s="38"/>
      <c r="H8" s="38"/>
      <c r="I8" s="38"/>
      <c r="J8" s="39"/>
      <c r="K8" s="39"/>
      <c r="L8" s="101"/>
      <c r="M8" s="101"/>
      <c r="N8" s="39"/>
      <c r="O8" s="101"/>
      <c r="P8" s="101"/>
      <c r="Q8" s="101"/>
      <c r="R8" s="39"/>
      <c r="S8" s="101"/>
      <c r="T8" s="39">
        <v>0</v>
      </c>
      <c r="U8" s="101"/>
      <c r="V8" s="119">
        <f t="shared" si="0"/>
        <v>0</v>
      </c>
      <c r="Z8" s="2"/>
    </row>
    <row r="9" spans="1:22" ht="12.75">
      <c r="A9" s="738"/>
      <c r="B9" s="603"/>
      <c r="C9" s="38" t="s">
        <v>408</v>
      </c>
      <c r="D9" s="38"/>
      <c r="E9" s="38"/>
      <c r="F9" s="38"/>
      <c r="G9" s="38"/>
      <c r="H9" s="38"/>
      <c r="I9" s="38"/>
      <c r="J9" s="39"/>
      <c r="K9" s="39"/>
      <c r="L9" s="101"/>
      <c r="M9" s="101"/>
      <c r="N9" s="39"/>
      <c r="O9" s="101"/>
      <c r="P9" s="101"/>
      <c r="Q9" s="101"/>
      <c r="R9" s="39"/>
      <c r="S9" s="101"/>
      <c r="T9" s="39">
        <v>402000</v>
      </c>
      <c r="U9" s="101"/>
      <c r="V9" s="119">
        <f t="shared" si="0"/>
        <v>0</v>
      </c>
    </row>
    <row r="10" spans="1:29" ht="12.75">
      <c r="A10" s="738"/>
      <c r="B10" s="603"/>
      <c r="C10" s="38" t="s">
        <v>437</v>
      </c>
      <c r="D10" s="38"/>
      <c r="E10" s="38"/>
      <c r="F10" s="38"/>
      <c r="G10" s="38"/>
      <c r="H10" s="38"/>
      <c r="I10" s="38"/>
      <c r="J10" s="39"/>
      <c r="K10" s="39"/>
      <c r="L10" s="101"/>
      <c r="M10" s="101"/>
      <c r="N10" s="39"/>
      <c r="O10" s="101"/>
      <c r="P10" s="101"/>
      <c r="Q10" s="101"/>
      <c r="R10" s="39"/>
      <c r="S10" s="101"/>
      <c r="T10" s="39">
        <v>2739414</v>
      </c>
      <c r="U10" s="101">
        <v>3663576.17</v>
      </c>
      <c r="V10" s="119">
        <f t="shared" si="0"/>
        <v>133.73576137086252</v>
      </c>
      <c r="Z10" s="2"/>
      <c r="AA10" s="2"/>
      <c r="AC10" s="2"/>
    </row>
    <row r="11" spans="1:22" ht="12.75">
      <c r="A11" s="738"/>
      <c r="B11" s="603"/>
      <c r="C11" s="38" t="s">
        <v>397</v>
      </c>
      <c r="D11" s="38"/>
      <c r="E11" s="38"/>
      <c r="F11" s="38"/>
      <c r="G11" s="38"/>
      <c r="H11" s="38"/>
      <c r="I11" s="38"/>
      <c r="J11" s="39"/>
      <c r="K11" s="39"/>
      <c r="L11" s="101"/>
      <c r="M11" s="101"/>
      <c r="N11" s="39"/>
      <c r="O11" s="101"/>
      <c r="P11" s="101"/>
      <c r="Q11" s="101"/>
      <c r="R11" s="39"/>
      <c r="S11" s="101"/>
      <c r="T11" s="39">
        <v>1189050</v>
      </c>
      <c r="U11" s="101"/>
      <c r="V11" s="119">
        <f t="shared" si="0"/>
        <v>0</v>
      </c>
    </row>
    <row r="12" spans="1:25" ht="13.5" thickBot="1">
      <c r="A12" s="743"/>
      <c r="B12" s="135"/>
      <c r="C12" s="596" t="s">
        <v>355</v>
      </c>
      <c r="D12" s="41"/>
      <c r="E12" s="41"/>
      <c r="F12" s="41">
        <v>806731</v>
      </c>
      <c r="G12" s="41">
        <v>1745394</v>
      </c>
      <c r="H12" s="41">
        <v>115857</v>
      </c>
      <c r="I12" s="41">
        <v>660081</v>
      </c>
      <c r="J12" s="54">
        <v>563477</v>
      </c>
      <c r="K12" s="136">
        <v>250321</v>
      </c>
      <c r="L12" s="137">
        <v>944874.9</v>
      </c>
      <c r="M12" s="137">
        <v>1209146.5</v>
      </c>
      <c r="N12" s="136">
        <v>82249.94</v>
      </c>
      <c r="O12" s="137">
        <v>233827.33</v>
      </c>
      <c r="P12" s="137">
        <v>13376.56</v>
      </c>
      <c r="Q12" s="137">
        <v>146174.98</v>
      </c>
      <c r="R12" s="136">
        <v>3187597</v>
      </c>
      <c r="S12" s="137"/>
      <c r="T12" s="54">
        <v>82089</v>
      </c>
      <c r="U12" s="282"/>
      <c r="V12" s="666">
        <f t="shared" si="0"/>
        <v>0</v>
      </c>
      <c r="X12" s="2"/>
      <c r="Y12" s="2"/>
    </row>
    <row r="13" spans="1:22" ht="13.5" thickBot="1">
      <c r="A13" s="17">
        <v>450</v>
      </c>
      <c r="B13" s="859" t="s">
        <v>134</v>
      </c>
      <c r="C13" s="801"/>
      <c r="D13" s="58">
        <v>499436</v>
      </c>
      <c r="E13" s="58">
        <v>313085</v>
      </c>
      <c r="F13" s="58">
        <v>834018</v>
      </c>
      <c r="G13" s="58">
        <v>822908</v>
      </c>
      <c r="H13" s="58">
        <v>3260676</v>
      </c>
      <c r="I13" s="58">
        <v>553863</v>
      </c>
      <c r="J13" s="58">
        <v>509280</v>
      </c>
      <c r="K13" s="58">
        <v>620269</v>
      </c>
      <c r="L13" s="138">
        <v>259121.03000000003</v>
      </c>
      <c r="M13" s="138">
        <v>923759.61</v>
      </c>
      <c r="N13" s="58">
        <v>913983.99</v>
      </c>
      <c r="O13" s="138">
        <v>670041.3</v>
      </c>
      <c r="P13" s="58">
        <v>1328239.53</v>
      </c>
      <c r="Q13" s="138">
        <v>1106855.59</v>
      </c>
      <c r="R13" s="58">
        <v>1156705.62</v>
      </c>
      <c r="S13" s="138">
        <v>2002013.71</v>
      </c>
      <c r="T13" s="58">
        <f>SUM(T14:T21)</f>
        <v>4349001</v>
      </c>
      <c r="U13" s="138">
        <f>SUM(U14:U21)</f>
        <v>3964102.07</v>
      </c>
      <c r="V13" s="125">
        <f t="shared" si="0"/>
        <v>91.14971622218528</v>
      </c>
    </row>
    <row r="14" spans="1:22" ht="12.75">
      <c r="A14" s="737"/>
      <c r="B14" s="133"/>
      <c r="C14" s="139" t="s">
        <v>386</v>
      </c>
      <c r="D14" s="139">
        <v>190367</v>
      </c>
      <c r="E14" s="139"/>
      <c r="F14" s="139"/>
      <c r="G14" s="37">
        <v>265949</v>
      </c>
      <c r="H14" s="139">
        <v>1534133</v>
      </c>
      <c r="I14" s="139">
        <v>43800</v>
      </c>
      <c r="J14" s="140"/>
      <c r="K14" s="141">
        <v>9775</v>
      </c>
      <c r="L14" s="142">
        <v>16185.64</v>
      </c>
      <c r="M14" s="142"/>
      <c r="N14" s="141">
        <v>191699.89</v>
      </c>
      <c r="O14" s="142"/>
      <c r="P14" s="142">
        <v>0</v>
      </c>
      <c r="Q14" s="142"/>
      <c r="R14" s="141"/>
      <c r="S14" s="142"/>
      <c r="T14" s="37">
        <v>229000</v>
      </c>
      <c r="U14" s="134">
        <f>163200+21491.75+2528.44</f>
        <v>187220.19</v>
      </c>
      <c r="V14" s="665">
        <f t="shared" si="0"/>
        <v>81.75554148471616</v>
      </c>
    </row>
    <row r="15" spans="1:24" ht="12.75">
      <c r="A15" s="738"/>
      <c r="B15" s="143"/>
      <c r="C15" s="144" t="s">
        <v>52</v>
      </c>
      <c r="D15" s="144"/>
      <c r="E15" s="144"/>
      <c r="F15" s="144"/>
      <c r="G15" s="51"/>
      <c r="H15" s="144">
        <v>921499</v>
      </c>
      <c r="I15" s="144">
        <v>220604</v>
      </c>
      <c r="J15" s="145">
        <v>192501</v>
      </c>
      <c r="K15" s="146">
        <v>494</v>
      </c>
      <c r="L15" s="147">
        <v>208144.39</v>
      </c>
      <c r="M15" s="147">
        <v>907789.61</v>
      </c>
      <c r="N15" s="146">
        <v>686557.48</v>
      </c>
      <c r="O15" s="147">
        <v>142213.04</v>
      </c>
      <c r="P15" s="147">
        <v>663985.27</v>
      </c>
      <c r="Q15" s="147">
        <v>756524.1</v>
      </c>
      <c r="R15" s="146"/>
      <c r="S15" s="147">
        <v>1185586.75</v>
      </c>
      <c r="T15" s="51">
        <v>953072</v>
      </c>
      <c r="U15" s="64">
        <f>815952.68+84011.24+983.76</f>
        <v>900947.68</v>
      </c>
      <c r="V15" s="127">
        <f t="shared" si="0"/>
        <v>94.53091476824417</v>
      </c>
      <c r="X15" s="413"/>
    </row>
    <row r="16" spans="1:25" ht="12.75">
      <c r="A16" s="738"/>
      <c r="B16" s="143"/>
      <c r="C16" s="144" t="s">
        <v>444</v>
      </c>
      <c r="D16" s="144"/>
      <c r="E16" s="144"/>
      <c r="F16" s="144"/>
      <c r="G16" s="51">
        <v>545044</v>
      </c>
      <c r="H16" s="144">
        <v>545044</v>
      </c>
      <c r="I16" s="144"/>
      <c r="J16" s="145"/>
      <c r="K16" s="146"/>
      <c r="L16" s="147"/>
      <c r="M16" s="147">
        <v>12870</v>
      </c>
      <c r="N16" s="146">
        <v>1275.2</v>
      </c>
      <c r="O16" s="147">
        <v>132643.71</v>
      </c>
      <c r="P16" s="147">
        <v>34091.29</v>
      </c>
      <c r="Q16" s="147"/>
      <c r="R16" s="146"/>
      <c r="S16" s="147"/>
      <c r="T16" s="51">
        <v>2018384</v>
      </c>
      <c r="U16" s="64">
        <v>2018383.84</v>
      </c>
      <c r="V16" s="127">
        <f t="shared" si="0"/>
        <v>99.99999207286622</v>
      </c>
      <c r="Y16" s="2"/>
    </row>
    <row r="17" spans="1:25" ht="12.75">
      <c r="A17" s="738"/>
      <c r="B17" s="143"/>
      <c r="C17" s="144" t="s">
        <v>396</v>
      </c>
      <c r="D17" s="144"/>
      <c r="E17" s="144"/>
      <c r="F17" s="144"/>
      <c r="G17" s="51"/>
      <c r="H17" s="144"/>
      <c r="I17" s="144"/>
      <c r="J17" s="145"/>
      <c r="K17" s="146"/>
      <c r="L17" s="147"/>
      <c r="M17" s="147"/>
      <c r="N17" s="146">
        <v>34451.42</v>
      </c>
      <c r="O17" s="147"/>
      <c r="P17" s="147">
        <v>38214.90000000001</v>
      </c>
      <c r="Q17" s="147">
        <v>92167.17</v>
      </c>
      <c r="R17" s="146"/>
      <c r="S17" s="147">
        <v>234644</v>
      </c>
      <c r="T17" s="51">
        <v>0</v>
      </c>
      <c r="U17" s="64"/>
      <c r="V17" s="127">
        <f t="shared" si="0"/>
        <v>0</v>
      </c>
      <c r="Y17" s="2"/>
    </row>
    <row r="18" spans="1:26" ht="12.75">
      <c r="A18" s="738"/>
      <c r="B18" s="143"/>
      <c r="C18" s="144" t="s">
        <v>53</v>
      </c>
      <c r="D18" s="144">
        <v>309069</v>
      </c>
      <c r="E18" s="144"/>
      <c r="F18" s="144"/>
      <c r="G18" s="51"/>
      <c r="H18" s="144">
        <v>260000</v>
      </c>
      <c r="I18" s="144">
        <v>277803</v>
      </c>
      <c r="J18" s="145">
        <v>316779</v>
      </c>
      <c r="K18" s="146">
        <v>610000</v>
      </c>
      <c r="L18" s="147">
        <v>34791</v>
      </c>
      <c r="M18" s="147">
        <v>3100</v>
      </c>
      <c r="N18" s="146"/>
      <c r="O18" s="147">
        <v>365184.55000000005</v>
      </c>
      <c r="P18" s="147">
        <v>591948.07</v>
      </c>
      <c r="Q18" s="147">
        <v>258164.32</v>
      </c>
      <c r="R18" s="146"/>
      <c r="S18" s="147">
        <v>577386.46</v>
      </c>
      <c r="T18" s="51">
        <v>1148545</v>
      </c>
      <c r="U18" s="64">
        <v>847550.36</v>
      </c>
      <c r="V18" s="127">
        <f t="shared" si="0"/>
        <v>73.79339599232073</v>
      </c>
      <c r="Z18" s="2"/>
    </row>
    <row r="19" spans="1:24" ht="12.75">
      <c r="A19" s="738"/>
      <c r="B19" s="143"/>
      <c r="C19" s="144" t="s">
        <v>349</v>
      </c>
      <c r="D19" s="144"/>
      <c r="E19" s="144"/>
      <c r="F19" s="144"/>
      <c r="G19" s="144">
        <v>11915</v>
      </c>
      <c r="H19" s="144"/>
      <c r="I19" s="144">
        <v>11656</v>
      </c>
      <c r="J19" s="145"/>
      <c r="K19" s="51"/>
      <c r="L19" s="64"/>
      <c r="M19" s="64">
        <v>0</v>
      </c>
      <c r="N19" s="51"/>
      <c r="O19" s="64">
        <v>30000</v>
      </c>
      <c r="P19" s="64">
        <v>0</v>
      </c>
      <c r="Q19" s="64"/>
      <c r="R19" s="51"/>
      <c r="S19" s="64"/>
      <c r="T19" s="51">
        <v>0</v>
      </c>
      <c r="U19" s="64"/>
      <c r="V19" s="127">
        <f t="shared" si="0"/>
        <v>0</v>
      </c>
      <c r="X19" s="2"/>
    </row>
    <row r="20" spans="1:22" ht="12.75">
      <c r="A20" s="738"/>
      <c r="B20" s="148"/>
      <c r="C20" s="149" t="s">
        <v>463</v>
      </c>
      <c r="D20" s="149"/>
      <c r="E20" s="149"/>
      <c r="F20" s="149"/>
      <c r="G20" s="149"/>
      <c r="H20" s="149"/>
      <c r="I20" s="149"/>
      <c r="J20" s="149"/>
      <c r="K20" s="39"/>
      <c r="L20" s="101"/>
      <c r="M20" s="101"/>
      <c r="N20" s="39"/>
      <c r="O20" s="101"/>
      <c r="P20" s="101">
        <v>0</v>
      </c>
      <c r="Q20" s="101"/>
      <c r="R20" s="39"/>
      <c r="S20" s="101">
        <v>4396.5</v>
      </c>
      <c r="T20" s="39">
        <v>0</v>
      </c>
      <c r="U20" s="101">
        <f>75270.4-65270.4</f>
        <v>9999.999999999993</v>
      </c>
      <c r="V20" s="119">
        <f t="shared" si="0"/>
        <v>0</v>
      </c>
    </row>
    <row r="21" spans="1:22" ht="13.5" thickBot="1">
      <c r="A21" s="860"/>
      <c r="B21" s="148"/>
      <c r="C21" s="149"/>
      <c r="D21" s="149"/>
      <c r="E21" s="149"/>
      <c r="F21" s="149"/>
      <c r="G21" s="149"/>
      <c r="H21" s="149"/>
      <c r="I21" s="149"/>
      <c r="J21" s="149"/>
      <c r="K21" s="39"/>
      <c r="L21" s="101"/>
      <c r="M21" s="101"/>
      <c r="N21" s="39"/>
      <c r="O21" s="101"/>
      <c r="P21" s="101">
        <v>0</v>
      </c>
      <c r="Q21" s="101"/>
      <c r="R21" s="39"/>
      <c r="S21" s="39"/>
      <c r="T21" s="39">
        <v>0</v>
      </c>
      <c r="U21" s="101"/>
      <c r="V21" s="119">
        <f t="shared" si="0"/>
        <v>0</v>
      </c>
    </row>
    <row r="22" spans="1:22" ht="14.25" thickBot="1" thickTop="1">
      <c r="A22" s="855" t="s">
        <v>223</v>
      </c>
      <c r="B22" s="856"/>
      <c r="C22" s="857"/>
      <c r="D22" s="150">
        <v>499436</v>
      </c>
      <c r="E22" s="150">
        <v>313085</v>
      </c>
      <c r="F22" s="150">
        <v>1640749</v>
      </c>
      <c r="G22" s="150">
        <v>2754938</v>
      </c>
      <c r="H22" s="150">
        <v>4479434</v>
      </c>
      <c r="I22" s="150">
        <v>2266668</v>
      </c>
      <c r="J22" s="150">
        <v>1305406</v>
      </c>
      <c r="K22" s="150">
        <v>1509534</v>
      </c>
      <c r="L22" s="151">
        <v>1300969.13</v>
      </c>
      <c r="M22" s="151">
        <v>2766561.36</v>
      </c>
      <c r="N22" s="150">
        <v>2492133.9299999997</v>
      </c>
      <c r="O22" s="151">
        <v>1267177.12</v>
      </c>
      <c r="P22" s="150">
        <v>1389578.65</v>
      </c>
      <c r="Q22" s="151">
        <v>1600445.57</v>
      </c>
      <c r="R22" s="150">
        <v>3164039.87</v>
      </c>
      <c r="S22" s="151">
        <v>7475946.97</v>
      </c>
      <c r="T22" s="150">
        <f>T13+T5</f>
        <v>9050665</v>
      </c>
      <c r="U22" s="151">
        <f>U13+U5</f>
        <v>7627753.13</v>
      </c>
      <c r="V22" s="667">
        <f t="shared" si="0"/>
        <v>84.27837214171555</v>
      </c>
    </row>
    <row r="23" spans="1:20" ht="13.5" thickTop="1">
      <c r="A23" s="858"/>
      <c r="B23" s="858"/>
      <c r="C23" s="858"/>
      <c r="D23" s="858"/>
      <c r="E23" s="858"/>
      <c r="F23" s="858"/>
      <c r="G23" s="858"/>
      <c r="H23" s="858"/>
      <c r="I23" s="858"/>
      <c r="J23" s="858"/>
      <c r="K23" s="152"/>
      <c r="L23" s="152"/>
      <c r="M23" s="152"/>
      <c r="N23" s="152"/>
      <c r="O23" s="152"/>
      <c r="P23" s="152"/>
      <c r="Q23" s="152"/>
      <c r="R23" s="152"/>
      <c r="S23" s="152"/>
      <c r="T23" s="153"/>
    </row>
    <row r="24" ht="12.75">
      <c r="T24" s="2"/>
    </row>
    <row r="31" ht="12.75">
      <c r="T31" s="2"/>
    </row>
  </sheetData>
  <sheetProtection/>
  <mergeCells count="30">
    <mergeCell ref="S3:S4"/>
    <mergeCell ref="V3:V4"/>
    <mergeCell ref="G3:G4"/>
    <mergeCell ref="H3:H4"/>
    <mergeCell ref="K3:K4"/>
    <mergeCell ref="M3:M4"/>
    <mergeCell ref="O3:O4"/>
    <mergeCell ref="P3:P4"/>
    <mergeCell ref="L3:L4"/>
    <mergeCell ref="T3:T4"/>
    <mergeCell ref="N3:N4"/>
    <mergeCell ref="I3:I4"/>
    <mergeCell ref="A22:C22"/>
    <mergeCell ref="A23:J23"/>
    <mergeCell ref="B13:C13"/>
    <mergeCell ref="A14:A21"/>
    <mergeCell ref="F3:F4"/>
    <mergeCell ref="A6:A12"/>
    <mergeCell ref="B5:C5"/>
    <mergeCell ref="E3:E4"/>
    <mergeCell ref="U3:U4"/>
    <mergeCell ref="Q3:Q4"/>
    <mergeCell ref="J3:J4"/>
    <mergeCell ref="A3:A4"/>
    <mergeCell ref="A1:C1"/>
    <mergeCell ref="A2:C2"/>
    <mergeCell ref="R3:R4"/>
    <mergeCell ref="B3:B4"/>
    <mergeCell ref="C3:C4"/>
    <mergeCell ref="D3:D4"/>
  </mergeCells>
  <printOptions/>
  <pageMargins left="0.7480314960629921" right="0.7480314960629921" top="0.3937007874015748" bottom="0.5905511811023623" header="0.5118110236220472" footer="0.5118110236220472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E18"/>
  <sheetViews>
    <sheetView zoomScalePageLayoutView="0" workbookViewId="0" topLeftCell="A1">
      <selection activeCell="U12" sqref="U12"/>
    </sheetView>
  </sheetViews>
  <sheetFormatPr defaultColWidth="9.140625" defaultRowHeight="12.75"/>
  <cols>
    <col min="2" max="2" width="7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19" width="11.7109375" style="0" customWidth="1"/>
    <col min="20" max="20" width="12.140625" style="0" customWidth="1"/>
    <col min="21" max="21" width="12.28125" style="0" customWidth="1"/>
    <col min="22" max="22" width="10.8515625" style="0" customWidth="1"/>
  </cols>
  <sheetData>
    <row r="1" spans="1:21" ht="13.5" thickBot="1">
      <c r="A1" s="863" t="s">
        <v>224</v>
      </c>
      <c r="B1" s="863"/>
      <c r="C1" s="863"/>
      <c r="D1" s="863"/>
      <c r="E1" s="863"/>
      <c r="F1" s="863"/>
      <c r="G1" s="863"/>
      <c r="H1" s="863"/>
      <c r="I1" s="863"/>
      <c r="J1" s="863"/>
      <c r="K1" s="154"/>
      <c r="L1" s="154"/>
      <c r="M1" s="154"/>
      <c r="N1" s="154"/>
      <c r="O1" s="154"/>
      <c r="P1" s="154"/>
      <c r="Q1" s="154"/>
      <c r="R1" s="154"/>
      <c r="S1" s="154"/>
      <c r="T1" s="153"/>
      <c r="U1" s="153"/>
    </row>
    <row r="2" spans="1:22" ht="14.25" customHeight="1" thickTop="1">
      <c r="A2" s="867" t="s">
        <v>41</v>
      </c>
      <c r="B2" s="845" t="s">
        <v>76</v>
      </c>
      <c r="C2" s="824" t="s">
        <v>42</v>
      </c>
      <c r="D2" s="723" t="s">
        <v>168</v>
      </c>
      <c r="E2" s="723" t="s">
        <v>169</v>
      </c>
      <c r="F2" s="723" t="s">
        <v>170</v>
      </c>
      <c r="G2" s="723" t="s">
        <v>171</v>
      </c>
      <c r="H2" s="723" t="s">
        <v>172</v>
      </c>
      <c r="I2" s="723" t="s">
        <v>83</v>
      </c>
      <c r="J2" s="723" t="s">
        <v>84</v>
      </c>
      <c r="K2" s="723" t="s">
        <v>85</v>
      </c>
      <c r="L2" s="723" t="s">
        <v>86</v>
      </c>
      <c r="M2" s="723" t="s">
        <v>307</v>
      </c>
      <c r="N2" s="723" t="s">
        <v>322</v>
      </c>
      <c r="O2" s="723" t="s">
        <v>339</v>
      </c>
      <c r="P2" s="723" t="s">
        <v>344</v>
      </c>
      <c r="Q2" s="723" t="s">
        <v>358</v>
      </c>
      <c r="R2" s="723" t="s">
        <v>372</v>
      </c>
      <c r="S2" s="723" t="s">
        <v>430</v>
      </c>
      <c r="T2" s="735" t="s">
        <v>394</v>
      </c>
      <c r="U2" s="721" t="s">
        <v>459</v>
      </c>
      <c r="V2" s="733" t="s">
        <v>460</v>
      </c>
    </row>
    <row r="3" spans="1:24" ht="25.5" customHeight="1" thickBot="1">
      <c r="A3" s="868"/>
      <c r="B3" s="846"/>
      <c r="C3" s="825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36"/>
      <c r="U3" s="722"/>
      <c r="V3" s="734"/>
      <c r="X3" s="2"/>
    </row>
    <row r="4" spans="1:22" ht="14.25" thickBot="1" thickTop="1">
      <c r="A4" s="155" t="s">
        <v>55</v>
      </c>
      <c r="B4" s="861" t="s">
        <v>50</v>
      </c>
      <c r="C4" s="862"/>
      <c r="D4" s="156">
        <v>477793</v>
      </c>
      <c r="E4" s="156">
        <v>470856</v>
      </c>
      <c r="F4" s="156">
        <v>334085</v>
      </c>
      <c r="G4" s="156">
        <v>1303204</v>
      </c>
      <c r="H4" s="156">
        <v>978096</v>
      </c>
      <c r="I4" s="156">
        <v>1356608</v>
      </c>
      <c r="J4" s="156">
        <v>1191263</v>
      </c>
      <c r="K4" s="156">
        <v>977990</v>
      </c>
      <c r="L4" s="157">
        <v>439019.94999999995</v>
      </c>
      <c r="M4" s="157">
        <v>540080.3</v>
      </c>
      <c r="N4" s="584">
        <v>2548753.6599999997</v>
      </c>
      <c r="O4" s="584">
        <v>484835.82</v>
      </c>
      <c r="P4" s="583">
        <v>849215.54</v>
      </c>
      <c r="Q4" s="584">
        <v>553837.26</v>
      </c>
      <c r="R4" s="584">
        <v>1236893.72</v>
      </c>
      <c r="S4" s="584">
        <v>614297.92</v>
      </c>
      <c r="T4" s="583">
        <f>SUM(T5:T11)</f>
        <v>5528162</v>
      </c>
      <c r="U4" s="700">
        <f>SUM(U5:U11)</f>
        <v>5533098.83</v>
      </c>
      <c r="V4" s="668">
        <f aca="true" t="shared" si="0" ref="V4:V12">IF(T4=0,0,U4/T4*100)</f>
        <v>100.08930328018609</v>
      </c>
    </row>
    <row r="5" spans="1:22" ht="12.75">
      <c r="A5" s="864"/>
      <c r="B5" s="158"/>
      <c r="C5" s="158" t="s">
        <v>226</v>
      </c>
      <c r="D5" s="158">
        <v>307741</v>
      </c>
      <c r="E5" s="158">
        <v>188873</v>
      </c>
      <c r="F5" s="158">
        <v>209516</v>
      </c>
      <c r="G5" s="158">
        <v>326854</v>
      </c>
      <c r="H5" s="158">
        <v>199897</v>
      </c>
      <c r="I5" s="158">
        <v>22394</v>
      </c>
      <c r="J5" s="159">
        <v>122620</v>
      </c>
      <c r="K5" s="160">
        <v>207083</v>
      </c>
      <c r="L5" s="161">
        <v>173080.99</v>
      </c>
      <c r="M5" s="161">
        <v>233161.19</v>
      </c>
      <c r="N5" s="579">
        <v>1839260.43</v>
      </c>
      <c r="O5" s="579">
        <v>338571.97</v>
      </c>
      <c r="P5" s="579">
        <v>367612.56</v>
      </c>
      <c r="Q5" s="579">
        <v>378931.96</v>
      </c>
      <c r="R5" s="516">
        <v>428301.19</v>
      </c>
      <c r="S5" s="579">
        <v>444893.33</v>
      </c>
      <c r="T5" s="489">
        <v>189756</v>
      </c>
      <c r="U5" s="701"/>
      <c r="V5" s="669">
        <f t="shared" si="0"/>
        <v>0</v>
      </c>
    </row>
    <row r="6" spans="1:22" ht="12.75">
      <c r="A6" s="865"/>
      <c r="B6" s="162"/>
      <c r="C6" s="163" t="s">
        <v>227</v>
      </c>
      <c r="D6" s="163"/>
      <c r="E6" s="163"/>
      <c r="F6" s="163"/>
      <c r="G6" s="163"/>
      <c r="H6" s="163">
        <v>490783</v>
      </c>
      <c r="I6" s="163">
        <v>1098574</v>
      </c>
      <c r="J6" s="164">
        <v>733308</v>
      </c>
      <c r="K6" s="165">
        <v>631012</v>
      </c>
      <c r="L6" s="166">
        <v>171789.61</v>
      </c>
      <c r="M6" s="166">
        <v>233027.7</v>
      </c>
      <c r="N6" s="580">
        <v>497600.75</v>
      </c>
      <c r="O6" s="580"/>
      <c r="P6" s="580">
        <v>363308.49</v>
      </c>
      <c r="Q6" s="580"/>
      <c r="R6" s="517">
        <v>240541</v>
      </c>
      <c r="S6" s="580">
        <v>18960</v>
      </c>
      <c r="T6" s="85">
        <v>373591</v>
      </c>
      <c r="U6" s="702">
        <v>74.39</v>
      </c>
      <c r="V6" s="670">
        <f t="shared" si="0"/>
        <v>0.019912149917958408</v>
      </c>
    </row>
    <row r="7" spans="1:31" ht="12.75">
      <c r="A7" s="865"/>
      <c r="B7" s="167"/>
      <c r="C7" s="106" t="s">
        <v>228</v>
      </c>
      <c r="D7" s="106"/>
      <c r="E7" s="106"/>
      <c r="F7" s="106"/>
      <c r="G7" s="106"/>
      <c r="H7" s="106">
        <v>52527</v>
      </c>
      <c r="I7" s="106">
        <v>53214</v>
      </c>
      <c r="J7" s="85">
        <v>53736</v>
      </c>
      <c r="K7" s="165">
        <v>54692</v>
      </c>
      <c r="L7" s="166">
        <v>59829.25</v>
      </c>
      <c r="M7" s="166">
        <v>73891.41</v>
      </c>
      <c r="N7" s="580">
        <v>74759.43</v>
      </c>
      <c r="O7" s="580">
        <v>75808.05</v>
      </c>
      <c r="P7" s="580">
        <v>76653.59</v>
      </c>
      <c r="Q7" s="580">
        <v>77863.88</v>
      </c>
      <c r="R7" s="517">
        <v>92149.07</v>
      </c>
      <c r="S7" s="580">
        <v>133280.82</v>
      </c>
      <c r="T7" s="85">
        <v>139528</v>
      </c>
      <c r="U7" s="703">
        <v>134390.62</v>
      </c>
      <c r="V7" s="671">
        <f t="shared" si="0"/>
        <v>96.31802935611489</v>
      </c>
      <c r="AE7" s="2"/>
    </row>
    <row r="8" spans="1:22" ht="12.75">
      <c r="A8" s="865"/>
      <c r="B8" s="168"/>
      <c r="C8" s="545" t="s">
        <v>227</v>
      </c>
      <c r="D8" s="169">
        <v>2622</v>
      </c>
      <c r="E8" s="169">
        <v>6805</v>
      </c>
      <c r="F8" s="169">
        <v>5206</v>
      </c>
      <c r="G8" s="169">
        <v>73230</v>
      </c>
      <c r="H8" s="169">
        <v>22330</v>
      </c>
      <c r="I8" s="169">
        <v>7462</v>
      </c>
      <c r="J8" s="170"/>
      <c r="K8" s="85"/>
      <c r="L8" s="171"/>
      <c r="M8" s="171"/>
      <c r="N8" s="569">
        <v>114400.25</v>
      </c>
      <c r="O8" s="569"/>
      <c r="P8" s="569"/>
      <c r="Q8" s="569">
        <v>44078.86</v>
      </c>
      <c r="R8" s="86"/>
      <c r="S8" s="569"/>
      <c r="T8" s="85">
        <v>2085873</v>
      </c>
      <c r="U8" s="702">
        <f>1671513.3</f>
        <v>1671513.3</v>
      </c>
      <c r="V8" s="670">
        <f t="shared" si="0"/>
        <v>80.13495068971122</v>
      </c>
    </row>
    <row r="9" spans="1:25" ht="12.75">
      <c r="A9" s="865"/>
      <c r="B9" s="168"/>
      <c r="C9" s="545" t="s">
        <v>438</v>
      </c>
      <c r="D9" s="169"/>
      <c r="E9" s="169"/>
      <c r="F9" s="169"/>
      <c r="G9" s="169"/>
      <c r="H9" s="169"/>
      <c r="I9" s="169"/>
      <c r="J9" s="170"/>
      <c r="K9" s="85"/>
      <c r="L9" s="171"/>
      <c r="M9" s="171"/>
      <c r="N9" s="569">
        <v>11332.8</v>
      </c>
      <c r="O9" s="569"/>
      <c r="P9" s="569">
        <v>14992.5</v>
      </c>
      <c r="Q9" s="569"/>
      <c r="R9" s="86">
        <v>400000</v>
      </c>
      <c r="S9" s="569"/>
      <c r="T9" s="85">
        <v>2739414</v>
      </c>
      <c r="U9" s="702">
        <v>3717120.52</v>
      </c>
      <c r="V9" s="670">
        <f t="shared" si="0"/>
        <v>135.69035275427518</v>
      </c>
      <c r="Y9" s="2"/>
    </row>
    <row r="10" spans="1:22" ht="12.75">
      <c r="A10" s="865"/>
      <c r="B10" s="167"/>
      <c r="C10" s="167" t="s">
        <v>229</v>
      </c>
      <c r="D10" s="167"/>
      <c r="E10" s="167">
        <v>275178</v>
      </c>
      <c r="F10" s="167"/>
      <c r="G10" s="167">
        <v>903120</v>
      </c>
      <c r="H10" s="167">
        <v>212559</v>
      </c>
      <c r="I10" s="167">
        <v>174964</v>
      </c>
      <c r="J10" s="172">
        <v>281599</v>
      </c>
      <c r="K10" s="172">
        <v>85203</v>
      </c>
      <c r="L10" s="173">
        <v>34320.1</v>
      </c>
      <c r="M10" s="173">
        <v>0</v>
      </c>
      <c r="N10" s="581"/>
      <c r="O10" s="581">
        <v>70455.80000000005</v>
      </c>
      <c r="P10" s="581"/>
      <c r="Q10" s="581">
        <v>47962.56</v>
      </c>
      <c r="R10" s="518"/>
      <c r="S10" s="581"/>
      <c r="T10" s="172">
        <v>0</v>
      </c>
      <c r="U10" s="704"/>
      <c r="V10" s="672">
        <f t="shared" si="0"/>
        <v>0</v>
      </c>
    </row>
    <row r="11" spans="1:22" ht="13.5" thickBot="1">
      <c r="A11" s="866"/>
      <c r="B11" s="174"/>
      <c r="C11" s="167" t="s">
        <v>327</v>
      </c>
      <c r="D11" s="174">
        <v>167430</v>
      </c>
      <c r="E11" s="174">
        <v>0</v>
      </c>
      <c r="F11" s="174">
        <v>119363</v>
      </c>
      <c r="G11" s="174"/>
      <c r="H11" s="174"/>
      <c r="I11" s="174"/>
      <c r="J11" s="175"/>
      <c r="K11" s="175"/>
      <c r="L11" s="176"/>
      <c r="M11" s="176">
        <v>0</v>
      </c>
      <c r="N11" s="582">
        <v>11400</v>
      </c>
      <c r="O11" s="582"/>
      <c r="P11" s="582">
        <v>26648.4</v>
      </c>
      <c r="Q11" s="582">
        <v>5000</v>
      </c>
      <c r="R11" s="519"/>
      <c r="S11" s="582">
        <v>17163.77</v>
      </c>
      <c r="T11" s="175">
        <v>0</v>
      </c>
      <c r="U11" s="705">
        <v>10000</v>
      </c>
      <c r="V11" s="673">
        <f t="shared" si="0"/>
        <v>0</v>
      </c>
    </row>
    <row r="12" spans="1:25" ht="14.25" thickBot="1" thickTop="1">
      <c r="A12" s="855" t="s">
        <v>223</v>
      </c>
      <c r="B12" s="856"/>
      <c r="C12" s="857"/>
      <c r="D12" s="150">
        <v>477793</v>
      </c>
      <c r="E12" s="150">
        <v>470856</v>
      </c>
      <c r="F12" s="150">
        <v>334085</v>
      </c>
      <c r="G12" s="150">
        <v>1303204</v>
      </c>
      <c r="H12" s="150">
        <v>978096</v>
      </c>
      <c r="I12" s="150">
        <v>1356608</v>
      </c>
      <c r="J12" s="150">
        <v>1191263</v>
      </c>
      <c r="K12" s="150">
        <v>977990</v>
      </c>
      <c r="L12" s="151">
        <v>439019.94999999995</v>
      </c>
      <c r="M12" s="151">
        <v>540080.3</v>
      </c>
      <c r="N12" s="586">
        <v>2548753.6599999997</v>
      </c>
      <c r="O12" s="151">
        <v>484835.82</v>
      </c>
      <c r="P12" s="585">
        <v>849215.54</v>
      </c>
      <c r="Q12" s="151">
        <v>553837.26</v>
      </c>
      <c r="R12" s="606">
        <v>1236893.72</v>
      </c>
      <c r="S12" s="151">
        <v>614297.92</v>
      </c>
      <c r="T12" s="150">
        <f>T4</f>
        <v>5528162</v>
      </c>
      <c r="U12" s="706">
        <f>U4</f>
        <v>5533098.83</v>
      </c>
      <c r="V12" s="667">
        <f t="shared" si="0"/>
        <v>100.08930328018609</v>
      </c>
      <c r="Y12" s="2"/>
    </row>
    <row r="13" ht="13.5" thickTop="1"/>
    <row r="14" spans="18:20" ht="12.75">
      <c r="R14" s="2"/>
      <c r="S14" s="2"/>
      <c r="T14" s="2"/>
    </row>
    <row r="16" ht="12.75">
      <c r="U16" s="413"/>
    </row>
    <row r="18" ht="12.75">
      <c r="V18" s="2"/>
    </row>
  </sheetData>
  <sheetProtection/>
  <mergeCells count="26">
    <mergeCell ref="A12:C12"/>
    <mergeCell ref="B4:C4"/>
    <mergeCell ref="M2:M3"/>
    <mergeCell ref="A2:A3"/>
    <mergeCell ref="B2:B3"/>
    <mergeCell ref="C2:C3"/>
    <mergeCell ref="F2:F3"/>
    <mergeCell ref="D2:D3"/>
    <mergeCell ref="V2:V3"/>
    <mergeCell ref="A5:A11"/>
    <mergeCell ref="G2:G3"/>
    <mergeCell ref="N2:N3"/>
    <mergeCell ref="I2:I3"/>
    <mergeCell ref="P2:P3"/>
    <mergeCell ref="S2:S3"/>
    <mergeCell ref="U2:U3"/>
    <mergeCell ref="A1:J1"/>
    <mergeCell ref="H2:H3"/>
    <mergeCell ref="T2:T3"/>
    <mergeCell ref="L2:L3"/>
    <mergeCell ref="J2:J3"/>
    <mergeCell ref="K2:K3"/>
    <mergeCell ref="E2:E3"/>
    <mergeCell ref="O2:O3"/>
    <mergeCell ref="Q2:Q3"/>
    <mergeCell ref="R2:R3"/>
  </mergeCells>
  <printOptions/>
  <pageMargins left="0.35433070866141736" right="0.35433070866141736" top="0.3937007874015748" bottom="0.984251968503937" header="0" footer="0.5118110236220472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C74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51.00390625" style="0" customWidth="1"/>
    <col min="2" max="15" width="14.421875" style="0" hidden="1" customWidth="1"/>
    <col min="16" max="17" width="14.421875" style="0" customWidth="1"/>
    <col min="18" max="18" width="13.57421875" style="0" customWidth="1"/>
    <col min="19" max="19" width="16.57421875" style="0" customWidth="1"/>
    <col min="20" max="20" width="13.28125" style="0" customWidth="1"/>
    <col min="22" max="22" width="10.140625" style="0" bestFit="1" customWidth="1"/>
    <col min="23" max="23" width="10.140625" style="0" hidden="1" customWidth="1"/>
    <col min="24" max="24" width="11.421875" style="0" hidden="1" customWidth="1"/>
    <col min="25" max="25" width="0" style="0" hidden="1" customWidth="1"/>
    <col min="26" max="26" width="12.140625" style="0" hidden="1" customWidth="1"/>
    <col min="27" max="27" width="10.140625" style="0" bestFit="1" customWidth="1"/>
    <col min="28" max="28" width="9.7109375" style="0" bestFit="1" customWidth="1"/>
  </cols>
  <sheetData>
    <row r="1" spans="1:20" ht="15">
      <c r="A1" s="882" t="s">
        <v>292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</row>
    <row r="2" spans="1:18" ht="13.5" thickBo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152"/>
      <c r="M2" s="152"/>
      <c r="N2" s="152"/>
      <c r="O2" s="152"/>
      <c r="P2" s="152"/>
      <c r="Q2" s="152"/>
      <c r="R2" s="153"/>
    </row>
    <row r="3" spans="1:20" ht="13.5" customHeight="1" thickTop="1">
      <c r="A3" s="883" t="s">
        <v>77</v>
      </c>
      <c r="B3" s="723" t="s">
        <v>168</v>
      </c>
      <c r="C3" s="723" t="s">
        <v>169</v>
      </c>
      <c r="D3" s="723" t="s">
        <v>170</v>
      </c>
      <c r="E3" s="723" t="s">
        <v>171</v>
      </c>
      <c r="F3" s="723" t="s">
        <v>172</v>
      </c>
      <c r="G3" s="723" t="s">
        <v>83</v>
      </c>
      <c r="H3" s="723" t="s">
        <v>84</v>
      </c>
      <c r="I3" s="723" t="s">
        <v>85</v>
      </c>
      <c r="J3" s="723" t="s">
        <v>86</v>
      </c>
      <c r="K3" s="723" t="s">
        <v>307</v>
      </c>
      <c r="L3" s="723" t="s">
        <v>322</v>
      </c>
      <c r="M3" s="723" t="s">
        <v>339</v>
      </c>
      <c r="N3" s="723" t="s">
        <v>344</v>
      </c>
      <c r="O3" s="723" t="s">
        <v>358</v>
      </c>
      <c r="P3" s="723" t="s">
        <v>372</v>
      </c>
      <c r="Q3" s="723" t="s">
        <v>430</v>
      </c>
      <c r="R3" s="735" t="s">
        <v>394</v>
      </c>
      <c r="S3" s="721" t="s">
        <v>459</v>
      </c>
      <c r="T3" s="733" t="s">
        <v>460</v>
      </c>
    </row>
    <row r="4" spans="1:20" ht="13.5" thickBot="1">
      <c r="A4" s="884"/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736"/>
      <c r="S4" s="722"/>
      <c r="T4" s="734"/>
    </row>
    <row r="5" spans="1:26" ht="13.5" thickTop="1">
      <c r="A5" s="415" t="s">
        <v>293</v>
      </c>
      <c r="B5" s="416">
        <v>7125871</v>
      </c>
      <c r="C5" s="416">
        <v>7561840</v>
      </c>
      <c r="D5" s="416">
        <v>9082354</v>
      </c>
      <c r="E5" s="416">
        <v>9080838</v>
      </c>
      <c r="F5" s="416">
        <v>8537685</v>
      </c>
      <c r="G5" s="416">
        <v>9096722</v>
      </c>
      <c r="H5" s="416">
        <v>9201831</v>
      </c>
      <c r="I5" s="416">
        <v>9722622</v>
      </c>
      <c r="J5" s="416">
        <v>9640328.239999998</v>
      </c>
      <c r="K5" s="473">
        <v>10178626.01</v>
      </c>
      <c r="L5" s="473">
        <v>10784511.560000002</v>
      </c>
      <c r="M5" s="473">
        <v>10947354.260000002</v>
      </c>
      <c r="N5" s="416">
        <v>11835790.83</v>
      </c>
      <c r="O5" s="473">
        <v>12870365.969999999</v>
      </c>
      <c r="P5" s="473">
        <v>13601965.26</v>
      </c>
      <c r="Q5" s="473">
        <f>'Bežné príjmy'!S113</f>
        <v>14215260.54</v>
      </c>
      <c r="R5" s="416">
        <f>'Bežné príjmy'!T113</f>
        <v>15146655</v>
      </c>
      <c r="S5" s="473">
        <f>'Bežné príjmy'!U113</f>
        <v>15098744.329999998</v>
      </c>
      <c r="T5" s="707">
        <f>IF(R5=0,0,S5/R5*100)</f>
        <v>99.68368811463651</v>
      </c>
      <c r="U5" s="2"/>
      <c r="V5" s="2"/>
      <c r="W5" s="2"/>
      <c r="X5" s="2"/>
      <c r="Y5" s="2"/>
      <c r="Z5" s="2"/>
    </row>
    <row r="6" spans="1:27" ht="13.5" thickBot="1">
      <c r="A6" s="417" t="s">
        <v>294</v>
      </c>
      <c r="B6" s="175">
        <v>5867125</v>
      </c>
      <c r="C6" s="175">
        <v>6460200</v>
      </c>
      <c r="D6" s="175">
        <v>7832271</v>
      </c>
      <c r="E6" s="175">
        <v>8716285.43</v>
      </c>
      <c r="F6" s="175">
        <v>9309387</v>
      </c>
      <c r="G6" s="175">
        <v>8743512.2</v>
      </c>
      <c r="H6" s="175">
        <v>8908071</v>
      </c>
      <c r="I6" s="175">
        <v>8934542</v>
      </c>
      <c r="J6" s="175">
        <v>9572545.38</v>
      </c>
      <c r="K6" s="176">
        <v>9554914.799999999</v>
      </c>
      <c r="L6" s="176">
        <v>9695081.340000002</v>
      </c>
      <c r="M6" s="176">
        <v>10029034.879999999</v>
      </c>
      <c r="N6" s="175">
        <v>10815176.44</v>
      </c>
      <c r="O6" s="176">
        <v>12072287.610000001</v>
      </c>
      <c r="P6" s="176">
        <v>12542381.569999998</v>
      </c>
      <c r="Q6" s="176">
        <f>'bežné výdavky'!S221</f>
        <v>13351433.260000002</v>
      </c>
      <c r="R6" s="175">
        <f>'bežné výdavky'!T221</f>
        <v>15206717</v>
      </c>
      <c r="S6" s="176">
        <f>'bežné výdavky'!U221</f>
        <v>14807895.809999999</v>
      </c>
      <c r="T6" s="673">
        <f>IF(R6=0,0,S6/R6*100)</f>
        <v>97.37733535778958</v>
      </c>
      <c r="U6" s="2"/>
      <c r="V6" s="2"/>
      <c r="W6" s="2"/>
      <c r="X6" s="2"/>
      <c r="Y6" s="2"/>
      <c r="Z6" s="2"/>
      <c r="AA6" s="2"/>
    </row>
    <row r="7" spans="1:28" ht="15.75" thickBot="1">
      <c r="A7" s="418" t="s">
        <v>295</v>
      </c>
      <c r="B7" s="419">
        <v>1258746</v>
      </c>
      <c r="C7" s="419">
        <v>1101640</v>
      </c>
      <c r="D7" s="419">
        <v>1250083</v>
      </c>
      <c r="E7" s="419">
        <v>364552.5700000003</v>
      </c>
      <c r="F7" s="419">
        <v>-771702</v>
      </c>
      <c r="G7" s="419">
        <v>353209.80000000075</v>
      </c>
      <c r="H7" s="419">
        <v>293760</v>
      </c>
      <c r="I7" s="419">
        <v>788080</v>
      </c>
      <c r="J7" s="420">
        <v>67782.85999999754</v>
      </c>
      <c r="K7" s="420">
        <v>623711.2100000009</v>
      </c>
      <c r="L7" s="420">
        <v>1089430.2200000007</v>
      </c>
      <c r="M7" s="420">
        <v>918319.3800000027</v>
      </c>
      <c r="N7" s="419">
        <v>1020614.3900000006</v>
      </c>
      <c r="O7" s="420">
        <v>798078.3599999975</v>
      </c>
      <c r="P7" s="420">
        <v>1059583.6900000013</v>
      </c>
      <c r="Q7" s="420">
        <f>Q5-Q6</f>
        <v>863827.2799999975</v>
      </c>
      <c r="R7" s="419">
        <f>R5-R6</f>
        <v>-60062</v>
      </c>
      <c r="S7" s="420">
        <f>S5-S6</f>
        <v>290848.51999999955</v>
      </c>
      <c r="T7" s="708"/>
      <c r="W7" s="2"/>
      <c r="X7" s="2"/>
      <c r="AA7" s="2"/>
      <c r="AB7" s="2"/>
    </row>
    <row r="8" spans="1:24" ht="14.25" thickBot="1" thickTop="1">
      <c r="A8" s="878"/>
      <c r="B8" s="879"/>
      <c r="C8" s="879"/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79"/>
      <c r="S8" s="879"/>
      <c r="T8" s="880"/>
      <c r="W8" s="2"/>
      <c r="X8" s="2"/>
    </row>
    <row r="9" spans="1:28" ht="13.5" thickTop="1">
      <c r="A9" s="415" t="s">
        <v>296</v>
      </c>
      <c r="B9" s="416">
        <v>2113092</v>
      </c>
      <c r="C9" s="416">
        <v>1017958</v>
      </c>
      <c r="D9" s="416">
        <v>1245369</v>
      </c>
      <c r="E9" s="416">
        <v>4391413</v>
      </c>
      <c r="F9" s="416">
        <v>3456141</v>
      </c>
      <c r="G9" s="416">
        <v>4649713</v>
      </c>
      <c r="H9" s="416">
        <v>4502774.06</v>
      </c>
      <c r="I9" s="416">
        <v>3678497</v>
      </c>
      <c r="J9" s="416">
        <v>1218338.5899999999</v>
      </c>
      <c r="K9" s="473">
        <v>752297.52</v>
      </c>
      <c r="L9" s="473">
        <v>935536.18</v>
      </c>
      <c r="M9" s="473">
        <v>1696241.7999999998</v>
      </c>
      <c r="N9" s="416">
        <v>2123247.52</v>
      </c>
      <c r="O9" s="473">
        <v>1526662.64</v>
      </c>
      <c r="P9" s="473">
        <v>2436633.2399999998</v>
      </c>
      <c r="Q9" s="473">
        <f>'Kapitálové príjmy'!S57</f>
        <v>2862309.5</v>
      </c>
      <c r="R9" s="416">
        <f>'Kapitálové príjmy'!T57</f>
        <v>3400966</v>
      </c>
      <c r="S9" s="473">
        <f>'Kapitálové príjmy'!U57</f>
        <v>3393484.54</v>
      </c>
      <c r="T9" s="707">
        <f>IF(R9=0,0,S9/R9*100)</f>
        <v>99.78001955914878</v>
      </c>
      <c r="W9" s="2"/>
      <c r="X9" s="2"/>
      <c r="Y9" s="2"/>
      <c r="Z9" s="2"/>
      <c r="AB9" s="2"/>
    </row>
    <row r="10" spans="1:28" ht="13.5" thickBot="1">
      <c r="A10" s="417" t="s">
        <v>297</v>
      </c>
      <c r="B10" s="175">
        <v>2988050</v>
      </c>
      <c r="C10" s="175">
        <v>1793069</v>
      </c>
      <c r="D10" s="175">
        <v>2942409</v>
      </c>
      <c r="E10" s="175">
        <v>4880528</v>
      </c>
      <c r="F10" s="175">
        <v>5977301</v>
      </c>
      <c r="G10" s="175">
        <v>5818483</v>
      </c>
      <c r="H10" s="175">
        <v>4719096</v>
      </c>
      <c r="I10" s="175">
        <v>3939694</v>
      </c>
      <c r="J10" s="175">
        <v>1800938.79</v>
      </c>
      <c r="K10" s="176">
        <v>2904600.1800000006</v>
      </c>
      <c r="L10" s="176">
        <v>1348818.6500000001</v>
      </c>
      <c r="M10" s="176">
        <v>1900647.68</v>
      </c>
      <c r="N10" s="175">
        <v>2329182.13</v>
      </c>
      <c r="O10" s="176">
        <v>2649518.4899999998</v>
      </c>
      <c r="P10" s="176">
        <v>2729306.48</v>
      </c>
      <c r="Q10" s="176">
        <f>'Kapitálové výdavky'!S153</f>
        <v>6260788.56</v>
      </c>
      <c r="R10" s="175">
        <f>'Kapitálové výdavky'!T153</f>
        <v>6763771</v>
      </c>
      <c r="S10" s="176">
        <f>'Kapitálové výdavky'!U153</f>
        <v>3770750.1299999994</v>
      </c>
      <c r="T10" s="673">
        <f>IF(R10=0,0,S10/R10*100)</f>
        <v>55.74922820420738</v>
      </c>
      <c r="W10" s="2"/>
      <c r="X10" s="2"/>
      <c r="Y10" s="2"/>
      <c r="Z10" s="2"/>
      <c r="AB10" s="2"/>
    </row>
    <row r="11" spans="1:28" ht="15.75" thickBot="1">
      <c r="A11" s="421" t="s">
        <v>298</v>
      </c>
      <c r="B11" s="422">
        <v>-874958</v>
      </c>
      <c r="C11" s="422">
        <v>-775111</v>
      </c>
      <c r="D11" s="422">
        <v>-1697040</v>
      </c>
      <c r="E11" s="422">
        <v>-489115</v>
      </c>
      <c r="F11" s="422">
        <v>-2521160</v>
      </c>
      <c r="G11" s="422">
        <v>-1168770</v>
      </c>
      <c r="H11" s="422">
        <v>-216321.9400000004</v>
      </c>
      <c r="I11" s="422">
        <v>-261197</v>
      </c>
      <c r="J11" s="423">
        <v>-582600.2000000002</v>
      </c>
      <c r="K11" s="423">
        <v>-2152302.6600000006</v>
      </c>
      <c r="L11" s="423">
        <v>-413282.4700000001</v>
      </c>
      <c r="M11" s="423">
        <v>-204405.88000000012</v>
      </c>
      <c r="N11" s="422">
        <v>-205934.60999999987</v>
      </c>
      <c r="O11" s="423">
        <v>-1122855.8499999999</v>
      </c>
      <c r="P11" s="423">
        <v>-292673.2400000002</v>
      </c>
      <c r="Q11" s="423">
        <f>Q9-Q10</f>
        <v>-3398479.0599999996</v>
      </c>
      <c r="R11" s="422">
        <f>R9-R10</f>
        <v>-3362805</v>
      </c>
      <c r="S11" s="423">
        <f>S9-S10</f>
        <v>-377265.5899999994</v>
      </c>
      <c r="T11" s="709"/>
      <c r="W11" s="2"/>
      <c r="X11" s="2"/>
      <c r="Z11" s="2"/>
      <c r="AA11" s="2"/>
      <c r="AB11" s="2"/>
    </row>
    <row r="12" spans="1:24" ht="14.25" thickBot="1" thickTop="1">
      <c r="A12" s="878"/>
      <c r="B12" s="879"/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79"/>
      <c r="Q12" s="879"/>
      <c r="R12" s="879"/>
      <c r="S12" s="879"/>
      <c r="T12" s="880"/>
      <c r="W12" s="2"/>
      <c r="X12" s="2"/>
    </row>
    <row r="13" spans="1:26" ht="13.5" thickTop="1">
      <c r="A13" s="415" t="s">
        <v>299</v>
      </c>
      <c r="B13" s="416">
        <v>499436</v>
      </c>
      <c r="C13" s="416">
        <v>313085</v>
      </c>
      <c r="D13" s="416">
        <v>1640749</v>
      </c>
      <c r="E13" s="416">
        <v>2754938</v>
      </c>
      <c r="F13" s="416">
        <v>4479434</v>
      </c>
      <c r="G13" s="416">
        <v>2266668</v>
      </c>
      <c r="H13" s="416">
        <v>1305406</v>
      </c>
      <c r="I13" s="416">
        <v>1509534</v>
      </c>
      <c r="J13" s="416">
        <v>1300969.13</v>
      </c>
      <c r="K13" s="473">
        <v>2766561.36</v>
      </c>
      <c r="L13" s="473">
        <v>2492133.9299999997</v>
      </c>
      <c r="M13" s="473">
        <v>1267177.12</v>
      </c>
      <c r="N13" s="416">
        <v>1389578.65</v>
      </c>
      <c r="O13" s="473">
        <v>1600445.57</v>
      </c>
      <c r="P13" s="473">
        <v>3164039.87</v>
      </c>
      <c r="Q13" s="473">
        <f>'Fin operácie - príjmy'!S22</f>
        <v>7475946.97</v>
      </c>
      <c r="R13" s="416">
        <f>'Fin operácie - príjmy'!T22</f>
        <v>9050665</v>
      </c>
      <c r="S13" s="473">
        <f>'Fin operácie - príjmy'!U22</f>
        <v>7627753.13</v>
      </c>
      <c r="T13" s="707">
        <f>IF(R13=0,0,S13/R13*100)</f>
        <v>84.27837214171555</v>
      </c>
      <c r="V13" s="2"/>
      <c r="W13" s="2"/>
      <c r="X13" s="2"/>
      <c r="Y13" s="2"/>
      <c r="Z13" s="2"/>
    </row>
    <row r="14" spans="1:26" ht="13.5" thickBot="1">
      <c r="A14" s="417" t="s">
        <v>300</v>
      </c>
      <c r="B14" s="175">
        <v>477793</v>
      </c>
      <c r="C14" s="175">
        <v>470856</v>
      </c>
      <c r="D14" s="175">
        <v>334085</v>
      </c>
      <c r="E14" s="175">
        <v>1303204</v>
      </c>
      <c r="F14" s="175">
        <v>978096</v>
      </c>
      <c r="G14" s="175">
        <v>1356608</v>
      </c>
      <c r="H14" s="175">
        <v>1191263</v>
      </c>
      <c r="I14" s="175">
        <v>977990</v>
      </c>
      <c r="J14" s="175">
        <v>439019.94999999995</v>
      </c>
      <c r="K14" s="176">
        <v>540080.3</v>
      </c>
      <c r="L14" s="176">
        <v>2548753.6599999997</v>
      </c>
      <c r="M14" s="176">
        <v>484835.82</v>
      </c>
      <c r="N14" s="175">
        <v>849215.54</v>
      </c>
      <c r="O14" s="176">
        <v>553837.26</v>
      </c>
      <c r="P14" s="176">
        <v>1236893.72</v>
      </c>
      <c r="Q14" s="176">
        <f>'Finančné operácie - výdavky'!S12</f>
        <v>614297.92</v>
      </c>
      <c r="R14" s="175">
        <f>'Finančné operácie - výdavky'!T12</f>
        <v>5528162</v>
      </c>
      <c r="S14" s="176">
        <f>'Finančné operácie - výdavky'!U12</f>
        <v>5533098.83</v>
      </c>
      <c r="T14" s="673">
        <f>IF(R14=0,0,S14/R14*100)</f>
        <v>100.08930328018609</v>
      </c>
      <c r="W14" s="2"/>
      <c r="X14" s="2"/>
      <c r="Y14" s="2"/>
      <c r="Z14" s="2"/>
    </row>
    <row r="15" spans="1:27" ht="15.75" thickBot="1">
      <c r="A15" s="421" t="s">
        <v>208</v>
      </c>
      <c r="B15" s="422">
        <v>21643</v>
      </c>
      <c r="C15" s="422">
        <v>-157771</v>
      </c>
      <c r="D15" s="422">
        <v>1306664</v>
      </c>
      <c r="E15" s="422">
        <v>1451734</v>
      </c>
      <c r="F15" s="422">
        <v>3501338</v>
      </c>
      <c r="G15" s="422">
        <v>910060</v>
      </c>
      <c r="H15" s="422">
        <v>114143</v>
      </c>
      <c r="I15" s="422">
        <v>531544</v>
      </c>
      <c r="J15" s="423">
        <v>861949.1799999999</v>
      </c>
      <c r="K15" s="423">
        <v>2226481.0599999996</v>
      </c>
      <c r="L15" s="423">
        <v>-56619.72999999998</v>
      </c>
      <c r="M15" s="423">
        <v>782341.3</v>
      </c>
      <c r="N15" s="422">
        <v>540363.1099999999</v>
      </c>
      <c r="O15" s="423">
        <v>1046608.31</v>
      </c>
      <c r="P15" s="423">
        <v>1927146.1500000001</v>
      </c>
      <c r="Q15" s="423">
        <f>Q13-Q14</f>
        <v>6861649.05</v>
      </c>
      <c r="R15" s="422">
        <f>R13-R14</f>
        <v>3522503</v>
      </c>
      <c r="S15" s="423">
        <f>S13-S14</f>
        <v>2094654.2999999998</v>
      </c>
      <c r="T15" s="709"/>
      <c r="X15" s="2"/>
      <c r="Y15" s="2"/>
      <c r="AA15" s="2"/>
    </row>
    <row r="16" spans="1:26" ht="14.25" thickBot="1" thickTop="1">
      <c r="A16" s="875"/>
      <c r="B16" s="876"/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7"/>
      <c r="W16" s="2"/>
      <c r="Y16" s="2"/>
      <c r="Z16" s="2"/>
    </row>
    <row r="17" spans="1:26" ht="16.5" customHeight="1" thickTop="1">
      <c r="A17" s="869" t="s">
        <v>209</v>
      </c>
      <c r="B17" s="870"/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1"/>
      <c r="W17" s="2"/>
      <c r="Y17" s="2"/>
      <c r="Z17" s="2"/>
    </row>
    <row r="18" spans="1:20" ht="13.5" thickBot="1">
      <c r="A18" s="872"/>
      <c r="B18" s="873"/>
      <c r="C18" s="873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873"/>
      <c r="R18" s="873"/>
      <c r="S18" s="873"/>
      <c r="T18" s="874"/>
    </row>
    <row r="19" spans="1:20" ht="17.25" thickBot="1" thickTop="1">
      <c r="A19" s="424" t="s">
        <v>210</v>
      </c>
      <c r="B19" s="425">
        <v>405431</v>
      </c>
      <c r="C19" s="425">
        <v>168758</v>
      </c>
      <c r="D19" s="425">
        <v>859707</v>
      </c>
      <c r="E19" s="425">
        <v>1327171.5700000003</v>
      </c>
      <c r="F19" s="425">
        <v>208476</v>
      </c>
      <c r="G19" s="425">
        <v>94499.80000000075</v>
      </c>
      <c r="H19" s="425">
        <v>191581.0599999996</v>
      </c>
      <c r="I19" s="425">
        <v>1058427</v>
      </c>
      <c r="J19" s="426">
        <v>347131.8399999973</v>
      </c>
      <c r="K19" s="426">
        <v>697889.6099999999</v>
      </c>
      <c r="L19" s="426">
        <v>619528.0200000006</v>
      </c>
      <c r="M19" s="426">
        <v>1496254.8000000026</v>
      </c>
      <c r="N19" s="425">
        <v>1355042.8900000006</v>
      </c>
      <c r="O19" s="426">
        <v>721830.8199999977</v>
      </c>
      <c r="P19" s="426">
        <v>2694056.6000000015</v>
      </c>
      <c r="Q19" s="426">
        <f>Q7+Q11+Q15</f>
        <v>4326997.269999998</v>
      </c>
      <c r="R19" s="425">
        <f>R7+R11+R15</f>
        <v>99636</v>
      </c>
      <c r="S19" s="426">
        <f>S7+S11+S15</f>
        <v>2008237.23</v>
      </c>
      <c r="T19" s="490">
        <f>T7+T11+T15</f>
        <v>0</v>
      </c>
    </row>
    <row r="20" spans="24:29" ht="13.5" thickTop="1">
      <c r="X20" s="2"/>
      <c r="AA20" s="2"/>
      <c r="AC20" s="2"/>
    </row>
    <row r="21" spans="18:23" ht="12.75">
      <c r="R21" s="2"/>
      <c r="S21" s="2"/>
      <c r="T21" s="2"/>
      <c r="W21" s="2"/>
    </row>
    <row r="22" spans="5:20" ht="12.75">
      <c r="E22" s="2"/>
      <c r="F22" s="2"/>
      <c r="R22" s="2"/>
      <c r="S22" s="2"/>
      <c r="T22" s="2"/>
    </row>
    <row r="23" ht="12.75">
      <c r="T23" s="2"/>
    </row>
    <row r="24" spans="10:20" ht="15.75">
      <c r="J24" s="527"/>
      <c r="R24" s="2"/>
      <c r="S24" s="2"/>
      <c r="T24" s="2"/>
    </row>
    <row r="25" spans="18:20" ht="12.75">
      <c r="R25" s="2"/>
      <c r="S25" s="2"/>
      <c r="T25" s="2"/>
    </row>
    <row r="26" spans="18:20" ht="12.75">
      <c r="R26" s="2"/>
      <c r="T26" s="2"/>
    </row>
    <row r="27" spans="10:20" ht="12.75">
      <c r="J27" s="2"/>
      <c r="R27" s="2"/>
      <c r="T27" s="2"/>
    </row>
    <row r="28" spans="20:27" ht="12.75">
      <c r="T28" s="610"/>
      <c r="AA28" s="2"/>
    </row>
    <row r="30" ht="12.75">
      <c r="T30" s="2"/>
    </row>
    <row r="31" spans="18:20" ht="12.75">
      <c r="R31" s="2"/>
      <c r="S31" s="2"/>
      <c r="T31" s="2"/>
    </row>
    <row r="32" spans="19:20" ht="12.75">
      <c r="S32" s="614"/>
      <c r="T32" s="2"/>
    </row>
    <row r="33" ht="12.75">
      <c r="T33" s="2"/>
    </row>
    <row r="34" spans="24:26" ht="12.75">
      <c r="X34" s="2"/>
      <c r="Y34" s="2"/>
      <c r="Z34" s="2"/>
    </row>
    <row r="35" spans="19:20" ht="12.75">
      <c r="S35" s="614"/>
      <c r="T35" s="2"/>
    </row>
    <row r="36" ht="12.75">
      <c r="T36" s="2"/>
    </row>
    <row r="37" spans="20:22" ht="12.75">
      <c r="T37" s="2"/>
      <c r="V37" s="2"/>
    </row>
    <row r="39" spans="20:28" ht="12.75">
      <c r="T39" s="2"/>
      <c r="AB39" s="2"/>
    </row>
    <row r="40" spans="18:20" ht="12.75">
      <c r="R40" s="2"/>
      <c r="S40" s="2"/>
      <c r="T40" s="2"/>
    </row>
    <row r="55" spans="18:19" ht="12.75">
      <c r="R55" s="2"/>
      <c r="S55" s="2"/>
    </row>
    <row r="56" spans="18:19" ht="12.75">
      <c r="R56" s="2"/>
      <c r="S56" s="2"/>
    </row>
    <row r="58" ht="12.75">
      <c r="A58" t="s">
        <v>108</v>
      </c>
    </row>
    <row r="62" ht="12.75">
      <c r="J62">
        <f>SUM(J48:J61)</f>
        <v>0</v>
      </c>
    </row>
    <row r="63" spans="18:19" ht="12.75">
      <c r="R63" s="2"/>
      <c r="S63" s="2"/>
    </row>
    <row r="64" spans="18:19" ht="12.75">
      <c r="R64" s="2"/>
      <c r="S64" s="2"/>
    </row>
    <row r="66" spans="1:10" ht="12.75">
      <c r="A66" s="525"/>
      <c r="J66">
        <v>12000</v>
      </c>
    </row>
    <row r="67" ht="12.75">
      <c r="J67">
        <v>5000</v>
      </c>
    </row>
    <row r="68" ht="12.75">
      <c r="J68">
        <v>7000</v>
      </c>
    </row>
    <row r="74" ht="12.75">
      <c r="J74">
        <f>SUM(J66:J73)</f>
        <v>24000</v>
      </c>
    </row>
  </sheetData>
  <sheetProtection/>
  <mergeCells count="25">
    <mergeCell ref="E3:E4"/>
    <mergeCell ref="Q3:Q4"/>
    <mergeCell ref="S3:S4"/>
    <mergeCell ref="K3:K4"/>
    <mergeCell ref="M3:M4"/>
    <mergeCell ref="C3:C4"/>
    <mergeCell ref="J3:J4"/>
    <mergeCell ref="D3:D4"/>
    <mergeCell ref="N3:N4"/>
    <mergeCell ref="P3:P4"/>
    <mergeCell ref="T3:T4"/>
    <mergeCell ref="F3:F4"/>
    <mergeCell ref="G3:G4"/>
    <mergeCell ref="L3:L4"/>
    <mergeCell ref="R3:R4"/>
    <mergeCell ref="A17:T18"/>
    <mergeCell ref="A16:T16"/>
    <mergeCell ref="A8:T8"/>
    <mergeCell ref="A12:T12"/>
    <mergeCell ref="O3:O4"/>
    <mergeCell ref="A1:T1"/>
    <mergeCell ref="I3:I4"/>
    <mergeCell ref="H3:H4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2022-12-13T11:58:40Z</cp:lastPrinted>
  <dcterms:created xsi:type="dcterms:W3CDTF">2009-12-28T11:25:53Z</dcterms:created>
  <dcterms:modified xsi:type="dcterms:W3CDTF">2023-04-21T11:18:43Z</dcterms:modified>
  <cp:category/>
  <cp:version/>
  <cp:contentType/>
  <cp:contentStatus/>
</cp:coreProperties>
</file>