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91" windowWidth="19770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<sst xmlns="http://schemas.openxmlformats.org/spreadsheetml/2006/main" count="737" uniqueCount="440">
  <si>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</si>
  <si>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</si>
  <si>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</si>
  <si>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</si>
  <si>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</si>
  <si>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</si>
  <si>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</si>
  <si>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</si>
  <si>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</si>
  <si>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</si>
  <si>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</si>
  <si>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</si>
  <si>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</si>
  <si>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</si>
  <si>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</si>
  <si>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</si>
  <si>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</si>
  <si>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</si>
  <si>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</si>
  <si>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</si>
  <si>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</si>
  <si>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</si>
  <si>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</si>
  <si>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</si>
  <si>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</si>
  <si>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</si>
  <si>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</si>
  <si>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</si>
  <si>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</si>
  <si>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</si>
  <si>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</si>
  <si>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</si>
  <si>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</si>
  <si>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</si>
  <si>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</si>
  <si>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</si>
  <si>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</si>
  <si>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</si>
  <si>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</si>
  <si>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</si>
  <si>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</si>
  <si>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</si>
  <si>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</si>
  <si>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</si>
  <si>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</si>
  <si>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</si>
  <si>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</si>
  <si>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</si>
  <si>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</si>
  <si>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</si>
  <si>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</si>
  <si>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</si>
  <si>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</si>
  <si>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</si>
  <si>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</si>
  <si>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</si>
  <si>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</si>
  <si>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</si>
  <si>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</si>
  <si>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</si>
  <si>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</si>
  <si>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</si>
  <si>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</si>
  <si>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</si>
  <si>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</si>
  <si>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</si>
  <si>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</si>
  <si>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</si>
  <si>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</si>
  <si>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</si>
  <si>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</si>
  <si>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</si>
  <si>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</si>
  <si>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</si>
  <si>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</si>
  <si>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</si>
  <si>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</si>
  <si>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</si>
  <si>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</si>
  <si>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</si>
  <si>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</si>
  <si>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</si>
  <si>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</si>
  <si>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</si>
  <si>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</si>
  <si>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</si>
  <si>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</si>
  <si>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</si>
  <si>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</si>
  <si>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</si>
  <si>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</si>
  <si>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</si>
  <si>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</si>
  <si>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</si>
  <si>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</si>
  <si>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</si>
  <si>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</si>
  <si>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</si>
  <si>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</si>
  <si>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</si>
  <si>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</si>
  <si>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</si>
  <si>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</si>
  <si>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</si>
  <si>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</si>
  <si>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</si>
  <si>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</si>
  <si>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</si>
  <si>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</si>
  <si>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</si>
  <si>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</si>
  <si>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</si>
  <si>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</si>
  <si>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</si>
  <si>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</si>
  <si>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</si>
  <si>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</si>
  <si>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</si>
  <si>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</si>
  <si>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</si>
  <si>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</si>
  <si>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</si>
  <si>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</si>
  <si>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</si>
  <si>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</si>
  <si>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</si>
  <si>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</si>
  <si>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</si>
  <si>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</si>
  <si>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</si>
  <si>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</si>
  <si>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</si>
  <si>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</si>
  <si>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</si>
  <si>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</si>
  <si>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</si>
  <si>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</si>
  <si>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</si>
  <si>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</si>
  <si>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</si>
  <si>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</si>
  <si>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</si>
  <si>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</si>
  <si>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</si>
  <si>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</si>
  <si>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</si>
  <si>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</si>
  <si>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</si>
  <si>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</si>
  <si>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</si>
  <si>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</si>
  <si>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</si>
  <si>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</si>
  <si>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</si>
  <si>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</si>
  <si>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</si>
  <si>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</si>
  <si>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</si>
  <si>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</si>
  <si>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</si>
  <si>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</si>
  <si>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</si>
  <si>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</si>
  <si>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</si>
  <si>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</si>
  <si>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</si>
  <si>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</si>
  <si>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</si>
  <si>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</si>
  <si>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</si>
  <si>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</si>
  <si>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</si>
  <si>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</si>
  <si>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</si>
  <si>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</si>
  <si>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</si>
  <si>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</si>
  <si>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</si>
  <si>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</si>
  <si>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</si>
  <si>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</si>
  <si>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</si>
  <si>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</si>
  <si>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</si>
  <si>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</si>
  <si>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</si>
  <si>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</si>
  <si>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</si>
  <si>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</si>
  <si>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</si>
  <si>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</si>
  <si>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</si>
  <si>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</si>
  <si>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</si>
  <si>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</si>
  <si>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</si>
  <si>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</si>
  <si>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</si>
  <si>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</si>
  <si>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</si>
  <si>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</si>
  <si>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</si>
  <si>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</si>
  <si>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</si>
  <si>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</si>
  <si>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</si>
  <si>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</si>
  <si>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</si>
  <si>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</si>
  <si>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</si>
  <si>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</si>
  <si>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</si>
  <si>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</si>
  <si>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</si>
  <si>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</si>
  <si>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</si>
  <si>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</si>
  <si>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</si>
  <si>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</si>
  <si>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</si>
  <si>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</si>
  <si>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</si>
  <si>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</si>
  <si>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</si>
  <si>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</si>
  <si>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</si>
  <si>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</si>
  <si>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</si>
  <si>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</si>
  <si>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</si>
  <si>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</si>
  <si>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</si>
  <si>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</si>
  <si>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</si>
  <si>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</si>
  <si>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</si>
  <si>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</si>
  <si>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</si>
  <si>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</si>
  <si>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</si>
  <si>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</si>
  <si>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</si>
  <si>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</si>
  <si>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</si>
  <si>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</si>
  <si>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</si>
  <si>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</si>
  <si>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</si>
  <si>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</si>
  <si>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</si>
  <si>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</si>
  <si>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</si>
  <si>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</si>
  <si>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</si>
  <si>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</si>
  <si>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</si>
  <si>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</si>
  <si>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</si>
  <si>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</si>
  <si>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</si>
  <si>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</si>
  <si>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</si>
  <si>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</si>
  <si>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</si>
  <si>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</si>
  <si>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</si>
  <si>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</si>
  <si>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</si>
  <si>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</si>
  <si>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</si>
  <si>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</si>
  <si>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</si>
  <si>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</si>
  <si>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</si>
  <si>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</si>
  <si>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</si>
  <si>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</si>
  <si>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</si>
  <si>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</si>
  <si>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</si>
  <si>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</si>
  <si>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</si>
  <si>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</si>
  <si>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</si>
  <si>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</si>
  <si>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</si>
  <si>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</si>
  <si>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</si>
  <si>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</si>
  <si>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</si>
  <si>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</si>
  <si>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</si>
  <si>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</si>
  <si>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</si>
  <si>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</si>
  <si>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</si>
  <si>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</si>
  <si>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</si>
  <si>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</si>
  <si>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</si>
  <si>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</si>
  <si>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</si>
  <si>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</si>
  <si>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</si>
  <si>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</si>
  <si>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</si>
  <si>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</si>
  <si>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</si>
  <si>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</si>
  <si>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</si>
  <si>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</si>
  <si>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</si>
  <si>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</si>
  <si>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</si>
  <si>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</si>
  <si>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</si>
  <si>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</si>
  <si>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</si>
  <si>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</si>
  <si>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</si>
  <si>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</si>
  <si>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</si>
  <si>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</si>
  <si>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</si>
  <si>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</si>
  <si>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</si>
  <si>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PD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</si>
  <si>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</si>
  <si>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</si>
  <si>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</si>
  <si>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</si>
  <si>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</si>
  <si>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</si>
  <si>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</si>
  <si>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</si>
  <si>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</si>
  <si>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</si>
  <si>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</si>
  <si>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</si>
  <si>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</si>
  <si>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</si>
  <si>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</si>
  <si>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</si>
  <si>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</si>
  <si>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</si>
  <si>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</si>
  <si>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Univerzálny vyklápač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</si>
  <si>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</si>
  <si>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</si>
  <si>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</si>
  <si>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</si>
  <si>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</si>
  <si>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</si>
  <si>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</si>
  <si>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</si>
  <si>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</si>
  <si>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</si>
  <si>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</si>
  <si>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</si>
  <si>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</si>
  <si>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</si>
  <si>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</si>
  <si>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VO Probstnerova cesta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</si>
  <si>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</si>
  <si>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</si>
  <si>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</si>
  <si>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</si>
  <si>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</si>
  <si>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</si>
  <si>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ZŠ Francisciho - udržba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</si>
  <si>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</si>
  <si>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</si>
  <si>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</si>
  <si>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</si>
  <si>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</si>
  <si>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</si>
  <si>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NMP 47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</si>
  <si>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</si>
  <si>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</si>
  <si>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</si>
  <si>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</si>
  <si>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</si>
  <si>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</si>
  <si>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úver byty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</si>
  <si>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</si>
  <si>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</si>
  <si>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</si>
  <si>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</si>
  <si>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</si>
  <si>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</si>
  <si>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Predpoklad 2022</t>
  </si>
  <si>
    <t>transfery</t>
  </si>
  <si>
    <t>podnikateľská činnosť</t>
  </si>
  <si>
    <t>Ochrana, podpora a rozvoj ver.zdravia</t>
  </si>
  <si>
    <t>Covid - výdavky</t>
  </si>
  <si>
    <t>školy - ostatné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</si>
  <si>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</si>
  <si>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</si>
  <si>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</si>
  <si>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</si>
  <si>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</si>
  <si>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</si>
  <si>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</si>
  <si>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</si>
  <si>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</si>
  <si>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</si>
  <si>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</si>
  <si>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</si>
  <si>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</si>
  <si>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</si>
  <si>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</si>
  <si>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</si>
  <si>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</si>
  <si>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</si>
  <si>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</si>
  <si>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</si>
  <si>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</si>
  <si>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</si>
  <si>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</si>
  <si>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</si>
  <si>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</si>
  <si>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Rekonštrukcie chodníkov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</si>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</sst>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4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6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7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3" fontId="68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69" fillId="0" borderId="22" xfId="0" applyNumberFormat="1" applyFont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7" fillId="0" borderId="9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3" fontId="0" fillId="0" borderId="97" xfId="0" applyNumberFormat="1" applyFont="1" applyBorder="1" applyAlignment="1">
      <alignment horizontal="right"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horizontal="right" vertical="center"/>
    </xf>
    <xf numFmtId="3" fontId="0" fillId="0" borderId="99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3" fontId="0" fillId="0" borderId="8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00" xfId="0" applyNumberFormat="1" applyFont="1" applyFill="1" applyBorder="1" applyAlignment="1">
      <alignment horizontal="right" vertical="center" wrapText="1"/>
    </xf>
    <xf numFmtId="0" fontId="0" fillId="0" borderId="101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8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0" borderId="10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16" fontId="7" fillId="0" borderId="109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09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" fontId="7" fillId="0" borderId="92" xfId="0" applyNumberFormat="1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12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21" fillId="0" borderId="115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16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3" fontId="0" fillId="0" borderId="117" xfId="0" applyNumberFormat="1" applyFill="1" applyBorder="1" applyAlignment="1">
      <alignment horizontal="center"/>
    </xf>
    <xf numFmtId="3" fontId="0" fillId="0" borderId="118" xfId="0" applyNumberFormat="1" applyFill="1" applyBorder="1" applyAlignment="1">
      <alignment horizontal="center"/>
    </xf>
    <xf numFmtId="3" fontId="0" fillId="0" borderId="119" xfId="0" applyNumberFormat="1" applyFill="1" applyBorder="1" applyAlignment="1">
      <alignment horizontal="center"/>
    </xf>
    <xf numFmtId="3" fontId="3" fillId="0" borderId="120" xfId="0" applyNumberFormat="1" applyFont="1" applyFill="1" applyBorder="1" applyAlignment="1">
      <alignment horizontal="center" vertical="center"/>
    </xf>
    <xf numFmtId="3" fontId="3" fillId="0" borderId="121" xfId="0" applyNumberFormat="1" applyFont="1" applyFill="1" applyBorder="1" applyAlignment="1">
      <alignment horizontal="center" vertical="center"/>
    </xf>
    <xf numFmtId="3" fontId="3" fillId="0" borderId="122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4" xfId="0" applyFont="1" applyFill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" fontId="0" fillId="0" borderId="123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6" fillId="0" borderId="92" xfId="0" applyFont="1" applyBorder="1" applyAlignment="1">
      <alignment horizontal="left"/>
    </xf>
    <xf numFmtId="0" fontId="56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31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521" customWidth="1"/>
    <col min="3" max="3" width="32.8515625" style="521" customWidth="1"/>
    <col min="4" max="11" width="12.7109375" style="521" hidden="1" customWidth="1"/>
    <col min="12" max="12" width="14.421875" style="521" hidden="1" customWidth="1"/>
    <col min="13" max="13" width="16.00390625" style="521" hidden="1" customWidth="1"/>
    <col min="14" max="14" width="16.140625" style="521" hidden="1" customWidth="1"/>
    <col min="15" max="16" width="17.00390625" style="521" hidden="1" customWidth="1"/>
    <col min="17" max="17" width="15.8515625" style="521" hidden="1" customWidth="1"/>
    <col min="18" max="18" width="16.00390625" style="521" hidden="1" customWidth="1"/>
    <col min="19" max="19" width="16.28125" style="521" hidden="1" customWidth="1"/>
    <col min="20" max="20" width="14.57421875" style="521" hidden="1" customWidth="1"/>
    <col min="21" max="22" width="13.7109375" style="521" customWidth="1"/>
    <col min="23" max="23" width="13.8515625" style="521" customWidth="1"/>
    <col min="24" max="24" width="9.140625" style="521" customWidth="1"/>
    <col min="25" max="25" width="11.7109375" style="521" bestFit="1" customWidth="1"/>
    <col min="26" max="26" width="12.00390625" style="521" customWidth="1"/>
    <col min="27" max="27" width="9.140625" style="521" customWidth="1"/>
    <col min="28" max="28" width="9.57421875" style="521" customWidth="1"/>
    <col min="29" max="30" width="9.140625" style="521" customWidth="1"/>
    <col min="31" max="31" width="10.421875" style="521" customWidth="1"/>
    <col min="32" max="16384" width="9.140625" style="521" customWidth="1"/>
  </cols>
  <sheetData>
    <row r="1" spans="1:2" ht="12.75">
      <c r="A1" s="939" t="s">
        <v>432</v>
      </c>
      <c r="B1" s="939"/>
    </row>
    <row r="2" spans="1:2" ht="13.5" thickBot="1">
      <c r="A2" s="939" t="s">
        <v>433</v>
      </c>
      <c r="B2" s="939"/>
    </row>
    <row r="3" spans="1:23" ht="13.5" thickTop="1">
      <c r="A3" s="771" t="s">
        <v>84</v>
      </c>
      <c r="B3" s="796" t="s">
        <v>85</v>
      </c>
      <c r="C3" s="760" t="s">
        <v>86</v>
      </c>
      <c r="D3" s="760" t="s">
        <v>87</v>
      </c>
      <c r="E3" s="760" t="s">
        <v>88</v>
      </c>
      <c r="F3" s="760" t="s">
        <v>89</v>
      </c>
      <c r="G3" s="760" t="s">
        <v>90</v>
      </c>
      <c r="H3" s="760" t="s">
        <v>91</v>
      </c>
      <c r="I3" s="760" t="s">
        <v>92</v>
      </c>
      <c r="J3" s="760" t="s">
        <v>93</v>
      </c>
      <c r="K3" s="760" t="s">
        <v>94</v>
      </c>
      <c r="L3" s="760" t="s">
        <v>95</v>
      </c>
      <c r="M3" s="760" t="s">
        <v>321</v>
      </c>
      <c r="N3" s="760" t="s">
        <v>338</v>
      </c>
      <c r="O3" s="760" t="s">
        <v>357</v>
      </c>
      <c r="P3" s="760" t="s">
        <v>364</v>
      </c>
      <c r="Q3" s="760" t="s">
        <v>379</v>
      </c>
      <c r="R3" s="760" t="s">
        <v>388</v>
      </c>
      <c r="S3" s="760" t="s">
        <v>389</v>
      </c>
      <c r="T3" s="760" t="s">
        <v>390</v>
      </c>
      <c r="U3" s="773" t="s">
        <v>428</v>
      </c>
      <c r="V3" s="719" t="s">
        <v>426</v>
      </c>
      <c r="W3" s="775" t="s">
        <v>427</v>
      </c>
    </row>
    <row r="4" spans="1:23" ht="19.5" customHeight="1" thickBot="1">
      <c r="A4" s="772"/>
      <c r="B4" s="797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74"/>
      <c r="V4" s="704" t="s">
        <v>97</v>
      </c>
      <c r="W4" s="776"/>
    </row>
    <row r="5" spans="1:31" ht="17.25" thickBot="1" thickTop="1">
      <c r="A5" s="3">
        <v>100</v>
      </c>
      <c r="B5" s="785" t="s">
        <v>98</v>
      </c>
      <c r="C5" s="786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8">
        <f t="shared" si="0"/>
        <v>5807550.21</v>
      </c>
      <c r="N5" s="4">
        <f>N6+N12+N17</f>
        <v>6453363.550000001</v>
      </c>
      <c r="O5" s="548">
        <f>O6+O12+O17</f>
        <v>6809462.010000001</v>
      </c>
      <c r="P5" s="548">
        <f>P6+P12+P17</f>
        <v>7281076.170000001</v>
      </c>
      <c r="Q5" s="548">
        <f>Q6+Q12+Q17</f>
        <v>7988329.25</v>
      </c>
      <c r="R5" s="548">
        <f>R6+R12+R17</f>
        <v>8043385.96</v>
      </c>
      <c r="S5" s="463">
        <v>8366279.7</v>
      </c>
      <c r="T5" s="463">
        <f>T6+T12+T17</f>
        <v>9126144</v>
      </c>
      <c r="U5" s="463">
        <f>U6+U12+U17</f>
        <v>9353269</v>
      </c>
      <c r="V5" s="463">
        <f t="shared" si="0"/>
        <v>143824</v>
      </c>
      <c r="W5" s="508">
        <f>W6+W12+W17</f>
        <v>9497093</v>
      </c>
      <c r="Y5" s="522"/>
      <c r="Z5" s="522"/>
      <c r="AA5" s="522"/>
      <c r="AE5" s="700"/>
    </row>
    <row r="6" spans="1:27" ht="15.75" thickBot="1">
      <c r="A6" s="5">
        <v>110</v>
      </c>
      <c r="B6" s="755" t="s">
        <v>99</v>
      </c>
      <c r="C6" s="787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9">
        <f t="shared" si="1"/>
        <v>5016805.1</v>
      </c>
      <c r="N6" s="7">
        <f t="shared" si="1"/>
        <v>5542925.66</v>
      </c>
      <c r="O6" s="549">
        <f t="shared" si="1"/>
        <v>5877883.03</v>
      </c>
      <c r="P6" s="549">
        <f t="shared" si="1"/>
        <v>6368965.23</v>
      </c>
      <c r="Q6" s="549">
        <f t="shared" si="1"/>
        <v>7093467.67</v>
      </c>
      <c r="R6" s="549">
        <f t="shared" si="1"/>
        <v>7044253.25</v>
      </c>
      <c r="S6" s="464">
        <v>7229624.83</v>
      </c>
      <c r="T6" s="464">
        <v>7859202</v>
      </c>
      <c r="U6" s="464">
        <f>U7</f>
        <v>8052669</v>
      </c>
      <c r="V6" s="464">
        <f t="shared" si="1"/>
        <v>143824</v>
      </c>
      <c r="W6" s="511">
        <f>W7</f>
        <v>8196493</v>
      </c>
      <c r="Y6" s="689"/>
      <c r="Z6" s="689"/>
      <c r="AA6" s="1"/>
    </row>
    <row r="7" spans="1:31" ht="13.5" thickBot="1">
      <c r="A7" s="762"/>
      <c r="B7" s="765"/>
      <c r="C7" s="442" t="s">
        <v>100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7">
        <v>5016805.1</v>
      </c>
      <c r="N7" s="12">
        <v>5542925.66</v>
      </c>
      <c r="O7" s="247">
        <v>5877883.03</v>
      </c>
      <c r="P7" s="247">
        <v>6368965.23</v>
      </c>
      <c r="Q7" s="247">
        <v>7093467.67</v>
      </c>
      <c r="R7" s="247">
        <v>7044253.25</v>
      </c>
      <c r="S7" s="12">
        <v>7229624.83</v>
      </c>
      <c r="T7" s="12">
        <v>7859202</v>
      </c>
      <c r="U7" s="12">
        <v>8052669</v>
      </c>
      <c r="V7" s="523">
        <v>143824</v>
      </c>
      <c r="W7" s="601">
        <f>U7+V7</f>
        <v>8196493</v>
      </c>
      <c r="Y7" s="522"/>
      <c r="Z7" s="522"/>
      <c r="AA7" s="522"/>
      <c r="AC7" s="522"/>
      <c r="AE7" s="522"/>
    </row>
    <row r="8" spans="1:23" ht="13.5" hidden="1" thickBot="1">
      <c r="A8" s="763"/>
      <c r="B8" s="766"/>
      <c r="C8" s="130" t="s">
        <v>240</v>
      </c>
      <c r="D8" s="130"/>
      <c r="E8" s="130"/>
      <c r="F8" s="130"/>
      <c r="G8" s="130"/>
      <c r="H8" s="130"/>
      <c r="I8" s="86"/>
      <c r="J8" s="86"/>
      <c r="K8" s="143"/>
      <c r="L8" s="143"/>
      <c r="M8" s="203"/>
      <c r="N8" s="93"/>
      <c r="O8" s="93"/>
      <c r="P8" s="93"/>
      <c r="Q8" s="203"/>
      <c r="R8" s="203"/>
      <c r="S8" s="93"/>
      <c r="T8" s="93"/>
      <c r="U8" s="93"/>
      <c r="V8" s="611"/>
      <c r="W8" s="612"/>
    </row>
    <row r="9" spans="1:24" ht="13.5" hidden="1" thickBot="1">
      <c r="A9" s="763"/>
      <c r="B9" s="766"/>
      <c r="C9" s="24" t="s">
        <v>97</v>
      </c>
      <c r="D9" s="24"/>
      <c r="E9" s="24"/>
      <c r="F9" s="24"/>
      <c r="G9" s="24"/>
      <c r="H9" s="24"/>
      <c r="I9" s="90"/>
      <c r="J9" s="90"/>
      <c r="K9" s="25"/>
      <c r="L9" s="25"/>
      <c r="M9" s="205"/>
      <c r="N9" s="26"/>
      <c r="O9" s="26"/>
      <c r="P9" s="26"/>
      <c r="Q9" s="205"/>
      <c r="R9" s="205"/>
      <c r="S9" s="26"/>
      <c r="T9" s="26"/>
      <c r="U9" s="26"/>
      <c r="V9" s="530"/>
      <c r="W9" s="531"/>
      <c r="X9" s="522"/>
    </row>
    <row r="10" spans="1:26" ht="13.5" hidden="1" thickBot="1">
      <c r="A10" s="763"/>
      <c r="B10" s="766"/>
      <c r="C10" s="24" t="s">
        <v>244</v>
      </c>
      <c r="D10" s="24"/>
      <c r="E10" s="24"/>
      <c r="F10" s="24"/>
      <c r="G10" s="24"/>
      <c r="H10" s="24"/>
      <c r="I10" s="90"/>
      <c r="J10" s="90"/>
      <c r="K10" s="25"/>
      <c r="L10" s="25"/>
      <c r="M10" s="205"/>
      <c r="N10" s="26"/>
      <c r="O10" s="26"/>
      <c r="P10" s="26"/>
      <c r="Q10" s="205"/>
      <c r="R10" s="205"/>
      <c r="S10" s="26"/>
      <c r="T10" s="26"/>
      <c r="U10" s="26"/>
      <c r="V10" s="530"/>
      <c r="W10" s="531"/>
      <c r="Z10" s="522"/>
    </row>
    <row r="11" spans="1:23" ht="13.5" hidden="1" thickBot="1">
      <c r="A11" s="764"/>
      <c r="B11" s="767"/>
      <c r="C11" s="28" t="s">
        <v>236</v>
      </c>
      <c r="D11" s="28"/>
      <c r="E11" s="28"/>
      <c r="F11" s="28"/>
      <c r="G11" s="28"/>
      <c r="H11" s="28"/>
      <c r="I11" s="276"/>
      <c r="J11" s="276"/>
      <c r="K11" s="277"/>
      <c r="L11" s="277"/>
      <c r="M11" s="255"/>
      <c r="N11" s="48"/>
      <c r="O11" s="48"/>
      <c r="P11" s="48"/>
      <c r="Q11" s="255"/>
      <c r="R11" s="255"/>
      <c r="S11" s="48"/>
      <c r="T11" s="48"/>
      <c r="U11" s="48"/>
      <c r="V11" s="609"/>
      <c r="W11" s="610"/>
    </row>
    <row r="12" spans="1:26" ht="15.75" thickBot="1">
      <c r="A12" s="32">
        <v>120</v>
      </c>
      <c r="B12" s="779" t="s">
        <v>101</v>
      </c>
      <c r="C12" s="780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9">
        <f t="shared" si="2"/>
        <v>396789.44</v>
      </c>
      <c r="N12" s="14">
        <f t="shared" si="2"/>
        <v>470206.4</v>
      </c>
      <c r="O12" s="249">
        <f t="shared" si="2"/>
        <v>490398.24</v>
      </c>
      <c r="P12" s="249">
        <f t="shared" si="2"/>
        <v>477910.94</v>
      </c>
      <c r="Q12" s="688">
        <f t="shared" si="2"/>
        <v>461578.98</v>
      </c>
      <c r="R12" s="688">
        <f t="shared" si="2"/>
        <v>534837.91</v>
      </c>
      <c r="S12" s="465">
        <v>579640.49</v>
      </c>
      <c r="T12" s="465">
        <f>T13</f>
        <v>683224</v>
      </c>
      <c r="U12" s="465">
        <v>660000</v>
      </c>
      <c r="V12" s="465">
        <f t="shared" si="2"/>
        <v>0</v>
      </c>
      <c r="W12" s="517">
        <f t="shared" si="2"/>
        <v>660000</v>
      </c>
      <c r="Y12" s="689"/>
      <c r="Z12" s="522"/>
    </row>
    <row r="13" spans="1:23" ht="13.5" thickBot="1">
      <c r="A13" s="768"/>
      <c r="B13" s="8">
        <v>121</v>
      </c>
      <c r="C13" s="15" t="s">
        <v>102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41">
        <f>SUM(Q14:Q16)</f>
        <v>461578.98</v>
      </c>
      <c r="R13" s="641">
        <f>SUM(R14:R16)</f>
        <v>534837.91</v>
      </c>
      <c r="S13" s="468">
        <v>579640.49</v>
      </c>
      <c r="T13" s="468">
        <f t="shared" si="3"/>
        <v>683224</v>
      </c>
      <c r="U13" s="468">
        <f t="shared" si="3"/>
        <v>660000</v>
      </c>
      <c r="V13" s="468">
        <f>SUM(V14:V16)</f>
        <v>0</v>
      </c>
      <c r="W13" s="17">
        <f>SUM(W14:W16)</f>
        <v>660000</v>
      </c>
    </row>
    <row r="14" spans="1:23" ht="12.75">
      <c r="A14" s="769"/>
      <c r="B14" s="752"/>
      <c r="C14" s="19" t="s">
        <v>103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22">
        <v>189804</v>
      </c>
      <c r="U14" s="22">
        <v>183352</v>
      </c>
      <c r="V14" s="611"/>
      <c r="W14" s="612">
        <f>U14+V14</f>
        <v>183352</v>
      </c>
    </row>
    <row r="15" spans="1:25" ht="12.75">
      <c r="A15" s="769"/>
      <c r="B15" s="753"/>
      <c r="C15" s="24" t="s">
        <v>104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5">
        <v>271513.31</v>
      </c>
      <c r="N15" s="26">
        <v>321276.38</v>
      </c>
      <c r="O15" s="26"/>
      <c r="P15" s="26">
        <v>324799.75</v>
      </c>
      <c r="Q15" s="205"/>
      <c r="R15" s="205">
        <v>360134.97</v>
      </c>
      <c r="S15" s="26">
        <v>378358.31</v>
      </c>
      <c r="T15" s="26">
        <v>442022</v>
      </c>
      <c r="U15" s="26">
        <v>426997</v>
      </c>
      <c r="V15" s="530"/>
      <c r="W15" s="531">
        <f>U15+V15</f>
        <v>426997</v>
      </c>
      <c r="Y15" s="522"/>
    </row>
    <row r="16" spans="1:23" ht="13.5" thickBot="1">
      <c r="A16" s="770"/>
      <c r="B16" s="754"/>
      <c r="C16" s="28" t="s">
        <v>105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3">
        <v>32830.05</v>
      </c>
      <c r="N16" s="30">
        <v>38188.77</v>
      </c>
      <c r="O16" s="30"/>
      <c r="P16" s="30">
        <v>39146.64</v>
      </c>
      <c r="Q16" s="223"/>
      <c r="R16" s="223">
        <v>44551.29</v>
      </c>
      <c r="S16" s="30">
        <v>45788.23</v>
      </c>
      <c r="T16" s="30">
        <v>51398</v>
      </c>
      <c r="U16" s="30">
        <v>49651</v>
      </c>
      <c r="V16" s="609"/>
      <c r="W16" s="610">
        <f>U16+V16</f>
        <v>49651</v>
      </c>
    </row>
    <row r="17" spans="1:23" ht="15.75" thickBot="1">
      <c r="A17" s="32">
        <v>130</v>
      </c>
      <c r="B17" s="779" t="s">
        <v>106</v>
      </c>
      <c r="C17" s="780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9">
        <f t="shared" si="4"/>
        <v>393955.67</v>
      </c>
      <c r="N17" s="14">
        <f t="shared" si="4"/>
        <v>440231.49</v>
      </c>
      <c r="O17" s="249">
        <f t="shared" si="4"/>
        <v>441180.74</v>
      </c>
      <c r="P17" s="465">
        <f t="shared" si="4"/>
        <v>434200</v>
      </c>
      <c r="Q17" s="688">
        <f t="shared" si="4"/>
        <v>433282.6</v>
      </c>
      <c r="R17" s="688">
        <f t="shared" si="4"/>
        <v>464294.8</v>
      </c>
      <c r="S17" s="465">
        <v>557014.38</v>
      </c>
      <c r="T17" s="465">
        <v>583718</v>
      </c>
      <c r="U17" s="465">
        <f t="shared" si="4"/>
        <v>640600</v>
      </c>
      <c r="V17" s="465">
        <f t="shared" si="4"/>
        <v>0</v>
      </c>
      <c r="W17" s="517">
        <f t="shared" si="4"/>
        <v>640600</v>
      </c>
    </row>
    <row r="18" spans="1:23" ht="13.5" thickBot="1">
      <c r="A18" s="749"/>
      <c r="B18" s="33">
        <v>133</v>
      </c>
      <c r="C18" s="34" t="s">
        <v>107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 aca="true" t="shared" si="6" ref="N18:U18">SUM(N19:N25)</f>
        <v>440231.49</v>
      </c>
      <c r="O18" s="323">
        <f t="shared" si="6"/>
        <v>441180.74</v>
      </c>
      <c r="P18" s="129">
        <f t="shared" si="6"/>
        <v>434200</v>
      </c>
      <c r="Q18" s="566">
        <f t="shared" si="6"/>
        <v>433282.6</v>
      </c>
      <c r="R18" s="566">
        <f t="shared" si="6"/>
        <v>464294.8</v>
      </c>
      <c r="S18" s="129">
        <v>557014.38</v>
      </c>
      <c r="T18" s="129">
        <v>583718</v>
      </c>
      <c r="U18" s="129">
        <f t="shared" si="6"/>
        <v>640600</v>
      </c>
      <c r="V18" s="129">
        <f>SUM(V19:V25)</f>
        <v>0</v>
      </c>
      <c r="W18" s="38">
        <f>SUM(W19:W25)</f>
        <v>640600</v>
      </c>
    </row>
    <row r="19" spans="1:24" ht="12.75">
      <c r="A19" s="750"/>
      <c r="B19" s="757"/>
      <c r="C19" s="41" t="s">
        <v>108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22">
        <v>11300</v>
      </c>
      <c r="U19" s="22">
        <v>11300</v>
      </c>
      <c r="V19" s="611"/>
      <c r="W19" s="612">
        <f aca="true" t="shared" si="7" ref="W19:W25">U19+V19</f>
        <v>11300</v>
      </c>
      <c r="X19" s="522"/>
    </row>
    <row r="20" spans="1:23" ht="12.75">
      <c r="A20" s="750"/>
      <c r="B20" s="758"/>
      <c r="C20" s="43" t="s">
        <v>109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5">
        <v>300</v>
      </c>
      <c r="N20" s="26">
        <v>632</v>
      </c>
      <c r="O20" s="205">
        <v>398.66</v>
      </c>
      <c r="P20" s="205">
        <v>332</v>
      </c>
      <c r="Q20" s="205">
        <v>332</v>
      </c>
      <c r="R20" s="205">
        <v>332</v>
      </c>
      <c r="S20" s="26">
        <v>332</v>
      </c>
      <c r="T20" s="26">
        <v>300</v>
      </c>
      <c r="U20" s="26">
        <v>300</v>
      </c>
      <c r="V20" s="530"/>
      <c r="W20" s="531">
        <f t="shared" si="7"/>
        <v>300</v>
      </c>
    </row>
    <row r="21" spans="1:23" ht="12.75">
      <c r="A21" s="750"/>
      <c r="B21" s="758"/>
      <c r="C21" s="43" t="s">
        <v>110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5">
        <v>679.15</v>
      </c>
      <c r="N21" s="26">
        <v>691.66</v>
      </c>
      <c r="O21" s="205">
        <v>875</v>
      </c>
      <c r="P21" s="205">
        <v>1190</v>
      </c>
      <c r="Q21" s="205">
        <v>1148.33</v>
      </c>
      <c r="R21" s="205">
        <v>1090</v>
      </c>
      <c r="S21" s="26">
        <v>1094.16</v>
      </c>
      <c r="T21" s="26">
        <v>1000</v>
      </c>
      <c r="U21" s="26">
        <v>1000</v>
      </c>
      <c r="V21" s="530"/>
      <c r="W21" s="531">
        <f t="shared" si="7"/>
        <v>1000</v>
      </c>
    </row>
    <row r="22" spans="1:23" ht="12.75">
      <c r="A22" s="750"/>
      <c r="B22" s="758"/>
      <c r="C22" s="43" t="s">
        <v>111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5">
        <v>13052</v>
      </c>
      <c r="N22" s="26">
        <v>12555.5</v>
      </c>
      <c r="O22" s="205">
        <v>12857.5</v>
      </c>
      <c r="P22" s="205">
        <v>13737</v>
      </c>
      <c r="Q22" s="205">
        <v>16975</v>
      </c>
      <c r="R22" s="205">
        <v>9612</v>
      </c>
      <c r="S22" s="26">
        <v>6977.5</v>
      </c>
      <c r="T22" s="26">
        <v>8000</v>
      </c>
      <c r="U22" s="26">
        <v>7500</v>
      </c>
      <c r="V22" s="530"/>
      <c r="W22" s="531">
        <f t="shared" si="7"/>
        <v>7500</v>
      </c>
    </row>
    <row r="23" spans="1:23" ht="12.75">
      <c r="A23" s="750"/>
      <c r="B23" s="758"/>
      <c r="C23" s="43" t="s">
        <v>112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5">
        <v>29179.68</v>
      </c>
      <c r="N23" s="26">
        <v>32177.92</v>
      </c>
      <c r="O23" s="205">
        <v>25859.559999999998</v>
      </c>
      <c r="P23" s="205">
        <v>30880.28</v>
      </c>
      <c r="Q23" s="205">
        <v>32198.11</v>
      </c>
      <c r="R23" s="205">
        <v>7144.4</v>
      </c>
      <c r="S23" s="26">
        <v>11213.12</v>
      </c>
      <c r="T23" s="26">
        <v>12000</v>
      </c>
      <c r="U23" s="26">
        <v>5500</v>
      </c>
      <c r="V23" s="530"/>
      <c r="W23" s="531">
        <f t="shared" si="7"/>
        <v>5500</v>
      </c>
    </row>
    <row r="24" spans="1:25" ht="12.75">
      <c r="A24" s="750"/>
      <c r="B24" s="758"/>
      <c r="C24" s="43" t="s">
        <v>113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5">
        <v>240323.78</v>
      </c>
      <c r="N24" s="26">
        <v>255051.03999999998</v>
      </c>
      <c r="O24" s="205">
        <v>252038.01</v>
      </c>
      <c r="P24" s="205">
        <v>235688.58</v>
      </c>
      <c r="Q24" s="205">
        <v>223667.02000000002</v>
      </c>
      <c r="R24" s="205">
        <v>261473.29</v>
      </c>
      <c r="S24" s="26">
        <v>302847.66</v>
      </c>
      <c r="T24" s="26">
        <v>345000</v>
      </c>
      <c r="U24" s="26">
        <v>405000</v>
      </c>
      <c r="V24" s="530"/>
      <c r="W24" s="531">
        <f t="shared" si="7"/>
        <v>405000</v>
      </c>
      <c r="Y24" s="522"/>
    </row>
    <row r="25" spans="1:25" ht="13.5" thickBot="1">
      <c r="A25" s="751"/>
      <c r="B25" s="759"/>
      <c r="C25" s="46" t="s">
        <v>114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5">
        <v>101193</v>
      </c>
      <c r="N25" s="48">
        <v>126956.95</v>
      </c>
      <c r="O25" s="255">
        <v>137703.61</v>
      </c>
      <c r="P25" s="255">
        <v>140686.23</v>
      </c>
      <c r="Q25" s="255">
        <v>147617.6</v>
      </c>
      <c r="R25" s="255">
        <v>173283.95</v>
      </c>
      <c r="S25" s="48">
        <v>221501</v>
      </c>
      <c r="T25" s="48">
        <v>206118</v>
      </c>
      <c r="U25" s="48">
        <v>210000</v>
      </c>
      <c r="V25" s="609"/>
      <c r="W25" s="610">
        <f t="shared" si="7"/>
        <v>210000</v>
      </c>
      <c r="Y25" s="522"/>
    </row>
    <row r="26" spans="1:28" ht="16.5" thickBot="1">
      <c r="A26" s="50">
        <v>200</v>
      </c>
      <c r="B26" s="781" t="s">
        <v>115</v>
      </c>
      <c r="C26" s="782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50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50">
        <f>Q27+Q40+Q60+Q62</f>
        <v>1469960.26</v>
      </c>
      <c r="R26" s="550">
        <f>R27+R40+R60+R62</f>
        <v>1173149.8099999998</v>
      </c>
      <c r="S26" s="466">
        <v>1313525.2</v>
      </c>
      <c r="T26" s="466">
        <f t="shared" si="8"/>
        <v>1628006</v>
      </c>
      <c r="U26" s="466">
        <f t="shared" si="8"/>
        <v>1627310</v>
      </c>
      <c r="V26" s="466">
        <f>V27+V40+V60+V62</f>
        <v>0</v>
      </c>
      <c r="W26" s="518">
        <f>W27+W40+W60+W62</f>
        <v>1627310</v>
      </c>
      <c r="Y26" s="522"/>
      <c r="Z26" s="522"/>
      <c r="AA26" s="522"/>
      <c r="AB26" s="522"/>
    </row>
    <row r="27" spans="1:26" ht="15.75" thickBot="1">
      <c r="A27" s="52">
        <v>210</v>
      </c>
      <c r="B27" s="755" t="s">
        <v>116</v>
      </c>
      <c r="C27" s="756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51">
        <f t="shared" si="9"/>
        <v>418308.61</v>
      </c>
      <c r="N27" s="53">
        <f t="shared" si="9"/>
        <v>461210.13</v>
      </c>
      <c r="O27" s="551">
        <f t="shared" si="9"/>
        <v>442510.63</v>
      </c>
      <c r="P27" s="53">
        <f t="shared" si="9"/>
        <v>507429.88</v>
      </c>
      <c r="Q27" s="551">
        <f t="shared" si="9"/>
        <v>529407.6</v>
      </c>
      <c r="R27" s="551">
        <f t="shared" si="9"/>
        <v>467813.66</v>
      </c>
      <c r="S27" s="467">
        <v>532496.97</v>
      </c>
      <c r="T27" s="467">
        <v>562000</v>
      </c>
      <c r="U27" s="467">
        <f>U28+U32</f>
        <v>581910</v>
      </c>
      <c r="V27" s="467">
        <f>V28+V32</f>
        <v>0</v>
      </c>
      <c r="W27" s="519">
        <f>W28+W32</f>
        <v>581910</v>
      </c>
      <c r="Z27" s="522"/>
    </row>
    <row r="28" spans="1:23" ht="13.5" thickBot="1">
      <c r="A28" s="749" t="s">
        <v>117</v>
      </c>
      <c r="B28" s="8">
        <v>211</v>
      </c>
      <c r="C28" s="54" t="s">
        <v>116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3">
        <f>SUM(O29:O31)</f>
        <v>11000</v>
      </c>
      <c r="P28" s="37">
        <f>SUM(P29:P31)</f>
        <v>12500</v>
      </c>
      <c r="Q28" s="323">
        <f>SUM(Q29:Q31)</f>
        <v>14371.43</v>
      </c>
      <c r="R28" s="323">
        <f>SUM(R29:R31)</f>
        <v>13122.45</v>
      </c>
      <c r="S28" s="129">
        <v>11873.47</v>
      </c>
      <c r="T28" s="129">
        <v>10000</v>
      </c>
      <c r="U28" s="129">
        <f t="shared" si="10"/>
        <v>20000</v>
      </c>
      <c r="V28" s="129">
        <f t="shared" si="10"/>
        <v>0</v>
      </c>
      <c r="W28" s="38">
        <f>SUM(W29:W31)</f>
        <v>20000</v>
      </c>
    </row>
    <row r="29" spans="1:23" ht="12.75" hidden="1">
      <c r="A29" s="750"/>
      <c r="B29" s="752"/>
      <c r="C29" s="55" t="s">
        <v>118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22"/>
      <c r="U29" s="22"/>
      <c r="V29" s="525"/>
      <c r="W29" s="526"/>
    </row>
    <row r="30" spans="1:23" ht="12.75" hidden="1">
      <c r="A30" s="750"/>
      <c r="B30" s="753"/>
      <c r="C30" s="58" t="s">
        <v>119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5"/>
      <c r="P30" s="26"/>
      <c r="Q30" s="205"/>
      <c r="R30" s="205"/>
      <c r="S30" s="26"/>
      <c r="T30" s="26"/>
      <c r="U30" s="26"/>
      <c r="V30" s="527"/>
      <c r="W30" s="528"/>
    </row>
    <row r="31" spans="1:25" ht="13.5" thickBot="1">
      <c r="A31" s="750"/>
      <c r="B31" s="754"/>
      <c r="C31" s="59" t="s">
        <v>120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3">
        <v>11000</v>
      </c>
      <c r="P31" s="30">
        <v>12500</v>
      </c>
      <c r="Q31" s="223">
        <v>14371.43</v>
      </c>
      <c r="R31" s="697">
        <v>13122.45</v>
      </c>
      <c r="S31" s="30">
        <v>11873.47</v>
      </c>
      <c r="T31" s="30">
        <v>10000</v>
      </c>
      <c r="U31" s="30">
        <v>20000</v>
      </c>
      <c r="V31" s="609"/>
      <c r="W31" s="610">
        <f>U31+V31</f>
        <v>20000</v>
      </c>
      <c r="Y31" s="522"/>
    </row>
    <row r="32" spans="1:23" ht="13.5" thickBot="1">
      <c r="A32" s="750"/>
      <c r="B32" s="61">
        <v>212</v>
      </c>
      <c r="C32" s="62" t="s">
        <v>121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98">
        <v>552000</v>
      </c>
      <c r="U32" s="98">
        <f t="shared" si="11"/>
        <v>561910</v>
      </c>
      <c r="V32" s="98">
        <f t="shared" si="11"/>
        <v>0</v>
      </c>
      <c r="W32" s="65">
        <f>SUM(W33:W39)</f>
        <v>561910</v>
      </c>
    </row>
    <row r="33" spans="1:23" ht="12.75">
      <c r="A33" s="750"/>
      <c r="B33" s="757"/>
      <c r="C33" s="55" t="s">
        <v>122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22">
        <v>113000</v>
      </c>
      <c r="U33" s="22">
        <v>113000</v>
      </c>
      <c r="V33" s="22"/>
      <c r="W33" s="23">
        <f aca="true" t="shared" si="12" ref="W33:W39">U33+V33</f>
        <v>113000</v>
      </c>
    </row>
    <row r="34" spans="1:23" ht="12.75">
      <c r="A34" s="750"/>
      <c r="B34" s="758"/>
      <c r="C34" s="58" t="s">
        <v>123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5">
        <v>8075.84</v>
      </c>
      <c r="N34" s="26">
        <v>8856.86</v>
      </c>
      <c r="O34" s="205">
        <v>10889.6</v>
      </c>
      <c r="P34" s="205">
        <v>15581.52</v>
      </c>
      <c r="Q34" s="205">
        <v>12642.68</v>
      </c>
      <c r="R34" s="205">
        <v>14524.55</v>
      </c>
      <c r="S34" s="26">
        <v>21756.42</v>
      </c>
      <c r="T34" s="26">
        <v>18000</v>
      </c>
      <c r="U34" s="26">
        <v>18000</v>
      </c>
      <c r="V34" s="26"/>
      <c r="W34" s="27">
        <f t="shared" si="12"/>
        <v>18000</v>
      </c>
    </row>
    <row r="35" spans="1:23" ht="12.75">
      <c r="A35" s="750"/>
      <c r="B35" s="758"/>
      <c r="C35" s="66" t="s">
        <v>124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3">
        <v>46671.58</v>
      </c>
      <c r="N35" s="30">
        <v>82406.4</v>
      </c>
      <c r="O35" s="223">
        <v>98976.09</v>
      </c>
      <c r="P35" s="223">
        <v>127041.24</v>
      </c>
      <c r="Q35" s="223">
        <v>128092.23</v>
      </c>
      <c r="R35" s="223">
        <v>119686.05</v>
      </c>
      <c r="S35" s="694">
        <v>95546.52</v>
      </c>
      <c r="T35" s="30">
        <v>100000</v>
      </c>
      <c r="U35" s="30">
        <v>103834</v>
      </c>
      <c r="V35" s="30"/>
      <c r="W35" s="31">
        <f t="shared" si="12"/>
        <v>103834</v>
      </c>
    </row>
    <row r="36" spans="1:23" ht="12.75">
      <c r="A36" s="750"/>
      <c r="B36" s="758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3"/>
      <c r="N36" s="30">
        <v>19383.83</v>
      </c>
      <c r="O36" s="223">
        <v>32459.84</v>
      </c>
      <c r="P36" s="223">
        <v>37761.7</v>
      </c>
      <c r="Q36" s="223">
        <v>19905.54</v>
      </c>
      <c r="R36" s="223">
        <v>32052.66</v>
      </c>
      <c r="S36" s="30">
        <v>41775.34</v>
      </c>
      <c r="T36" s="30">
        <v>37000</v>
      </c>
      <c r="U36" s="30">
        <v>15458</v>
      </c>
      <c r="V36" s="30"/>
      <c r="W36" s="31">
        <f t="shared" si="12"/>
        <v>15458</v>
      </c>
    </row>
    <row r="37" spans="1:23" ht="12.75" hidden="1">
      <c r="A37" s="750"/>
      <c r="B37" s="758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3"/>
      <c r="N37" s="30">
        <v>10094.75</v>
      </c>
      <c r="O37" s="223">
        <v>3927.1</v>
      </c>
      <c r="P37" s="223"/>
      <c r="Q37" s="223">
        <v>1302</v>
      </c>
      <c r="R37" s="223"/>
      <c r="S37" s="30"/>
      <c r="T37" s="30">
        <v>0</v>
      </c>
      <c r="U37" s="30">
        <v>0</v>
      </c>
      <c r="V37" s="30"/>
      <c r="W37" s="31">
        <f t="shared" si="12"/>
        <v>0</v>
      </c>
    </row>
    <row r="38" spans="1:23" ht="12.75">
      <c r="A38" s="750"/>
      <c r="B38" s="758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3">
        <v>77194.39</v>
      </c>
      <c r="N38" s="30">
        <v>75486.59</v>
      </c>
      <c r="O38" s="223">
        <v>75089.34</v>
      </c>
      <c r="P38" s="223">
        <v>58412.39</v>
      </c>
      <c r="Q38" s="223">
        <v>63233.32</v>
      </c>
      <c r="R38" s="223">
        <f>51267.54+14.35+20.65</f>
        <v>51302.54</v>
      </c>
      <c r="S38" s="30">
        <v>45884.3</v>
      </c>
      <c r="T38" s="30">
        <v>42000</v>
      </c>
      <c r="U38" s="30">
        <v>43033</v>
      </c>
      <c r="V38" s="30"/>
      <c r="W38" s="31">
        <f t="shared" si="12"/>
        <v>43033</v>
      </c>
    </row>
    <row r="39" spans="1:23" ht="13.5" thickBot="1">
      <c r="A39" s="751"/>
      <c r="B39" s="759"/>
      <c r="C39" s="59" t="s">
        <v>125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3">
        <v>137182.93</v>
      </c>
      <c r="N39" s="30">
        <v>153013.37000000002</v>
      </c>
      <c r="O39" s="223">
        <v>139091.53</v>
      </c>
      <c r="P39" s="223">
        <v>137982.66</v>
      </c>
      <c r="Q39" s="223">
        <v>153077.75</v>
      </c>
      <c r="R39" s="223">
        <v>139667.89</v>
      </c>
      <c r="S39" s="30">
        <v>139228.11</v>
      </c>
      <c r="T39" s="30">
        <v>242000</v>
      </c>
      <c r="U39" s="30">
        <v>268585</v>
      </c>
      <c r="V39" s="30"/>
      <c r="W39" s="31">
        <f t="shared" si="12"/>
        <v>268585</v>
      </c>
    </row>
    <row r="40" spans="1:23" ht="15.75" thickBot="1">
      <c r="A40" s="32">
        <v>220</v>
      </c>
      <c r="B40" s="755" t="s">
        <v>126</v>
      </c>
      <c r="C40" s="756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4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6">
        <f>Q41+Q45+Q58</f>
        <v>885296.9500000001</v>
      </c>
      <c r="R40" s="556">
        <f>R41+R45+R58</f>
        <v>680941.51</v>
      </c>
      <c r="S40" s="107">
        <v>755581.21</v>
      </c>
      <c r="T40" s="107">
        <f t="shared" si="13"/>
        <v>1044006</v>
      </c>
      <c r="U40" s="107">
        <f t="shared" si="13"/>
        <v>1025400</v>
      </c>
      <c r="V40" s="107">
        <f>V41+V45+V58</f>
        <v>0</v>
      </c>
      <c r="W40" s="68">
        <f>W41+W45+W58</f>
        <v>1025400</v>
      </c>
    </row>
    <row r="41" spans="1:23" ht="13.5" thickBot="1">
      <c r="A41" s="749"/>
      <c r="B41" s="61">
        <v>221</v>
      </c>
      <c r="C41" s="62" t="s">
        <v>127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98">
        <v>106000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83"/>
      <c r="B42" s="757"/>
      <c r="C42" s="41" t="s">
        <v>128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22">
        <v>83000</v>
      </c>
      <c r="U42" s="22">
        <v>83000</v>
      </c>
      <c r="V42" s="22"/>
      <c r="W42" s="23">
        <f>U42+V42</f>
        <v>83000</v>
      </c>
    </row>
    <row r="43" spans="1:23" ht="12.75">
      <c r="A43" s="783"/>
      <c r="B43" s="758"/>
      <c r="C43" s="56" t="s">
        <v>129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5">
        <v>728.49</v>
      </c>
      <c r="S43" s="70"/>
      <c r="T43" s="70">
        <v>0</v>
      </c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83"/>
      <c r="B44" s="759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3">
        <v>27091.69</v>
      </c>
      <c r="N44" s="30">
        <v>28694.77</v>
      </c>
      <c r="O44" s="223">
        <v>27138.64</v>
      </c>
      <c r="P44" s="223">
        <v>32323.65</v>
      </c>
      <c r="Q44" s="223">
        <v>24041.82</v>
      </c>
      <c r="R44" s="116">
        <v>25115.94</v>
      </c>
      <c r="S44" s="30">
        <v>18548.85</v>
      </c>
      <c r="T44" s="30">
        <v>23000</v>
      </c>
      <c r="U44" s="30">
        <v>20000</v>
      </c>
      <c r="V44" s="30"/>
      <c r="W44" s="31">
        <f>U44+V44</f>
        <v>20000</v>
      </c>
    </row>
    <row r="45" spans="1:28" ht="13.5" thickBot="1">
      <c r="A45" s="783"/>
      <c r="B45" s="61">
        <v>223</v>
      </c>
      <c r="C45" s="61" t="s">
        <v>130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98">
        <f>SUM(T46:T57)</f>
        <v>938006</v>
      </c>
      <c r="U45" s="98">
        <f>SUM(U46:U57)</f>
        <v>922400</v>
      </c>
      <c r="V45" s="98">
        <f>SUM(V46:V57)</f>
        <v>0</v>
      </c>
      <c r="W45" s="65">
        <f>SUM(W46:W57)</f>
        <v>922400</v>
      </c>
      <c r="AB45" s="1"/>
    </row>
    <row r="46" spans="1:23" ht="12.75">
      <c r="A46" s="783"/>
      <c r="B46" s="757"/>
      <c r="C46" s="55" t="s">
        <v>131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22">
        <v>60000</v>
      </c>
      <c r="U46" s="22">
        <v>55000</v>
      </c>
      <c r="V46" s="22"/>
      <c r="W46" s="23">
        <f aca="true" t="shared" si="16" ref="W46:W57">U46+V46</f>
        <v>55000</v>
      </c>
    </row>
    <row r="47" spans="1:30" ht="12.75">
      <c r="A47" s="783"/>
      <c r="B47" s="758"/>
      <c r="C47" s="56" t="s">
        <v>411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22">
        <v>0</v>
      </c>
      <c r="U47" s="22">
        <v>30000</v>
      </c>
      <c r="V47" s="22"/>
      <c r="W47" s="23">
        <f t="shared" si="16"/>
        <v>30000</v>
      </c>
      <c r="AD47" s="1"/>
    </row>
    <row r="48" spans="1:23" ht="12.75" hidden="1">
      <c r="A48" s="783"/>
      <c r="B48" s="758"/>
      <c r="C48" s="56" t="s">
        <v>132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22">
        <v>0</v>
      </c>
      <c r="U48" s="22">
        <v>0</v>
      </c>
      <c r="V48" s="22"/>
      <c r="W48" s="23">
        <f t="shared" si="16"/>
        <v>0</v>
      </c>
    </row>
    <row r="49" spans="1:30" ht="12.75">
      <c r="A49" s="783"/>
      <c r="B49" s="758"/>
      <c r="C49" s="58" t="s">
        <v>133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5">
        <v>31403.35</v>
      </c>
      <c r="N49" s="26">
        <v>35343</v>
      </c>
      <c r="O49" s="205">
        <v>34322.05</v>
      </c>
      <c r="P49" s="205">
        <v>45533.12</v>
      </c>
      <c r="Q49" s="205">
        <v>43614.7</v>
      </c>
      <c r="R49" s="205">
        <v>44982.3</v>
      </c>
      <c r="S49" s="26">
        <v>48179</v>
      </c>
      <c r="T49" s="26">
        <v>45000</v>
      </c>
      <c r="U49" s="26">
        <v>45000</v>
      </c>
      <c r="V49" s="26"/>
      <c r="W49" s="27">
        <f t="shared" si="16"/>
        <v>45000</v>
      </c>
      <c r="AD49" s="1"/>
    </row>
    <row r="50" spans="1:30" ht="12.75">
      <c r="A50" s="783"/>
      <c r="B50" s="758"/>
      <c r="C50" s="58" t="s">
        <v>355</v>
      </c>
      <c r="D50" s="58"/>
      <c r="E50" s="58"/>
      <c r="F50" s="58"/>
      <c r="G50" s="58"/>
      <c r="H50" s="58"/>
      <c r="I50" s="44"/>
      <c r="J50" s="44"/>
      <c r="K50" s="26"/>
      <c r="L50" s="26"/>
      <c r="M50" s="205"/>
      <c r="N50" s="26"/>
      <c r="O50" s="205"/>
      <c r="P50" s="205">
        <v>34986.25</v>
      </c>
      <c r="Q50" s="205">
        <v>40439.35</v>
      </c>
      <c r="R50" s="205">
        <v>44734.7</v>
      </c>
      <c r="S50" s="26">
        <v>44248.25</v>
      </c>
      <c r="T50" s="26">
        <v>52000</v>
      </c>
      <c r="U50" s="26">
        <v>44000</v>
      </c>
      <c r="V50" s="26"/>
      <c r="W50" s="27">
        <f t="shared" si="16"/>
        <v>44000</v>
      </c>
      <c r="AD50" s="1"/>
    </row>
    <row r="51" spans="1:30" ht="12.75">
      <c r="A51" s="783"/>
      <c r="B51" s="758"/>
      <c r="C51" s="58" t="s">
        <v>356</v>
      </c>
      <c r="D51" s="58"/>
      <c r="E51" s="58"/>
      <c r="F51" s="58"/>
      <c r="G51" s="58"/>
      <c r="H51" s="58"/>
      <c r="I51" s="44"/>
      <c r="J51" s="44"/>
      <c r="K51" s="26"/>
      <c r="L51" s="26"/>
      <c r="M51" s="205"/>
      <c r="N51" s="26"/>
      <c r="O51" s="205">
        <v>2410.4</v>
      </c>
      <c r="P51" s="205">
        <v>202930</v>
      </c>
      <c r="Q51" s="205"/>
      <c r="R51" s="205">
        <v>72958.35</v>
      </c>
      <c r="S51" s="26">
        <v>155816.63</v>
      </c>
      <c r="T51" s="26">
        <v>253900</v>
      </c>
      <c r="U51" s="26">
        <v>253900</v>
      </c>
      <c r="V51" s="26"/>
      <c r="W51" s="27">
        <f t="shared" si="16"/>
        <v>253900</v>
      </c>
      <c r="Z51" s="1"/>
      <c r="AD51" s="1"/>
    </row>
    <row r="52" spans="1:30" ht="12.75">
      <c r="A52" s="783"/>
      <c r="B52" s="758"/>
      <c r="C52" s="58" t="s">
        <v>409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5">
        <v>19677.18</v>
      </c>
      <c r="N52" s="26">
        <v>14953.06</v>
      </c>
      <c r="O52" s="205">
        <v>28154.6</v>
      </c>
      <c r="P52" s="205"/>
      <c r="Q52" s="205"/>
      <c r="R52" s="205"/>
      <c r="S52" s="26"/>
      <c r="T52" s="26">
        <v>33423</v>
      </c>
      <c r="U52" s="26">
        <v>34000</v>
      </c>
      <c r="V52" s="26"/>
      <c r="W52" s="27">
        <f t="shared" si="16"/>
        <v>34000</v>
      </c>
      <c r="Z52" s="1"/>
      <c r="AD52" s="1"/>
    </row>
    <row r="53" spans="1:28" ht="12.75">
      <c r="A53" s="783"/>
      <c r="B53" s="758"/>
      <c r="C53" s="58" t="s">
        <v>205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5">
        <v>16873.9</v>
      </c>
      <c r="N53" s="26">
        <v>18524.4</v>
      </c>
      <c r="O53" s="205">
        <v>107327.38</v>
      </c>
      <c r="P53" s="205">
        <v>20421</v>
      </c>
      <c r="Q53" s="205">
        <v>18800</v>
      </c>
      <c r="R53" s="205">
        <v>8510</v>
      </c>
      <c r="S53" s="26">
        <v>9530</v>
      </c>
      <c r="T53" s="26">
        <v>8500</v>
      </c>
      <c r="U53" s="26">
        <v>8500</v>
      </c>
      <c r="V53" s="26"/>
      <c r="W53" s="27">
        <f t="shared" si="16"/>
        <v>8500</v>
      </c>
      <c r="Y53" s="522"/>
      <c r="Z53" s="522"/>
      <c r="AA53" s="522"/>
      <c r="AB53" s="522"/>
    </row>
    <row r="54" spans="1:23" ht="12.75">
      <c r="A54" s="783"/>
      <c r="B54" s="758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3">
        <v>163189.57</v>
      </c>
      <c r="N54" s="30">
        <v>121087.25</v>
      </c>
      <c r="O54" s="223">
        <v>49349.66</v>
      </c>
      <c r="P54" s="223">
        <v>100448.22</v>
      </c>
      <c r="Q54" s="223">
        <v>102354.74</v>
      </c>
      <c r="R54" s="223">
        <v>106757.63</v>
      </c>
      <c r="S54" s="30">
        <v>101964.37</v>
      </c>
      <c r="T54" s="30">
        <v>161200</v>
      </c>
      <c r="U54" s="30">
        <v>182000</v>
      </c>
      <c r="V54" s="30"/>
      <c r="W54" s="31">
        <f t="shared" si="16"/>
        <v>182000</v>
      </c>
    </row>
    <row r="55" spans="1:23" ht="12.75">
      <c r="A55" s="783"/>
      <c r="B55" s="758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3">
        <v>49002.82</v>
      </c>
      <c r="N55" s="30">
        <v>48758.66</v>
      </c>
      <c r="O55" s="223">
        <v>11897.8</v>
      </c>
      <c r="P55" s="223">
        <v>48198.72</v>
      </c>
      <c r="Q55" s="223">
        <v>41209.34</v>
      </c>
      <c r="R55" s="223">
        <v>46014.91</v>
      </c>
      <c r="S55" s="30">
        <v>31969.12</v>
      </c>
      <c r="T55" s="30">
        <v>58000</v>
      </c>
      <c r="U55" s="30">
        <v>72600</v>
      </c>
      <c r="V55" s="30"/>
      <c r="W55" s="31">
        <f t="shared" si="16"/>
        <v>72600</v>
      </c>
    </row>
    <row r="56" spans="1:23" ht="12.75">
      <c r="A56" s="783"/>
      <c r="B56" s="758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3"/>
      <c r="N56" s="30">
        <v>3813</v>
      </c>
      <c r="O56" s="223">
        <v>6856.9</v>
      </c>
      <c r="P56" s="223">
        <v>669.9000000000001</v>
      </c>
      <c r="Q56" s="223">
        <v>38311.520000000004</v>
      </c>
      <c r="R56" s="223">
        <v>29991.24</v>
      </c>
      <c r="S56" s="30">
        <v>9841.25</v>
      </c>
      <c r="T56" s="30">
        <v>15000</v>
      </c>
      <c r="U56" s="30">
        <v>15000</v>
      </c>
      <c r="V56" s="30"/>
      <c r="W56" s="31">
        <f t="shared" si="16"/>
        <v>15000</v>
      </c>
    </row>
    <row r="57" spans="1:23" ht="13.5" thickBot="1">
      <c r="A57" s="783"/>
      <c r="B57" s="758"/>
      <c r="C57" s="66" t="s">
        <v>137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3">
        <v>203428.27</v>
      </c>
      <c r="N57" s="30">
        <v>207559.37</v>
      </c>
      <c r="O57" s="223">
        <v>210825.28999999998</v>
      </c>
      <c r="P57" s="223">
        <f>413807.08-202930</f>
        <v>210877.08000000002</v>
      </c>
      <c r="Q57" s="223">
        <v>396056.39999999997</v>
      </c>
      <c r="R57" s="223">
        <v>155634.09</v>
      </c>
      <c r="S57" s="30">
        <v>169965.88</v>
      </c>
      <c r="T57" s="30">
        <v>250983</v>
      </c>
      <c r="U57" s="30">
        <v>182400</v>
      </c>
      <c r="V57" s="30"/>
      <c r="W57" s="31">
        <f t="shared" si="16"/>
        <v>182400</v>
      </c>
    </row>
    <row r="58" spans="1:23" ht="13.5" hidden="1" thickBot="1">
      <c r="A58" s="783"/>
      <c r="B58" s="61">
        <v>229</v>
      </c>
      <c r="C58" s="61" t="s">
        <v>138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hidden="1" thickBot="1">
      <c r="A59" s="784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1">
        <v>2144.59</v>
      </c>
      <c r="N59" s="77">
        <v>2002.17</v>
      </c>
      <c r="O59" s="211">
        <v>2067.84</v>
      </c>
      <c r="P59" s="77">
        <v>1622.84</v>
      </c>
      <c r="Q59" s="211">
        <v>1588</v>
      </c>
      <c r="R59" s="211">
        <v>1300</v>
      </c>
      <c r="S59" s="77">
        <v>1333</v>
      </c>
      <c r="T59" s="77">
        <v>0</v>
      </c>
      <c r="U59" s="77"/>
      <c r="V59" s="77"/>
      <c r="W59" s="639">
        <f>U59+V59</f>
        <v>0</v>
      </c>
    </row>
    <row r="60" spans="1:23" ht="15.75" hidden="1" thickBot="1">
      <c r="A60" s="13">
        <v>240</v>
      </c>
      <c r="B60" s="777" t="s">
        <v>140</v>
      </c>
      <c r="C60" s="778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401">
        <f t="shared" si="18"/>
        <v>2584.38</v>
      </c>
      <c r="O60" s="401">
        <f t="shared" si="18"/>
        <v>1160.94</v>
      </c>
      <c r="P60" s="401">
        <f t="shared" si="18"/>
        <v>1818.95</v>
      </c>
      <c r="Q60" s="661">
        <f t="shared" si="18"/>
        <v>1244.15</v>
      </c>
      <c r="R60" s="661">
        <f t="shared" si="18"/>
        <v>0</v>
      </c>
      <c r="S60" s="401">
        <v>0</v>
      </c>
      <c r="T60" s="401">
        <v>0</v>
      </c>
      <c r="U60" s="401">
        <f t="shared" si="18"/>
        <v>0</v>
      </c>
      <c r="V60" s="529"/>
      <c r="W60" s="524">
        <f>U60+V60</f>
        <v>0</v>
      </c>
    </row>
    <row r="61" spans="1:23" ht="15.75" hidden="1" thickBot="1">
      <c r="A61" s="52"/>
      <c r="B61" s="81"/>
      <c r="C61" s="82" t="s">
        <v>141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6">
        <v>445.87</v>
      </c>
      <c r="N61" s="84">
        <v>2584.38</v>
      </c>
      <c r="O61" s="266">
        <v>1160.94</v>
      </c>
      <c r="P61" s="84">
        <v>1818.95</v>
      </c>
      <c r="Q61" s="266">
        <v>1244.15</v>
      </c>
      <c r="R61" s="266"/>
      <c r="S61" s="84"/>
      <c r="T61" s="84">
        <v>0</v>
      </c>
      <c r="U61" s="84"/>
      <c r="V61" s="529"/>
      <c r="W61" s="524"/>
    </row>
    <row r="62" spans="1:23" ht="15.75" thickBot="1">
      <c r="A62" s="942">
        <v>290</v>
      </c>
      <c r="B62" s="779" t="s">
        <v>142</v>
      </c>
      <c r="C62" s="780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9">
        <f t="shared" si="19"/>
        <v>97470.49</v>
      </c>
      <c r="N62" s="465">
        <f t="shared" si="19"/>
        <v>73802.55999999998</v>
      </c>
      <c r="O62" s="688">
        <f t="shared" si="19"/>
        <v>45550.07000000001</v>
      </c>
      <c r="P62" s="465">
        <f t="shared" si="19"/>
        <v>56207.21</v>
      </c>
      <c r="Q62" s="688">
        <f t="shared" si="19"/>
        <v>54011.56</v>
      </c>
      <c r="R62" s="688">
        <f t="shared" si="19"/>
        <v>24394.64</v>
      </c>
      <c r="S62" s="465">
        <v>25447.02</v>
      </c>
      <c r="T62" s="465">
        <v>22000</v>
      </c>
      <c r="U62" s="465">
        <f t="shared" si="19"/>
        <v>20000</v>
      </c>
      <c r="V62" s="465">
        <f>V63</f>
        <v>0</v>
      </c>
      <c r="W62" s="517">
        <f>W63</f>
        <v>20000</v>
      </c>
    </row>
    <row r="63" spans="1:23" ht="13.5" thickBot="1">
      <c r="A63" s="749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22000</v>
      </c>
      <c r="U63" s="98">
        <f t="shared" si="20"/>
        <v>20000</v>
      </c>
      <c r="V63" s="98">
        <f>SUM(V64:V68)</f>
        <v>0</v>
      </c>
      <c r="W63" s="65">
        <f>SUM(W64:W68)</f>
        <v>20000</v>
      </c>
    </row>
    <row r="64" spans="1:23" ht="12.75" hidden="1">
      <c r="A64" s="750"/>
      <c r="B64" s="752"/>
      <c r="C64" s="85" t="s">
        <v>143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 hidden="1">
      <c r="A65" s="750"/>
      <c r="B65" s="753"/>
      <c r="C65" s="87" t="s">
        <v>144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50"/>
      <c r="B66" s="753"/>
      <c r="C66" s="87" t="s">
        <v>142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22000</v>
      </c>
      <c r="U66" s="22">
        <v>20000</v>
      </c>
      <c r="V66" s="22"/>
      <c r="W66" s="23">
        <f>U66+V66</f>
        <v>20000</v>
      </c>
    </row>
    <row r="67" spans="1:23" ht="13.5" thickBot="1">
      <c r="A67" s="750"/>
      <c r="B67" s="753"/>
      <c r="C67" s="89" t="s">
        <v>145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0</v>
      </c>
      <c r="U67" s="25"/>
      <c r="V67" s="25"/>
      <c r="W67" s="520">
        <f>U67+V67</f>
        <v>0</v>
      </c>
    </row>
    <row r="68" spans="1:23" ht="13.5" hidden="1" thickBot="1">
      <c r="A68" s="751"/>
      <c r="B68" s="754"/>
      <c r="C68" s="621" t="s">
        <v>146</v>
      </c>
      <c r="D68" s="621"/>
      <c r="E68" s="621"/>
      <c r="F68" s="621"/>
      <c r="G68" s="621"/>
      <c r="H68" s="621"/>
      <c r="I68" s="621"/>
      <c r="J68" s="621"/>
      <c r="K68" s="276"/>
      <c r="L68" s="277"/>
      <c r="M68" s="277"/>
      <c r="N68" s="277"/>
      <c r="O68" s="277"/>
      <c r="P68" s="277"/>
      <c r="Q68" s="557"/>
      <c r="R68" s="557"/>
      <c r="S68" s="277"/>
      <c r="T68" s="277"/>
      <c r="U68" s="277"/>
      <c r="V68" s="622"/>
      <c r="W68" s="623"/>
    </row>
    <row r="69" spans="1:23" ht="16.5" thickBot="1">
      <c r="A69" s="50">
        <v>300</v>
      </c>
      <c r="B69" s="794" t="s">
        <v>147</v>
      </c>
      <c r="C69" s="795"/>
      <c r="D69" s="624">
        <f aca="true" t="shared" si="21" ref="D69:U69">D70+D107</f>
        <v>1842129</v>
      </c>
      <c r="E69" s="624">
        <f t="shared" si="21"/>
        <v>1999701</v>
      </c>
      <c r="F69" s="624">
        <f t="shared" si="21"/>
        <v>2077242</v>
      </c>
      <c r="G69" s="624">
        <f t="shared" si="21"/>
        <v>2645110</v>
      </c>
      <c r="H69" s="624">
        <f t="shared" si="21"/>
        <v>2979865</v>
      </c>
      <c r="I69" s="624">
        <f t="shared" si="21"/>
        <v>2749519</v>
      </c>
      <c r="J69" s="624">
        <f t="shared" si="21"/>
        <v>2901991</v>
      </c>
      <c r="K69" s="624">
        <f t="shared" si="21"/>
        <v>3466649</v>
      </c>
      <c r="L69" s="624">
        <f t="shared" si="21"/>
        <v>3450076.55</v>
      </c>
      <c r="M69" s="625">
        <f t="shared" si="21"/>
        <v>3251492.52</v>
      </c>
      <c r="N69" s="626">
        <f t="shared" si="21"/>
        <v>3217895.650000001</v>
      </c>
      <c r="O69" s="626">
        <f t="shared" si="21"/>
        <v>3083446.5600000005</v>
      </c>
      <c r="P69" s="680">
        <f t="shared" si="21"/>
        <v>3121193.3499999996</v>
      </c>
      <c r="Q69" s="680">
        <f t="shared" si="21"/>
        <v>3412076.46</v>
      </c>
      <c r="R69" s="680">
        <f t="shared" si="21"/>
        <v>4385392.74</v>
      </c>
      <c r="S69" s="626">
        <f t="shared" si="21"/>
        <v>4535455.64</v>
      </c>
      <c r="T69" s="626">
        <f t="shared" si="21"/>
        <v>3716044</v>
      </c>
      <c r="U69" s="626">
        <f t="shared" si="21"/>
        <v>3801598</v>
      </c>
      <c r="V69" s="626">
        <f>V70+V107</f>
        <v>0</v>
      </c>
      <c r="W69" s="627">
        <f>W70+W107</f>
        <v>3801598</v>
      </c>
    </row>
    <row r="70" spans="1:23" ht="15.75" thickBot="1">
      <c r="A70" s="32">
        <v>310</v>
      </c>
      <c r="B70" s="755" t="s">
        <v>148</v>
      </c>
      <c r="C70" s="787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2862933</v>
      </c>
      <c r="K70" s="67">
        <f t="shared" si="22"/>
        <v>3457133</v>
      </c>
      <c r="L70" s="67">
        <f>L71+L73</f>
        <v>3450076.55</v>
      </c>
      <c r="M70" s="214">
        <f t="shared" si="22"/>
        <v>3251492.52</v>
      </c>
      <c r="N70" s="107">
        <f aca="true" t="shared" si="23" ref="N70:S70">N71+N73</f>
        <v>3217895.650000001</v>
      </c>
      <c r="O70" s="107">
        <f t="shared" si="23"/>
        <v>3083446.5600000005</v>
      </c>
      <c r="P70" s="556">
        <f t="shared" si="23"/>
        <v>3121193.3499999996</v>
      </c>
      <c r="Q70" s="556">
        <f t="shared" si="23"/>
        <v>3412076.46</v>
      </c>
      <c r="R70" s="556">
        <f t="shared" si="23"/>
        <v>4385392.74</v>
      </c>
      <c r="S70" s="107">
        <f t="shared" si="23"/>
        <v>4535455.64</v>
      </c>
      <c r="T70" s="107">
        <f>T71+T73</f>
        <v>3716044</v>
      </c>
      <c r="U70" s="107">
        <f t="shared" si="22"/>
        <v>3801598</v>
      </c>
      <c r="V70" s="107">
        <f>V71+V73</f>
        <v>0</v>
      </c>
      <c r="W70" s="68">
        <f>W71+W73</f>
        <v>3801598</v>
      </c>
    </row>
    <row r="71" spans="1:23" ht="13.5" thickBot="1">
      <c r="A71" s="749"/>
      <c r="B71" s="91">
        <v>311</v>
      </c>
      <c r="C71" s="61" t="s">
        <v>149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8">
        <f aca="true" t="shared" si="25" ref="N71:U71">N72</f>
        <v>4000</v>
      </c>
      <c r="O71" s="641">
        <f t="shared" si="25"/>
        <v>3010</v>
      </c>
      <c r="P71" s="641">
        <f t="shared" si="25"/>
        <v>5900</v>
      </c>
      <c r="Q71" s="641">
        <f t="shared" si="25"/>
        <v>1900</v>
      </c>
      <c r="R71" s="641">
        <f t="shared" si="25"/>
        <v>0</v>
      </c>
      <c r="S71" s="641">
        <f t="shared" si="25"/>
        <v>0</v>
      </c>
      <c r="T71" s="641">
        <f t="shared" si="25"/>
        <v>0</v>
      </c>
      <c r="U71" s="641">
        <f t="shared" si="25"/>
        <v>0</v>
      </c>
      <c r="V71" s="468">
        <f>V72</f>
        <v>0</v>
      </c>
      <c r="W71" s="17">
        <f>W72</f>
        <v>0</v>
      </c>
    </row>
    <row r="72" spans="1:23" ht="13.5" thickBot="1">
      <c r="A72" s="750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7" ht="13.5" thickBot="1">
      <c r="A73" s="750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SUM(I74:I106)</f>
        <v>2709768</v>
      </c>
      <c r="J73" s="37">
        <f>SUM(J74:J106)</f>
        <v>2843646</v>
      </c>
      <c r="K73" s="37">
        <f>SUM(K74:K106)</f>
        <v>3438873</v>
      </c>
      <c r="L73" s="37">
        <v>3449376.55</v>
      </c>
      <c r="M73" s="323">
        <f aca="true" t="shared" si="26" ref="M73:T73">SUM(M74:M106)</f>
        <v>3247392.52</v>
      </c>
      <c r="N73" s="129">
        <f t="shared" si="26"/>
        <v>3213895.650000001</v>
      </c>
      <c r="O73" s="566">
        <f t="shared" si="26"/>
        <v>3080436.5600000005</v>
      </c>
      <c r="P73" s="566">
        <f t="shared" si="26"/>
        <v>3115293.3499999996</v>
      </c>
      <c r="Q73" s="566">
        <f t="shared" si="26"/>
        <v>3410176.46</v>
      </c>
      <c r="R73" s="566">
        <f t="shared" si="26"/>
        <v>4385392.74</v>
      </c>
      <c r="S73" s="129">
        <f t="shared" si="26"/>
        <v>4535455.64</v>
      </c>
      <c r="T73" s="129">
        <f t="shared" si="26"/>
        <v>3716044</v>
      </c>
      <c r="U73" s="129">
        <f>SUM(U74:U106)</f>
        <v>3801598</v>
      </c>
      <c r="V73" s="129">
        <f>SUM(V74:V106)</f>
        <v>0</v>
      </c>
      <c r="W73" s="38">
        <f>SUM(W74:W106)</f>
        <v>3801598</v>
      </c>
      <c r="Z73" s="689"/>
      <c r="AA73" s="522"/>
    </row>
    <row r="74" spans="1:25" ht="12.75">
      <c r="A74" s="750"/>
      <c r="B74" s="792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3">
        <v>12154.95</v>
      </c>
      <c r="P74" s="203">
        <v>13029.32</v>
      </c>
      <c r="Q74" s="203">
        <v>15209.34</v>
      </c>
      <c r="R74" s="203">
        <v>16905.95</v>
      </c>
      <c r="S74" s="93">
        <v>17572.16</v>
      </c>
      <c r="T74" s="93">
        <v>16630</v>
      </c>
      <c r="U74" s="93">
        <v>16630</v>
      </c>
      <c r="V74" s="611"/>
      <c r="W74" s="612">
        <f aca="true" t="shared" si="27" ref="W74:W106">U74+V74</f>
        <v>16630</v>
      </c>
      <c r="Y74" s="522"/>
    </row>
    <row r="75" spans="1:27" ht="12.75">
      <c r="A75" s="750"/>
      <c r="B75" s="793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5">
        <v>2380478.2</v>
      </c>
      <c r="P75" s="205">
        <v>2366109.5</v>
      </c>
      <c r="Q75" s="205">
        <v>2545153.69</v>
      </c>
      <c r="R75" s="205">
        <v>2781805.12</v>
      </c>
      <c r="S75" s="26">
        <v>2869915</v>
      </c>
      <c r="T75" s="26">
        <v>2831304</v>
      </c>
      <c r="U75" s="26">
        <v>2859269</v>
      </c>
      <c r="V75" s="611"/>
      <c r="W75" s="612">
        <f t="shared" si="27"/>
        <v>2859269</v>
      </c>
      <c r="AA75" s="522"/>
    </row>
    <row r="76" spans="1:29" ht="12.75">
      <c r="A76" s="750"/>
      <c r="B76" s="793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5">
        <v>17965.74</v>
      </c>
      <c r="P76" s="205">
        <v>21444.09</v>
      </c>
      <c r="Q76" s="205">
        <v>25241.06</v>
      </c>
      <c r="R76" s="205">
        <v>28158.54</v>
      </c>
      <c r="S76" s="26">
        <v>24931.2</v>
      </c>
      <c r="T76" s="26">
        <v>28159</v>
      </c>
      <c r="U76" s="26">
        <v>28159</v>
      </c>
      <c r="V76" s="611"/>
      <c r="W76" s="612">
        <f t="shared" si="27"/>
        <v>28159</v>
      </c>
      <c r="Y76" s="522"/>
      <c r="Z76" s="522"/>
      <c r="AA76" s="522"/>
      <c r="AB76" s="522"/>
      <c r="AC76" s="522"/>
    </row>
    <row r="77" spans="1:26" ht="12.75">
      <c r="A77" s="750"/>
      <c r="B77" s="793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5">
        <v>28388</v>
      </c>
      <c r="P77" s="205">
        <v>29368</v>
      </c>
      <c r="Q77" s="205">
        <v>32106</v>
      </c>
      <c r="R77" s="205">
        <v>35166</v>
      </c>
      <c r="S77" s="26">
        <v>36089</v>
      </c>
      <c r="T77" s="26">
        <v>32000</v>
      </c>
      <c r="U77" s="26">
        <v>32000</v>
      </c>
      <c r="V77" s="611"/>
      <c r="W77" s="612">
        <f t="shared" si="27"/>
        <v>32000</v>
      </c>
      <c r="Y77" s="522"/>
      <c r="Z77" s="522"/>
    </row>
    <row r="78" spans="1:26" ht="12.75">
      <c r="A78" s="750"/>
      <c r="B78" s="793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5">
        <v>7146.74</v>
      </c>
      <c r="P78" s="205">
        <v>7180.34</v>
      </c>
      <c r="Q78" s="205">
        <v>7204.95</v>
      </c>
      <c r="R78" s="205">
        <v>7210.94</v>
      </c>
      <c r="S78" s="26">
        <v>7213.51</v>
      </c>
      <c r="T78" s="26">
        <v>7218</v>
      </c>
      <c r="U78" s="26">
        <v>7218</v>
      </c>
      <c r="V78" s="611"/>
      <c r="W78" s="612">
        <f t="shared" si="27"/>
        <v>7218</v>
      </c>
      <c r="Z78" s="522"/>
    </row>
    <row r="79" spans="1:23" ht="12.75">
      <c r="A79" s="750"/>
      <c r="B79" s="793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5">
        <v>3575.04</v>
      </c>
      <c r="P79" s="205">
        <v>3928.96</v>
      </c>
      <c r="Q79" s="205">
        <v>5163.84</v>
      </c>
      <c r="R79" s="205">
        <v>4480.02</v>
      </c>
      <c r="S79" s="26">
        <v>2417</v>
      </c>
      <c r="T79" s="26">
        <v>4480</v>
      </c>
      <c r="U79" s="26">
        <v>4480</v>
      </c>
      <c r="V79" s="611"/>
      <c r="W79" s="612">
        <f t="shared" si="27"/>
        <v>4480</v>
      </c>
    </row>
    <row r="80" spans="1:23" ht="12.75">
      <c r="A80" s="750"/>
      <c r="B80" s="793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5">
        <v>37015.03</v>
      </c>
      <c r="P80" s="205">
        <v>30847.5</v>
      </c>
      <c r="Q80" s="205">
        <v>180888.6</v>
      </c>
      <c r="R80" s="205">
        <v>3685.2</v>
      </c>
      <c r="S80" s="26">
        <v>3353.2</v>
      </c>
      <c r="T80" s="26">
        <v>55224</v>
      </c>
      <c r="U80" s="26">
        <v>3500</v>
      </c>
      <c r="V80" s="611"/>
      <c r="W80" s="612">
        <f t="shared" si="27"/>
        <v>3500</v>
      </c>
    </row>
    <row r="81" spans="1:23" ht="12.75">
      <c r="A81" s="750"/>
      <c r="B81" s="793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5">
        <v>32060.63</v>
      </c>
      <c r="P81" s="205">
        <v>23435.9</v>
      </c>
      <c r="Q81" s="205">
        <v>11750.66</v>
      </c>
      <c r="R81" s="205">
        <v>13997.92</v>
      </c>
      <c r="S81" s="26">
        <v>25352.86</v>
      </c>
      <c r="T81" s="26">
        <v>23000</v>
      </c>
      <c r="U81" s="26">
        <v>23000</v>
      </c>
      <c r="V81" s="611"/>
      <c r="W81" s="612">
        <f t="shared" si="27"/>
        <v>23000</v>
      </c>
    </row>
    <row r="82" spans="1:23" ht="12.75">
      <c r="A82" s="750"/>
      <c r="B82" s="793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5">
        <v>834.53</v>
      </c>
      <c r="P82" s="205">
        <v>834.58</v>
      </c>
      <c r="Q82" s="205">
        <v>834.92</v>
      </c>
      <c r="R82" s="205">
        <v>833.25</v>
      </c>
      <c r="S82" s="26">
        <v>831.16</v>
      </c>
      <c r="T82" s="26">
        <v>1474</v>
      </c>
      <c r="U82" s="26">
        <v>1474</v>
      </c>
      <c r="V82" s="611"/>
      <c r="W82" s="612">
        <f t="shared" si="27"/>
        <v>1474</v>
      </c>
    </row>
    <row r="83" spans="1:23" ht="12.75">
      <c r="A83" s="750"/>
      <c r="B83" s="793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5">
        <v>1384.09</v>
      </c>
      <c r="P83" s="205">
        <v>1383.83</v>
      </c>
      <c r="Q83" s="205">
        <v>1383.78</v>
      </c>
      <c r="R83" s="205">
        <v>1401.91</v>
      </c>
      <c r="S83" s="26">
        <v>1442.76</v>
      </c>
      <c r="T83" s="26">
        <v>1443</v>
      </c>
      <c r="U83" s="26">
        <v>1443</v>
      </c>
      <c r="V83" s="611"/>
      <c r="W83" s="612">
        <f t="shared" si="27"/>
        <v>1443</v>
      </c>
    </row>
    <row r="84" spans="1:23" ht="12.75">
      <c r="A84" s="750"/>
      <c r="B84" s="793"/>
      <c r="C84" s="43" t="s">
        <v>352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5">
        <v>5319.72</v>
      </c>
      <c r="P84" s="205">
        <v>79960.38</v>
      </c>
      <c r="Q84" s="205">
        <v>117516.28</v>
      </c>
      <c r="R84" s="205">
        <v>102665.44</v>
      </c>
      <c r="S84" s="26">
        <v>168200.86</v>
      </c>
      <c r="T84" s="26">
        <v>158000</v>
      </c>
      <c r="U84" s="26">
        <v>158000</v>
      </c>
      <c r="V84" s="611"/>
      <c r="W84" s="612">
        <f t="shared" si="27"/>
        <v>158000</v>
      </c>
    </row>
    <row r="85" spans="1:23" ht="12.75">
      <c r="A85" s="750"/>
      <c r="B85" s="793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5">
        <v>5150.43</v>
      </c>
      <c r="P85" s="205">
        <v>5039.6</v>
      </c>
      <c r="Q85" s="205">
        <v>4957.389999999999</v>
      </c>
      <c r="R85" s="205">
        <v>5060.610000000001</v>
      </c>
      <c r="S85" s="26">
        <v>5039.46</v>
      </c>
      <c r="T85" s="26">
        <v>5039</v>
      </c>
      <c r="U85" s="26">
        <v>5039</v>
      </c>
      <c r="V85" s="611"/>
      <c r="W85" s="612">
        <f t="shared" si="27"/>
        <v>5039</v>
      </c>
    </row>
    <row r="86" spans="1:23" ht="12.75">
      <c r="A86" s="750"/>
      <c r="B86" s="793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5">
        <v>5725</v>
      </c>
      <c r="P86" s="205">
        <v>6318.110000000001</v>
      </c>
      <c r="Q86" s="205">
        <v>15040</v>
      </c>
      <c r="R86" s="205">
        <v>11724.32</v>
      </c>
      <c r="S86" s="26">
        <v>8198.2</v>
      </c>
      <c r="T86" s="26">
        <v>8503</v>
      </c>
      <c r="U86" s="26"/>
      <c r="V86" s="611"/>
      <c r="W86" s="612">
        <f t="shared" si="27"/>
        <v>0</v>
      </c>
    </row>
    <row r="87" spans="1:23" ht="12.75">
      <c r="A87" s="750"/>
      <c r="B87" s="793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5">
        <v>4000</v>
      </c>
      <c r="P87" s="205">
        <v>6500</v>
      </c>
      <c r="Q87" s="205">
        <v>6844.81</v>
      </c>
      <c r="R87" s="205"/>
      <c r="S87" s="26">
        <v>13200</v>
      </c>
      <c r="T87" s="26">
        <v>11300</v>
      </c>
      <c r="U87" s="26"/>
      <c r="V87" s="611"/>
      <c r="W87" s="612">
        <f t="shared" si="27"/>
        <v>0</v>
      </c>
    </row>
    <row r="88" spans="1:23" ht="12.75">
      <c r="A88" s="750"/>
      <c r="B88" s="793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5">
        <v>37751.54</v>
      </c>
      <c r="P88" s="205">
        <v>40983.99</v>
      </c>
      <c r="Q88" s="205">
        <v>46526.26</v>
      </c>
      <c r="R88" s="205">
        <v>47924.12</v>
      </c>
      <c r="S88" s="26">
        <v>47729.81</v>
      </c>
      <c r="T88" s="26">
        <v>41000</v>
      </c>
      <c r="U88" s="26">
        <v>47000</v>
      </c>
      <c r="V88" s="611"/>
      <c r="W88" s="612">
        <f t="shared" si="27"/>
        <v>47000</v>
      </c>
    </row>
    <row r="89" spans="1:23" ht="12.75">
      <c r="A89" s="750"/>
      <c r="B89" s="793"/>
      <c r="C89" s="43" t="s">
        <v>365</v>
      </c>
      <c r="D89" s="43"/>
      <c r="E89" s="43"/>
      <c r="F89" s="43"/>
      <c r="G89" s="43"/>
      <c r="H89" s="43"/>
      <c r="I89" s="43"/>
      <c r="J89" s="43"/>
      <c r="K89" s="26"/>
      <c r="L89" s="26"/>
      <c r="M89" s="205"/>
      <c r="N89" s="26">
        <v>37805</v>
      </c>
      <c r="O89" s="26"/>
      <c r="P89" s="205"/>
      <c r="Q89" s="205"/>
      <c r="R89" s="205">
        <v>80695.71</v>
      </c>
      <c r="S89" s="26">
        <v>99939.32</v>
      </c>
      <c r="T89" s="26">
        <v>81000</v>
      </c>
      <c r="U89" s="26">
        <v>81000</v>
      </c>
      <c r="V89" s="611"/>
      <c r="W89" s="612">
        <f t="shared" si="27"/>
        <v>81000</v>
      </c>
    </row>
    <row r="90" spans="1:23" ht="12.75">
      <c r="A90" s="750"/>
      <c r="B90" s="793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5">
        <v>59979.78999999999</v>
      </c>
      <c r="N90" s="26">
        <v>37805</v>
      </c>
      <c r="O90" s="26">
        <v>0</v>
      </c>
      <c r="P90" s="205"/>
      <c r="Q90" s="205"/>
      <c r="R90" s="205"/>
      <c r="S90" s="26"/>
      <c r="T90" s="26">
        <v>0</v>
      </c>
      <c r="U90" s="26">
        <v>0</v>
      </c>
      <c r="V90" s="611"/>
      <c r="W90" s="612">
        <f t="shared" si="27"/>
        <v>0</v>
      </c>
    </row>
    <row r="91" spans="1:23" ht="12.75">
      <c r="A91" s="750"/>
      <c r="B91" s="793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5">
        <v>105208.79999999999</v>
      </c>
      <c r="N91" s="26"/>
      <c r="O91" s="26"/>
      <c r="P91" s="205"/>
      <c r="Q91" s="205"/>
      <c r="R91" s="205"/>
      <c r="S91" s="26"/>
      <c r="T91" s="26">
        <v>0</v>
      </c>
      <c r="U91" s="26">
        <v>0</v>
      </c>
      <c r="V91" s="611"/>
      <c r="W91" s="612">
        <f t="shared" si="27"/>
        <v>0</v>
      </c>
    </row>
    <row r="92" spans="1:23" ht="12.75">
      <c r="A92" s="750"/>
      <c r="B92" s="793"/>
      <c r="C92" s="43" t="s">
        <v>336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5"/>
      <c r="N92" s="26"/>
      <c r="O92" s="26"/>
      <c r="P92" s="205"/>
      <c r="Q92" s="205"/>
      <c r="R92" s="205"/>
      <c r="S92" s="26"/>
      <c r="T92" s="26">
        <v>0</v>
      </c>
      <c r="U92" s="26">
        <v>0</v>
      </c>
      <c r="V92" s="611"/>
      <c r="W92" s="612">
        <f t="shared" si="27"/>
        <v>0</v>
      </c>
    </row>
    <row r="93" spans="1:23" ht="12.75">
      <c r="A93" s="750"/>
      <c r="B93" s="793"/>
      <c r="C93" s="58" t="s">
        <v>387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5"/>
      <c r="N93" s="26"/>
      <c r="O93" s="26">
        <v>15864.95</v>
      </c>
      <c r="P93" s="205"/>
      <c r="Q93" s="205"/>
      <c r="R93" s="205"/>
      <c r="S93" s="26"/>
      <c r="T93" s="26">
        <v>11000</v>
      </c>
      <c r="U93" s="26">
        <v>11000</v>
      </c>
      <c r="V93" s="611"/>
      <c r="W93" s="612">
        <f t="shared" si="27"/>
        <v>11000</v>
      </c>
    </row>
    <row r="94" spans="1:23" ht="12.75">
      <c r="A94" s="750"/>
      <c r="B94" s="793"/>
      <c r="C94" s="43" t="s">
        <v>373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5">
        <v>108000</v>
      </c>
      <c r="N94" s="26"/>
      <c r="O94" s="26">
        <v>66101.8</v>
      </c>
      <c r="P94" s="205"/>
      <c r="Q94" s="205"/>
      <c r="R94" s="205"/>
      <c r="S94" s="26"/>
      <c r="T94" s="26">
        <v>71000</v>
      </c>
      <c r="U94" s="26">
        <v>71000</v>
      </c>
      <c r="V94" s="702"/>
      <c r="W94" s="590">
        <f t="shared" si="27"/>
        <v>71000</v>
      </c>
    </row>
    <row r="95" spans="1:23" ht="12.75">
      <c r="A95" s="750"/>
      <c r="B95" s="793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5"/>
      <c r="Q95" s="205"/>
      <c r="R95" s="205"/>
      <c r="S95" s="26"/>
      <c r="T95" s="26">
        <v>0</v>
      </c>
      <c r="U95" s="26">
        <v>0</v>
      </c>
      <c r="V95" s="611"/>
      <c r="W95" s="612">
        <f t="shared" si="27"/>
        <v>0</v>
      </c>
    </row>
    <row r="96" spans="1:23" ht="12.75">
      <c r="A96" s="750"/>
      <c r="B96" s="793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5">
        <v>190966.83</v>
      </c>
      <c r="P96" s="205">
        <v>164272.02000000002</v>
      </c>
      <c r="Q96" s="205">
        <v>126275.40000000001</v>
      </c>
      <c r="R96" s="205">
        <v>113934.41</v>
      </c>
      <c r="S96" s="26">
        <v>126365.63</v>
      </c>
      <c r="T96" s="26">
        <v>150000</v>
      </c>
      <c r="U96" s="26">
        <v>115000</v>
      </c>
      <c r="V96" s="611"/>
      <c r="W96" s="612">
        <f t="shared" si="27"/>
        <v>115000</v>
      </c>
    </row>
    <row r="97" spans="1:23" ht="12.75">
      <c r="A97" s="750"/>
      <c r="B97" s="793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5">
        <v>2738.17</v>
      </c>
      <c r="Q97" s="205"/>
      <c r="R97" s="205"/>
      <c r="S97" s="26"/>
      <c r="T97" s="26">
        <v>58230</v>
      </c>
      <c r="U97" s="26">
        <v>58230</v>
      </c>
      <c r="V97" s="611"/>
      <c r="W97" s="612">
        <f t="shared" si="27"/>
        <v>58230</v>
      </c>
    </row>
    <row r="98" spans="1:23" ht="12.75">
      <c r="A98" s="750"/>
      <c r="B98" s="793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5"/>
      <c r="Q98" s="205"/>
      <c r="R98" s="205"/>
      <c r="S98" s="26"/>
      <c r="T98" s="26">
        <v>34000</v>
      </c>
      <c r="U98" s="26">
        <v>34000</v>
      </c>
      <c r="V98" s="611"/>
      <c r="W98" s="612">
        <f t="shared" si="27"/>
        <v>34000</v>
      </c>
    </row>
    <row r="99" spans="1:23" ht="12.75">
      <c r="A99" s="750"/>
      <c r="B99" s="793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5"/>
      <c r="Q99" s="205"/>
      <c r="R99" s="205"/>
      <c r="S99" s="26"/>
      <c r="T99" s="26">
        <v>4000</v>
      </c>
      <c r="U99" s="26">
        <v>4000</v>
      </c>
      <c r="V99" s="611"/>
      <c r="W99" s="612">
        <f t="shared" si="27"/>
        <v>4000</v>
      </c>
    </row>
    <row r="100" spans="1:23" ht="12.75">
      <c r="A100" s="750"/>
      <c r="B100" s="793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5"/>
      <c r="Q100" s="205"/>
      <c r="R100" s="205"/>
      <c r="S100" s="26"/>
      <c r="T100" s="26">
        <v>8000</v>
      </c>
      <c r="U100" s="26">
        <v>8000</v>
      </c>
      <c r="V100" s="611"/>
      <c r="W100" s="612">
        <f t="shared" si="27"/>
        <v>8000</v>
      </c>
    </row>
    <row r="101" spans="1:23" ht="12.75" hidden="1">
      <c r="A101" s="750"/>
      <c r="B101" s="793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5"/>
      <c r="N101" s="96"/>
      <c r="O101" s="96"/>
      <c r="P101" s="652"/>
      <c r="Q101" s="652"/>
      <c r="R101" s="652"/>
      <c r="S101" s="96"/>
      <c r="T101" s="96">
        <v>0</v>
      </c>
      <c r="U101" s="96">
        <v>0</v>
      </c>
      <c r="V101" s="611"/>
      <c r="W101" s="612">
        <f t="shared" si="27"/>
        <v>0</v>
      </c>
    </row>
    <row r="102" spans="1:23" ht="12.75" hidden="1">
      <c r="A102" s="750"/>
      <c r="B102" s="793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6"/>
      <c r="N102" s="96"/>
      <c r="O102" s="96"/>
      <c r="P102" s="652"/>
      <c r="Q102" s="652"/>
      <c r="R102" s="652"/>
      <c r="S102" s="96"/>
      <c r="T102" s="96">
        <v>0</v>
      </c>
      <c r="U102" s="96">
        <v>0</v>
      </c>
      <c r="V102" s="611"/>
      <c r="W102" s="612">
        <f t="shared" si="27"/>
        <v>0</v>
      </c>
    </row>
    <row r="103" spans="1:23" ht="12.75" hidden="1">
      <c r="A103" s="750"/>
      <c r="B103" s="793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5"/>
      <c r="Q103" s="205"/>
      <c r="R103" s="205"/>
      <c r="S103" s="26"/>
      <c r="T103" s="26">
        <v>0</v>
      </c>
      <c r="U103" s="26">
        <v>0</v>
      </c>
      <c r="V103" s="611"/>
      <c r="W103" s="612">
        <f t="shared" si="27"/>
        <v>0</v>
      </c>
    </row>
    <row r="104" spans="1:23" ht="12.75" hidden="1">
      <c r="A104" s="750"/>
      <c r="B104" s="793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5">
        <v>238911.06000000006</v>
      </c>
      <c r="Q104" s="205"/>
      <c r="R104" s="205"/>
      <c r="S104" s="26"/>
      <c r="T104" s="26">
        <v>0</v>
      </c>
      <c r="U104" s="26">
        <v>0</v>
      </c>
      <c r="V104" s="611"/>
      <c r="W104" s="612">
        <f t="shared" si="27"/>
        <v>0</v>
      </c>
    </row>
    <row r="105" spans="1:23" ht="12.75" hidden="1">
      <c r="A105" s="750"/>
      <c r="B105" s="793"/>
      <c r="C105" s="20" t="s">
        <v>351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5">
        <v>73008</v>
      </c>
      <c r="Q105" s="205">
        <v>41077.41</v>
      </c>
      <c r="R105" s="205">
        <v>292748.58</v>
      </c>
      <c r="S105" s="26">
        <v>202615.28</v>
      </c>
      <c r="T105" s="26">
        <v>0</v>
      </c>
      <c r="U105" s="26">
        <v>0</v>
      </c>
      <c r="V105" s="527"/>
      <c r="W105" s="612">
        <f t="shared" si="27"/>
        <v>0</v>
      </c>
    </row>
    <row r="106" spans="1:23" ht="13.5" thickBot="1">
      <c r="A106" s="750"/>
      <c r="B106" s="793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52">
        <v>13085.550000000001</v>
      </c>
      <c r="N106" s="26">
        <f>206825+69116</f>
        <v>275941</v>
      </c>
      <c r="O106" s="205">
        <f>82173.59+363.75</f>
        <v>82537.34</v>
      </c>
      <c r="P106" s="205"/>
      <c r="Q106" s="205">
        <v>227002.0700000003</v>
      </c>
      <c r="R106" s="205">
        <v>836994.6999999997</v>
      </c>
      <c r="S106" s="26">
        <v>875049.23</v>
      </c>
      <c r="T106" s="26">
        <v>74040</v>
      </c>
      <c r="U106" s="26">
        <f>135996+96160</f>
        <v>232156</v>
      </c>
      <c r="V106" s="609"/>
      <c r="W106" s="610">
        <f t="shared" si="27"/>
        <v>232156</v>
      </c>
    </row>
    <row r="107" spans="1:23" ht="15.75" customHeight="1" thickBot="1">
      <c r="A107" s="32">
        <v>330</v>
      </c>
      <c r="B107" s="755" t="s">
        <v>179</v>
      </c>
      <c r="C107" s="787"/>
      <c r="D107" s="67">
        <f aca="true" t="shared" si="28" ref="D107:L107">D108</f>
        <v>0</v>
      </c>
      <c r="E107" s="67">
        <f t="shared" si="28"/>
        <v>0</v>
      </c>
      <c r="F107" s="67">
        <f t="shared" si="28"/>
        <v>0</v>
      </c>
      <c r="G107" s="67">
        <f t="shared" si="28"/>
        <v>0</v>
      </c>
      <c r="H107" s="67">
        <f t="shared" si="28"/>
        <v>21047</v>
      </c>
      <c r="I107" s="67">
        <f t="shared" si="28"/>
        <v>28355</v>
      </c>
      <c r="J107" s="67">
        <f t="shared" si="28"/>
        <v>39058</v>
      </c>
      <c r="K107" s="67">
        <f t="shared" si="28"/>
        <v>9516</v>
      </c>
      <c r="L107" s="67">
        <f t="shared" si="28"/>
        <v>0</v>
      </c>
      <c r="M107" s="67"/>
      <c r="N107" s="107"/>
      <c r="O107" s="107"/>
      <c r="P107" s="556"/>
      <c r="Q107" s="556"/>
      <c r="R107" s="556"/>
      <c r="S107" s="107">
        <f>S108</f>
        <v>0</v>
      </c>
      <c r="T107" s="107">
        <f>T108</f>
        <v>0</v>
      </c>
      <c r="U107" s="107">
        <f>U108</f>
        <v>0</v>
      </c>
      <c r="V107" s="529"/>
      <c r="W107" s="524"/>
    </row>
    <row r="108" spans="1:23" ht="13.5" customHeight="1" thickBot="1">
      <c r="A108" s="749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f>I109</f>
        <v>28355</v>
      </c>
      <c r="J108" s="64">
        <f>J109</f>
        <v>39058</v>
      </c>
      <c r="K108" s="64">
        <f>K109</f>
        <v>9516</v>
      </c>
      <c r="L108" s="98"/>
      <c r="M108" s="98"/>
      <c r="N108" s="98"/>
      <c r="O108" s="98"/>
      <c r="P108" s="141"/>
      <c r="Q108" s="141"/>
      <c r="R108" s="141"/>
      <c r="S108" s="98"/>
      <c r="T108" s="98"/>
      <c r="U108" s="98"/>
      <c r="V108" s="529"/>
      <c r="W108" s="524"/>
    </row>
    <row r="109" spans="1:23" ht="13.5" customHeight="1" thickBot="1">
      <c r="A109" s="791"/>
      <c r="B109" s="40"/>
      <c r="C109" s="99" t="s">
        <v>171</v>
      </c>
      <c r="D109" s="99"/>
      <c r="E109" s="99"/>
      <c r="F109" s="99"/>
      <c r="G109" s="99"/>
      <c r="H109" s="99">
        <v>21047</v>
      </c>
      <c r="I109" s="99">
        <v>28355</v>
      </c>
      <c r="J109" s="99">
        <v>39058</v>
      </c>
      <c r="K109" s="100">
        <v>9516</v>
      </c>
      <c r="L109" s="70"/>
      <c r="M109" s="70"/>
      <c r="N109" s="70"/>
      <c r="O109" s="70"/>
      <c r="P109" s="116"/>
      <c r="Q109" s="116"/>
      <c r="R109" s="116"/>
      <c r="S109" s="70"/>
      <c r="T109" s="70"/>
      <c r="U109" s="70"/>
      <c r="V109" s="532"/>
      <c r="W109" s="533"/>
    </row>
    <row r="110" spans="1:23" ht="17.25" thickBot="1" thickTop="1">
      <c r="A110" s="788" t="s">
        <v>181</v>
      </c>
      <c r="B110" s="789"/>
      <c r="C110" s="790"/>
      <c r="D110" s="101">
        <f aca="true" t="shared" si="29" ref="D110:U110">D5+D26+D69</f>
        <v>7125871</v>
      </c>
      <c r="E110" s="101">
        <f t="shared" si="29"/>
        <v>7561840</v>
      </c>
      <c r="F110" s="101">
        <f t="shared" si="29"/>
        <v>9082354</v>
      </c>
      <c r="G110" s="101">
        <f t="shared" si="29"/>
        <v>9080838</v>
      </c>
      <c r="H110" s="101">
        <f t="shared" si="29"/>
        <v>8537685</v>
      </c>
      <c r="I110" s="101">
        <f t="shared" si="29"/>
        <v>9096722</v>
      </c>
      <c r="J110" s="101">
        <f t="shared" si="29"/>
        <v>9201831</v>
      </c>
      <c r="K110" s="101">
        <f t="shared" si="29"/>
        <v>9722622</v>
      </c>
      <c r="L110" s="101">
        <f t="shared" si="29"/>
        <v>9640328.239999998</v>
      </c>
      <c r="M110" s="354">
        <f t="shared" si="29"/>
        <v>10178626.01</v>
      </c>
      <c r="N110" s="101">
        <f t="shared" si="29"/>
        <v>10784511.560000002</v>
      </c>
      <c r="O110" s="354">
        <f t="shared" si="29"/>
        <v>10947354.260000002</v>
      </c>
      <c r="P110" s="354">
        <f t="shared" si="29"/>
        <v>11835790.83</v>
      </c>
      <c r="Q110" s="354">
        <f t="shared" si="29"/>
        <v>12870365.969999999</v>
      </c>
      <c r="R110" s="354">
        <f t="shared" si="29"/>
        <v>13601928.51</v>
      </c>
      <c r="S110" s="698">
        <f>S5+S26+S69</f>
        <v>14215260.54</v>
      </c>
      <c r="T110" s="469">
        <f>T5+T26+T69</f>
        <v>14470194</v>
      </c>
      <c r="U110" s="469">
        <f t="shared" si="29"/>
        <v>14782177</v>
      </c>
      <c r="V110" s="513">
        <f>V5+V26+V69</f>
        <v>143824</v>
      </c>
      <c r="W110" s="514">
        <f>W5+W26+W69</f>
        <v>14926001</v>
      </c>
    </row>
    <row r="111" ht="13.5" thickTop="1"/>
    <row r="112" spans="17:23" ht="12.75">
      <c r="Q112" s="689"/>
      <c r="U112" s="522"/>
      <c r="V112" s="522"/>
      <c r="W112" s="522"/>
    </row>
    <row r="113" spans="15:23" ht="12.75">
      <c r="O113" s="522"/>
      <c r="P113" s="522"/>
      <c r="Q113" s="522"/>
      <c r="R113" s="522"/>
      <c r="S113" s="522"/>
      <c r="T113" s="522"/>
      <c r="U113" s="522"/>
      <c r="V113" s="522"/>
      <c r="W113" s="522"/>
    </row>
    <row r="114" spans="21:23" ht="12.75">
      <c r="U114" s="522"/>
      <c r="V114" s="522"/>
      <c r="W114" s="522"/>
    </row>
    <row r="115" spans="14:21" ht="12.75">
      <c r="N115" s="522"/>
      <c r="O115" s="522"/>
      <c r="P115" s="522"/>
      <c r="Q115" s="522"/>
      <c r="R115" s="522"/>
      <c r="S115" s="522"/>
      <c r="T115" s="522"/>
      <c r="U115" s="522"/>
    </row>
    <row r="116" spans="14:23" ht="12.75">
      <c r="N116" s="522"/>
      <c r="O116" s="522"/>
      <c r="P116" s="522"/>
      <c r="Q116" s="522"/>
      <c r="R116" s="522"/>
      <c r="S116" s="522"/>
      <c r="T116" s="522"/>
      <c r="U116" s="522"/>
      <c r="V116" s="522"/>
      <c r="W116" s="522"/>
    </row>
    <row r="117" spans="14:25" ht="12.75">
      <c r="N117" s="689"/>
      <c r="O117" s="689"/>
      <c r="P117" s="689"/>
      <c r="Q117" s="689"/>
      <c r="R117" s="689"/>
      <c r="S117" s="689"/>
      <c r="T117" s="689"/>
      <c r="U117" s="689"/>
      <c r="V117" s="689"/>
      <c r="W117" s="689"/>
      <c r="Y117" s="1"/>
    </row>
    <row r="121" spans="21:23" ht="12.75">
      <c r="U121" s="522"/>
      <c r="V121" s="522"/>
      <c r="W121" s="522"/>
    </row>
    <row r="124" ht="12.75">
      <c r="U124" s="522"/>
    </row>
    <row r="127" spans="21:23" ht="12.75">
      <c r="U127" s="522"/>
      <c r="V127" s="522"/>
      <c r="W127" s="522"/>
    </row>
    <row r="129" spans="3:23" ht="12.75">
      <c r="C129" s="522"/>
      <c r="U129" s="522"/>
      <c r="V129" s="522"/>
      <c r="W129" s="522"/>
    </row>
    <row r="130" ht="12.75">
      <c r="Z130" s="1"/>
    </row>
    <row r="131" ht="12.75">
      <c r="Z131" s="1"/>
    </row>
  </sheetData>
  <sheetProtection/>
  <mergeCells count="52">
    <mergeCell ref="T3:T4"/>
    <mergeCell ref="A110:C110"/>
    <mergeCell ref="A108:A109"/>
    <mergeCell ref="B107:C107"/>
    <mergeCell ref="S3:S4"/>
    <mergeCell ref="B70:C70"/>
    <mergeCell ref="A71:A106"/>
    <mergeCell ref="B74:B106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75" max="255" man="1"/>
  </rowBreaks>
  <colBreaks count="1" manualBreakCount="1">
    <brk id="23" max="65535" man="1"/>
  </colBreaks>
  <ignoredErrors>
    <ignoredError sqref="U107:U108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3.7109375" style="0" customWidth="1"/>
    <col min="2" max="2" width="14.140625" style="0" customWidth="1"/>
    <col min="3" max="3" width="14.28125" style="0" customWidth="1"/>
    <col min="4" max="4" width="13.421875" style="0" customWidth="1"/>
  </cols>
  <sheetData>
    <row r="1" ht="13.5" thickBot="1"/>
    <row r="2" spans="1:4" ht="33" thickBot="1" thickTop="1">
      <c r="A2" s="728" t="s">
        <v>422</v>
      </c>
      <c r="B2" s="736" t="s">
        <v>429</v>
      </c>
      <c r="C2" s="736" t="s">
        <v>426</v>
      </c>
      <c r="D2" s="737" t="s">
        <v>430</v>
      </c>
    </row>
    <row r="3" spans="1:6" ht="13.5" thickTop="1">
      <c r="A3" s="729" t="s">
        <v>423</v>
      </c>
      <c r="B3" s="738">
        <v>106196</v>
      </c>
      <c r="C3" s="734"/>
      <c r="D3" s="730">
        <f>B3+C3</f>
        <v>106196</v>
      </c>
      <c r="F3" s="2"/>
    </row>
    <row r="4" spans="1:4" ht="12.75">
      <c r="A4" s="731" t="s">
        <v>424</v>
      </c>
      <c r="B4" s="739">
        <v>468856</v>
      </c>
      <c r="C4" s="735">
        <v>-48372</v>
      </c>
      <c r="D4" s="733">
        <f>B4+C4</f>
        <v>420484</v>
      </c>
    </row>
    <row r="5" spans="1:4" ht="13.5" thickBot="1">
      <c r="A5" s="731"/>
      <c r="B5" s="739"/>
      <c r="C5" s="735"/>
      <c r="D5" s="733"/>
    </row>
    <row r="6" spans="1:4" ht="12.75" hidden="1">
      <c r="A6" s="731"/>
      <c r="B6" s="739"/>
      <c r="C6" s="735"/>
      <c r="D6" s="733"/>
    </row>
    <row r="7" spans="1:4" ht="12.75" hidden="1">
      <c r="A7" s="731"/>
      <c r="B7" s="739"/>
      <c r="C7" s="735"/>
      <c r="D7" s="733"/>
    </row>
    <row r="8" spans="1:4" ht="12.75" hidden="1">
      <c r="A8" s="731"/>
      <c r="B8" s="739"/>
      <c r="C8" s="735"/>
      <c r="D8" s="733"/>
    </row>
    <row r="9" spans="1:4" ht="12.75" hidden="1">
      <c r="A9" s="731"/>
      <c r="B9" s="739"/>
      <c r="C9" s="735"/>
      <c r="D9" s="733"/>
    </row>
    <row r="10" spans="1:4" ht="12.75" hidden="1">
      <c r="A10" s="731"/>
      <c r="B10" s="739"/>
      <c r="C10" s="735"/>
      <c r="D10" s="733"/>
    </row>
    <row r="11" spans="1:4" ht="13.5" hidden="1" thickBot="1">
      <c r="A11" s="934"/>
      <c r="B11" s="935"/>
      <c r="C11" s="936"/>
      <c r="D11" s="937"/>
    </row>
    <row r="12" spans="1:4" ht="17.25" thickBot="1" thickTop="1">
      <c r="A12" s="728" t="s">
        <v>50</v>
      </c>
      <c r="B12" s="740">
        <f>SUM(B3:B11)</f>
        <v>575052</v>
      </c>
      <c r="C12" s="938">
        <f>SUM(C3:C11)</f>
        <v>-48372</v>
      </c>
      <c r="D12" s="741">
        <f>SUM(D3:D11)</f>
        <v>526680</v>
      </c>
    </row>
    <row r="13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248"/>
  <sheetViews>
    <sheetView zoomScale="85" zoomScaleNormal="85" zoomScalePageLayoutView="0" workbookViewId="0" topLeftCell="A1">
      <pane xSplit="11" ySplit="3" topLeftCell="T17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78" sqref="C78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4.8515625" style="0" customWidth="1"/>
    <col min="21" max="21" width="13.421875" style="0" customWidth="1"/>
    <col min="22" max="22" width="12.00390625" style="0" customWidth="1"/>
    <col min="23" max="23" width="11.28125" style="1" customWidth="1"/>
    <col min="24" max="24" width="13.421875" style="1" customWidth="1"/>
  </cols>
  <sheetData>
    <row r="1" spans="1:3" ht="15.75" thickBot="1">
      <c r="A1" s="940" t="s">
        <v>434</v>
      </c>
      <c r="B1" s="940"/>
      <c r="C1" s="940"/>
    </row>
    <row r="2" spans="1:24" ht="14.25" customHeight="1" thickBot="1" thickTop="1">
      <c r="A2" s="841" t="s">
        <v>44</v>
      </c>
      <c r="B2" s="843" t="s">
        <v>85</v>
      </c>
      <c r="C2" s="845" t="s">
        <v>45</v>
      </c>
      <c r="D2" s="760" t="s">
        <v>182</v>
      </c>
      <c r="E2" s="760" t="s">
        <v>183</v>
      </c>
      <c r="F2" s="760" t="s">
        <v>184</v>
      </c>
      <c r="G2" s="760" t="s">
        <v>185</v>
      </c>
      <c r="H2" s="760" t="s">
        <v>186</v>
      </c>
      <c r="I2" s="760" t="s">
        <v>92</v>
      </c>
      <c r="J2" s="760" t="s">
        <v>93</v>
      </c>
      <c r="K2" s="760" t="s">
        <v>94</v>
      </c>
      <c r="L2" s="760" t="s">
        <v>95</v>
      </c>
      <c r="M2" s="760" t="s">
        <v>321</v>
      </c>
      <c r="N2" s="760" t="s">
        <v>338</v>
      </c>
      <c r="O2" s="760" t="s">
        <v>357</v>
      </c>
      <c r="P2" s="760" t="s">
        <v>364</v>
      </c>
      <c r="Q2" s="760" t="s">
        <v>379</v>
      </c>
      <c r="R2" s="760" t="s">
        <v>388</v>
      </c>
      <c r="S2" s="760" t="s">
        <v>389</v>
      </c>
      <c r="T2" s="760" t="s">
        <v>390</v>
      </c>
      <c r="U2" s="773" t="s">
        <v>428</v>
      </c>
      <c r="V2" s="839" t="s">
        <v>426</v>
      </c>
      <c r="W2" s="840"/>
      <c r="X2" s="775" t="s">
        <v>427</v>
      </c>
    </row>
    <row r="3" spans="1:24" ht="33.75" customHeight="1" thickBot="1">
      <c r="A3" s="842"/>
      <c r="B3" s="844"/>
      <c r="C3" s="846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74"/>
      <c r="V3" s="717" t="s">
        <v>240</v>
      </c>
      <c r="W3" s="707" t="s">
        <v>244</v>
      </c>
      <c r="X3" s="776"/>
    </row>
    <row r="4" spans="1:33" ht="33" customHeight="1" thickBot="1" thickTop="1">
      <c r="A4" s="199" t="s">
        <v>245</v>
      </c>
      <c r="B4" s="847" t="s">
        <v>246</v>
      </c>
      <c r="C4" s="848"/>
      <c r="D4" s="200">
        <f>SUM(D5:D8)</f>
        <v>778928</v>
      </c>
      <c r="E4" s="200">
        <f>SUM(E5:E9)</f>
        <v>871108</v>
      </c>
      <c r="F4" s="200">
        <f>SUM(F5:F9)</f>
        <v>1155712</v>
      </c>
      <c r="G4" s="200">
        <f>SUM(G5:G9)</f>
        <v>1166481</v>
      </c>
      <c r="H4" s="200">
        <f aca="true" t="shared" si="0" ref="H4:X4">SUM(H5:H8)</f>
        <v>1147628</v>
      </c>
      <c r="I4" s="200">
        <f t="shared" si="0"/>
        <v>985015</v>
      </c>
      <c r="J4" s="200">
        <f t="shared" si="0"/>
        <v>971730</v>
      </c>
      <c r="K4" s="200">
        <f t="shared" si="0"/>
        <v>883614</v>
      </c>
      <c r="L4" s="201">
        <f t="shared" si="0"/>
        <v>976223.29</v>
      </c>
      <c r="M4" s="201">
        <f t="shared" si="0"/>
        <v>957107.49</v>
      </c>
      <c r="N4" s="470">
        <f t="shared" si="0"/>
        <v>918554.6199999999</v>
      </c>
      <c r="O4" s="658">
        <f t="shared" si="0"/>
        <v>1019134.8</v>
      </c>
      <c r="P4" s="658">
        <f aca="true" t="shared" si="1" ref="P4:V4">SUM(P5:P8)</f>
        <v>1045488.5499999999</v>
      </c>
      <c r="Q4" s="658">
        <f t="shared" si="1"/>
        <v>1307060.76</v>
      </c>
      <c r="R4" s="470">
        <f t="shared" si="1"/>
        <v>1404109</v>
      </c>
      <c r="S4" s="470">
        <f t="shared" si="1"/>
        <v>1452935.59</v>
      </c>
      <c r="T4" s="470">
        <f t="shared" si="1"/>
        <v>1677950</v>
      </c>
      <c r="U4" s="470">
        <f t="shared" si="1"/>
        <v>1945458</v>
      </c>
      <c r="V4" s="718">
        <f t="shared" si="1"/>
        <v>0</v>
      </c>
      <c r="W4" s="579">
        <f>SUM(W5:W8)</f>
        <v>0</v>
      </c>
      <c r="X4" s="580">
        <f t="shared" si="0"/>
        <v>1945458</v>
      </c>
      <c r="AC4" s="2"/>
      <c r="AG4" s="2"/>
    </row>
    <row r="5" spans="1:33" ht="12.75">
      <c r="A5" s="762"/>
      <c r="B5" s="202">
        <v>610</v>
      </c>
      <c r="C5" s="41" t="s">
        <v>247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3">
        <v>508902.26</v>
      </c>
      <c r="P5" s="203">
        <v>540360.73</v>
      </c>
      <c r="Q5" s="203">
        <v>702314.57</v>
      </c>
      <c r="R5" s="93">
        <v>737427</v>
      </c>
      <c r="S5" s="93">
        <v>812528.57</v>
      </c>
      <c r="T5" s="93">
        <v>878518</v>
      </c>
      <c r="U5" s="484">
        <v>1031366</v>
      </c>
      <c r="V5" s="708"/>
      <c r="W5" s="589"/>
      <c r="X5" s="590">
        <f>U5+V5+W5</f>
        <v>1031366</v>
      </c>
      <c r="AA5" s="2"/>
      <c r="AB5" s="2"/>
      <c r="AC5" s="2"/>
      <c r="AG5" s="2"/>
    </row>
    <row r="6" spans="1:33" ht="12.75">
      <c r="A6" s="763"/>
      <c r="B6" s="204">
        <v>620</v>
      </c>
      <c r="C6" s="43" t="s">
        <v>248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5">
        <v>197673.12</v>
      </c>
      <c r="P6" s="205">
        <v>207010.55</v>
      </c>
      <c r="Q6" s="205">
        <v>266731.95</v>
      </c>
      <c r="R6" s="26">
        <v>273617</v>
      </c>
      <c r="S6" s="26">
        <v>300798.6</v>
      </c>
      <c r="T6" s="26">
        <v>329532</v>
      </c>
      <c r="U6" s="26">
        <v>376762</v>
      </c>
      <c r="V6" s="708"/>
      <c r="W6" s="591"/>
      <c r="X6" s="592">
        <f>U6+V6+W6</f>
        <v>376762</v>
      </c>
      <c r="AA6" s="2"/>
      <c r="AB6" s="2"/>
      <c r="AC6" s="2"/>
      <c r="AG6" s="2"/>
    </row>
    <row r="7" spans="1:33" ht="12.75">
      <c r="A7" s="763"/>
      <c r="B7" s="204">
        <v>630</v>
      </c>
      <c r="C7" s="43" t="s">
        <v>249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5">
        <v>294411.15</v>
      </c>
      <c r="P7" s="205">
        <v>296326.19</v>
      </c>
      <c r="Q7" s="205">
        <v>334787.77</v>
      </c>
      <c r="R7" s="26">
        <v>393065</v>
      </c>
      <c r="S7" s="26">
        <v>334108.08</v>
      </c>
      <c r="T7" s="26">
        <v>449459</v>
      </c>
      <c r="U7" s="485">
        <v>537330</v>
      </c>
      <c r="V7" s="708"/>
      <c r="W7" s="591"/>
      <c r="X7" s="592">
        <f>U7+V7+W7</f>
        <v>537330</v>
      </c>
      <c r="AA7" s="2"/>
      <c r="AC7" s="2"/>
      <c r="AG7" s="2"/>
    </row>
    <row r="8" spans="1:33" ht="13.5" thickBot="1">
      <c r="A8" s="763"/>
      <c r="B8" s="204">
        <v>640</v>
      </c>
      <c r="C8" s="43" t="s">
        <v>250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6">
        <v>23796</v>
      </c>
      <c r="K8" s="206">
        <v>2925</v>
      </c>
      <c r="L8" s="207">
        <v>4499.94</v>
      </c>
      <c r="M8" s="114">
        <v>30816.22</v>
      </c>
      <c r="N8" s="26">
        <v>7615.98</v>
      </c>
      <c r="O8" s="205">
        <v>18148.27</v>
      </c>
      <c r="P8" s="205">
        <v>1791.08</v>
      </c>
      <c r="Q8" s="205">
        <v>3226.47</v>
      </c>
      <c r="R8" s="26"/>
      <c r="S8" s="26">
        <v>5500.34</v>
      </c>
      <c r="T8" s="26">
        <v>20441</v>
      </c>
      <c r="U8" s="485"/>
      <c r="V8" s="445"/>
      <c r="W8" s="593"/>
      <c r="X8" s="594">
        <f>U8+V8+W8</f>
        <v>0</v>
      </c>
      <c r="AC8" s="2"/>
      <c r="AG8" s="2"/>
    </row>
    <row r="9" spans="1:33" ht="13.5" hidden="1" thickBot="1">
      <c r="A9" s="764"/>
      <c r="B9" s="204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8"/>
      <c r="J9" s="208"/>
      <c r="K9" s="208"/>
      <c r="L9" s="209"/>
      <c r="M9" s="210"/>
      <c r="N9" s="77"/>
      <c r="O9" s="77"/>
      <c r="P9" s="77"/>
      <c r="Q9" s="211"/>
      <c r="R9" s="77"/>
      <c r="S9" s="77"/>
      <c r="T9" s="77"/>
      <c r="U9" s="480"/>
      <c r="V9" s="709">
        <f>IF(T9=0,0,U9/T9)</f>
        <v>0</v>
      </c>
      <c r="W9" s="595"/>
      <c r="X9" s="596"/>
      <c r="AC9" s="2"/>
      <c r="AG9" s="2"/>
    </row>
    <row r="10" spans="1:33" ht="15.75" thickBot="1">
      <c r="A10" s="212" t="s">
        <v>49</v>
      </c>
      <c r="B10" s="756" t="s">
        <v>251</v>
      </c>
      <c r="C10" s="787"/>
      <c r="D10" s="213">
        <v>7269</v>
      </c>
      <c r="E10" s="213">
        <v>6772</v>
      </c>
      <c r="F10" s="213">
        <v>8265</v>
      </c>
      <c r="G10" s="213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4">
        <f t="shared" si="2"/>
        <v>18623.79</v>
      </c>
      <c r="M10" s="214">
        <f t="shared" si="2"/>
        <v>22356.78</v>
      </c>
      <c r="N10" s="471">
        <f aca="true" t="shared" si="3" ref="N10:V10">SUM(N11:N13)</f>
        <v>18604.68</v>
      </c>
      <c r="O10" s="642">
        <f t="shared" si="3"/>
        <v>11492.61</v>
      </c>
      <c r="P10" s="642">
        <f t="shared" si="3"/>
        <v>22020.72</v>
      </c>
      <c r="Q10" s="642">
        <f t="shared" si="3"/>
        <v>14191.44</v>
      </c>
      <c r="R10" s="471">
        <f t="shared" si="3"/>
        <v>16500</v>
      </c>
      <c r="S10" s="471">
        <f t="shared" si="3"/>
        <v>34327.99</v>
      </c>
      <c r="T10" s="471">
        <f t="shared" si="3"/>
        <v>47778</v>
      </c>
      <c r="U10" s="471">
        <f t="shared" si="3"/>
        <v>41000</v>
      </c>
      <c r="V10" s="471">
        <f t="shared" si="3"/>
        <v>0</v>
      </c>
      <c r="W10" s="107">
        <f>SUM(W11:W13)</f>
        <v>0</v>
      </c>
      <c r="X10" s="509">
        <f>SUM(X11:X13)</f>
        <v>41000</v>
      </c>
      <c r="AC10" s="2"/>
      <c r="AG10" s="2"/>
    </row>
    <row r="11" spans="1:33" ht="12.75">
      <c r="A11" s="803"/>
      <c r="B11" s="215">
        <v>630</v>
      </c>
      <c r="C11" s="130" t="s">
        <v>252</v>
      </c>
      <c r="D11" s="216"/>
      <c r="E11" s="216"/>
      <c r="F11" s="216"/>
      <c r="G11" s="216"/>
      <c r="H11" s="216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5">
        <v>2324</v>
      </c>
      <c r="N11" s="143">
        <v>2324</v>
      </c>
      <c r="O11" s="217">
        <v>1162</v>
      </c>
      <c r="P11" s="217">
        <v>2324</v>
      </c>
      <c r="Q11" s="217">
        <v>3486</v>
      </c>
      <c r="R11" s="143">
        <v>3500</v>
      </c>
      <c r="S11" s="143">
        <v>3486</v>
      </c>
      <c r="T11" s="143">
        <v>3500</v>
      </c>
      <c r="U11" s="486">
        <v>6000</v>
      </c>
      <c r="V11" s="708"/>
      <c r="W11" s="143"/>
      <c r="X11" s="590">
        <f>U11+V11+W11</f>
        <v>6000</v>
      </c>
      <c r="AC11" s="2"/>
      <c r="AG11" s="2"/>
    </row>
    <row r="12" spans="1:33" ht="12.75">
      <c r="A12" s="804"/>
      <c r="B12" s="218">
        <v>630</v>
      </c>
      <c r="C12" s="24" t="s">
        <v>253</v>
      </c>
      <c r="D12" s="219"/>
      <c r="E12" s="219"/>
      <c r="F12" s="219"/>
      <c r="G12" s="219"/>
      <c r="H12" s="219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53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25">
        <v>44278</v>
      </c>
      <c r="U12" s="25">
        <v>35000</v>
      </c>
      <c r="V12" s="445"/>
      <c r="W12" s="25"/>
      <c r="X12" s="592">
        <f>U12+V12+W12</f>
        <v>35000</v>
      </c>
      <c r="AC12" s="2"/>
      <c r="AG12" s="2"/>
    </row>
    <row r="13" spans="1:33" ht="13.5" thickBot="1">
      <c r="A13" s="805"/>
      <c r="B13" s="220">
        <v>630</v>
      </c>
      <c r="C13" s="221" t="s">
        <v>254</v>
      </c>
      <c r="D13" s="222"/>
      <c r="E13" s="222"/>
      <c r="F13" s="222"/>
      <c r="G13" s="222"/>
      <c r="H13" s="222"/>
      <c r="I13" s="221"/>
      <c r="J13" s="44">
        <v>68016</v>
      </c>
      <c r="K13" s="44">
        <v>10612</v>
      </c>
      <c r="L13" s="223">
        <v>226.14</v>
      </c>
      <c r="M13" s="554">
        <v>968.59</v>
      </c>
      <c r="N13" s="29">
        <v>7829.13</v>
      </c>
      <c r="O13" s="554">
        <v>3544.35</v>
      </c>
      <c r="P13" s="554">
        <v>3214.39</v>
      </c>
      <c r="Q13" s="554">
        <v>891.51</v>
      </c>
      <c r="R13" s="690"/>
      <c r="S13" s="690"/>
      <c r="T13" s="690">
        <v>0</v>
      </c>
      <c r="U13" s="487"/>
      <c r="V13" s="709"/>
      <c r="W13" s="595"/>
      <c r="X13" s="597">
        <f>U13+V13+W13</f>
        <v>0</v>
      </c>
      <c r="AC13" s="2"/>
      <c r="AG13" s="2"/>
    </row>
    <row r="14" spans="1:33" ht="15.75" thickBot="1">
      <c r="A14" s="212" t="s">
        <v>213</v>
      </c>
      <c r="B14" s="756" t="s">
        <v>255</v>
      </c>
      <c r="C14" s="787"/>
      <c r="D14" s="213">
        <v>20846</v>
      </c>
      <c r="E14" s="213">
        <v>22240</v>
      </c>
      <c r="F14" s="213">
        <v>25427</v>
      </c>
      <c r="G14" s="213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V14">SUM(K15:K18)</f>
        <v>24050</v>
      </c>
      <c r="L14" s="214">
        <f t="shared" si="4"/>
        <v>25050.219999999998</v>
      </c>
      <c r="M14" s="214">
        <f t="shared" si="4"/>
        <v>28488.050000000003</v>
      </c>
      <c r="N14" s="471">
        <f t="shared" si="4"/>
        <v>30083.289999999997</v>
      </c>
      <c r="O14" s="642">
        <f t="shared" si="4"/>
        <v>33186.08</v>
      </c>
      <c r="P14" s="642">
        <f t="shared" si="4"/>
        <v>29084.07</v>
      </c>
      <c r="Q14" s="642">
        <f t="shared" si="4"/>
        <v>51253.97</v>
      </c>
      <c r="R14" s="471">
        <f t="shared" si="4"/>
        <v>41744</v>
      </c>
      <c r="S14" s="471">
        <f t="shared" si="4"/>
        <v>45925.28</v>
      </c>
      <c r="T14" s="471">
        <f t="shared" si="4"/>
        <v>47873</v>
      </c>
      <c r="U14" s="471">
        <f t="shared" si="4"/>
        <v>52389</v>
      </c>
      <c r="V14" s="471">
        <f t="shared" si="4"/>
        <v>0</v>
      </c>
      <c r="W14" s="107">
        <f>SUM(W15:W18)</f>
        <v>0</v>
      </c>
      <c r="X14" s="509">
        <f>SUM(X15:X18)</f>
        <v>52389</v>
      </c>
      <c r="AC14" s="2"/>
      <c r="AG14" s="2"/>
    </row>
    <row r="15" spans="1:33" ht="12.75">
      <c r="A15" s="803"/>
      <c r="B15" s="202">
        <v>610</v>
      </c>
      <c r="C15" s="224" t="s">
        <v>247</v>
      </c>
      <c r="D15" s="225"/>
      <c r="E15" s="225">
        <v>13875</v>
      </c>
      <c r="F15" s="225">
        <v>15734</v>
      </c>
      <c r="G15" s="225">
        <v>16231</v>
      </c>
      <c r="H15" s="225">
        <v>16787</v>
      </c>
      <c r="I15" s="41">
        <v>17943</v>
      </c>
      <c r="J15" s="42">
        <v>18167</v>
      </c>
      <c r="K15" s="42">
        <v>15592</v>
      </c>
      <c r="L15" s="203">
        <v>15883.66</v>
      </c>
      <c r="M15" s="203">
        <v>19536.88</v>
      </c>
      <c r="N15" s="93">
        <v>20405.94</v>
      </c>
      <c r="O15" s="203">
        <v>22741.57</v>
      </c>
      <c r="P15" s="203">
        <v>20172.56</v>
      </c>
      <c r="Q15" s="203">
        <v>32391.98</v>
      </c>
      <c r="R15" s="93">
        <v>28346</v>
      </c>
      <c r="S15" s="93">
        <v>29579.17</v>
      </c>
      <c r="T15" s="93">
        <v>33798</v>
      </c>
      <c r="U15" s="484">
        <v>35768</v>
      </c>
      <c r="V15" s="708"/>
      <c r="W15" s="589"/>
      <c r="X15" s="590">
        <f>U15+V15+W15</f>
        <v>35768</v>
      </c>
      <c r="AC15" s="2"/>
      <c r="AG15" s="2"/>
    </row>
    <row r="16" spans="1:33" ht="12.75">
      <c r="A16" s="804"/>
      <c r="B16" s="204">
        <v>620</v>
      </c>
      <c r="C16" s="226" t="s">
        <v>248</v>
      </c>
      <c r="D16" s="227"/>
      <c r="E16" s="227">
        <v>4647</v>
      </c>
      <c r="F16" s="227">
        <v>5411</v>
      </c>
      <c r="G16" s="227">
        <v>5677</v>
      </c>
      <c r="H16" s="227">
        <v>6011</v>
      </c>
      <c r="I16" s="43">
        <v>6464</v>
      </c>
      <c r="J16" s="44">
        <v>6580</v>
      </c>
      <c r="K16" s="44">
        <v>5691</v>
      </c>
      <c r="L16" s="205">
        <v>6220</v>
      </c>
      <c r="M16" s="205">
        <v>6654.3</v>
      </c>
      <c r="N16" s="26">
        <v>7320.69</v>
      </c>
      <c r="O16" s="205">
        <v>8093.18</v>
      </c>
      <c r="P16" s="205">
        <v>6866.62</v>
      </c>
      <c r="Q16" s="205">
        <v>12511.41</v>
      </c>
      <c r="R16" s="26">
        <v>10698</v>
      </c>
      <c r="S16" s="26">
        <v>10565.18</v>
      </c>
      <c r="T16" s="26">
        <v>11375</v>
      </c>
      <c r="U16" s="485">
        <v>13121</v>
      </c>
      <c r="V16" s="445"/>
      <c r="W16" s="591"/>
      <c r="X16" s="592">
        <f>U16+V16+W16</f>
        <v>13121</v>
      </c>
      <c r="AC16" s="2"/>
      <c r="AG16" s="2"/>
    </row>
    <row r="17" spans="1:33" ht="12.75">
      <c r="A17" s="804"/>
      <c r="B17" s="204">
        <v>630</v>
      </c>
      <c r="C17" s="226" t="s">
        <v>249</v>
      </c>
      <c r="D17" s="227"/>
      <c r="E17" s="227">
        <v>3718</v>
      </c>
      <c r="F17" s="227">
        <v>4282</v>
      </c>
      <c r="G17" s="227">
        <v>4995</v>
      </c>
      <c r="H17" s="227">
        <v>7000</v>
      </c>
      <c r="I17" s="43">
        <v>4529</v>
      </c>
      <c r="J17" s="44">
        <v>3216</v>
      </c>
      <c r="K17" s="44">
        <v>2533</v>
      </c>
      <c r="L17" s="205">
        <v>2610.08</v>
      </c>
      <c r="M17" s="205">
        <v>2181.04</v>
      </c>
      <c r="N17" s="26">
        <v>2356.66</v>
      </c>
      <c r="O17" s="205">
        <v>2351.33</v>
      </c>
      <c r="P17" s="205">
        <v>1891.13</v>
      </c>
      <c r="Q17" s="205">
        <v>3021.6</v>
      </c>
      <c r="R17" s="26">
        <v>2700</v>
      </c>
      <c r="S17" s="26">
        <v>2297.94</v>
      </c>
      <c r="T17" s="26">
        <v>2700</v>
      </c>
      <c r="U17" s="485">
        <v>3500</v>
      </c>
      <c r="V17" s="445"/>
      <c r="W17" s="591"/>
      <c r="X17" s="592">
        <f>U17+V17+W17</f>
        <v>3500</v>
      </c>
      <c r="AC17" s="2"/>
      <c r="AG17" s="2"/>
    </row>
    <row r="18" spans="1:33" ht="13.5" thickBot="1">
      <c r="A18" s="805"/>
      <c r="B18" s="45">
        <v>640</v>
      </c>
      <c r="C18" s="208" t="s">
        <v>391</v>
      </c>
      <c r="D18" s="228"/>
      <c r="E18" s="228"/>
      <c r="F18" s="228"/>
      <c r="G18" s="228"/>
      <c r="H18" s="228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70">
        <v>0</v>
      </c>
      <c r="U18" s="472"/>
      <c r="V18" s="709"/>
      <c r="W18" s="595"/>
      <c r="X18" s="596">
        <f>U18+V18+W18</f>
        <v>0</v>
      </c>
      <c r="AC18" s="2"/>
      <c r="AG18" s="2"/>
    </row>
    <row r="19" spans="1:33" ht="15.75" thickBot="1">
      <c r="A19" s="212" t="s">
        <v>256</v>
      </c>
      <c r="B19" s="756" t="s">
        <v>257</v>
      </c>
      <c r="C19" s="787"/>
      <c r="D19" s="213">
        <v>13145</v>
      </c>
      <c r="E19" s="213">
        <v>10057</v>
      </c>
      <c r="F19" s="213">
        <v>8498</v>
      </c>
      <c r="G19" s="213">
        <v>54518</v>
      </c>
      <c r="H19" s="67">
        <f aca="true" t="shared" si="5" ref="H19:W19">H22+H20+H21+H23+H24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4">
        <f t="shared" si="5"/>
        <v>54586.799999999996</v>
      </c>
      <c r="M19" s="214">
        <f t="shared" si="5"/>
        <v>16584.94</v>
      </c>
      <c r="N19" s="67">
        <f t="shared" si="5"/>
        <v>25483.510000000002</v>
      </c>
      <c r="O19" s="214">
        <f t="shared" si="5"/>
        <v>21980.289999999997</v>
      </c>
      <c r="P19" s="214">
        <f>P22+P20+P21+P23+P24</f>
        <v>22643.670000000002</v>
      </c>
      <c r="Q19" s="214">
        <f t="shared" si="5"/>
        <v>47845.259999999995</v>
      </c>
      <c r="R19" s="471">
        <f>R22+R20+R21+R23+R24</f>
        <v>18726</v>
      </c>
      <c r="S19" s="471">
        <f>S22+S20+S21+S23+S24</f>
        <v>38082.83</v>
      </c>
      <c r="T19" s="471">
        <f>T22+T20+T21+T23+T24</f>
        <v>19522</v>
      </c>
      <c r="U19" s="471">
        <f>U22+U20+U21+U23+U24</f>
        <v>21381</v>
      </c>
      <c r="V19" s="471">
        <f>V22+V20+V21+V23+V24</f>
        <v>0</v>
      </c>
      <c r="W19" s="510">
        <f t="shared" si="5"/>
        <v>0</v>
      </c>
      <c r="X19" s="511">
        <f>X22+X20+X21+X23+X24</f>
        <v>21381</v>
      </c>
      <c r="AC19" s="2"/>
      <c r="AG19" s="2"/>
    </row>
    <row r="20" spans="1:33" ht="12.75">
      <c r="A20" s="800"/>
      <c r="B20" s="229">
        <v>610</v>
      </c>
      <c r="C20" s="224" t="s">
        <v>247</v>
      </c>
      <c r="D20" s="225"/>
      <c r="E20" s="225">
        <v>0</v>
      </c>
      <c r="F20" s="225">
        <v>4482</v>
      </c>
      <c r="G20" s="225">
        <v>7787</v>
      </c>
      <c r="H20" s="225">
        <v>7509</v>
      </c>
      <c r="I20" s="224">
        <v>7692</v>
      </c>
      <c r="J20" s="42">
        <v>7969</v>
      </c>
      <c r="K20" s="42">
        <v>7777</v>
      </c>
      <c r="L20" s="203">
        <v>7662.08</v>
      </c>
      <c r="M20" s="203">
        <v>8679.95</v>
      </c>
      <c r="N20" s="93">
        <v>9877.67</v>
      </c>
      <c r="O20" s="203">
        <v>9786.53</v>
      </c>
      <c r="P20" s="203">
        <v>11379.37</v>
      </c>
      <c r="Q20" s="203">
        <v>12850.13</v>
      </c>
      <c r="R20" s="93">
        <v>13282</v>
      </c>
      <c r="S20" s="93">
        <v>15383.93</v>
      </c>
      <c r="T20" s="93">
        <v>13386</v>
      </c>
      <c r="U20" s="484">
        <v>14546</v>
      </c>
      <c r="V20" s="708"/>
      <c r="W20" s="589"/>
      <c r="X20" s="590">
        <f>U20+V20+W20</f>
        <v>14546</v>
      </c>
      <c r="AC20" s="2"/>
      <c r="AG20" s="2"/>
    </row>
    <row r="21" spans="1:33" ht="12.75">
      <c r="A21" s="801"/>
      <c r="B21" s="230">
        <v>620</v>
      </c>
      <c r="C21" s="226" t="s">
        <v>248</v>
      </c>
      <c r="D21" s="206"/>
      <c r="E21" s="206">
        <v>0</v>
      </c>
      <c r="F21" s="206">
        <v>2058</v>
      </c>
      <c r="G21" s="206">
        <v>3864</v>
      </c>
      <c r="H21" s="206">
        <v>2426</v>
      </c>
      <c r="I21" s="226">
        <v>2683</v>
      </c>
      <c r="J21" s="44">
        <v>3469</v>
      </c>
      <c r="K21" s="44">
        <v>3267</v>
      </c>
      <c r="L21" s="205">
        <v>3320.66</v>
      </c>
      <c r="M21" s="205">
        <v>3113.97</v>
      </c>
      <c r="N21" s="26">
        <v>3720.13</v>
      </c>
      <c r="O21" s="205">
        <v>3643.9399999999996</v>
      </c>
      <c r="P21" s="205">
        <v>4236.46</v>
      </c>
      <c r="Q21" s="205">
        <v>4685.31</v>
      </c>
      <c r="R21" s="26">
        <v>4894</v>
      </c>
      <c r="S21" s="26">
        <v>5689.59</v>
      </c>
      <c r="T21" s="26">
        <v>4936</v>
      </c>
      <c r="U21" s="485">
        <v>5335</v>
      </c>
      <c r="V21" s="445"/>
      <c r="W21" s="591"/>
      <c r="X21" s="592">
        <f>U21+V21+W21</f>
        <v>5335</v>
      </c>
      <c r="AC21" s="2"/>
      <c r="AG21" s="2"/>
    </row>
    <row r="22" spans="1:33" ht="12.75">
      <c r="A22" s="801"/>
      <c r="B22" s="230">
        <v>630</v>
      </c>
      <c r="C22" s="226" t="s">
        <v>249</v>
      </c>
      <c r="D22" s="206"/>
      <c r="E22" s="206">
        <v>0</v>
      </c>
      <c r="F22" s="206">
        <v>1958</v>
      </c>
      <c r="G22" s="206">
        <v>42867</v>
      </c>
      <c r="H22" s="206">
        <v>1012</v>
      </c>
      <c r="I22" s="226">
        <v>989</v>
      </c>
      <c r="J22" s="44">
        <v>1227</v>
      </c>
      <c r="K22" s="44">
        <v>947</v>
      </c>
      <c r="L22" s="205">
        <v>588.04</v>
      </c>
      <c r="M22" s="205">
        <v>634.68</v>
      </c>
      <c r="N22" s="26">
        <v>827.63</v>
      </c>
      <c r="O22" s="205">
        <v>828.4000000000005</v>
      </c>
      <c r="P22" s="205">
        <v>675.3199999999997</v>
      </c>
      <c r="Q22" s="205">
        <v>1203.7900000000004</v>
      </c>
      <c r="R22" s="26">
        <v>550</v>
      </c>
      <c r="S22" s="26">
        <v>1075.21</v>
      </c>
      <c r="T22" s="26">
        <v>1200</v>
      </c>
      <c r="U22" s="485">
        <v>1500</v>
      </c>
      <c r="V22" s="445"/>
      <c r="W22" s="591"/>
      <c r="X22" s="592">
        <f>U22+V22+W22</f>
        <v>1500</v>
      </c>
      <c r="AC22" s="2"/>
      <c r="AG22" s="2"/>
    </row>
    <row r="23" spans="1:33" ht="12.75">
      <c r="A23" s="801"/>
      <c r="B23" s="230">
        <v>640</v>
      </c>
      <c r="C23" s="43" t="s">
        <v>250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5">
        <v>113.93</v>
      </c>
      <c r="N23" s="26"/>
      <c r="O23" s="205">
        <v>124.72</v>
      </c>
      <c r="P23" s="205"/>
      <c r="Q23" s="205"/>
      <c r="R23" s="26"/>
      <c r="S23" s="26"/>
      <c r="T23" s="26">
        <v>0</v>
      </c>
      <c r="U23" s="485"/>
      <c r="V23" s="445"/>
      <c r="W23" s="591"/>
      <c r="X23" s="592">
        <f>U23+V23+W23</f>
        <v>0</v>
      </c>
      <c r="AC23" s="2"/>
      <c r="AG23" s="2"/>
    </row>
    <row r="24" spans="1:33" ht="13.5" thickBot="1">
      <c r="A24" s="802"/>
      <c r="B24" s="232">
        <v>600</v>
      </c>
      <c r="C24" s="208" t="s">
        <v>258</v>
      </c>
      <c r="D24" s="233"/>
      <c r="E24" s="233"/>
      <c r="F24" s="233"/>
      <c r="G24" s="233"/>
      <c r="H24" s="44">
        <v>20510</v>
      </c>
      <c r="I24" s="208">
        <v>20599</v>
      </c>
      <c r="J24" s="44">
        <v>17684</v>
      </c>
      <c r="K24" s="44">
        <v>6101</v>
      </c>
      <c r="L24" s="116">
        <v>43016.02</v>
      </c>
      <c r="M24" s="116">
        <v>4042.409999999998</v>
      </c>
      <c r="N24" s="70">
        <v>11058.08</v>
      </c>
      <c r="O24" s="116">
        <v>7596.7</v>
      </c>
      <c r="P24" s="116">
        <v>6352.52</v>
      </c>
      <c r="Q24" s="116">
        <v>29106.03</v>
      </c>
      <c r="R24" s="70"/>
      <c r="S24" s="70">
        <v>15934.1</v>
      </c>
      <c r="T24" s="70">
        <v>0</v>
      </c>
      <c r="U24" s="472"/>
      <c r="V24" s="709"/>
      <c r="W24" s="595"/>
      <c r="X24" s="596">
        <f>U24+V24+W24</f>
        <v>0</v>
      </c>
      <c r="AC24" s="2"/>
      <c r="AG24" s="2"/>
    </row>
    <row r="25" spans="1:33" ht="15.75" thickBot="1">
      <c r="A25" s="212" t="s">
        <v>259</v>
      </c>
      <c r="B25" s="756" t="s">
        <v>63</v>
      </c>
      <c r="C25" s="787"/>
      <c r="D25" s="234">
        <f>D26</f>
        <v>86802</v>
      </c>
      <c r="E25" s="234">
        <f>E26</f>
        <v>77342</v>
      </c>
      <c r="F25" s="234">
        <f>F26</f>
        <v>79566</v>
      </c>
      <c r="G25" s="234">
        <f>G26</f>
        <v>75201</v>
      </c>
      <c r="H25" s="234">
        <f>H26</f>
        <v>66074</v>
      </c>
      <c r="I25" s="67">
        <f aca="true" t="shared" si="6" ref="I25:V25">I26</f>
        <v>84841</v>
      </c>
      <c r="J25" s="67">
        <f t="shared" si="6"/>
        <v>92558</v>
      </c>
      <c r="K25" s="67">
        <f t="shared" si="6"/>
        <v>89614</v>
      </c>
      <c r="L25" s="214">
        <f>L26</f>
        <v>87966.26</v>
      </c>
      <c r="M25" s="214">
        <f t="shared" si="6"/>
        <v>89070.75</v>
      </c>
      <c r="N25" s="471">
        <f t="shared" si="6"/>
        <v>84152.6</v>
      </c>
      <c r="O25" s="642">
        <f t="shared" si="6"/>
        <v>63074.71</v>
      </c>
      <c r="P25" s="642">
        <f t="shared" si="6"/>
        <v>62531</v>
      </c>
      <c r="Q25" s="642">
        <f t="shared" si="6"/>
        <v>57263.12</v>
      </c>
      <c r="R25" s="471">
        <f t="shared" si="6"/>
        <v>65000</v>
      </c>
      <c r="S25" s="471">
        <f t="shared" si="6"/>
        <v>55265.72</v>
      </c>
      <c r="T25" s="471">
        <f t="shared" si="6"/>
        <v>65000</v>
      </c>
      <c r="U25" s="471">
        <f t="shared" si="6"/>
        <v>65000</v>
      </c>
      <c r="V25" s="471">
        <f t="shared" si="6"/>
        <v>0</v>
      </c>
      <c r="W25" s="510">
        <f>W26</f>
        <v>0</v>
      </c>
      <c r="X25" s="511">
        <f>X26</f>
        <v>65000</v>
      </c>
      <c r="AC25" s="2"/>
      <c r="AG25" s="2"/>
    </row>
    <row r="26" spans="1:33" ht="13.5" thickBot="1">
      <c r="A26" s="235"/>
      <c r="B26" s="236">
        <v>630</v>
      </c>
      <c r="C26" s="237" t="s">
        <v>260</v>
      </c>
      <c r="D26" s="238">
        <v>86802</v>
      </c>
      <c r="E26" s="238">
        <v>77342</v>
      </c>
      <c r="F26" s="238">
        <v>79566</v>
      </c>
      <c r="G26" s="238">
        <v>75201</v>
      </c>
      <c r="H26" s="238">
        <v>66074</v>
      </c>
      <c r="I26" s="145">
        <v>84841</v>
      </c>
      <c r="J26" s="145">
        <v>92558</v>
      </c>
      <c r="K26" s="83">
        <v>89614</v>
      </c>
      <c r="L26" s="116">
        <v>87966.26</v>
      </c>
      <c r="M26" s="116">
        <v>89070.75</v>
      </c>
      <c r="N26" s="70">
        <v>84152.6</v>
      </c>
      <c r="O26" s="116">
        <v>63074.71</v>
      </c>
      <c r="P26" s="116">
        <v>62531</v>
      </c>
      <c r="Q26" s="116">
        <v>57263.12</v>
      </c>
      <c r="R26" s="70">
        <v>65000</v>
      </c>
      <c r="S26" s="70">
        <v>55265.72</v>
      </c>
      <c r="T26" s="70">
        <v>65000</v>
      </c>
      <c r="U26" s="472">
        <v>65000</v>
      </c>
      <c r="V26" s="714"/>
      <c r="W26" s="598"/>
      <c r="X26" s="599">
        <f>U26+V26+W26</f>
        <v>65000</v>
      </c>
      <c r="AC26" s="2"/>
      <c r="AG26" s="2"/>
    </row>
    <row r="27" spans="1:33" ht="15.75" thickBot="1">
      <c r="A27" s="212" t="s">
        <v>261</v>
      </c>
      <c r="B27" s="756" t="s">
        <v>262</v>
      </c>
      <c r="C27" s="787"/>
      <c r="D27" s="234">
        <f>D28</f>
        <v>0</v>
      </c>
      <c r="E27" s="234">
        <f>E28</f>
        <v>1826</v>
      </c>
      <c r="F27" s="234">
        <f>F28</f>
        <v>66</v>
      </c>
      <c r="G27" s="234">
        <f>G28</f>
        <v>770</v>
      </c>
      <c r="H27" s="234">
        <f>H28</f>
        <v>2589</v>
      </c>
      <c r="I27" s="67">
        <f aca="true" t="shared" si="7" ref="I27:W27">I28</f>
        <v>366</v>
      </c>
      <c r="J27" s="67">
        <f t="shared" si="7"/>
        <v>274</v>
      </c>
      <c r="K27" s="67">
        <f t="shared" si="7"/>
        <v>464</v>
      </c>
      <c r="L27" s="67">
        <f t="shared" si="7"/>
        <v>276.29</v>
      </c>
      <c r="M27" s="214">
        <f t="shared" si="7"/>
        <v>34.4</v>
      </c>
      <c r="N27" s="471">
        <f t="shared" si="7"/>
        <v>81.5</v>
      </c>
      <c r="O27" s="642">
        <f t="shared" si="7"/>
        <v>1.5</v>
      </c>
      <c r="P27" s="642">
        <f t="shared" si="7"/>
        <v>1.5</v>
      </c>
      <c r="Q27" s="642">
        <f t="shared" si="7"/>
        <v>18.02</v>
      </c>
      <c r="R27" s="471">
        <f t="shared" si="7"/>
        <v>500</v>
      </c>
      <c r="S27" s="471">
        <f t="shared" si="7"/>
        <v>4</v>
      </c>
      <c r="T27" s="471">
        <f t="shared" si="7"/>
        <v>500</v>
      </c>
      <c r="U27" s="471">
        <f t="shared" si="7"/>
        <v>1000</v>
      </c>
      <c r="V27" s="471">
        <f t="shared" si="7"/>
        <v>0</v>
      </c>
      <c r="W27" s="510">
        <f t="shared" si="7"/>
        <v>0</v>
      </c>
      <c r="X27" s="511">
        <f>X28</f>
        <v>1000</v>
      </c>
      <c r="AC27" s="2"/>
      <c r="AG27" s="2"/>
    </row>
    <row r="28" spans="1:33" ht="13.5" thickBot="1">
      <c r="A28" s="239"/>
      <c r="B28" s="240"/>
      <c r="C28" s="237" t="s">
        <v>263</v>
      </c>
      <c r="D28" s="238">
        <v>0</v>
      </c>
      <c r="E28" s="238">
        <v>1826</v>
      </c>
      <c r="F28" s="238">
        <v>66</v>
      </c>
      <c r="G28" s="238">
        <v>770</v>
      </c>
      <c r="H28" s="238">
        <v>2589</v>
      </c>
      <c r="I28" s="145">
        <v>366</v>
      </c>
      <c r="J28" s="145">
        <v>274</v>
      </c>
      <c r="K28" s="83">
        <v>464</v>
      </c>
      <c r="L28" s="116">
        <v>276.29</v>
      </c>
      <c r="M28" s="116">
        <v>34.4</v>
      </c>
      <c r="N28" s="70">
        <v>81.5</v>
      </c>
      <c r="O28" s="116">
        <v>1.5</v>
      </c>
      <c r="P28" s="116">
        <v>1.5</v>
      </c>
      <c r="Q28" s="116">
        <v>18.02</v>
      </c>
      <c r="R28" s="70">
        <v>500</v>
      </c>
      <c r="S28" s="70">
        <v>4</v>
      </c>
      <c r="T28" s="70">
        <v>500</v>
      </c>
      <c r="U28" s="472">
        <v>1000</v>
      </c>
      <c r="V28" s="710"/>
      <c r="W28" s="600"/>
      <c r="X28" s="601">
        <f>U28+V28+W28</f>
        <v>1000</v>
      </c>
      <c r="AC28" s="2"/>
      <c r="AG28" s="2"/>
    </row>
    <row r="29" spans="1:33" ht="15.75" thickBot="1">
      <c r="A29" s="212" t="s">
        <v>69</v>
      </c>
      <c r="B29" s="756" t="s">
        <v>264</v>
      </c>
      <c r="C29" s="787"/>
      <c r="D29" s="213">
        <v>80362</v>
      </c>
      <c r="E29" s="213">
        <v>93674</v>
      </c>
      <c r="F29" s="213">
        <v>104461</v>
      </c>
      <c r="G29" s="213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4">
        <f aca="true" t="shared" si="8" ref="L29:Q29">SUM(L30:L33)</f>
        <v>153063.15</v>
      </c>
      <c r="M29" s="214">
        <f t="shared" si="8"/>
        <v>160199.88999999998</v>
      </c>
      <c r="N29" s="471">
        <f t="shared" si="8"/>
        <v>160815.16</v>
      </c>
      <c r="O29" s="642">
        <f t="shared" si="8"/>
        <v>182466.47</v>
      </c>
      <c r="P29" s="642">
        <f t="shared" si="8"/>
        <v>205874.57</v>
      </c>
      <c r="Q29" s="642">
        <f t="shared" si="8"/>
        <v>228019.05</v>
      </c>
      <c r="R29" s="471">
        <f aca="true" t="shared" si="9" ref="R29:X29">SUM(R30:R33)</f>
        <v>267388</v>
      </c>
      <c r="S29" s="471">
        <f t="shared" si="9"/>
        <v>284752.95999999996</v>
      </c>
      <c r="T29" s="471">
        <f t="shared" si="9"/>
        <v>299998</v>
      </c>
      <c r="U29" s="471">
        <f t="shared" si="9"/>
        <v>352062</v>
      </c>
      <c r="V29" s="471">
        <f t="shared" si="9"/>
        <v>0</v>
      </c>
      <c r="W29" s="510">
        <f t="shared" si="9"/>
        <v>0</v>
      </c>
      <c r="X29" s="511">
        <f t="shared" si="9"/>
        <v>352062</v>
      </c>
      <c r="AC29" s="2"/>
      <c r="AG29" s="2"/>
    </row>
    <row r="30" spans="1:33" ht="12.75">
      <c r="A30" s="762"/>
      <c r="B30" s="229">
        <v>610</v>
      </c>
      <c r="C30" s="41" t="s">
        <v>247</v>
      </c>
      <c r="D30" s="158"/>
      <c r="E30" s="158">
        <v>56762</v>
      </c>
      <c r="F30" s="158">
        <v>60944</v>
      </c>
      <c r="G30" s="158">
        <v>75340</v>
      </c>
      <c r="H30" s="158">
        <v>84414</v>
      </c>
      <c r="I30" s="41">
        <v>89012</v>
      </c>
      <c r="J30" s="42">
        <v>92984</v>
      </c>
      <c r="K30" s="42">
        <v>93001</v>
      </c>
      <c r="L30" s="151">
        <v>93672.78</v>
      </c>
      <c r="M30" s="151">
        <v>102320.64</v>
      </c>
      <c r="N30" s="93">
        <v>102319.48</v>
      </c>
      <c r="O30" s="203">
        <v>109786.57</v>
      </c>
      <c r="P30" s="203">
        <v>123486.16</v>
      </c>
      <c r="Q30" s="203">
        <v>129732.70999999999</v>
      </c>
      <c r="R30" s="93">
        <v>126938</v>
      </c>
      <c r="S30" s="93">
        <v>141300.33</v>
      </c>
      <c r="T30" s="93">
        <v>143285</v>
      </c>
      <c r="U30" s="484">
        <v>177256</v>
      </c>
      <c r="V30" s="708"/>
      <c r="W30" s="589"/>
      <c r="X30" s="590">
        <f>U30+V30+W30</f>
        <v>177256</v>
      </c>
      <c r="AC30" s="2"/>
      <c r="AG30" s="2"/>
    </row>
    <row r="31" spans="1:33" ht="12.75">
      <c r="A31" s="763"/>
      <c r="B31" s="230">
        <v>620</v>
      </c>
      <c r="C31" s="43" t="s">
        <v>248</v>
      </c>
      <c r="D31" s="241"/>
      <c r="E31" s="241">
        <v>20315</v>
      </c>
      <c r="F31" s="241">
        <v>21709</v>
      </c>
      <c r="G31" s="241">
        <v>27650</v>
      </c>
      <c r="H31" s="241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114">
        <v>35543.37</v>
      </c>
      <c r="N31" s="26">
        <v>37856.52</v>
      </c>
      <c r="O31" s="205">
        <v>40417.53</v>
      </c>
      <c r="P31" s="205">
        <v>45335.28</v>
      </c>
      <c r="Q31" s="205">
        <v>47330.69</v>
      </c>
      <c r="R31" s="26">
        <v>46411</v>
      </c>
      <c r="S31" s="26">
        <v>51299.29000000001</v>
      </c>
      <c r="T31" s="26">
        <v>51973</v>
      </c>
      <c r="U31" s="485">
        <v>63933</v>
      </c>
      <c r="V31" s="445"/>
      <c r="W31" s="591"/>
      <c r="X31" s="592">
        <f>U31+V31+W31</f>
        <v>63933</v>
      </c>
      <c r="AC31" s="2"/>
      <c r="AG31" s="2"/>
    </row>
    <row r="32" spans="1:33" ht="12.75">
      <c r="A32" s="763"/>
      <c r="B32" s="230">
        <v>630</v>
      </c>
      <c r="C32" s="43" t="s">
        <v>249</v>
      </c>
      <c r="D32" s="241"/>
      <c r="E32" s="241">
        <v>16597</v>
      </c>
      <c r="F32" s="241">
        <v>21078</v>
      </c>
      <c r="G32" s="241">
        <v>23021</v>
      </c>
      <c r="H32" s="241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114">
        <v>22171.17</v>
      </c>
      <c r="N32" s="26">
        <v>20256.81</v>
      </c>
      <c r="O32" s="205">
        <v>29552.34</v>
      </c>
      <c r="P32" s="205">
        <v>36953.13</v>
      </c>
      <c r="Q32" s="205">
        <v>23590.739999999998</v>
      </c>
      <c r="R32" s="26">
        <v>19000</v>
      </c>
      <c r="S32" s="26">
        <v>25182.800000000003</v>
      </c>
      <c r="T32" s="26">
        <v>25000</v>
      </c>
      <c r="U32" s="485">
        <v>25500</v>
      </c>
      <c r="V32" s="445"/>
      <c r="W32" s="591"/>
      <c r="X32" s="592">
        <f>U32+V32+W32</f>
        <v>25500</v>
      </c>
      <c r="AC32" s="2"/>
      <c r="AG32" s="2"/>
    </row>
    <row r="33" spans="1:33" ht="13.5" thickBot="1">
      <c r="A33" s="764"/>
      <c r="B33" s="230">
        <v>650</v>
      </c>
      <c r="C33" s="43" t="s">
        <v>365</v>
      </c>
      <c r="D33" s="238"/>
      <c r="E33" s="238"/>
      <c r="F33" s="238"/>
      <c r="G33" s="238"/>
      <c r="H33" s="238"/>
      <c r="I33" s="145"/>
      <c r="J33" s="145"/>
      <c r="K33" s="242"/>
      <c r="L33" s="116">
        <v>161.8</v>
      </c>
      <c r="M33" s="116">
        <v>164.71</v>
      </c>
      <c r="N33" s="70">
        <v>382.35</v>
      </c>
      <c r="O33" s="116">
        <v>2710.03</v>
      </c>
      <c r="P33" s="116">
        <v>100</v>
      </c>
      <c r="Q33" s="116">
        <v>27364.91</v>
      </c>
      <c r="R33" s="70">
        <v>75039</v>
      </c>
      <c r="S33" s="70">
        <v>66970.54</v>
      </c>
      <c r="T33" s="70">
        <v>79740</v>
      </c>
      <c r="U33" s="472">
        <v>85373</v>
      </c>
      <c r="V33" s="709"/>
      <c r="W33" s="602"/>
      <c r="X33" s="597">
        <f>U33+V33+W33</f>
        <v>85373</v>
      </c>
      <c r="AC33" s="2"/>
      <c r="AG33" s="2"/>
    </row>
    <row r="34" spans="1:33" ht="15.75" thickBot="1">
      <c r="A34" s="212" t="s">
        <v>265</v>
      </c>
      <c r="B34" s="756" t="s">
        <v>266</v>
      </c>
      <c r="C34" s="787"/>
      <c r="D34" s="234">
        <f>D35</f>
        <v>1328</v>
      </c>
      <c r="E34" s="234">
        <f>E35</f>
        <v>332</v>
      </c>
      <c r="F34" s="234">
        <f>F35</f>
        <v>797</v>
      </c>
      <c r="G34" s="234">
        <f>G35</f>
        <v>3524</v>
      </c>
      <c r="H34" s="234">
        <f>H35</f>
        <v>112</v>
      </c>
      <c r="I34" s="67">
        <f aca="true" t="shared" si="10" ref="I34:V34">I35</f>
        <v>600</v>
      </c>
      <c r="J34" s="67">
        <f t="shared" si="10"/>
        <v>1028</v>
      </c>
      <c r="K34" s="67">
        <f t="shared" si="10"/>
        <v>1230</v>
      </c>
      <c r="L34" s="214">
        <f t="shared" si="10"/>
        <v>600</v>
      </c>
      <c r="M34" s="214">
        <f t="shared" si="10"/>
        <v>1048.67</v>
      </c>
      <c r="N34" s="471">
        <f t="shared" si="10"/>
        <v>1510.99</v>
      </c>
      <c r="O34" s="642">
        <f t="shared" si="10"/>
        <v>1870</v>
      </c>
      <c r="P34" s="642">
        <f t="shared" si="10"/>
        <v>2000</v>
      </c>
      <c r="Q34" s="642">
        <f t="shared" si="10"/>
        <v>2240.37</v>
      </c>
      <c r="R34" s="471">
        <f t="shared" si="10"/>
        <v>1000</v>
      </c>
      <c r="S34" s="471">
        <f t="shared" si="10"/>
        <v>2459.98</v>
      </c>
      <c r="T34" s="471">
        <f t="shared" si="10"/>
        <v>3500</v>
      </c>
      <c r="U34" s="471">
        <f t="shared" si="10"/>
        <v>2000</v>
      </c>
      <c r="V34" s="471">
        <f t="shared" si="10"/>
        <v>0</v>
      </c>
      <c r="W34" s="510">
        <f>W35</f>
        <v>0</v>
      </c>
      <c r="X34" s="511">
        <f>X35</f>
        <v>2000</v>
      </c>
      <c r="AC34" s="2"/>
      <c r="AG34" s="2"/>
    </row>
    <row r="35" spans="1:33" ht="13.5" thickBot="1">
      <c r="A35" s="239"/>
      <c r="B35" s="243"/>
      <c r="C35" s="244" t="s">
        <v>267</v>
      </c>
      <c r="D35" s="245">
        <v>1328</v>
      </c>
      <c r="E35" s="245">
        <v>332</v>
      </c>
      <c r="F35" s="245">
        <v>797</v>
      </c>
      <c r="G35" s="245">
        <v>3524</v>
      </c>
      <c r="H35" s="245">
        <v>112</v>
      </c>
      <c r="I35" s="115">
        <v>600</v>
      </c>
      <c r="J35" s="115">
        <v>1028</v>
      </c>
      <c r="K35" s="83">
        <v>1230</v>
      </c>
      <c r="L35" s="246">
        <v>600</v>
      </c>
      <c r="M35" s="246">
        <v>1048.67</v>
      </c>
      <c r="N35" s="12">
        <v>1510.99</v>
      </c>
      <c r="O35" s="247">
        <v>1870</v>
      </c>
      <c r="P35" s="247">
        <v>2000</v>
      </c>
      <c r="Q35" s="247">
        <v>2240.37</v>
      </c>
      <c r="R35" s="12">
        <v>1000</v>
      </c>
      <c r="S35" s="12">
        <v>2459.98</v>
      </c>
      <c r="T35" s="12">
        <v>3500</v>
      </c>
      <c r="U35" s="473">
        <v>2000</v>
      </c>
      <c r="V35" s="710"/>
      <c r="W35" s="600"/>
      <c r="X35" s="601">
        <f>U35+V35+W35</f>
        <v>2000</v>
      </c>
      <c r="AC35" s="2"/>
      <c r="AG35" s="2"/>
    </row>
    <row r="36" spans="1:33" ht="15.75" thickBot="1">
      <c r="A36" s="248" t="s">
        <v>268</v>
      </c>
      <c r="B36" s="756" t="s">
        <v>269</v>
      </c>
      <c r="C36" s="787"/>
      <c r="D36" s="213">
        <v>64894</v>
      </c>
      <c r="E36" s="213">
        <v>59384</v>
      </c>
      <c r="F36" s="213">
        <v>62471</v>
      </c>
      <c r="G36" s="213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11" ref="K36:Q36">SUM(K37:K40)</f>
        <v>45604</v>
      </c>
      <c r="L36" s="249">
        <f t="shared" si="11"/>
        <v>70768.37</v>
      </c>
      <c r="M36" s="249">
        <f t="shared" si="11"/>
        <v>57765.42</v>
      </c>
      <c r="N36" s="474">
        <f t="shared" si="11"/>
        <v>67218.58</v>
      </c>
      <c r="O36" s="643">
        <f t="shared" si="11"/>
        <v>62580.25</v>
      </c>
      <c r="P36" s="643">
        <f>SUM(P37:P40)</f>
        <v>56923.06</v>
      </c>
      <c r="Q36" s="643">
        <f t="shared" si="11"/>
        <v>61855.35999999999</v>
      </c>
      <c r="R36" s="474">
        <f>SUM(R37:R39)</f>
        <v>76963</v>
      </c>
      <c r="S36" s="474">
        <f>SUM(S37:S40)</f>
        <v>88456.51000000001</v>
      </c>
      <c r="T36" s="474">
        <f>SUM(T37:T39)</f>
        <v>69044</v>
      </c>
      <c r="U36" s="474">
        <f>SUM(U37:U39)</f>
        <v>74269</v>
      </c>
      <c r="V36" s="474">
        <f>SUM(V37:V39)</f>
        <v>0</v>
      </c>
      <c r="W36" s="510">
        <f>SUM(W37:W39)</f>
        <v>0</v>
      </c>
      <c r="X36" s="511">
        <f>SUM(X37:X39)</f>
        <v>74269</v>
      </c>
      <c r="AC36" s="2"/>
      <c r="AG36" s="2"/>
    </row>
    <row r="37" spans="1:33" ht="12.75">
      <c r="A37" s="762"/>
      <c r="B37" s="229">
        <v>610</v>
      </c>
      <c r="C37" s="41" t="s">
        <v>247</v>
      </c>
      <c r="D37" s="158"/>
      <c r="E37" s="158"/>
      <c r="F37" s="158"/>
      <c r="G37" s="158"/>
      <c r="H37" s="158">
        <v>19662</v>
      </c>
      <c r="I37" s="41">
        <v>20165</v>
      </c>
      <c r="J37" s="42">
        <v>21683</v>
      </c>
      <c r="K37" s="42">
        <v>23558</v>
      </c>
      <c r="L37" s="203">
        <v>34957.48</v>
      </c>
      <c r="M37" s="203">
        <v>28518.63</v>
      </c>
      <c r="N37" s="93">
        <v>34041.99</v>
      </c>
      <c r="O37" s="203">
        <v>33212</v>
      </c>
      <c r="P37" s="203">
        <v>33912.11</v>
      </c>
      <c r="Q37" s="203">
        <v>39048.27</v>
      </c>
      <c r="R37" s="93">
        <v>47240</v>
      </c>
      <c r="S37" s="93">
        <v>53526.83</v>
      </c>
      <c r="T37" s="93">
        <v>39309</v>
      </c>
      <c r="U37" s="484">
        <v>45403</v>
      </c>
      <c r="V37" s="708"/>
      <c r="W37" s="589"/>
      <c r="X37" s="590">
        <f>U37+V37+W37</f>
        <v>45403</v>
      </c>
      <c r="AC37" s="2"/>
      <c r="AG37" s="2"/>
    </row>
    <row r="38" spans="1:33" ht="12.75">
      <c r="A38" s="763"/>
      <c r="B38" s="230">
        <v>620</v>
      </c>
      <c r="C38" s="43" t="s">
        <v>248</v>
      </c>
      <c r="D38" s="241"/>
      <c r="E38" s="241"/>
      <c r="F38" s="241"/>
      <c r="G38" s="241"/>
      <c r="H38" s="241">
        <v>6810</v>
      </c>
      <c r="I38" s="43">
        <v>7285</v>
      </c>
      <c r="J38" s="44">
        <v>7713</v>
      </c>
      <c r="K38" s="44">
        <v>8188</v>
      </c>
      <c r="L38" s="205">
        <v>13167.56</v>
      </c>
      <c r="M38" s="205">
        <v>9242.21</v>
      </c>
      <c r="N38" s="26">
        <v>11670.69</v>
      </c>
      <c r="O38" s="205">
        <v>11626.24</v>
      </c>
      <c r="P38" s="205">
        <v>11789.54</v>
      </c>
      <c r="Q38" s="205">
        <v>13624.06</v>
      </c>
      <c r="R38" s="26">
        <v>16725</v>
      </c>
      <c r="S38" s="26">
        <v>17891.14</v>
      </c>
      <c r="T38" s="26">
        <v>13737</v>
      </c>
      <c r="U38" s="485">
        <v>15868</v>
      </c>
      <c r="V38" s="445"/>
      <c r="W38" s="591"/>
      <c r="X38" s="592">
        <f>U38+V38+W38</f>
        <v>15868</v>
      </c>
      <c r="Y38" s="2"/>
      <c r="AC38" s="2"/>
      <c r="AG38" s="2"/>
    </row>
    <row r="39" spans="1:33" ht="12.75">
      <c r="A39" s="763"/>
      <c r="B39" s="230">
        <v>630</v>
      </c>
      <c r="C39" s="43" t="s">
        <v>249</v>
      </c>
      <c r="D39" s="241"/>
      <c r="E39" s="241"/>
      <c r="F39" s="241"/>
      <c r="G39" s="241"/>
      <c r="H39" s="241">
        <v>16570</v>
      </c>
      <c r="I39" s="43">
        <v>15543</v>
      </c>
      <c r="J39" s="44">
        <v>16501</v>
      </c>
      <c r="K39" s="44">
        <v>13727</v>
      </c>
      <c r="L39" s="205">
        <v>20379.17</v>
      </c>
      <c r="M39" s="205">
        <v>19888.42</v>
      </c>
      <c r="N39" s="26">
        <v>21248.55</v>
      </c>
      <c r="O39" s="205">
        <v>16832.53</v>
      </c>
      <c r="P39" s="205">
        <v>11149.41</v>
      </c>
      <c r="Q39" s="205">
        <v>8952.96</v>
      </c>
      <c r="R39" s="26">
        <v>12998</v>
      </c>
      <c r="S39" s="26">
        <v>16926.13</v>
      </c>
      <c r="T39" s="26">
        <v>15998</v>
      </c>
      <c r="U39" s="485">
        <v>12998</v>
      </c>
      <c r="V39" s="445"/>
      <c r="W39" s="591"/>
      <c r="X39" s="592">
        <f>U39+V39+W39</f>
        <v>12998</v>
      </c>
      <c r="AC39" s="2"/>
      <c r="AG39" s="2"/>
    </row>
    <row r="40" spans="1:33" ht="13.5" thickBot="1">
      <c r="A40" s="764"/>
      <c r="B40" s="230">
        <v>640</v>
      </c>
      <c r="C40" s="208"/>
      <c r="D40" s="228"/>
      <c r="E40" s="228"/>
      <c r="F40" s="228"/>
      <c r="G40" s="228"/>
      <c r="H40" s="228"/>
      <c r="I40" s="145"/>
      <c r="J40" s="44"/>
      <c r="K40" s="44">
        <v>131</v>
      </c>
      <c r="L40" s="116">
        <v>2264.16</v>
      </c>
      <c r="M40" s="116">
        <v>116.16</v>
      </c>
      <c r="N40" s="70">
        <v>257.35</v>
      </c>
      <c r="O40" s="116">
        <v>909.48</v>
      </c>
      <c r="P40" s="116">
        <v>72</v>
      </c>
      <c r="Q40" s="116">
        <v>230.07</v>
      </c>
      <c r="R40" s="70"/>
      <c r="S40" s="70">
        <v>112.41</v>
      </c>
      <c r="T40" s="70">
        <v>0</v>
      </c>
      <c r="U40" s="472"/>
      <c r="V40" s="709"/>
      <c r="W40" s="602"/>
      <c r="X40" s="597">
        <f>U40+V40+W40</f>
        <v>0</v>
      </c>
      <c r="AC40" s="2"/>
      <c r="AE40" s="2"/>
      <c r="AG40" s="2"/>
    </row>
    <row r="41" spans="1:33" ht="15.75" thickBot="1">
      <c r="A41" s="212" t="s">
        <v>270</v>
      </c>
      <c r="B41" s="756" t="s">
        <v>271</v>
      </c>
      <c r="C41" s="787"/>
      <c r="D41" s="234">
        <f>D42</f>
        <v>0</v>
      </c>
      <c r="E41" s="234">
        <f>E42</f>
        <v>0</v>
      </c>
      <c r="F41" s="234">
        <f>F42</f>
        <v>0</v>
      </c>
      <c r="G41" s="234">
        <f>G42</f>
        <v>66</v>
      </c>
      <c r="H41" s="234">
        <f>H42</f>
        <v>175</v>
      </c>
      <c r="I41" s="67">
        <f aca="true" t="shared" si="12" ref="I41:V41">I42</f>
        <v>269</v>
      </c>
      <c r="J41" s="67">
        <f t="shared" si="12"/>
        <v>182</v>
      </c>
      <c r="K41" s="67">
        <f t="shared" si="12"/>
        <v>104</v>
      </c>
      <c r="L41" s="214">
        <f t="shared" si="12"/>
        <v>169.4</v>
      </c>
      <c r="M41" s="214">
        <f t="shared" si="12"/>
        <v>87.6</v>
      </c>
      <c r="N41" s="471">
        <f t="shared" si="12"/>
        <v>40.1</v>
      </c>
      <c r="O41" s="471">
        <f t="shared" si="12"/>
        <v>0</v>
      </c>
      <c r="P41" s="471">
        <f t="shared" si="12"/>
        <v>69.25</v>
      </c>
      <c r="Q41" s="642">
        <f t="shared" si="12"/>
        <v>440.25</v>
      </c>
      <c r="R41" s="471">
        <f t="shared" si="12"/>
        <v>200</v>
      </c>
      <c r="S41" s="471">
        <f t="shared" si="12"/>
        <v>150</v>
      </c>
      <c r="T41" s="471">
        <f t="shared" si="12"/>
        <v>200</v>
      </c>
      <c r="U41" s="471">
        <f t="shared" si="12"/>
        <v>500</v>
      </c>
      <c r="V41" s="471">
        <f t="shared" si="12"/>
        <v>0</v>
      </c>
      <c r="W41" s="510">
        <f>W42</f>
        <v>0</v>
      </c>
      <c r="X41" s="511">
        <f>X42</f>
        <v>500</v>
      </c>
      <c r="AC41" s="2"/>
      <c r="AG41" s="2"/>
    </row>
    <row r="42" spans="1:33" ht="13.5" thickBot="1">
      <c r="A42" s="250"/>
      <c r="B42" s="251">
        <v>640</v>
      </c>
      <c r="C42" s="145" t="s">
        <v>272</v>
      </c>
      <c r="D42" s="238"/>
      <c r="E42" s="238"/>
      <c r="F42" s="238"/>
      <c r="G42" s="238">
        <v>66</v>
      </c>
      <c r="H42" s="238">
        <v>175</v>
      </c>
      <c r="I42" s="145">
        <v>269</v>
      </c>
      <c r="J42" s="145">
        <v>182</v>
      </c>
      <c r="K42" s="145">
        <v>104</v>
      </c>
      <c r="L42" s="252">
        <v>169.4</v>
      </c>
      <c r="M42" s="246">
        <v>87.6</v>
      </c>
      <c r="N42" s="12">
        <v>40.1</v>
      </c>
      <c r="O42" s="12"/>
      <c r="P42" s="12">
        <v>69.25</v>
      </c>
      <c r="Q42" s="247">
        <v>440.25</v>
      </c>
      <c r="R42" s="12">
        <v>200</v>
      </c>
      <c r="S42" s="12">
        <v>150</v>
      </c>
      <c r="T42" s="12">
        <v>200</v>
      </c>
      <c r="U42" s="473">
        <v>500</v>
      </c>
      <c r="V42" s="710"/>
      <c r="W42" s="600"/>
      <c r="X42" s="601">
        <f>U42+V42+W42</f>
        <v>500</v>
      </c>
      <c r="AC42" s="2"/>
      <c r="AG42" s="2"/>
    </row>
    <row r="43" spans="1:33" ht="15.75" thickBot="1">
      <c r="A43" s="212" t="s">
        <v>64</v>
      </c>
      <c r="B43" s="756" t="s">
        <v>67</v>
      </c>
      <c r="C43" s="787"/>
      <c r="D43" s="213">
        <v>29310</v>
      </c>
      <c r="E43" s="213">
        <v>30173</v>
      </c>
      <c r="F43" s="213">
        <v>33061</v>
      </c>
      <c r="G43" s="213">
        <v>31215</v>
      </c>
      <c r="H43" s="14">
        <f aca="true" t="shared" si="13" ref="H43:M43">SUM(H44:H46)</f>
        <v>30188</v>
      </c>
      <c r="I43" s="14">
        <f t="shared" si="13"/>
        <v>30251</v>
      </c>
      <c r="J43" s="14">
        <f t="shared" si="13"/>
        <v>29902</v>
      </c>
      <c r="K43" s="14">
        <f t="shared" si="13"/>
        <v>27922</v>
      </c>
      <c r="L43" s="14">
        <f t="shared" si="13"/>
        <v>26736.059999999998</v>
      </c>
      <c r="M43" s="249">
        <f t="shared" si="13"/>
        <v>31580.040000000005</v>
      </c>
      <c r="N43" s="474">
        <f>SUM(N44:N46)</f>
        <v>36470.850000000006</v>
      </c>
      <c r="O43" s="643">
        <f aca="true" t="shared" si="14" ref="O43:V43">SUM(O44:O49)</f>
        <v>54203.55</v>
      </c>
      <c r="P43" s="643">
        <f t="shared" si="14"/>
        <v>87006.54</v>
      </c>
      <c r="Q43" s="643">
        <f t="shared" si="14"/>
        <v>79163.91</v>
      </c>
      <c r="R43" s="474">
        <f t="shared" si="14"/>
        <v>98937</v>
      </c>
      <c r="S43" s="474">
        <f t="shared" si="14"/>
        <v>104096.26</v>
      </c>
      <c r="T43" s="474">
        <f t="shared" si="14"/>
        <v>47757</v>
      </c>
      <c r="U43" s="474">
        <f t="shared" si="14"/>
        <v>43341</v>
      </c>
      <c r="V43" s="474">
        <f t="shared" si="14"/>
        <v>0</v>
      </c>
      <c r="W43" s="510">
        <f>SUM(W44:W46)</f>
        <v>0</v>
      </c>
      <c r="X43" s="511">
        <f>SUM(X44:X46)</f>
        <v>43341</v>
      </c>
      <c r="AC43" s="2"/>
      <c r="AG43" s="2"/>
    </row>
    <row r="44" spans="1:33" ht="12.75">
      <c r="A44" s="762"/>
      <c r="B44" s="202">
        <v>610</v>
      </c>
      <c r="C44" s="41" t="s">
        <v>247</v>
      </c>
      <c r="D44" s="158"/>
      <c r="E44" s="158">
        <v>17128</v>
      </c>
      <c r="F44" s="158">
        <v>19186</v>
      </c>
      <c r="G44" s="158">
        <v>18647</v>
      </c>
      <c r="H44" s="158">
        <v>19330</v>
      </c>
      <c r="I44" s="41">
        <v>19430</v>
      </c>
      <c r="J44" s="42">
        <v>19249</v>
      </c>
      <c r="K44" s="42">
        <v>18860</v>
      </c>
      <c r="L44" s="151">
        <v>17749.95</v>
      </c>
      <c r="M44" s="151">
        <v>21482.58</v>
      </c>
      <c r="N44" s="93">
        <v>23137.49</v>
      </c>
      <c r="O44" s="203">
        <v>24187.48</v>
      </c>
      <c r="P44" s="203">
        <v>31091.66</v>
      </c>
      <c r="Q44" s="203">
        <v>33641.45</v>
      </c>
      <c r="R44" s="93">
        <v>35574</v>
      </c>
      <c r="S44" s="93">
        <v>23174.11</v>
      </c>
      <c r="T44" s="93">
        <v>32202</v>
      </c>
      <c r="U44" s="484">
        <v>29086</v>
      </c>
      <c r="V44" s="711"/>
      <c r="W44" s="628"/>
      <c r="X44" s="629">
        <f aca="true" t="shared" si="15" ref="X44:X49">U44+V44+W44</f>
        <v>29086</v>
      </c>
      <c r="AC44" s="2"/>
      <c r="AG44" s="2"/>
    </row>
    <row r="45" spans="1:33" ht="12.75">
      <c r="A45" s="763"/>
      <c r="B45" s="204">
        <v>620</v>
      </c>
      <c r="C45" s="43" t="s">
        <v>248</v>
      </c>
      <c r="D45" s="241"/>
      <c r="E45" s="241">
        <v>6174</v>
      </c>
      <c r="F45" s="241">
        <v>6440</v>
      </c>
      <c r="G45" s="241">
        <v>6250</v>
      </c>
      <c r="H45" s="241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114">
        <v>7544.26</v>
      </c>
      <c r="N45" s="26">
        <v>8118.17</v>
      </c>
      <c r="O45" s="205">
        <v>8499.7</v>
      </c>
      <c r="P45" s="205">
        <v>10918.71</v>
      </c>
      <c r="Q45" s="205">
        <v>11858.77</v>
      </c>
      <c r="R45" s="26">
        <v>12613</v>
      </c>
      <c r="S45" s="26">
        <v>7938.05</v>
      </c>
      <c r="T45" s="26">
        <v>11455</v>
      </c>
      <c r="U45" s="485">
        <v>10455</v>
      </c>
      <c r="V45" s="445"/>
      <c r="W45" s="591"/>
      <c r="X45" s="592">
        <f t="shared" si="15"/>
        <v>10455</v>
      </c>
      <c r="AC45" s="2"/>
      <c r="AG45" s="2"/>
    </row>
    <row r="46" spans="1:33" ht="12.75">
      <c r="A46" s="763"/>
      <c r="B46" s="204">
        <v>630</v>
      </c>
      <c r="C46" s="43" t="s">
        <v>249</v>
      </c>
      <c r="D46" s="241"/>
      <c r="E46" s="241">
        <v>6871</v>
      </c>
      <c r="F46" s="241">
        <v>7435</v>
      </c>
      <c r="G46" s="241">
        <v>6318</v>
      </c>
      <c r="H46" s="241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114">
        <v>2553.2</v>
      </c>
      <c r="N46" s="26">
        <v>5215.19</v>
      </c>
      <c r="O46" s="205">
        <v>7214.150000000001</v>
      </c>
      <c r="P46" s="205">
        <v>3273.6100000000006</v>
      </c>
      <c r="Q46" s="205">
        <v>2843.350000000004</v>
      </c>
      <c r="R46" s="26">
        <v>2800</v>
      </c>
      <c r="S46" s="26">
        <v>1161.9700000000012</v>
      </c>
      <c r="T46" s="26">
        <v>4100</v>
      </c>
      <c r="U46" s="485">
        <v>3800</v>
      </c>
      <c r="V46" s="445"/>
      <c r="W46" s="591"/>
      <c r="X46" s="592">
        <f t="shared" si="15"/>
        <v>3800</v>
      </c>
      <c r="AC46" s="2"/>
      <c r="AG46" s="2"/>
    </row>
    <row r="47" spans="1:33" ht="12.75">
      <c r="A47" s="763"/>
      <c r="B47" s="683">
        <v>630</v>
      </c>
      <c r="C47" s="47" t="s">
        <v>386</v>
      </c>
      <c r="D47" s="684"/>
      <c r="E47" s="684"/>
      <c r="F47" s="684"/>
      <c r="G47" s="684"/>
      <c r="H47" s="684"/>
      <c r="I47" s="47"/>
      <c r="J47" s="74"/>
      <c r="K47" s="74"/>
      <c r="L47" s="254"/>
      <c r="M47" s="254"/>
      <c r="N47" s="30"/>
      <c r="O47" s="223"/>
      <c r="P47" s="223"/>
      <c r="Q47" s="223">
        <v>8549.6</v>
      </c>
      <c r="R47" s="30">
        <v>22100</v>
      </c>
      <c r="S47" s="30">
        <v>33668.23</v>
      </c>
      <c r="T47" s="30"/>
      <c r="U47" s="494">
        <v>0</v>
      </c>
      <c r="V47" s="709"/>
      <c r="W47" s="602"/>
      <c r="X47" s="597">
        <f t="shared" si="15"/>
        <v>0</v>
      </c>
      <c r="AC47" s="2"/>
      <c r="AG47" s="2"/>
    </row>
    <row r="48" spans="1:33" ht="12.75">
      <c r="A48" s="763"/>
      <c r="B48" s="683">
        <v>630</v>
      </c>
      <c r="C48" s="47" t="s">
        <v>374</v>
      </c>
      <c r="D48" s="684"/>
      <c r="E48" s="684"/>
      <c r="F48" s="684"/>
      <c r="G48" s="684"/>
      <c r="H48" s="684"/>
      <c r="I48" s="47"/>
      <c r="J48" s="74"/>
      <c r="K48" s="74"/>
      <c r="L48" s="254"/>
      <c r="M48" s="254"/>
      <c r="N48" s="30"/>
      <c r="O48" s="223"/>
      <c r="P48" s="223"/>
      <c r="Q48" s="223">
        <v>22270.739999999998</v>
      </c>
      <c r="R48" s="30">
        <v>25850</v>
      </c>
      <c r="S48" s="30">
        <v>28535.95</v>
      </c>
      <c r="T48" s="30"/>
      <c r="U48" s="494">
        <v>0</v>
      </c>
      <c r="V48" s="709"/>
      <c r="W48" s="602"/>
      <c r="X48" s="597">
        <f t="shared" si="15"/>
        <v>0</v>
      </c>
      <c r="AC48" s="2"/>
      <c r="AG48" s="2"/>
    </row>
    <row r="49" spans="1:33" ht="13.5" thickBot="1">
      <c r="A49" s="764"/>
      <c r="B49" s="326">
        <v>630</v>
      </c>
      <c r="C49" s="46" t="s">
        <v>178</v>
      </c>
      <c r="D49" s="153"/>
      <c r="E49" s="153"/>
      <c r="F49" s="153"/>
      <c r="G49" s="153"/>
      <c r="H49" s="153"/>
      <c r="I49" s="46"/>
      <c r="J49" s="60"/>
      <c r="K49" s="60"/>
      <c r="L49" s="302"/>
      <c r="M49" s="302"/>
      <c r="N49" s="48"/>
      <c r="O49" s="255">
        <v>14302.22</v>
      </c>
      <c r="P49" s="255">
        <v>41722.56</v>
      </c>
      <c r="Q49" s="255"/>
      <c r="R49" s="48"/>
      <c r="S49" s="48">
        <v>9617.95</v>
      </c>
      <c r="T49" s="48"/>
      <c r="U49" s="476"/>
      <c r="V49" s="712"/>
      <c r="W49" s="630"/>
      <c r="X49" s="631">
        <f t="shared" si="15"/>
        <v>0</v>
      </c>
      <c r="AC49" s="2"/>
      <c r="AG49" s="2"/>
    </row>
    <row r="50" spans="1:33" ht="15.75" thickBot="1">
      <c r="A50" s="212" t="s">
        <v>219</v>
      </c>
      <c r="B50" s="756" t="s">
        <v>221</v>
      </c>
      <c r="C50" s="787"/>
      <c r="D50" s="234">
        <v>13278</v>
      </c>
      <c r="E50" s="234">
        <v>366029</v>
      </c>
      <c r="F50" s="234">
        <v>277733</v>
      </c>
      <c r="G50" s="234">
        <v>398013</v>
      </c>
      <c r="H50" s="234">
        <v>368170</v>
      </c>
      <c r="I50" s="67">
        <f aca="true" t="shared" si="16" ref="I50:V50">SUM(I51:I55)</f>
        <v>294633</v>
      </c>
      <c r="J50" s="67">
        <f t="shared" si="16"/>
        <v>216960</v>
      </c>
      <c r="K50" s="67">
        <f t="shared" si="16"/>
        <v>236599</v>
      </c>
      <c r="L50" s="214">
        <f t="shared" si="16"/>
        <v>216987.18</v>
      </c>
      <c r="M50" s="214">
        <f t="shared" si="16"/>
        <v>226497.02000000002</v>
      </c>
      <c r="N50" s="471">
        <f aca="true" t="shared" si="17" ref="N50:S50">SUM(N51:N55)</f>
        <v>249510.29</v>
      </c>
      <c r="O50" s="642">
        <f t="shared" si="17"/>
        <v>263692.45</v>
      </c>
      <c r="P50" s="642">
        <f t="shared" si="17"/>
        <v>362393.4</v>
      </c>
      <c r="Q50" s="642">
        <f t="shared" si="17"/>
        <v>432250.81000000006</v>
      </c>
      <c r="R50" s="471">
        <f t="shared" si="17"/>
        <v>444157</v>
      </c>
      <c r="S50" s="471">
        <f t="shared" si="17"/>
        <v>591802.98</v>
      </c>
      <c r="T50" s="471">
        <f t="shared" si="16"/>
        <v>495779</v>
      </c>
      <c r="U50" s="471">
        <f t="shared" si="16"/>
        <v>490355</v>
      </c>
      <c r="V50" s="471">
        <f t="shared" si="16"/>
        <v>0</v>
      </c>
      <c r="W50" s="510">
        <f>SUM(W51:W55)</f>
        <v>0</v>
      </c>
      <c r="X50" s="511">
        <f>SUM(X51:X55)</f>
        <v>490355</v>
      </c>
      <c r="AC50" s="2"/>
      <c r="AG50" s="2"/>
    </row>
    <row r="51" spans="1:33" ht="12.75">
      <c r="A51" s="800"/>
      <c r="B51" s="259">
        <v>640</v>
      </c>
      <c r="C51" s="256" t="s">
        <v>273</v>
      </c>
      <c r="D51" s="257"/>
      <c r="E51" s="257"/>
      <c r="F51" s="257"/>
      <c r="G51" s="257"/>
      <c r="H51" s="257">
        <v>307476</v>
      </c>
      <c r="I51" s="258">
        <v>234550</v>
      </c>
      <c r="J51" s="42">
        <v>150070</v>
      </c>
      <c r="K51" s="42">
        <v>167336</v>
      </c>
      <c r="L51" s="203">
        <v>148104</v>
      </c>
      <c r="M51" s="217">
        <v>157211</v>
      </c>
      <c r="N51" s="143">
        <v>183945</v>
      </c>
      <c r="O51" s="217">
        <v>167281</v>
      </c>
      <c r="P51" s="217">
        <v>263000</v>
      </c>
      <c r="Q51" s="217">
        <v>334227.87</v>
      </c>
      <c r="R51" s="143">
        <f>346757</f>
        <v>346757</v>
      </c>
      <c r="S51" s="143">
        <v>506164.22</v>
      </c>
      <c r="T51" s="143">
        <v>355779</v>
      </c>
      <c r="U51" s="143">
        <v>355355</v>
      </c>
      <c r="V51" s="708"/>
      <c r="W51" s="589"/>
      <c r="X51" s="590">
        <f>U51+V51+W51</f>
        <v>355355</v>
      </c>
      <c r="AC51" s="2"/>
      <c r="AG51" s="2"/>
    </row>
    <row r="52" spans="1:33" ht="12.75" hidden="1">
      <c r="A52" s="801"/>
      <c r="B52" s="259">
        <v>640</v>
      </c>
      <c r="C52" s="260" t="s">
        <v>337</v>
      </c>
      <c r="D52" s="261"/>
      <c r="E52" s="261"/>
      <c r="F52" s="261"/>
      <c r="G52" s="261"/>
      <c r="H52" s="261"/>
      <c r="I52" s="262"/>
      <c r="J52" s="57"/>
      <c r="K52" s="57"/>
      <c r="L52" s="118"/>
      <c r="M52" s="131"/>
      <c r="N52" s="21"/>
      <c r="O52" s="131">
        <v>28183</v>
      </c>
      <c r="P52" s="131"/>
      <c r="Q52" s="131"/>
      <c r="R52" s="21"/>
      <c r="S52" s="21"/>
      <c r="T52" s="21">
        <v>0</v>
      </c>
      <c r="U52" s="488">
        <v>0</v>
      </c>
      <c r="V52" s="708"/>
      <c r="W52" s="589"/>
      <c r="X52" s="590">
        <f>U52+V52+W52</f>
        <v>0</v>
      </c>
      <c r="AC52" s="2"/>
      <c r="AG52" s="2"/>
    </row>
    <row r="53" spans="1:33" ht="12.75">
      <c r="A53" s="801"/>
      <c r="B53" s="259">
        <v>630</v>
      </c>
      <c r="C53" s="260" t="s">
        <v>220</v>
      </c>
      <c r="D53" s="261"/>
      <c r="E53" s="261"/>
      <c r="F53" s="261"/>
      <c r="G53" s="261"/>
      <c r="H53" s="261">
        <v>9596</v>
      </c>
      <c r="I53" s="262">
        <v>3094</v>
      </c>
      <c r="J53" s="44">
        <v>2060</v>
      </c>
      <c r="K53" s="44">
        <v>1011</v>
      </c>
      <c r="L53" s="118">
        <v>1770</v>
      </c>
      <c r="M53" s="131">
        <v>1790</v>
      </c>
      <c r="N53" s="21">
        <v>1340</v>
      </c>
      <c r="O53" s="131">
        <v>3846.12</v>
      </c>
      <c r="P53" s="131">
        <v>1800</v>
      </c>
      <c r="Q53" s="131">
        <v>1980</v>
      </c>
      <c r="R53" s="21">
        <f>3100+2400</f>
        <v>5500</v>
      </c>
      <c r="S53" s="21"/>
      <c r="T53" s="21">
        <v>0</v>
      </c>
      <c r="U53" s="21">
        <v>0</v>
      </c>
      <c r="V53" s="445"/>
      <c r="W53" s="591"/>
      <c r="X53" s="592">
        <f>U53+V53+W53</f>
        <v>0</v>
      </c>
      <c r="AC53" s="2"/>
      <c r="AG53" s="2"/>
    </row>
    <row r="54" spans="1:33" ht="12.75">
      <c r="A54" s="801"/>
      <c r="B54" s="259">
        <v>630</v>
      </c>
      <c r="C54" s="260" t="s">
        <v>353</v>
      </c>
      <c r="D54" s="261"/>
      <c r="E54" s="261"/>
      <c r="F54" s="261"/>
      <c r="G54" s="261"/>
      <c r="H54" s="261"/>
      <c r="I54" s="262"/>
      <c r="J54" s="44"/>
      <c r="K54" s="44"/>
      <c r="L54" s="118"/>
      <c r="M54" s="131"/>
      <c r="N54" s="21">
        <v>0</v>
      </c>
      <c r="O54" s="131"/>
      <c r="P54" s="131">
        <v>27926.51</v>
      </c>
      <c r="Q54" s="131">
        <v>25015.09</v>
      </c>
      <c r="R54" s="21">
        <v>26900</v>
      </c>
      <c r="S54" s="21">
        <v>16532.2</v>
      </c>
      <c r="T54" s="21">
        <v>45000</v>
      </c>
      <c r="U54" s="488">
        <v>30000</v>
      </c>
      <c r="V54" s="445"/>
      <c r="W54" s="591"/>
      <c r="X54" s="592">
        <f>U54+V54+W54</f>
        <v>30000</v>
      </c>
      <c r="AC54" s="2"/>
      <c r="AG54" s="2"/>
    </row>
    <row r="55" spans="1:33" ht="13.5" thickBot="1">
      <c r="A55" s="802"/>
      <c r="B55" s="232">
        <v>640</v>
      </c>
      <c r="C55" s="263" t="s">
        <v>274</v>
      </c>
      <c r="D55" s="264"/>
      <c r="E55" s="264"/>
      <c r="F55" s="264"/>
      <c r="G55" s="264"/>
      <c r="H55" s="264">
        <v>49953</v>
      </c>
      <c r="I55" s="265">
        <v>56989</v>
      </c>
      <c r="J55" s="60">
        <v>64830</v>
      </c>
      <c r="K55" s="60">
        <v>68252</v>
      </c>
      <c r="L55" s="211">
        <v>67113.18</v>
      </c>
      <c r="M55" s="266">
        <v>67496.02</v>
      </c>
      <c r="N55" s="84">
        <v>64225.29</v>
      </c>
      <c r="O55" s="266">
        <v>64382.33</v>
      </c>
      <c r="P55" s="266">
        <v>69666.89</v>
      </c>
      <c r="Q55" s="266">
        <v>71027.85</v>
      </c>
      <c r="R55" s="84">
        <v>65000</v>
      </c>
      <c r="S55" s="84">
        <v>69106.56</v>
      </c>
      <c r="T55" s="84">
        <v>95000</v>
      </c>
      <c r="U55" s="715">
        <v>105000</v>
      </c>
      <c r="V55" s="709"/>
      <c r="W55" s="602"/>
      <c r="X55" s="597">
        <f>U55+V55+W55</f>
        <v>105000</v>
      </c>
      <c r="AC55" s="2"/>
      <c r="AG55" s="2"/>
    </row>
    <row r="56" spans="1:33" ht="15.75" thickBot="1">
      <c r="A56" s="267" t="s">
        <v>74</v>
      </c>
      <c r="B56" s="810" t="s">
        <v>75</v>
      </c>
      <c r="C56" s="778"/>
      <c r="D56" s="269">
        <v>33426</v>
      </c>
      <c r="E56" s="269">
        <v>39800</v>
      </c>
      <c r="F56" s="269">
        <v>42953</v>
      </c>
      <c r="G56" s="269">
        <v>66506</v>
      </c>
      <c r="H56" s="269">
        <v>76065</v>
      </c>
      <c r="I56" s="79">
        <f>SUM(I61:I68)+I57</f>
        <v>59613</v>
      </c>
      <c r="J56" s="79">
        <f>SUM(J61:J68)+J57</f>
        <v>58168</v>
      </c>
      <c r="K56" s="79">
        <f>SUM(K61:K68)+K57</f>
        <v>57293</v>
      </c>
      <c r="L56" s="79">
        <f aca="true" t="shared" si="18" ref="L56:W56">SUM(L61:L69)+L57</f>
        <v>53359.31</v>
      </c>
      <c r="M56" s="80">
        <f t="shared" si="18"/>
        <v>49261.270000000004</v>
      </c>
      <c r="N56" s="475">
        <f t="shared" si="18"/>
        <v>69492.78</v>
      </c>
      <c r="O56" s="644">
        <f t="shared" si="18"/>
        <v>86003.89000000001</v>
      </c>
      <c r="P56" s="644">
        <f t="shared" si="18"/>
        <v>106730.37000000001</v>
      </c>
      <c r="Q56" s="644">
        <f t="shared" si="18"/>
        <v>101186.41</v>
      </c>
      <c r="R56" s="475">
        <f>SUM(R61:R69)+R57</f>
        <v>95878</v>
      </c>
      <c r="S56" s="475">
        <f>SUM(S61:S69)+S57</f>
        <v>121874.13</v>
      </c>
      <c r="T56" s="475">
        <f>SUM(T61:T69)+T57</f>
        <v>143094</v>
      </c>
      <c r="U56" s="471">
        <f t="shared" si="18"/>
        <v>152534</v>
      </c>
      <c r="V56" s="471">
        <f t="shared" si="18"/>
        <v>0</v>
      </c>
      <c r="W56" s="716">
        <f t="shared" si="18"/>
        <v>0</v>
      </c>
      <c r="X56" s="511">
        <f>SUM(X61:X69)+X57</f>
        <v>152534</v>
      </c>
      <c r="AC56" s="2"/>
      <c r="AG56" s="2"/>
    </row>
    <row r="57" spans="1:33" ht="13.5" thickBot="1">
      <c r="A57" s="803"/>
      <c r="B57" s="837" t="s">
        <v>275</v>
      </c>
      <c r="C57" s="838"/>
      <c r="D57" s="270">
        <v>0</v>
      </c>
      <c r="E57" s="270">
        <v>13477</v>
      </c>
      <c r="F57" s="270">
        <v>15800</v>
      </c>
      <c r="G57" s="270">
        <v>26596</v>
      </c>
      <c r="H57" s="270">
        <v>25323</v>
      </c>
      <c r="I57" s="10">
        <f aca="true" t="shared" si="19" ref="I57:T57">SUM(I58:I60)</f>
        <v>25388</v>
      </c>
      <c r="J57" s="10">
        <f t="shared" si="19"/>
        <v>23577</v>
      </c>
      <c r="K57" s="10">
        <f t="shared" si="19"/>
        <v>25508</v>
      </c>
      <c r="L57" s="10">
        <f t="shared" si="19"/>
        <v>26966.809999999998</v>
      </c>
      <c r="M57" s="555">
        <f t="shared" si="19"/>
        <v>26493.65</v>
      </c>
      <c r="N57" s="473">
        <f t="shared" si="19"/>
        <v>11116.460000000001</v>
      </c>
      <c r="O57" s="645">
        <f t="shared" si="19"/>
        <v>18582.04</v>
      </c>
      <c r="P57" s="645">
        <f t="shared" si="19"/>
        <v>14813.99</v>
      </c>
      <c r="Q57" s="645">
        <f t="shared" si="19"/>
        <v>26680.239999999994</v>
      </c>
      <c r="R57" s="473">
        <f t="shared" si="19"/>
        <v>28425</v>
      </c>
      <c r="S57" s="473">
        <f t="shared" si="19"/>
        <v>27824.831324799998</v>
      </c>
      <c r="T57" s="473">
        <f t="shared" si="19"/>
        <v>30218</v>
      </c>
      <c r="U57" s="473">
        <f>SUM(U58:U60)</f>
        <v>34081</v>
      </c>
      <c r="V57" s="473">
        <f>SUM(V58:V60)</f>
        <v>0</v>
      </c>
      <c r="W57" s="600">
        <f>SUM(W58:W60)</f>
        <v>0</v>
      </c>
      <c r="X57" s="601">
        <f>SUM(X58:X60)</f>
        <v>34081</v>
      </c>
      <c r="AC57" s="2"/>
      <c r="AG57" s="2"/>
    </row>
    <row r="58" spans="1:33" ht="12.75">
      <c r="A58" s="804"/>
      <c r="B58" s="271">
        <v>610</v>
      </c>
      <c r="C58" s="20" t="s">
        <v>247</v>
      </c>
      <c r="D58" s="88"/>
      <c r="E58" s="88"/>
      <c r="F58" s="88"/>
      <c r="G58" s="88"/>
      <c r="H58" s="88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1">
        <v>15800.44</v>
      </c>
      <c r="N58" s="21">
        <v>9158.78</v>
      </c>
      <c r="O58" s="131">
        <v>10007.84</v>
      </c>
      <c r="P58" s="131">
        <v>10778.65</v>
      </c>
      <c r="Q58" s="131">
        <v>13605.65</v>
      </c>
      <c r="R58" s="21">
        <v>15292</v>
      </c>
      <c r="S58" s="21">
        <v>13380.38</v>
      </c>
      <c r="T58" s="21">
        <v>16712</v>
      </c>
      <c r="U58" s="490">
        <v>19420</v>
      </c>
      <c r="V58" s="708"/>
      <c r="W58" s="589"/>
      <c r="X58" s="590">
        <f>U58+V58+W58</f>
        <v>19420</v>
      </c>
      <c r="AC58" s="2"/>
      <c r="AG58" s="2"/>
    </row>
    <row r="59" spans="1:33" ht="12.75">
      <c r="A59" s="804"/>
      <c r="B59" s="271">
        <v>620</v>
      </c>
      <c r="C59" s="20" t="s">
        <v>248</v>
      </c>
      <c r="D59" s="88"/>
      <c r="E59" s="88"/>
      <c r="F59" s="88"/>
      <c r="G59" s="88"/>
      <c r="H59" s="88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1">
        <v>5402.44</v>
      </c>
      <c r="N59" s="21">
        <v>1957.68</v>
      </c>
      <c r="O59" s="131">
        <v>3763.52</v>
      </c>
      <c r="P59" s="131">
        <v>4035.34</v>
      </c>
      <c r="Q59" s="131">
        <v>5883.76</v>
      </c>
      <c r="R59" s="21">
        <v>5633</v>
      </c>
      <c r="S59" s="21">
        <v>6884.72</v>
      </c>
      <c r="T59" s="21">
        <v>6006</v>
      </c>
      <c r="U59" s="490">
        <v>7161</v>
      </c>
      <c r="V59" s="445"/>
      <c r="W59" s="591"/>
      <c r="X59" s="592">
        <f>U59+V59+W59</f>
        <v>7161</v>
      </c>
      <c r="AC59" s="2"/>
      <c r="AG59" s="2"/>
    </row>
    <row r="60" spans="1:33" ht="13.5" thickBot="1">
      <c r="A60" s="804"/>
      <c r="B60" s="272">
        <v>630</v>
      </c>
      <c r="C60" s="82" t="s">
        <v>249</v>
      </c>
      <c r="D60" s="273"/>
      <c r="E60" s="273"/>
      <c r="F60" s="273"/>
      <c r="G60" s="273"/>
      <c r="H60" s="273">
        <v>2441</v>
      </c>
      <c r="I60" s="82">
        <v>1903</v>
      </c>
      <c r="J60" s="60">
        <v>2598</v>
      </c>
      <c r="K60" s="60">
        <v>4335</v>
      </c>
      <c r="L60" s="77">
        <v>6362.15</v>
      </c>
      <c r="M60" s="266">
        <v>5290.77</v>
      </c>
      <c r="N60" s="84"/>
      <c r="O60" s="266">
        <v>4810.68</v>
      </c>
      <c r="P60" s="266"/>
      <c r="Q60" s="266">
        <v>7190.8299999999945</v>
      </c>
      <c r="R60" s="84">
        <v>7500</v>
      </c>
      <c r="S60" s="84">
        <v>7559.731324799999</v>
      </c>
      <c r="T60" s="84">
        <v>7500</v>
      </c>
      <c r="U60" s="476">
        <v>7500</v>
      </c>
      <c r="V60" s="713"/>
      <c r="W60" s="603"/>
      <c r="X60" s="604">
        <f>U60+V60+W60</f>
        <v>7500</v>
      </c>
      <c r="AC60" s="2"/>
      <c r="AE60" s="2"/>
      <c r="AG60" s="2"/>
    </row>
    <row r="61" spans="1:33" ht="12.75">
      <c r="A61" s="804"/>
      <c r="B61" s="271">
        <v>600</v>
      </c>
      <c r="C61" s="20" t="s">
        <v>276</v>
      </c>
      <c r="D61" s="88"/>
      <c r="E61" s="88"/>
      <c r="F61" s="88"/>
      <c r="G61" s="88"/>
      <c r="H61" s="88"/>
      <c r="I61" s="20">
        <v>9190</v>
      </c>
      <c r="J61" s="88">
        <v>6912</v>
      </c>
      <c r="K61" s="88">
        <v>9446</v>
      </c>
      <c r="L61" s="88">
        <v>4778.18</v>
      </c>
      <c r="M61" s="385">
        <v>8683.39</v>
      </c>
      <c r="N61" s="21">
        <v>34595.32</v>
      </c>
      <c r="O61" s="131">
        <v>40079.16</v>
      </c>
      <c r="P61" s="131">
        <v>63662.49</v>
      </c>
      <c r="Q61" s="131">
        <v>16897.65</v>
      </c>
      <c r="R61" s="21">
        <v>16500</v>
      </c>
      <c r="S61" s="21">
        <v>18403.2986752</v>
      </c>
      <c r="T61" s="21">
        <v>34500</v>
      </c>
      <c r="U61" s="490">
        <v>34500</v>
      </c>
      <c r="V61" s="708"/>
      <c r="W61" s="589"/>
      <c r="X61" s="590">
        <f aca="true" t="shared" si="20" ref="X61:X68">U61+V61+W61</f>
        <v>34500</v>
      </c>
      <c r="AC61" s="2"/>
      <c r="AG61" s="2"/>
    </row>
    <row r="62" spans="1:33" ht="12.75">
      <c r="A62" s="804"/>
      <c r="B62" s="271">
        <v>600</v>
      </c>
      <c r="C62" s="20" t="s">
        <v>392</v>
      </c>
      <c r="D62" s="88"/>
      <c r="E62" s="88"/>
      <c r="F62" s="88"/>
      <c r="G62" s="88"/>
      <c r="H62" s="88"/>
      <c r="I62" s="20">
        <v>2000</v>
      </c>
      <c r="J62" s="88"/>
      <c r="K62" s="88"/>
      <c r="L62" s="88"/>
      <c r="M62" s="537"/>
      <c r="N62" s="21">
        <v>0</v>
      </c>
      <c r="O62" s="131"/>
      <c r="P62" s="131"/>
      <c r="Q62" s="131">
        <v>21615.870000000003</v>
      </c>
      <c r="R62" s="21">
        <v>0</v>
      </c>
      <c r="S62" s="21"/>
      <c r="T62" s="21">
        <v>33423</v>
      </c>
      <c r="U62" s="485">
        <v>34000</v>
      </c>
      <c r="V62" s="445"/>
      <c r="W62" s="591"/>
      <c r="X62" s="592">
        <f t="shared" si="20"/>
        <v>34000</v>
      </c>
      <c r="AC62" s="2"/>
      <c r="AG62" s="2"/>
    </row>
    <row r="63" spans="1:33" ht="12.75">
      <c r="A63" s="804"/>
      <c r="B63" s="271">
        <v>600</v>
      </c>
      <c r="C63" s="24" t="s">
        <v>277</v>
      </c>
      <c r="D63" s="90"/>
      <c r="E63" s="90"/>
      <c r="F63" s="90"/>
      <c r="G63" s="90"/>
      <c r="H63" s="90"/>
      <c r="I63" s="24">
        <v>10000</v>
      </c>
      <c r="J63" s="90">
        <v>1500</v>
      </c>
      <c r="K63" s="90">
        <v>370</v>
      </c>
      <c r="L63" s="90">
        <v>592.2</v>
      </c>
      <c r="M63" s="553">
        <v>1220</v>
      </c>
      <c r="N63" s="25">
        <v>0</v>
      </c>
      <c r="O63" s="134"/>
      <c r="P63" s="134"/>
      <c r="Q63" s="134">
        <v>4000</v>
      </c>
      <c r="R63" s="25">
        <v>4000</v>
      </c>
      <c r="S63" s="25"/>
      <c r="T63" s="25">
        <v>0</v>
      </c>
      <c r="U63" s="485">
        <v>5000</v>
      </c>
      <c r="V63" s="445"/>
      <c r="W63" s="591"/>
      <c r="X63" s="592">
        <f t="shared" si="20"/>
        <v>5000</v>
      </c>
      <c r="AC63" s="2"/>
      <c r="AG63" s="2"/>
    </row>
    <row r="64" spans="1:33" ht="12.75">
      <c r="A64" s="804"/>
      <c r="B64" s="271">
        <v>600</v>
      </c>
      <c r="C64" s="24" t="s">
        <v>77</v>
      </c>
      <c r="D64" s="90"/>
      <c r="E64" s="90"/>
      <c r="F64" s="90"/>
      <c r="G64" s="90"/>
      <c r="H64" s="90"/>
      <c r="I64" s="24">
        <v>1871</v>
      </c>
      <c r="J64" s="90">
        <v>2416</v>
      </c>
      <c r="K64" s="90">
        <v>4274</v>
      </c>
      <c r="L64" s="90">
        <v>2000</v>
      </c>
      <c r="M64" s="553">
        <v>3500</v>
      </c>
      <c r="N64" s="25"/>
      <c r="O64" s="134">
        <v>3571.7</v>
      </c>
      <c r="P64" s="134"/>
      <c r="Q64" s="134">
        <v>3594</v>
      </c>
      <c r="R64" s="25">
        <v>6000</v>
      </c>
      <c r="S64" s="25">
        <v>4165.32</v>
      </c>
      <c r="T64" s="25">
        <v>5000</v>
      </c>
      <c r="U64" s="485">
        <v>15000</v>
      </c>
      <c r="V64" s="445"/>
      <c r="W64" s="591"/>
      <c r="X64" s="592">
        <f t="shared" si="20"/>
        <v>15000</v>
      </c>
      <c r="AC64" s="2"/>
      <c r="AG64" s="2"/>
    </row>
    <row r="65" spans="1:33" ht="12.75">
      <c r="A65" s="804"/>
      <c r="B65" s="271">
        <v>600</v>
      </c>
      <c r="C65" s="24" t="s">
        <v>278</v>
      </c>
      <c r="D65" s="90"/>
      <c r="E65" s="90"/>
      <c r="F65" s="90"/>
      <c r="G65" s="90"/>
      <c r="H65" s="90"/>
      <c r="I65" s="24">
        <v>3240</v>
      </c>
      <c r="J65" s="90">
        <v>832</v>
      </c>
      <c r="K65" s="90">
        <v>1493</v>
      </c>
      <c r="L65" s="90">
        <v>1232</v>
      </c>
      <c r="M65" s="553">
        <v>1000</v>
      </c>
      <c r="N65" s="25"/>
      <c r="O65" s="134"/>
      <c r="P65" s="134"/>
      <c r="Q65" s="134"/>
      <c r="R65" s="25">
        <v>1000</v>
      </c>
      <c r="S65" s="25"/>
      <c r="T65" s="25">
        <v>0</v>
      </c>
      <c r="U65" s="485">
        <v>1000</v>
      </c>
      <c r="V65" s="445"/>
      <c r="W65" s="591"/>
      <c r="X65" s="592">
        <f t="shared" si="20"/>
        <v>1000</v>
      </c>
      <c r="AC65" s="2"/>
      <c r="AG65" s="2"/>
    </row>
    <row r="66" spans="1:33" ht="13.5" thickBot="1">
      <c r="A66" s="804"/>
      <c r="B66" s="271">
        <v>600</v>
      </c>
      <c r="C66" s="24" t="s">
        <v>222</v>
      </c>
      <c r="D66" s="90"/>
      <c r="E66" s="90"/>
      <c r="F66" s="90"/>
      <c r="G66" s="90"/>
      <c r="H66" s="90"/>
      <c r="I66" s="24">
        <v>7924</v>
      </c>
      <c r="J66" s="90">
        <v>11969</v>
      </c>
      <c r="K66" s="90">
        <v>11202</v>
      </c>
      <c r="L66" s="90">
        <v>15790.12</v>
      </c>
      <c r="M66" s="553">
        <v>6364.23</v>
      </c>
      <c r="N66" s="25">
        <v>23781</v>
      </c>
      <c r="O66" s="134">
        <v>23770.99</v>
      </c>
      <c r="P66" s="134">
        <v>28253.89</v>
      </c>
      <c r="Q66" s="134">
        <v>28398.65</v>
      </c>
      <c r="R66" s="25">
        <v>39953</v>
      </c>
      <c r="S66" s="25">
        <v>46536.68</v>
      </c>
      <c r="T66" s="25">
        <v>39953</v>
      </c>
      <c r="U66" s="26">
        <v>28953</v>
      </c>
      <c r="V66" s="445"/>
      <c r="W66" s="591"/>
      <c r="X66" s="592">
        <f t="shared" si="20"/>
        <v>28953</v>
      </c>
      <c r="AC66" s="2"/>
      <c r="AG66" s="2"/>
    </row>
    <row r="67" spans="1:33" ht="12.75" hidden="1">
      <c r="A67" s="804"/>
      <c r="B67" s="271">
        <v>600</v>
      </c>
      <c r="C67" s="24"/>
      <c r="D67" s="90"/>
      <c r="E67" s="90"/>
      <c r="F67" s="90"/>
      <c r="G67" s="90"/>
      <c r="H67" s="90"/>
      <c r="I67" s="24"/>
      <c r="J67" s="90">
        <v>4512</v>
      </c>
      <c r="K67" s="90">
        <v>5000</v>
      </c>
      <c r="L67" s="90"/>
      <c r="M67" s="274"/>
      <c r="N67" s="29">
        <v>0</v>
      </c>
      <c r="O67" s="554"/>
      <c r="P67" s="554"/>
      <c r="Q67" s="554"/>
      <c r="R67" s="29"/>
      <c r="S67" s="29">
        <v>24944</v>
      </c>
      <c r="T67" s="29">
        <v>0</v>
      </c>
      <c r="U67" s="491"/>
      <c r="V67" s="445"/>
      <c r="W67" s="591"/>
      <c r="X67" s="592">
        <f t="shared" si="20"/>
        <v>0</v>
      </c>
      <c r="AC67" s="2"/>
      <c r="AG67" s="2"/>
    </row>
    <row r="68" spans="1:33" ht="13.5" hidden="1" thickBot="1">
      <c r="A68" s="804"/>
      <c r="B68" s="271">
        <v>600</v>
      </c>
      <c r="C68" s="275"/>
      <c r="D68" s="90"/>
      <c r="E68" s="90"/>
      <c r="F68" s="90"/>
      <c r="G68" s="90"/>
      <c r="H68" s="90"/>
      <c r="I68" s="24"/>
      <c r="J68" s="90">
        <v>6450</v>
      </c>
      <c r="K68" s="88"/>
      <c r="L68" s="90"/>
      <c r="M68" s="90"/>
      <c r="N68" s="25">
        <v>0</v>
      </c>
      <c r="O68" s="134"/>
      <c r="P68" s="134"/>
      <c r="Q68" s="134"/>
      <c r="R68" s="25"/>
      <c r="S68" s="25"/>
      <c r="T68" s="25"/>
      <c r="U68" s="491"/>
      <c r="V68" s="445"/>
      <c r="W68" s="591"/>
      <c r="X68" s="592">
        <f t="shared" si="20"/>
        <v>0</v>
      </c>
      <c r="AC68" s="2"/>
      <c r="AG68" s="2"/>
    </row>
    <row r="69" spans="1:33" ht="13.5" hidden="1" thickBot="1">
      <c r="A69" s="805"/>
      <c r="B69" s="943">
        <v>600</v>
      </c>
      <c r="C69" s="46"/>
      <c r="D69" s="210"/>
      <c r="E69" s="210"/>
      <c r="F69" s="210"/>
      <c r="G69" s="210"/>
      <c r="H69" s="210"/>
      <c r="I69" s="115"/>
      <c r="J69" s="115"/>
      <c r="K69" s="273"/>
      <c r="L69" s="273">
        <v>2000</v>
      </c>
      <c r="M69" s="276">
        <v>2000</v>
      </c>
      <c r="N69" s="277">
        <v>0</v>
      </c>
      <c r="O69" s="557"/>
      <c r="P69" s="557"/>
      <c r="Q69" s="557"/>
      <c r="R69" s="277"/>
      <c r="S69" s="277"/>
      <c r="T69" s="277"/>
      <c r="U69" s="492"/>
      <c r="V69" s="712">
        <f>IF(T69=0,0,U69/T69)</f>
        <v>0</v>
      </c>
      <c r="W69" s="630"/>
      <c r="X69" s="631"/>
      <c r="AC69" s="2"/>
      <c r="AG69" s="2"/>
    </row>
    <row r="70" spans="1:33" ht="15.75" thickBot="1">
      <c r="A70" s="212" t="s">
        <v>279</v>
      </c>
      <c r="B70" s="756" t="s">
        <v>280</v>
      </c>
      <c r="C70" s="787"/>
      <c r="D70" s="213">
        <v>16132</v>
      </c>
      <c r="E70" s="213">
        <v>16995</v>
      </c>
      <c r="F70" s="213">
        <v>21045</v>
      </c>
      <c r="G70" s="213">
        <v>23225</v>
      </c>
      <c r="H70" s="213">
        <v>22830</v>
      </c>
      <c r="I70" s="278">
        <v>22296</v>
      </c>
      <c r="J70" s="278">
        <v>33352</v>
      </c>
      <c r="K70" s="67">
        <v>37492</v>
      </c>
      <c r="L70" s="214">
        <v>38137.74</v>
      </c>
      <c r="M70" s="556">
        <v>48253.93</v>
      </c>
      <c r="N70" s="471">
        <f aca="true" t="shared" si="21" ref="N70:V70">SUM(N71:N73)</f>
        <v>65222.28</v>
      </c>
      <c r="O70" s="642">
        <f t="shared" si="21"/>
        <v>78515.91</v>
      </c>
      <c r="P70" s="642">
        <f t="shared" si="21"/>
        <v>87575.21</v>
      </c>
      <c r="Q70" s="642">
        <f t="shared" si="21"/>
        <v>113415.88</v>
      </c>
      <c r="R70" s="471">
        <f t="shared" si="21"/>
        <v>131986</v>
      </c>
      <c r="S70" s="471">
        <f t="shared" si="21"/>
        <v>110576.57</v>
      </c>
      <c r="T70" s="471">
        <f t="shared" si="21"/>
        <v>135921</v>
      </c>
      <c r="U70" s="471">
        <f t="shared" si="21"/>
        <v>150245</v>
      </c>
      <c r="V70" s="471">
        <f t="shared" si="21"/>
        <v>0</v>
      </c>
      <c r="W70" s="510">
        <f>SUM(W71:W73)</f>
        <v>0</v>
      </c>
      <c r="X70" s="511">
        <f>SUM(X71:X73)</f>
        <v>150245</v>
      </c>
      <c r="AC70" s="2"/>
      <c r="AG70" s="2"/>
    </row>
    <row r="71" spans="1:33" ht="12.75">
      <c r="A71" s="803"/>
      <c r="B71" s="279" t="s">
        <v>281</v>
      </c>
      <c r="C71" s="130" t="s">
        <v>247</v>
      </c>
      <c r="D71" s="216"/>
      <c r="E71" s="216"/>
      <c r="F71" s="216"/>
      <c r="G71" s="216"/>
      <c r="H71" s="216"/>
      <c r="I71" s="130"/>
      <c r="J71" s="130"/>
      <c r="K71" s="86"/>
      <c r="L71" s="86"/>
      <c r="M71" s="21"/>
      <c r="N71" s="488">
        <v>65222.28</v>
      </c>
      <c r="O71" s="646">
        <v>54948.07</v>
      </c>
      <c r="P71" s="646">
        <v>60328.94</v>
      </c>
      <c r="Q71" s="646">
        <v>81894.32</v>
      </c>
      <c r="R71" s="488">
        <v>91182</v>
      </c>
      <c r="S71" s="488">
        <v>79978.1</v>
      </c>
      <c r="T71" s="488">
        <v>94096</v>
      </c>
      <c r="U71" s="488">
        <v>104712</v>
      </c>
      <c r="V71" s="708"/>
      <c r="W71" s="589"/>
      <c r="X71" s="590">
        <f>U71+V71+W71</f>
        <v>104712</v>
      </c>
      <c r="AC71" s="2"/>
      <c r="AG71" s="2"/>
    </row>
    <row r="72" spans="1:33" ht="12.75">
      <c r="A72" s="804"/>
      <c r="B72" s="280" t="s">
        <v>281</v>
      </c>
      <c r="C72" s="24" t="s">
        <v>248</v>
      </c>
      <c r="D72" s="219"/>
      <c r="E72" s="219"/>
      <c r="F72" s="219"/>
      <c r="G72" s="219"/>
      <c r="H72" s="219"/>
      <c r="I72" s="24"/>
      <c r="J72" s="24"/>
      <c r="K72" s="90"/>
      <c r="L72" s="90"/>
      <c r="M72" s="25"/>
      <c r="N72" s="493"/>
      <c r="O72" s="647">
        <v>17076.54</v>
      </c>
      <c r="P72" s="647">
        <v>18947.38</v>
      </c>
      <c r="Q72" s="647">
        <v>24987.2</v>
      </c>
      <c r="R72" s="493">
        <v>32804</v>
      </c>
      <c r="S72" s="493">
        <v>24363.74</v>
      </c>
      <c r="T72" s="493">
        <v>33825</v>
      </c>
      <c r="U72" s="493">
        <v>37533</v>
      </c>
      <c r="V72" s="445"/>
      <c r="W72" s="591"/>
      <c r="X72" s="592">
        <f>U72+V72+W72</f>
        <v>37533</v>
      </c>
      <c r="AC72" s="2"/>
      <c r="AG72" s="2"/>
    </row>
    <row r="73" spans="1:33" ht="13.5" thickBot="1">
      <c r="A73" s="805"/>
      <c r="B73" s="253">
        <v>600</v>
      </c>
      <c r="C73" s="46" t="s">
        <v>249</v>
      </c>
      <c r="D73" s="153"/>
      <c r="E73" s="153"/>
      <c r="F73" s="153"/>
      <c r="G73" s="153"/>
      <c r="H73" s="153"/>
      <c r="I73" s="46"/>
      <c r="J73" s="46"/>
      <c r="K73" s="60"/>
      <c r="L73" s="60"/>
      <c r="M73" s="30"/>
      <c r="N73" s="494"/>
      <c r="O73" s="648">
        <v>6491.299999999999</v>
      </c>
      <c r="P73" s="648">
        <v>8298.89</v>
      </c>
      <c r="Q73" s="648">
        <v>6534.36</v>
      </c>
      <c r="R73" s="494">
        <v>8000</v>
      </c>
      <c r="S73" s="494">
        <v>6234.73</v>
      </c>
      <c r="T73" s="494">
        <v>8000</v>
      </c>
      <c r="U73" s="494">
        <v>8000</v>
      </c>
      <c r="V73" s="709"/>
      <c r="W73" s="602"/>
      <c r="X73" s="597">
        <f>U73+V73+W73</f>
        <v>8000</v>
      </c>
      <c r="AC73" s="2"/>
      <c r="AG73" s="2"/>
    </row>
    <row r="74" spans="1:33" ht="15.75" thickBot="1">
      <c r="A74" s="267" t="s">
        <v>71</v>
      </c>
      <c r="B74" s="811" t="s">
        <v>72</v>
      </c>
      <c r="C74" s="812"/>
      <c r="D74" s="269">
        <v>1016763</v>
      </c>
      <c r="E74" s="269">
        <v>271062</v>
      </c>
      <c r="F74" s="269">
        <v>471453</v>
      </c>
      <c r="G74" s="269">
        <v>456862</v>
      </c>
      <c r="H74" s="79">
        <f aca="true" t="shared" si="22" ref="H74:V74">SUM(H75:H78)</f>
        <v>440003</v>
      </c>
      <c r="I74" s="79">
        <f t="shared" si="22"/>
        <v>428961</v>
      </c>
      <c r="J74" s="79">
        <f t="shared" si="22"/>
        <v>454364</v>
      </c>
      <c r="K74" s="79">
        <f t="shared" si="22"/>
        <v>445324</v>
      </c>
      <c r="L74" s="80">
        <f>SUM(L75:L78)</f>
        <v>440667.17</v>
      </c>
      <c r="M74" s="214">
        <f t="shared" si="22"/>
        <v>406831.45</v>
      </c>
      <c r="N74" s="471">
        <f t="shared" si="22"/>
        <v>398077.16</v>
      </c>
      <c r="O74" s="642">
        <f>SUM(O75:O78)</f>
        <v>411260.17</v>
      </c>
      <c r="P74" s="642">
        <f>SUM(P75:P78)</f>
        <v>607295.49</v>
      </c>
      <c r="Q74" s="642">
        <f>SUM(Q75:Q78)</f>
        <v>519637.36</v>
      </c>
      <c r="R74" s="471">
        <f t="shared" si="22"/>
        <v>557298</v>
      </c>
      <c r="S74" s="471">
        <f t="shared" si="22"/>
        <v>593834.11</v>
      </c>
      <c r="T74" s="471">
        <f t="shared" si="22"/>
        <v>653372</v>
      </c>
      <c r="U74" s="471">
        <f t="shared" si="22"/>
        <v>768282</v>
      </c>
      <c r="V74" s="471">
        <f t="shared" si="22"/>
        <v>0</v>
      </c>
      <c r="W74" s="510">
        <f>SUM(W75:W78)</f>
        <v>0</v>
      </c>
      <c r="X74" s="511">
        <f>SUM(X75:X78)</f>
        <v>768282</v>
      </c>
      <c r="AC74" s="2"/>
      <c r="AG74" s="2"/>
    </row>
    <row r="75" spans="1:33" ht="12.75">
      <c r="A75" s="800"/>
      <c r="B75" s="215">
        <v>630</v>
      </c>
      <c r="C75" s="281" t="s">
        <v>336</v>
      </c>
      <c r="D75" s="282"/>
      <c r="E75" s="282"/>
      <c r="F75" s="282"/>
      <c r="G75" s="282"/>
      <c r="H75" s="257">
        <v>4585</v>
      </c>
      <c r="I75" s="283">
        <v>1644</v>
      </c>
      <c r="J75" s="281"/>
      <c r="K75" s="86"/>
      <c r="L75" s="385"/>
      <c r="M75" s="131"/>
      <c r="N75" s="21"/>
      <c r="O75" s="131"/>
      <c r="P75" s="131">
        <v>21699.02</v>
      </c>
      <c r="Q75" s="131"/>
      <c r="R75" s="21">
        <v>0</v>
      </c>
      <c r="S75" s="21"/>
      <c r="T75" s="21"/>
      <c r="U75" s="488"/>
      <c r="V75" s="708"/>
      <c r="W75" s="589"/>
      <c r="X75" s="590">
        <f>U75+V75+W75</f>
        <v>0</v>
      </c>
      <c r="AC75" s="2"/>
      <c r="AE75" s="2"/>
      <c r="AG75" s="2"/>
    </row>
    <row r="76" spans="1:33" ht="12.75">
      <c r="A76" s="801"/>
      <c r="B76" s="280" t="s">
        <v>46</v>
      </c>
      <c r="C76" s="284" t="s">
        <v>284</v>
      </c>
      <c r="D76" s="285"/>
      <c r="E76" s="285"/>
      <c r="F76" s="285"/>
      <c r="G76" s="285"/>
      <c r="H76" s="227">
        <v>7659</v>
      </c>
      <c r="I76" s="286">
        <v>5301</v>
      </c>
      <c r="J76" s="227">
        <v>3974</v>
      </c>
      <c r="K76" s="287">
        <v>3974</v>
      </c>
      <c r="L76" s="164">
        <v>3974.17</v>
      </c>
      <c r="M76" s="134">
        <v>4974.02</v>
      </c>
      <c r="N76" s="25">
        <v>3974.17</v>
      </c>
      <c r="O76" s="134">
        <v>3974.17</v>
      </c>
      <c r="P76" s="134">
        <v>3974.17</v>
      </c>
      <c r="Q76" s="134">
        <v>3974.17</v>
      </c>
      <c r="R76" s="25">
        <v>3900</v>
      </c>
      <c r="S76" s="25">
        <v>3974.17</v>
      </c>
      <c r="T76" s="25">
        <v>4000</v>
      </c>
      <c r="U76" s="493">
        <v>4000</v>
      </c>
      <c r="V76" s="445"/>
      <c r="W76" s="591"/>
      <c r="X76" s="592">
        <f>U76+V76+W76</f>
        <v>4000</v>
      </c>
      <c r="AC76" s="2"/>
      <c r="AG76" s="2"/>
    </row>
    <row r="77" spans="1:33" ht="12.75">
      <c r="A77" s="801"/>
      <c r="B77" s="280" t="s">
        <v>46</v>
      </c>
      <c r="C77" s="284" t="s">
        <v>335</v>
      </c>
      <c r="D77" s="613"/>
      <c r="E77" s="613"/>
      <c r="F77" s="613"/>
      <c r="G77" s="613"/>
      <c r="H77" s="614"/>
      <c r="I77" s="615"/>
      <c r="J77" s="614"/>
      <c r="K77" s="420"/>
      <c r="L77" s="616"/>
      <c r="M77" s="554"/>
      <c r="N77" s="29"/>
      <c r="O77" s="554">
        <v>49000</v>
      </c>
      <c r="P77" s="554">
        <v>97445.88</v>
      </c>
      <c r="Q77" s="554"/>
      <c r="R77" s="29">
        <v>0</v>
      </c>
      <c r="S77" s="29"/>
      <c r="T77" s="29">
        <v>0</v>
      </c>
      <c r="U77" s="487">
        <v>0</v>
      </c>
      <c r="V77" s="445"/>
      <c r="W77" s="602"/>
      <c r="X77" s="597">
        <f>U77+V77+W77</f>
        <v>0</v>
      </c>
      <c r="AC77" s="2"/>
      <c r="AG77" s="2"/>
    </row>
    <row r="78" spans="1:33" ht="13.5" thickBot="1">
      <c r="A78" s="802"/>
      <c r="B78" s="220">
        <v>640</v>
      </c>
      <c r="C78" s="288" t="s">
        <v>282</v>
      </c>
      <c r="D78" s="60"/>
      <c r="E78" s="60"/>
      <c r="F78" s="60"/>
      <c r="G78" s="60"/>
      <c r="H78" s="153">
        <v>427759</v>
      </c>
      <c r="I78" s="289">
        <v>422016</v>
      </c>
      <c r="J78" s="153">
        <v>450390</v>
      </c>
      <c r="K78" s="290">
        <v>441350</v>
      </c>
      <c r="L78" s="154">
        <v>436693</v>
      </c>
      <c r="M78" s="557">
        <v>401857.43</v>
      </c>
      <c r="N78" s="277">
        <v>394102.99</v>
      </c>
      <c r="O78" s="557">
        <v>358286</v>
      </c>
      <c r="P78" s="557">
        <v>484176.42</v>
      </c>
      <c r="Q78" s="557">
        <v>515663.19</v>
      </c>
      <c r="R78" s="277">
        <v>553398</v>
      </c>
      <c r="S78" s="277">
        <v>589859.94</v>
      </c>
      <c r="T78" s="277">
        <v>649372</v>
      </c>
      <c r="U78" s="495">
        <v>764282</v>
      </c>
      <c r="V78" s="709"/>
      <c r="W78" s="602"/>
      <c r="X78" s="597">
        <f>U78+V78+W78</f>
        <v>764282</v>
      </c>
      <c r="Y78" s="2"/>
      <c r="AC78" s="2"/>
      <c r="AG78" s="2"/>
    </row>
    <row r="79" spans="1:33" ht="15.75" hidden="1" thickBot="1">
      <c r="A79" s="291" t="s">
        <v>283</v>
      </c>
      <c r="B79" s="808" t="s">
        <v>218</v>
      </c>
      <c r="C79" s="809"/>
      <c r="D79" s="292"/>
      <c r="E79" s="292"/>
      <c r="F79" s="292"/>
      <c r="G79" s="292"/>
      <c r="H79" s="292"/>
      <c r="I79" s="293">
        <v>0</v>
      </c>
      <c r="J79" s="293">
        <v>0</v>
      </c>
      <c r="K79" s="294">
        <f>K80</f>
        <v>0</v>
      </c>
      <c r="L79" s="295"/>
      <c r="M79" s="294">
        <f>M80</f>
        <v>0</v>
      </c>
      <c r="N79" s="545"/>
      <c r="O79" s="545"/>
      <c r="P79" s="545"/>
      <c r="Q79" s="691"/>
      <c r="R79" s="545"/>
      <c r="S79" s="545"/>
      <c r="T79" s="545"/>
      <c r="U79" s="477">
        <f>U80</f>
        <v>0</v>
      </c>
      <c r="V79" s="710">
        <f>IF(T79=0,0,U79/T79)</f>
        <v>0</v>
      </c>
      <c r="W79" s="600"/>
      <c r="X79" s="601"/>
      <c r="AC79" s="2"/>
      <c r="AG79" s="2"/>
    </row>
    <row r="80" spans="1:33" ht="15.75" hidden="1" thickBot="1">
      <c r="A80" s="231"/>
      <c r="B80" s="272">
        <v>630</v>
      </c>
      <c r="C80" s="296" t="s">
        <v>284</v>
      </c>
      <c r="D80" s="297"/>
      <c r="E80" s="297"/>
      <c r="F80" s="297"/>
      <c r="G80" s="297"/>
      <c r="H80" s="297"/>
      <c r="I80" s="298" t="s">
        <v>285</v>
      </c>
      <c r="J80" s="298" t="s">
        <v>285</v>
      </c>
      <c r="K80" s="273"/>
      <c r="L80" s="266"/>
      <c r="M80" s="84"/>
      <c r="N80" s="84"/>
      <c r="O80" s="84"/>
      <c r="P80" s="84"/>
      <c r="Q80" s="266"/>
      <c r="R80" s="84"/>
      <c r="S80" s="84"/>
      <c r="T80" s="84"/>
      <c r="U80" s="489"/>
      <c r="V80" s="714">
        <f>IF(T80=0,0,U80/T80)</f>
        <v>0</v>
      </c>
      <c r="W80" s="598"/>
      <c r="X80" s="599"/>
      <c r="AC80" s="2"/>
      <c r="AG80" s="2"/>
    </row>
    <row r="81" spans="1:33" ht="15.75" thickBot="1">
      <c r="A81" s="267" t="s">
        <v>68</v>
      </c>
      <c r="B81" s="811" t="s">
        <v>286</v>
      </c>
      <c r="C81" s="812"/>
      <c r="D81" s="269">
        <v>11817</v>
      </c>
      <c r="E81" s="269">
        <v>11784</v>
      </c>
      <c r="F81" s="269">
        <v>12315</v>
      </c>
      <c r="G81" s="269">
        <v>20259</v>
      </c>
      <c r="H81" s="79">
        <f aca="true" t="shared" si="23" ref="H81:M81">SUM(H82:H85)</f>
        <v>14522</v>
      </c>
      <c r="I81" s="79">
        <f t="shared" si="23"/>
        <v>159820</v>
      </c>
      <c r="J81" s="79">
        <f t="shared" si="23"/>
        <v>64721</v>
      </c>
      <c r="K81" s="79">
        <f t="shared" si="23"/>
        <v>10450</v>
      </c>
      <c r="L81" s="80">
        <f t="shared" si="23"/>
        <v>10682.39</v>
      </c>
      <c r="M81" s="80">
        <f t="shared" si="23"/>
        <v>9819.23</v>
      </c>
      <c r="N81" s="475">
        <f aca="true" t="shared" si="24" ref="N81:V81">SUM(N82:N85)</f>
        <v>9873.75</v>
      </c>
      <c r="O81" s="644">
        <f t="shared" si="24"/>
        <v>11427.249999999998</v>
      </c>
      <c r="P81" s="644">
        <f t="shared" si="24"/>
        <v>14386.410000000002</v>
      </c>
      <c r="Q81" s="644">
        <f t="shared" si="24"/>
        <v>17575.48</v>
      </c>
      <c r="R81" s="475">
        <f t="shared" si="24"/>
        <v>16859</v>
      </c>
      <c r="S81" s="475">
        <f t="shared" si="24"/>
        <v>21623.989999999998</v>
      </c>
      <c r="T81" s="475">
        <f t="shared" si="24"/>
        <v>20283</v>
      </c>
      <c r="U81" s="475">
        <f t="shared" si="24"/>
        <v>20651</v>
      </c>
      <c r="V81" s="716">
        <f t="shared" si="24"/>
        <v>0</v>
      </c>
      <c r="W81" s="510">
        <f>SUM(W82:W85)</f>
        <v>0</v>
      </c>
      <c r="X81" s="511">
        <f>SUM(X82:X85)</f>
        <v>20651</v>
      </c>
      <c r="AC81" s="2"/>
      <c r="AG81" s="2"/>
    </row>
    <row r="82" spans="1:33" ht="12.75">
      <c r="A82" s="803"/>
      <c r="B82" s="229">
        <v>610</v>
      </c>
      <c r="C82" s="41" t="s">
        <v>247</v>
      </c>
      <c r="D82" s="158"/>
      <c r="E82" s="158">
        <v>7435</v>
      </c>
      <c r="F82" s="158">
        <v>7170</v>
      </c>
      <c r="G82" s="158">
        <v>13170</v>
      </c>
      <c r="H82" s="158">
        <v>9057</v>
      </c>
      <c r="I82" s="41">
        <v>7158</v>
      </c>
      <c r="J82" s="42">
        <v>7062</v>
      </c>
      <c r="K82" s="42">
        <v>6902</v>
      </c>
      <c r="L82" s="151">
        <v>7013.99</v>
      </c>
      <c r="M82" s="151">
        <v>6670.5</v>
      </c>
      <c r="N82" s="93">
        <v>6756.74</v>
      </c>
      <c r="O82" s="203">
        <v>6231.04</v>
      </c>
      <c r="P82" s="203">
        <v>9222.53</v>
      </c>
      <c r="Q82" s="203">
        <v>10920.12</v>
      </c>
      <c r="R82" s="93">
        <v>11664</v>
      </c>
      <c r="S82" s="93">
        <v>13090.95</v>
      </c>
      <c r="T82" s="93">
        <v>12880</v>
      </c>
      <c r="U82" s="484">
        <v>13810</v>
      </c>
      <c r="V82" s="708"/>
      <c r="W82" s="589"/>
      <c r="X82" s="590">
        <f>U82+V82+W82</f>
        <v>13810</v>
      </c>
      <c r="AC82" s="2"/>
      <c r="AG82" s="2"/>
    </row>
    <row r="83" spans="1:33" ht="12.75">
      <c r="A83" s="804"/>
      <c r="B83" s="230">
        <v>620</v>
      </c>
      <c r="C83" s="43" t="s">
        <v>248</v>
      </c>
      <c r="D83" s="241"/>
      <c r="E83" s="241">
        <v>2722</v>
      </c>
      <c r="F83" s="241">
        <v>2589</v>
      </c>
      <c r="G83" s="241">
        <v>4447</v>
      </c>
      <c r="H83" s="241">
        <v>3981</v>
      </c>
      <c r="I83" s="43">
        <v>2874</v>
      </c>
      <c r="J83" s="44">
        <v>2706</v>
      </c>
      <c r="K83" s="44">
        <v>2594</v>
      </c>
      <c r="L83" s="114">
        <v>2904.51</v>
      </c>
      <c r="M83" s="114">
        <v>2212.12</v>
      </c>
      <c r="N83" s="26">
        <v>2382.51</v>
      </c>
      <c r="O83" s="205">
        <v>2182.24</v>
      </c>
      <c r="P83" s="205">
        <v>3409.77</v>
      </c>
      <c r="Q83" s="205">
        <v>4028.34</v>
      </c>
      <c r="R83" s="26">
        <v>4195</v>
      </c>
      <c r="S83" s="26">
        <v>4754.78</v>
      </c>
      <c r="T83" s="26">
        <v>4703</v>
      </c>
      <c r="U83" s="485">
        <v>5041</v>
      </c>
      <c r="V83" s="445"/>
      <c r="W83" s="591"/>
      <c r="X83" s="592">
        <f>U83+V83+W83</f>
        <v>5041</v>
      </c>
      <c r="AC83" s="2"/>
      <c r="AG83" s="2"/>
    </row>
    <row r="84" spans="1:33" ht="12.75">
      <c r="A84" s="804"/>
      <c r="B84" s="230">
        <v>630</v>
      </c>
      <c r="C84" s="43" t="s">
        <v>249</v>
      </c>
      <c r="D84" s="241"/>
      <c r="E84" s="241">
        <v>1627</v>
      </c>
      <c r="F84" s="241">
        <v>2556</v>
      </c>
      <c r="G84" s="241">
        <v>2642</v>
      </c>
      <c r="H84" s="241">
        <v>1484</v>
      </c>
      <c r="I84" s="43">
        <v>1204</v>
      </c>
      <c r="J84" s="44">
        <v>1574</v>
      </c>
      <c r="K84" s="44">
        <v>954</v>
      </c>
      <c r="L84" s="114">
        <v>763.89</v>
      </c>
      <c r="M84" s="114">
        <v>936.61</v>
      </c>
      <c r="N84" s="26">
        <v>734.5</v>
      </c>
      <c r="O84" s="205">
        <v>3013.97</v>
      </c>
      <c r="P84" s="205">
        <v>1754.11</v>
      </c>
      <c r="Q84" s="205">
        <v>2627.02</v>
      </c>
      <c r="R84" s="26">
        <v>1000</v>
      </c>
      <c r="S84" s="26">
        <v>1258.26</v>
      </c>
      <c r="T84" s="26">
        <v>2700</v>
      </c>
      <c r="U84" s="485">
        <v>1800</v>
      </c>
      <c r="V84" s="445"/>
      <c r="W84" s="591"/>
      <c r="X84" s="592">
        <f>U84+V84+W84</f>
        <v>1800</v>
      </c>
      <c r="AC84" s="2"/>
      <c r="AG84" s="2"/>
    </row>
    <row r="85" spans="1:33" ht="13.5" thickBot="1">
      <c r="A85" s="805"/>
      <c r="B85" s="253">
        <v>600</v>
      </c>
      <c r="C85" s="299" t="s">
        <v>287</v>
      </c>
      <c r="D85" s="300"/>
      <c r="E85" s="300"/>
      <c r="F85" s="300"/>
      <c r="G85" s="300"/>
      <c r="H85" s="300"/>
      <c r="I85" s="299">
        <v>148584</v>
      </c>
      <c r="J85" s="301">
        <v>53379</v>
      </c>
      <c r="K85" s="60"/>
      <c r="L85" s="302"/>
      <c r="M85" s="60"/>
      <c r="N85" s="48"/>
      <c r="O85" s="48"/>
      <c r="P85" s="48"/>
      <c r="Q85" s="255"/>
      <c r="R85" s="48">
        <v>0</v>
      </c>
      <c r="S85" s="48">
        <v>2520</v>
      </c>
      <c r="T85" s="48"/>
      <c r="U85" s="476"/>
      <c r="V85" s="709"/>
      <c r="W85" s="602"/>
      <c r="X85" s="597">
        <f>U85+V85+W85</f>
        <v>0</v>
      </c>
      <c r="AC85" s="2"/>
      <c r="AG85" s="2"/>
    </row>
    <row r="86" spans="1:33" ht="15.75" thickBot="1">
      <c r="A86" s="303" t="s">
        <v>230</v>
      </c>
      <c r="B86" s="806" t="s">
        <v>52</v>
      </c>
      <c r="C86" s="807"/>
      <c r="D86" s="213">
        <v>11518</v>
      </c>
      <c r="E86" s="213">
        <v>13012</v>
      </c>
      <c r="F86" s="213">
        <v>13643</v>
      </c>
      <c r="G86" s="213">
        <v>15109</v>
      </c>
      <c r="H86" s="213">
        <v>14271</v>
      </c>
      <c r="I86" s="67">
        <f aca="true" t="shared" si="25" ref="I86:V86">SUM(I87:I89)</f>
        <v>14580</v>
      </c>
      <c r="J86" s="67">
        <f t="shared" si="25"/>
        <v>13755</v>
      </c>
      <c r="K86" s="67">
        <f t="shared" si="25"/>
        <v>12987</v>
      </c>
      <c r="L86" s="214">
        <f t="shared" si="25"/>
        <v>12440.38</v>
      </c>
      <c r="M86" s="214">
        <f>SUM(M87:M90)</f>
        <v>12085.220000000001</v>
      </c>
      <c r="N86" s="471">
        <f>SUM(N87:N90)</f>
        <v>14820</v>
      </c>
      <c r="O86" s="642">
        <f>SUM(O87:O90)</f>
        <v>17802.890000000003</v>
      </c>
      <c r="P86" s="642">
        <f>SUM(P87:P90)</f>
        <v>18901.94</v>
      </c>
      <c r="Q86" s="642">
        <f>SUM(Q87:Q90)</f>
        <v>19832.530000000002</v>
      </c>
      <c r="R86" s="471">
        <f t="shared" si="25"/>
        <v>22060</v>
      </c>
      <c r="S86" s="471">
        <f t="shared" si="25"/>
        <v>22607.08</v>
      </c>
      <c r="T86" s="471">
        <f t="shared" si="25"/>
        <v>37302</v>
      </c>
      <c r="U86" s="471">
        <f t="shared" si="25"/>
        <v>27717</v>
      </c>
      <c r="V86" s="471">
        <f t="shared" si="25"/>
        <v>0</v>
      </c>
      <c r="W86" s="510">
        <f>SUM(W87:W89)</f>
        <v>0</v>
      </c>
      <c r="X86" s="511">
        <f>SUM(X87:X89)</f>
        <v>27717</v>
      </c>
      <c r="AC86" s="2"/>
      <c r="AG86" s="2"/>
    </row>
    <row r="87" spans="1:33" ht="12.75">
      <c r="A87" s="803"/>
      <c r="B87" s="229">
        <v>610</v>
      </c>
      <c r="C87" s="41" t="s">
        <v>247</v>
      </c>
      <c r="D87" s="158"/>
      <c r="E87" s="158">
        <v>8099</v>
      </c>
      <c r="F87" s="158">
        <v>8597</v>
      </c>
      <c r="G87" s="158">
        <v>9417</v>
      </c>
      <c r="H87" s="158">
        <v>9528</v>
      </c>
      <c r="I87" s="41">
        <v>9523</v>
      </c>
      <c r="J87" s="42">
        <v>8900</v>
      </c>
      <c r="K87" s="42">
        <v>8730</v>
      </c>
      <c r="L87" s="203">
        <v>8356.07</v>
      </c>
      <c r="M87" s="203">
        <v>8369.97</v>
      </c>
      <c r="N87" s="93">
        <v>10167.75</v>
      </c>
      <c r="O87" s="203">
        <v>12358.6</v>
      </c>
      <c r="P87" s="203">
        <v>13120.16</v>
      </c>
      <c r="Q87" s="203">
        <v>14108.2</v>
      </c>
      <c r="R87" s="93">
        <v>15418</v>
      </c>
      <c r="S87" s="93">
        <v>16268.11</v>
      </c>
      <c r="T87" s="93">
        <v>26979</v>
      </c>
      <c r="U87" s="484">
        <v>19574</v>
      </c>
      <c r="V87" s="708"/>
      <c r="W87" s="589"/>
      <c r="X87" s="590">
        <f>U87+V87+W87</f>
        <v>19574</v>
      </c>
      <c r="AB87" s="2"/>
      <c r="AC87" s="2"/>
      <c r="AG87" s="2"/>
    </row>
    <row r="88" spans="1:33" ht="12.75">
      <c r="A88" s="804"/>
      <c r="B88" s="230">
        <v>620</v>
      </c>
      <c r="C88" s="43" t="s">
        <v>248</v>
      </c>
      <c r="D88" s="241"/>
      <c r="E88" s="241">
        <v>2855</v>
      </c>
      <c r="F88" s="241">
        <v>3220</v>
      </c>
      <c r="G88" s="241">
        <v>3567</v>
      </c>
      <c r="H88" s="241">
        <v>3607</v>
      </c>
      <c r="I88" s="43">
        <v>3617</v>
      </c>
      <c r="J88" s="44">
        <v>3393</v>
      </c>
      <c r="K88" s="44">
        <v>3330</v>
      </c>
      <c r="L88" s="205">
        <v>3406.87</v>
      </c>
      <c r="M88" s="205">
        <v>2973.01</v>
      </c>
      <c r="N88" s="26">
        <v>3841.92</v>
      </c>
      <c r="O88" s="205">
        <v>4614.21</v>
      </c>
      <c r="P88" s="205">
        <v>4873.08</v>
      </c>
      <c r="Q88" s="205">
        <v>4776.7</v>
      </c>
      <c r="R88" s="26">
        <v>5642</v>
      </c>
      <c r="S88" s="26">
        <v>5342.26</v>
      </c>
      <c r="T88" s="26">
        <v>9323</v>
      </c>
      <c r="U88" s="485">
        <v>7143</v>
      </c>
      <c r="V88" s="445"/>
      <c r="W88" s="591"/>
      <c r="X88" s="592">
        <f>U88+V88+W88</f>
        <v>7143</v>
      </c>
      <c r="AB88" s="2"/>
      <c r="AC88" s="2"/>
      <c r="AG88" s="2"/>
    </row>
    <row r="89" spans="1:33" ht="13.5" thickBot="1">
      <c r="A89" s="804"/>
      <c r="B89" s="310">
        <v>630</v>
      </c>
      <c r="C89" s="47" t="s">
        <v>249</v>
      </c>
      <c r="D89" s="153"/>
      <c r="E89" s="153">
        <v>2058</v>
      </c>
      <c r="F89" s="153">
        <v>1826</v>
      </c>
      <c r="G89" s="153">
        <v>2125</v>
      </c>
      <c r="H89" s="153">
        <v>1136</v>
      </c>
      <c r="I89" s="46">
        <v>1440</v>
      </c>
      <c r="J89" s="60">
        <v>1462</v>
      </c>
      <c r="K89" s="74">
        <v>927</v>
      </c>
      <c r="L89" s="114">
        <v>677.44</v>
      </c>
      <c r="M89" s="114">
        <v>629.37</v>
      </c>
      <c r="N89" s="26">
        <v>810.33</v>
      </c>
      <c r="O89" s="205">
        <v>830.08</v>
      </c>
      <c r="P89" s="205">
        <v>908.7</v>
      </c>
      <c r="Q89" s="205">
        <v>947.63</v>
      </c>
      <c r="R89" s="26">
        <v>1000</v>
      </c>
      <c r="S89" s="26">
        <v>996.71</v>
      </c>
      <c r="T89" s="26">
        <v>1000</v>
      </c>
      <c r="U89" s="485">
        <v>1000</v>
      </c>
      <c r="V89" s="445"/>
      <c r="W89" s="591"/>
      <c r="X89" s="592">
        <f>U89+V89+W89</f>
        <v>1000</v>
      </c>
      <c r="AC89" s="2"/>
      <c r="AG89" s="2"/>
    </row>
    <row r="90" spans="1:33" ht="13.5" thickBot="1">
      <c r="A90" s="805"/>
      <c r="B90" s="253">
        <v>640</v>
      </c>
      <c r="C90" s="46" t="s">
        <v>250</v>
      </c>
      <c r="D90" s="264"/>
      <c r="E90" s="264"/>
      <c r="F90" s="264"/>
      <c r="G90" s="264"/>
      <c r="H90" s="264"/>
      <c r="I90" s="115"/>
      <c r="J90" s="210"/>
      <c r="K90" s="242"/>
      <c r="L90" s="535"/>
      <c r="M90" s="535">
        <v>112.87</v>
      </c>
      <c r="N90" s="70"/>
      <c r="O90" s="70"/>
      <c r="P90" s="70"/>
      <c r="Q90" s="116"/>
      <c r="R90" s="70"/>
      <c r="S90" s="70"/>
      <c r="T90" s="70"/>
      <c r="U90" s="472"/>
      <c r="V90" s="714"/>
      <c r="W90" s="598"/>
      <c r="X90" s="599">
        <f>U90+V90+W90</f>
        <v>0</v>
      </c>
      <c r="AC90" s="2"/>
      <c r="AG90" s="2"/>
    </row>
    <row r="91" spans="1:33" ht="15.75" thickBot="1">
      <c r="A91" s="267" t="s">
        <v>47</v>
      </c>
      <c r="B91" s="810" t="s">
        <v>48</v>
      </c>
      <c r="C91" s="778"/>
      <c r="D91" s="269">
        <v>0</v>
      </c>
      <c r="E91" s="269">
        <v>221337</v>
      </c>
      <c r="F91" s="269">
        <v>136394</v>
      </c>
      <c r="G91" s="269">
        <v>214824</v>
      </c>
      <c r="H91" s="269">
        <v>646088</v>
      </c>
      <c r="I91" s="67">
        <f>SUM(I97:I109)</f>
        <v>152165</v>
      </c>
      <c r="J91" s="67">
        <f>SUM(J97:J109)</f>
        <v>173492</v>
      </c>
      <c r="K91" s="67">
        <f>SUM(K97:K109)</f>
        <v>219663</v>
      </c>
      <c r="L91" s="214">
        <f aca="true" t="shared" si="26" ref="L91:V91">SUM(L92:L109)</f>
        <v>485501.09</v>
      </c>
      <c r="M91" s="214">
        <f t="shared" si="26"/>
        <v>315963.52</v>
      </c>
      <c r="N91" s="471">
        <f t="shared" si="26"/>
        <v>306308.77</v>
      </c>
      <c r="O91" s="642">
        <f t="shared" si="26"/>
        <v>235650.84</v>
      </c>
      <c r="P91" s="642">
        <f>SUM(P92:P109)</f>
        <v>258445.63</v>
      </c>
      <c r="Q91" s="642">
        <f t="shared" si="26"/>
        <v>225107.38</v>
      </c>
      <c r="R91" s="471">
        <f t="shared" si="26"/>
        <v>194631</v>
      </c>
      <c r="S91" s="471">
        <f t="shared" si="26"/>
        <v>243536.62</v>
      </c>
      <c r="T91" s="471">
        <f t="shared" si="26"/>
        <v>253782</v>
      </c>
      <c r="U91" s="471">
        <f t="shared" si="26"/>
        <v>275915</v>
      </c>
      <c r="V91" s="471">
        <f t="shared" si="26"/>
        <v>0</v>
      </c>
      <c r="W91" s="510">
        <f>SUM(W92:W109)</f>
        <v>0</v>
      </c>
      <c r="X91" s="511">
        <f>SUM(X92:X109)</f>
        <v>275915</v>
      </c>
      <c r="AC91" s="2"/>
      <c r="AG91" s="2"/>
    </row>
    <row r="92" spans="1:33" ht="13.5" customHeight="1" hidden="1">
      <c r="A92" s="800"/>
      <c r="B92" s="229">
        <v>630</v>
      </c>
      <c r="C92" s="41" t="s">
        <v>167</v>
      </c>
      <c r="D92" s="304"/>
      <c r="E92" s="304"/>
      <c r="F92" s="304"/>
      <c r="G92" s="304"/>
      <c r="H92" s="304"/>
      <c r="I92" s="305"/>
      <c r="J92" s="305"/>
      <c r="K92" s="305"/>
      <c r="L92" s="217">
        <v>164829</v>
      </c>
      <c r="M92" s="217">
        <v>115488</v>
      </c>
      <c r="N92" s="143">
        <v>98750</v>
      </c>
      <c r="O92" s="217"/>
      <c r="P92" s="217"/>
      <c r="Q92" s="217"/>
      <c r="R92" s="143"/>
      <c r="S92" s="143"/>
      <c r="T92" s="143"/>
      <c r="U92" s="496"/>
      <c r="V92" s="708">
        <f aca="true" t="shared" si="27" ref="V92:V104">IF(T92=0,0,U92/T92)</f>
        <v>0</v>
      </c>
      <c r="W92" s="589"/>
      <c r="X92" s="590"/>
      <c r="AC92" s="2"/>
      <c r="AG92" s="2"/>
    </row>
    <row r="93" spans="1:33" ht="13.5" customHeight="1" hidden="1">
      <c r="A93" s="801"/>
      <c r="B93" s="230"/>
      <c r="C93" s="47" t="s">
        <v>201</v>
      </c>
      <c r="D93" s="306"/>
      <c r="E93" s="306"/>
      <c r="F93" s="306"/>
      <c r="G93" s="306"/>
      <c r="H93" s="306"/>
      <c r="I93" s="307"/>
      <c r="J93" s="307"/>
      <c r="K93" s="307"/>
      <c r="L93" s="131">
        <v>9696.54</v>
      </c>
      <c r="M93" s="558"/>
      <c r="N93" s="308"/>
      <c r="O93" s="558"/>
      <c r="P93" s="558"/>
      <c r="Q93" s="558"/>
      <c r="R93" s="308"/>
      <c r="S93" s="308"/>
      <c r="T93" s="308"/>
      <c r="U93" s="497"/>
      <c r="V93" s="445">
        <f t="shared" si="27"/>
        <v>0</v>
      </c>
      <c r="W93" s="591"/>
      <c r="X93" s="592"/>
      <c r="AC93" s="2"/>
      <c r="AG93" s="2"/>
    </row>
    <row r="94" spans="1:33" ht="13.5" customHeight="1" hidden="1">
      <c r="A94" s="801"/>
      <c r="B94" s="230"/>
      <c r="C94" s="47" t="s">
        <v>288</v>
      </c>
      <c r="D94" s="306"/>
      <c r="E94" s="306"/>
      <c r="F94" s="306"/>
      <c r="G94" s="306"/>
      <c r="H94" s="306"/>
      <c r="I94" s="307"/>
      <c r="J94" s="307"/>
      <c r="K94" s="307"/>
      <c r="L94" s="131">
        <v>9955.3</v>
      </c>
      <c r="M94" s="558"/>
      <c r="N94" s="308"/>
      <c r="O94" s="558"/>
      <c r="P94" s="558"/>
      <c r="Q94" s="558"/>
      <c r="R94" s="308"/>
      <c r="S94" s="308"/>
      <c r="T94" s="308"/>
      <c r="U94" s="497"/>
      <c r="V94" s="445">
        <f t="shared" si="27"/>
        <v>0</v>
      </c>
      <c r="W94" s="591"/>
      <c r="X94" s="592"/>
      <c r="AC94" s="2"/>
      <c r="AG94" s="2"/>
    </row>
    <row r="95" spans="1:33" ht="13.5" customHeight="1" hidden="1">
      <c r="A95" s="801"/>
      <c r="B95" s="230"/>
      <c r="C95" s="47" t="s">
        <v>289</v>
      </c>
      <c r="D95" s="306"/>
      <c r="E95" s="306"/>
      <c r="F95" s="306"/>
      <c r="G95" s="306"/>
      <c r="H95" s="306"/>
      <c r="I95" s="307"/>
      <c r="J95" s="307"/>
      <c r="K95" s="307"/>
      <c r="L95" s="131">
        <v>11550</v>
      </c>
      <c r="M95" s="558"/>
      <c r="N95" s="308"/>
      <c r="O95" s="558"/>
      <c r="P95" s="558"/>
      <c r="Q95" s="558"/>
      <c r="R95" s="308"/>
      <c r="S95" s="308"/>
      <c r="T95" s="308"/>
      <c r="U95" s="497"/>
      <c r="V95" s="445">
        <f t="shared" si="27"/>
        <v>0</v>
      </c>
      <c r="W95" s="591"/>
      <c r="X95" s="592"/>
      <c r="AC95" s="2"/>
      <c r="AG95" s="2"/>
    </row>
    <row r="96" spans="1:33" ht="13.5" customHeight="1" hidden="1">
      <c r="A96" s="801"/>
      <c r="B96" s="230"/>
      <c r="C96" s="43" t="s">
        <v>202</v>
      </c>
      <c r="D96" s="306"/>
      <c r="E96" s="306"/>
      <c r="F96" s="306"/>
      <c r="G96" s="306"/>
      <c r="H96" s="306"/>
      <c r="I96" s="307"/>
      <c r="J96" s="307"/>
      <c r="K96" s="307"/>
      <c r="L96" s="131">
        <v>11848</v>
      </c>
      <c r="M96" s="558"/>
      <c r="N96" s="308"/>
      <c r="O96" s="558"/>
      <c r="P96" s="558"/>
      <c r="Q96" s="558"/>
      <c r="R96" s="308"/>
      <c r="S96" s="308"/>
      <c r="T96" s="308"/>
      <c r="U96" s="497"/>
      <c r="V96" s="445">
        <f t="shared" si="27"/>
        <v>0</v>
      </c>
      <c r="W96" s="591"/>
      <c r="X96" s="592"/>
      <c r="AC96" s="2"/>
      <c r="AG96" s="2"/>
    </row>
    <row r="97" spans="1:33" ht="13.5" customHeight="1" hidden="1">
      <c r="A97" s="801"/>
      <c r="B97" s="309"/>
      <c r="C97" s="72" t="s">
        <v>349</v>
      </c>
      <c r="D97" s="57"/>
      <c r="E97" s="57"/>
      <c r="F97" s="57"/>
      <c r="G97" s="57"/>
      <c r="H97" s="57"/>
      <c r="I97" s="72"/>
      <c r="J97" s="57"/>
      <c r="K97" s="57"/>
      <c r="L97" s="118">
        <v>55733.87</v>
      </c>
      <c r="M97" s="205">
        <v>17376</v>
      </c>
      <c r="N97" s="22"/>
      <c r="O97" s="118">
        <v>39179.72</v>
      </c>
      <c r="P97" s="118"/>
      <c r="Q97" s="118"/>
      <c r="R97" s="22"/>
      <c r="S97" s="22"/>
      <c r="T97" s="22"/>
      <c r="U97" s="490"/>
      <c r="V97" s="445">
        <f t="shared" si="27"/>
        <v>0</v>
      </c>
      <c r="W97" s="591"/>
      <c r="X97" s="592"/>
      <c r="AC97" s="2"/>
      <c r="AG97" s="2"/>
    </row>
    <row r="98" spans="1:33" ht="13.5" customHeight="1" hidden="1">
      <c r="A98" s="801"/>
      <c r="B98" s="310"/>
      <c r="C98" s="47" t="s">
        <v>290</v>
      </c>
      <c r="D98" s="74"/>
      <c r="E98" s="74"/>
      <c r="F98" s="74"/>
      <c r="G98" s="74"/>
      <c r="H98" s="74"/>
      <c r="I98" s="47"/>
      <c r="J98" s="74"/>
      <c r="K98" s="44"/>
      <c r="L98" s="205">
        <v>41848</v>
      </c>
      <c r="M98" s="205"/>
      <c r="N98" s="26"/>
      <c r="O98" s="205"/>
      <c r="P98" s="205"/>
      <c r="Q98" s="205"/>
      <c r="R98" s="26"/>
      <c r="S98" s="26"/>
      <c r="T98" s="26"/>
      <c r="U98" s="485"/>
      <c r="V98" s="445">
        <f t="shared" si="27"/>
        <v>0</v>
      </c>
      <c r="W98" s="591"/>
      <c r="X98" s="592"/>
      <c r="AC98" s="2"/>
      <c r="AG98" s="2"/>
    </row>
    <row r="99" spans="1:33" ht="13.5" customHeight="1" hidden="1">
      <c r="A99" s="801"/>
      <c r="B99" s="310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5"/>
      <c r="N99" s="26"/>
      <c r="O99" s="205"/>
      <c r="P99" s="205"/>
      <c r="Q99" s="205"/>
      <c r="R99" s="26"/>
      <c r="S99" s="26"/>
      <c r="T99" s="26"/>
      <c r="U99" s="485"/>
      <c r="V99" s="445">
        <f t="shared" si="27"/>
        <v>0</v>
      </c>
      <c r="W99" s="591"/>
      <c r="X99" s="592"/>
      <c r="AC99" s="2"/>
      <c r="AG99" s="2"/>
    </row>
    <row r="100" spans="1:33" ht="13.5" customHeight="1" hidden="1">
      <c r="A100" s="801"/>
      <c r="B100" s="310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5"/>
      <c r="N100" s="26"/>
      <c r="O100" s="205"/>
      <c r="P100" s="205"/>
      <c r="Q100" s="205"/>
      <c r="R100" s="26"/>
      <c r="S100" s="26"/>
      <c r="T100" s="26"/>
      <c r="U100" s="485"/>
      <c r="V100" s="445">
        <f t="shared" si="27"/>
        <v>0</v>
      </c>
      <c r="W100" s="591"/>
      <c r="X100" s="592"/>
      <c r="AC100" s="2"/>
      <c r="AG100" s="2"/>
    </row>
    <row r="101" spans="1:33" ht="13.5" customHeight="1" hidden="1">
      <c r="A101" s="801"/>
      <c r="B101" s="310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5"/>
      <c r="N101" s="26"/>
      <c r="O101" s="205"/>
      <c r="P101" s="205"/>
      <c r="Q101" s="205"/>
      <c r="R101" s="26"/>
      <c r="S101" s="26"/>
      <c r="T101" s="26"/>
      <c r="U101" s="485"/>
      <c r="V101" s="445">
        <f t="shared" si="27"/>
        <v>0</v>
      </c>
      <c r="W101" s="591"/>
      <c r="X101" s="592"/>
      <c r="AC101" s="2"/>
      <c r="AG101" s="2"/>
    </row>
    <row r="102" spans="1:33" ht="13.5" customHeight="1" hidden="1">
      <c r="A102" s="801"/>
      <c r="B102" s="310">
        <v>630</v>
      </c>
      <c r="C102" s="43" t="s">
        <v>291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5"/>
      <c r="N102" s="26"/>
      <c r="O102" s="205"/>
      <c r="P102" s="205"/>
      <c r="Q102" s="205"/>
      <c r="R102" s="26"/>
      <c r="S102" s="26"/>
      <c r="T102" s="26"/>
      <c r="U102" s="485"/>
      <c r="V102" s="445">
        <f t="shared" si="27"/>
        <v>0</v>
      </c>
      <c r="W102" s="591"/>
      <c r="X102" s="592"/>
      <c r="AC102" s="2"/>
      <c r="AG102" s="2"/>
    </row>
    <row r="103" spans="1:33" ht="13.5" customHeight="1" hidden="1">
      <c r="A103" s="801"/>
      <c r="B103" s="310">
        <v>630</v>
      </c>
      <c r="C103" s="43" t="s">
        <v>292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f>25728+5970+25054</f>
        <v>56752</v>
      </c>
      <c r="L103" s="26"/>
      <c r="M103" s="205"/>
      <c r="N103" s="26"/>
      <c r="O103" s="205"/>
      <c r="P103" s="205"/>
      <c r="Q103" s="205"/>
      <c r="R103" s="26"/>
      <c r="S103" s="26"/>
      <c r="T103" s="26"/>
      <c r="U103" s="485"/>
      <c r="V103" s="445">
        <f t="shared" si="27"/>
        <v>0</v>
      </c>
      <c r="W103" s="591"/>
      <c r="X103" s="592"/>
      <c r="AC103" s="2"/>
      <c r="AG103" s="2"/>
    </row>
    <row r="104" spans="1:33" ht="13.5" customHeight="1" hidden="1">
      <c r="A104" s="801"/>
      <c r="B104" s="310">
        <v>630</v>
      </c>
      <c r="C104" s="43" t="s">
        <v>293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5">
        <v>774.55</v>
      </c>
      <c r="N104" s="26"/>
      <c r="O104" s="205"/>
      <c r="P104" s="205"/>
      <c r="Q104" s="205"/>
      <c r="R104" s="26"/>
      <c r="S104" s="26"/>
      <c r="T104" s="26"/>
      <c r="U104" s="485"/>
      <c r="V104" s="445">
        <f t="shared" si="27"/>
        <v>0</v>
      </c>
      <c r="W104" s="591"/>
      <c r="X104" s="592"/>
      <c r="AC104" s="2"/>
      <c r="AG104" s="2"/>
    </row>
    <row r="105" spans="1:33" ht="13.5" customHeight="1">
      <c r="A105" s="801"/>
      <c r="B105" s="310">
        <v>630</v>
      </c>
      <c r="C105" s="43" t="s">
        <v>339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5">
        <v>931.15</v>
      </c>
      <c r="M105" s="205">
        <v>7872</v>
      </c>
      <c r="N105" s="26">
        <v>6215.72</v>
      </c>
      <c r="O105" s="205"/>
      <c r="P105" s="205">
        <v>50244.21</v>
      </c>
      <c r="Q105" s="205"/>
      <c r="R105" s="26"/>
      <c r="S105" s="26"/>
      <c r="T105" s="26"/>
      <c r="U105" s="485">
        <v>0</v>
      </c>
      <c r="V105" s="445"/>
      <c r="W105" s="591"/>
      <c r="X105" s="592">
        <f>U105+V105+W105</f>
        <v>0</v>
      </c>
      <c r="AC105" s="2"/>
      <c r="AG105" s="2"/>
    </row>
    <row r="106" spans="1:33" ht="13.5" customHeight="1">
      <c r="A106" s="801"/>
      <c r="B106" s="310">
        <v>630</v>
      </c>
      <c r="C106" s="47" t="s">
        <v>366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3"/>
      <c r="N106" s="30">
        <v>17446.49</v>
      </c>
      <c r="O106" s="223"/>
      <c r="P106" s="223"/>
      <c r="Q106" s="223"/>
      <c r="R106" s="30"/>
      <c r="S106" s="30">
        <v>5640</v>
      </c>
      <c r="T106" s="30"/>
      <c r="U106" s="494"/>
      <c r="V106" s="445"/>
      <c r="W106" s="591"/>
      <c r="X106" s="592">
        <f>U106+V106+W106</f>
        <v>0</v>
      </c>
      <c r="AC106" s="2"/>
      <c r="AG106" s="2"/>
    </row>
    <row r="107" spans="1:33" ht="13.5" customHeight="1">
      <c r="A107" s="801"/>
      <c r="B107" s="310">
        <v>630</v>
      </c>
      <c r="C107" s="47" t="s">
        <v>294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4"/>
      <c r="N107" s="30">
        <v>0</v>
      </c>
      <c r="O107" s="223"/>
      <c r="P107" s="223"/>
      <c r="Q107" s="223">
        <v>0</v>
      </c>
      <c r="R107" s="30"/>
      <c r="S107" s="30">
        <v>36732.99</v>
      </c>
      <c r="T107" s="30"/>
      <c r="U107" s="494"/>
      <c r="V107" s="445"/>
      <c r="W107" s="591"/>
      <c r="X107" s="592">
        <f>U107+V107+W107</f>
        <v>0</v>
      </c>
      <c r="AC107" s="2"/>
      <c r="AG107" s="2"/>
    </row>
    <row r="108" spans="1:33" ht="13.5" customHeight="1">
      <c r="A108" s="801"/>
      <c r="B108" s="310">
        <v>630</v>
      </c>
      <c r="C108" s="47" t="s">
        <v>295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f>2890+1395+2974+8613+1646</f>
        <v>17518</v>
      </c>
      <c r="L108" s="223">
        <v>34575.23</v>
      </c>
      <c r="M108" s="223">
        <v>22975.97</v>
      </c>
      <c r="N108" s="30">
        <v>28524.56</v>
      </c>
      <c r="O108" s="223">
        <v>26839.28</v>
      </c>
      <c r="P108" s="223">
        <v>38980.9</v>
      </c>
      <c r="Q108" s="223">
        <v>31233.38</v>
      </c>
      <c r="R108" s="30">
        <v>40000</v>
      </c>
      <c r="S108" s="30">
        <v>27953.63</v>
      </c>
      <c r="T108" s="30">
        <v>35000</v>
      </c>
      <c r="U108" s="494">
        <v>55000</v>
      </c>
      <c r="V108" s="445"/>
      <c r="W108" s="591"/>
      <c r="X108" s="592">
        <f>U108+V108+W108</f>
        <v>55000</v>
      </c>
      <c r="AC108" s="2"/>
      <c r="AG108" s="2"/>
    </row>
    <row r="109" spans="1:33" ht="13.5" customHeight="1" thickBot="1">
      <c r="A109" s="802"/>
      <c r="B109" s="253">
        <v>640</v>
      </c>
      <c r="C109" s="46" t="s">
        <v>296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2">
        <v>144534</v>
      </c>
      <c r="M109" s="302">
        <v>151477</v>
      </c>
      <c r="N109" s="48">
        <v>155372</v>
      </c>
      <c r="O109" s="255">
        <v>169631.84</v>
      </c>
      <c r="P109" s="255">
        <v>169220.52</v>
      </c>
      <c r="Q109" s="255">
        <v>193874</v>
      </c>
      <c r="R109" s="48">
        <v>154631</v>
      </c>
      <c r="S109" s="48">
        <v>173210</v>
      </c>
      <c r="T109" s="48">
        <v>218782</v>
      </c>
      <c r="U109" s="476">
        <v>220915</v>
      </c>
      <c r="V109" s="709"/>
      <c r="W109" s="602"/>
      <c r="X109" s="597">
        <f>U109+V109+W109</f>
        <v>220915</v>
      </c>
      <c r="AC109" s="2"/>
      <c r="AG109" s="2"/>
    </row>
    <row r="110" spans="1:33" ht="15.75" thickBot="1">
      <c r="A110" s="212" t="s">
        <v>297</v>
      </c>
      <c r="B110" s="756" t="s">
        <v>51</v>
      </c>
      <c r="C110" s="787"/>
      <c r="D110" s="67">
        <f>D111</f>
        <v>10589</v>
      </c>
      <c r="E110" s="67">
        <f>E111</f>
        <v>11917</v>
      </c>
      <c r="F110" s="67">
        <f>F111</f>
        <v>11883</v>
      </c>
      <c r="G110" s="67">
        <f>G111</f>
        <v>4189</v>
      </c>
      <c r="H110" s="67">
        <v>5005</v>
      </c>
      <c r="I110" s="67">
        <f aca="true" t="shared" si="28" ref="I110:V110">I111</f>
        <v>5041</v>
      </c>
      <c r="J110" s="67">
        <f t="shared" si="28"/>
        <v>5609</v>
      </c>
      <c r="K110" s="67">
        <f t="shared" si="28"/>
        <v>6003</v>
      </c>
      <c r="L110" s="214">
        <v>3745.53</v>
      </c>
      <c r="M110" s="214">
        <f t="shared" si="28"/>
        <v>5989.44</v>
      </c>
      <c r="N110" s="471">
        <f t="shared" si="28"/>
        <v>5966.9</v>
      </c>
      <c r="O110" s="642">
        <f t="shared" si="28"/>
        <v>6273.49</v>
      </c>
      <c r="P110" s="642">
        <f t="shared" si="28"/>
        <v>6274.93</v>
      </c>
      <c r="Q110" s="642">
        <f t="shared" si="28"/>
        <v>6281.35</v>
      </c>
      <c r="R110" s="471">
        <f t="shared" si="28"/>
        <v>6000</v>
      </c>
      <c r="S110" s="471">
        <f t="shared" si="28"/>
        <v>6582.96</v>
      </c>
      <c r="T110" s="471">
        <f t="shared" si="28"/>
        <v>6000</v>
      </c>
      <c r="U110" s="471">
        <f t="shared" si="28"/>
        <v>7000</v>
      </c>
      <c r="V110" s="471">
        <f t="shared" si="28"/>
        <v>0</v>
      </c>
      <c r="W110" s="510">
        <f>W111</f>
        <v>0</v>
      </c>
      <c r="X110" s="511">
        <f>X111</f>
        <v>7000</v>
      </c>
      <c r="AC110" s="2"/>
      <c r="AG110" s="2"/>
    </row>
    <row r="111" spans="1:33" ht="13.5" thickBot="1">
      <c r="A111" s="311"/>
      <c r="B111" s="312"/>
      <c r="C111" s="75" t="s">
        <v>298</v>
      </c>
      <c r="D111" s="83">
        <v>10589</v>
      </c>
      <c r="E111" s="83">
        <v>11917</v>
      </c>
      <c r="F111" s="83">
        <v>11883</v>
      </c>
      <c r="G111" s="83">
        <v>4189</v>
      </c>
      <c r="H111" s="83">
        <v>5005</v>
      </c>
      <c r="I111" s="75">
        <v>5041</v>
      </c>
      <c r="J111" s="83">
        <v>5609</v>
      </c>
      <c r="K111" s="12">
        <v>6003</v>
      </c>
      <c r="L111" s="247">
        <v>3745.53</v>
      </c>
      <c r="M111" s="247">
        <v>5989.44</v>
      </c>
      <c r="N111" s="12">
        <v>5966.9</v>
      </c>
      <c r="O111" s="247">
        <v>6273.49</v>
      </c>
      <c r="P111" s="247">
        <v>6274.93</v>
      </c>
      <c r="Q111" s="247">
        <v>6281.35</v>
      </c>
      <c r="R111" s="12">
        <v>6000</v>
      </c>
      <c r="S111" s="12">
        <v>6582.96</v>
      </c>
      <c r="T111" s="12">
        <v>6000</v>
      </c>
      <c r="U111" s="473">
        <v>7000</v>
      </c>
      <c r="V111" s="710"/>
      <c r="W111" s="600"/>
      <c r="X111" s="601">
        <f>U111+V111+W111</f>
        <v>7000</v>
      </c>
      <c r="AC111" s="2"/>
      <c r="AG111" s="2"/>
    </row>
    <row r="112" spans="1:33" ht="15.75" thickBot="1">
      <c r="A112" s="267" t="s">
        <v>317</v>
      </c>
      <c r="B112" s="810" t="s">
        <v>316</v>
      </c>
      <c r="C112" s="778"/>
      <c r="D112" s="79">
        <f>D114</f>
        <v>0</v>
      </c>
      <c r="E112" s="79">
        <f>E114</f>
        <v>122817</v>
      </c>
      <c r="F112" s="79">
        <f>F114</f>
        <v>236905</v>
      </c>
      <c r="G112" s="79">
        <f>G114</f>
        <v>210760</v>
      </c>
      <c r="H112" s="79">
        <v>216000</v>
      </c>
      <c r="I112" s="79">
        <f aca="true" t="shared" si="29" ref="I112:V112">I114</f>
        <v>173560</v>
      </c>
      <c r="J112" s="79">
        <f t="shared" si="29"/>
        <v>168880</v>
      </c>
      <c r="K112" s="79">
        <f t="shared" si="29"/>
        <v>168880</v>
      </c>
      <c r="L112" s="80">
        <v>166668</v>
      </c>
      <c r="M112" s="80">
        <f t="shared" si="29"/>
        <v>150364</v>
      </c>
      <c r="N112" s="475">
        <f t="shared" si="29"/>
        <v>136000</v>
      </c>
      <c r="O112" s="644">
        <f>O114+O113</f>
        <v>141246.73</v>
      </c>
      <c r="P112" s="644">
        <f>P114+P113</f>
        <v>166152.71</v>
      </c>
      <c r="Q112" s="644">
        <f>Q114+Q113</f>
        <v>167000</v>
      </c>
      <c r="R112" s="475">
        <f t="shared" si="29"/>
        <v>132714</v>
      </c>
      <c r="S112" s="475">
        <f t="shared" si="29"/>
        <v>148143.92</v>
      </c>
      <c r="T112" s="475">
        <f t="shared" si="29"/>
        <v>199115</v>
      </c>
      <c r="U112" s="475">
        <f t="shared" si="29"/>
        <v>237869</v>
      </c>
      <c r="V112" s="475">
        <f t="shared" si="29"/>
        <v>0</v>
      </c>
      <c r="W112" s="510">
        <f>W114</f>
        <v>0</v>
      </c>
      <c r="X112" s="511">
        <f>X114</f>
        <v>237869</v>
      </c>
      <c r="AC112" s="2"/>
      <c r="AG112" s="2"/>
    </row>
    <row r="113" spans="1:33" ht="15">
      <c r="A113" s="800"/>
      <c r="B113" s="638">
        <v>630</v>
      </c>
      <c r="C113" s="256" t="s">
        <v>340</v>
      </c>
      <c r="D113" s="305"/>
      <c r="E113" s="305"/>
      <c r="F113" s="305"/>
      <c r="G113" s="305"/>
      <c r="H113" s="305"/>
      <c r="I113" s="305"/>
      <c r="J113" s="305"/>
      <c r="K113" s="632"/>
      <c r="L113" s="203"/>
      <c r="M113" s="203"/>
      <c r="N113" s="484"/>
      <c r="O113" s="649">
        <v>3112.73</v>
      </c>
      <c r="P113" s="649"/>
      <c r="Q113" s="649"/>
      <c r="R113" s="484"/>
      <c r="S113" s="484"/>
      <c r="T113" s="484"/>
      <c r="U113" s="484"/>
      <c r="V113" s="628"/>
      <c r="W113" s="633"/>
      <c r="X113" s="634">
        <f>U113+V113+W113</f>
        <v>0</v>
      </c>
      <c r="AC113" s="2"/>
      <c r="AG113" s="2"/>
    </row>
    <row r="114" spans="1:33" ht="13.5" thickBot="1">
      <c r="A114" s="802"/>
      <c r="B114" s="326">
        <v>640</v>
      </c>
      <c r="C114" s="299" t="s">
        <v>299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5">
        <v>166668</v>
      </c>
      <c r="M114" s="255">
        <v>150364</v>
      </c>
      <c r="N114" s="48">
        <v>136000</v>
      </c>
      <c r="O114" s="255">
        <v>138134</v>
      </c>
      <c r="P114" s="255">
        <v>166152.71</v>
      </c>
      <c r="Q114" s="255">
        <v>167000</v>
      </c>
      <c r="R114" s="48">
        <v>132714</v>
      </c>
      <c r="S114" s="48">
        <v>148143.92</v>
      </c>
      <c r="T114" s="48">
        <v>199115</v>
      </c>
      <c r="U114" s="48">
        <v>237869</v>
      </c>
      <c r="V114" s="712"/>
      <c r="W114" s="630"/>
      <c r="X114" s="631">
        <f>U114+V114+W114</f>
        <v>237869</v>
      </c>
      <c r="AC114" s="2"/>
      <c r="AG114" s="2"/>
    </row>
    <row r="115" spans="1:34" ht="15.75" thickBot="1">
      <c r="A115" s="267" t="s">
        <v>61</v>
      </c>
      <c r="B115" s="810" t="s">
        <v>300</v>
      </c>
      <c r="C115" s="778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f aca="true" t="shared" si="30" ref="I115:V115">SUM(I116:I121)</f>
        <v>283963</v>
      </c>
      <c r="J115" s="79">
        <f t="shared" si="30"/>
        <v>347786</v>
      </c>
      <c r="K115" s="79">
        <f t="shared" si="30"/>
        <v>268221</v>
      </c>
      <c r="L115" s="79">
        <f t="shared" si="30"/>
        <v>263798.23</v>
      </c>
      <c r="M115" s="80">
        <f t="shared" si="30"/>
        <v>287887.32</v>
      </c>
      <c r="N115" s="475">
        <f>SUM(N116:N121)</f>
        <v>314491.48</v>
      </c>
      <c r="O115" s="644">
        <f>SUM(O116:O121)</f>
        <v>300556.48</v>
      </c>
      <c r="P115" s="644">
        <f>SUM(P116:P121)</f>
        <v>267198.25</v>
      </c>
      <c r="Q115" s="644">
        <f>SUM(Q116:Q121)</f>
        <v>301913.75</v>
      </c>
      <c r="R115" s="475">
        <f t="shared" si="30"/>
        <v>458379</v>
      </c>
      <c r="S115" s="475">
        <f t="shared" si="30"/>
        <v>438448.69</v>
      </c>
      <c r="T115" s="475">
        <f t="shared" si="30"/>
        <v>528865</v>
      </c>
      <c r="U115" s="475">
        <f t="shared" si="30"/>
        <v>468069</v>
      </c>
      <c r="V115" s="475">
        <f t="shared" si="30"/>
        <v>0</v>
      </c>
      <c r="W115" s="510">
        <f>SUM(W116:W121)</f>
        <v>26024</v>
      </c>
      <c r="X115" s="511">
        <f>SUM(X116:X121)</f>
        <v>494093</v>
      </c>
      <c r="Y115" s="512"/>
      <c r="AC115" s="2"/>
      <c r="AE115" s="2"/>
      <c r="AF115" s="2"/>
      <c r="AG115" s="2"/>
      <c r="AH115" s="2"/>
    </row>
    <row r="116" spans="1:29" ht="12.75">
      <c r="A116" s="800"/>
      <c r="B116" s="229">
        <v>610</v>
      </c>
      <c r="C116" s="41" t="s">
        <v>247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3">
        <v>22719.55</v>
      </c>
      <c r="M116" s="217">
        <v>28495.57</v>
      </c>
      <c r="N116" s="143">
        <v>28348.01</v>
      </c>
      <c r="O116" s="217">
        <v>31464.64</v>
      </c>
      <c r="P116" s="217">
        <v>33530.71</v>
      </c>
      <c r="Q116" s="217">
        <v>39895.85</v>
      </c>
      <c r="R116" s="143">
        <v>42076</v>
      </c>
      <c r="S116" s="143">
        <v>44602.43</v>
      </c>
      <c r="T116" s="143">
        <v>53792</v>
      </c>
      <c r="U116" s="486">
        <v>66442</v>
      </c>
      <c r="V116" s="708"/>
      <c r="W116" s="589"/>
      <c r="X116" s="590">
        <f aca="true" t="shared" si="31" ref="X116:X121">U116+V116+W116</f>
        <v>66442</v>
      </c>
      <c r="AB116" s="2"/>
      <c r="AC116" s="2"/>
    </row>
    <row r="117" spans="1:33" ht="12.75">
      <c r="A117" s="801"/>
      <c r="B117" s="230">
        <v>620</v>
      </c>
      <c r="C117" s="43" t="s">
        <v>248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4">
        <v>10210.04</v>
      </c>
      <c r="N117" s="25">
        <v>10765.88</v>
      </c>
      <c r="O117" s="134">
        <v>11782.59</v>
      </c>
      <c r="P117" s="134">
        <v>12285.58</v>
      </c>
      <c r="Q117" s="134">
        <v>14108.66</v>
      </c>
      <c r="R117" s="25">
        <v>15425</v>
      </c>
      <c r="S117" s="25">
        <v>15721.4</v>
      </c>
      <c r="T117" s="25">
        <v>19056</v>
      </c>
      <c r="U117" s="493">
        <v>24301</v>
      </c>
      <c r="V117" s="445"/>
      <c r="W117" s="591"/>
      <c r="X117" s="592">
        <f t="shared" si="31"/>
        <v>24301</v>
      </c>
      <c r="AC117" s="2"/>
      <c r="AG117" s="2"/>
    </row>
    <row r="118" spans="1:33" ht="12.75">
      <c r="A118" s="801"/>
      <c r="B118" s="230">
        <v>630</v>
      </c>
      <c r="C118" s="43" t="s">
        <v>249</v>
      </c>
      <c r="D118" s="44"/>
      <c r="E118" s="44"/>
      <c r="F118" s="44"/>
      <c r="G118" s="44"/>
      <c r="H118" s="44"/>
      <c r="I118" s="43"/>
      <c r="J118" s="44">
        <v>291329</v>
      </c>
      <c r="K118" s="44">
        <f>212898</f>
        <v>212898</v>
      </c>
      <c r="L118" s="26">
        <v>204427.59</v>
      </c>
      <c r="M118" s="134">
        <v>218239.71</v>
      </c>
      <c r="N118" s="25">
        <v>254385.59</v>
      </c>
      <c r="O118" s="134">
        <v>246224.25</v>
      </c>
      <c r="P118" s="134">
        <v>219779.39</v>
      </c>
      <c r="Q118" s="134">
        <v>232209.24</v>
      </c>
      <c r="R118" s="25">
        <v>222600</v>
      </c>
      <c r="S118" s="25">
        <v>291671.33</v>
      </c>
      <c r="T118" s="25">
        <v>269500</v>
      </c>
      <c r="U118" s="493">
        <v>347250</v>
      </c>
      <c r="V118" s="445"/>
      <c r="W118" s="591">
        <v>18024</v>
      </c>
      <c r="X118" s="592">
        <f t="shared" si="31"/>
        <v>365274</v>
      </c>
      <c r="AC118" s="2"/>
      <c r="AE118" s="2"/>
      <c r="AG118" s="2"/>
    </row>
    <row r="119" spans="1:33" ht="12.75">
      <c r="A119" s="801"/>
      <c r="B119" s="204">
        <v>640</v>
      </c>
      <c r="C119" s="43" t="s">
        <v>339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4"/>
      <c r="N119" s="25"/>
      <c r="O119" s="134"/>
      <c r="P119" s="134">
        <v>137.43</v>
      </c>
      <c r="Q119" s="134"/>
      <c r="R119" s="25">
        <v>170000</v>
      </c>
      <c r="S119" s="25">
        <v>83861.95999999999</v>
      </c>
      <c r="T119" s="25">
        <v>167909</v>
      </c>
      <c r="U119" s="493"/>
      <c r="V119" s="445"/>
      <c r="W119" s="591">
        <v>8000</v>
      </c>
      <c r="X119" s="592">
        <f t="shared" si="31"/>
        <v>8000</v>
      </c>
      <c r="AC119" s="2"/>
      <c r="AG119" s="2"/>
    </row>
    <row r="120" spans="1:33" ht="12.75">
      <c r="A120" s="801"/>
      <c r="B120" s="204"/>
      <c r="C120" s="43" t="s">
        <v>410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4"/>
      <c r="N120" s="25"/>
      <c r="O120" s="134"/>
      <c r="P120" s="134"/>
      <c r="Q120" s="134"/>
      <c r="R120" s="25">
        <v>8278</v>
      </c>
      <c r="S120" s="25"/>
      <c r="T120" s="25"/>
      <c r="U120" s="588">
        <v>11669</v>
      </c>
      <c r="V120" s="709"/>
      <c r="W120" s="602"/>
      <c r="X120" s="597">
        <f t="shared" si="31"/>
        <v>11669</v>
      </c>
      <c r="AC120" s="2"/>
      <c r="AG120" s="2"/>
    </row>
    <row r="121" spans="1:33" ht="13.5" thickBot="1">
      <c r="A121" s="802"/>
      <c r="B121" s="232">
        <v>640</v>
      </c>
      <c r="C121" s="115" t="s">
        <v>299</v>
      </c>
      <c r="D121" s="210"/>
      <c r="E121" s="210">
        <v>56430</v>
      </c>
      <c r="F121" s="210">
        <v>66388</v>
      </c>
      <c r="G121" s="210">
        <v>33070</v>
      </c>
      <c r="H121" s="210">
        <v>34000</v>
      </c>
      <c r="I121" s="115">
        <v>19328</v>
      </c>
      <c r="J121" s="210">
        <v>22144</v>
      </c>
      <c r="K121" s="77">
        <v>22144</v>
      </c>
      <c r="L121" s="77">
        <v>27144</v>
      </c>
      <c r="M121" s="211">
        <v>30942</v>
      </c>
      <c r="N121" s="77">
        <v>20992</v>
      </c>
      <c r="O121" s="211">
        <v>11085</v>
      </c>
      <c r="P121" s="211">
        <v>1465.14</v>
      </c>
      <c r="Q121" s="211">
        <v>15700</v>
      </c>
      <c r="R121" s="77"/>
      <c r="S121" s="77">
        <v>2591.57</v>
      </c>
      <c r="T121" s="77">
        <v>18608</v>
      </c>
      <c r="U121" s="480">
        <v>18407</v>
      </c>
      <c r="V121" s="709"/>
      <c r="W121" s="602"/>
      <c r="X121" s="597">
        <f t="shared" si="31"/>
        <v>18407</v>
      </c>
      <c r="AC121" s="2"/>
      <c r="AG121" s="2"/>
    </row>
    <row r="122" spans="1:33" ht="15.75" thickBot="1">
      <c r="A122" s="231"/>
      <c r="B122" s="798" t="s">
        <v>393</v>
      </c>
      <c r="C122" s="799"/>
      <c r="D122" s="210"/>
      <c r="E122" s="210"/>
      <c r="F122" s="210"/>
      <c r="G122" s="210"/>
      <c r="H122" s="210"/>
      <c r="I122" s="115"/>
      <c r="J122" s="210"/>
      <c r="K122" s="77"/>
      <c r="L122" s="77"/>
      <c r="M122" s="211"/>
      <c r="N122" s="77"/>
      <c r="O122" s="211"/>
      <c r="P122" s="211"/>
      <c r="Q122" s="211"/>
      <c r="R122" s="77"/>
      <c r="S122" s="77">
        <v>21778.81</v>
      </c>
      <c r="T122" s="77"/>
      <c r="U122" s="480"/>
      <c r="V122" s="710"/>
      <c r="W122" s="600"/>
      <c r="X122" s="601"/>
      <c r="AC122" s="2"/>
      <c r="AG122" s="2"/>
    </row>
    <row r="123" spans="1:33" ht="15.75" thickBot="1">
      <c r="A123" s="231"/>
      <c r="B123" s="699">
        <v>600</v>
      </c>
      <c r="C123" s="75" t="s">
        <v>394</v>
      </c>
      <c r="D123" s="210"/>
      <c r="E123" s="210"/>
      <c r="F123" s="210"/>
      <c r="G123" s="210"/>
      <c r="H123" s="210"/>
      <c r="I123" s="115"/>
      <c r="J123" s="210"/>
      <c r="K123" s="77"/>
      <c r="L123" s="77"/>
      <c r="M123" s="211"/>
      <c r="N123" s="77"/>
      <c r="O123" s="211"/>
      <c r="P123" s="211"/>
      <c r="Q123" s="211"/>
      <c r="R123" s="77"/>
      <c r="S123" s="77">
        <v>21778.81</v>
      </c>
      <c r="T123" s="77"/>
      <c r="U123" s="480"/>
      <c r="V123" s="710"/>
      <c r="W123" s="600"/>
      <c r="X123" s="601">
        <f>U123+V123+W123</f>
        <v>0</v>
      </c>
      <c r="AC123" s="2"/>
      <c r="AG123" s="2"/>
    </row>
    <row r="124" spans="1:34" ht="15.75" thickBot="1">
      <c r="A124" s="267" t="s">
        <v>228</v>
      </c>
      <c r="B124" s="810" t="s">
        <v>301</v>
      </c>
      <c r="C124" s="778"/>
      <c r="D124" s="79">
        <f aca="true" t="shared" si="32" ref="D124:V124">SUM(D125:D128)</f>
        <v>398161</v>
      </c>
      <c r="E124" s="79">
        <f t="shared" si="32"/>
        <v>245269</v>
      </c>
      <c r="F124" s="79">
        <f t="shared" si="32"/>
        <v>266050</v>
      </c>
      <c r="G124" s="79">
        <f t="shared" si="32"/>
        <v>237941</v>
      </c>
      <c r="H124" s="79">
        <f t="shared" si="32"/>
        <v>273708</v>
      </c>
      <c r="I124" s="79">
        <f t="shared" si="32"/>
        <v>262675</v>
      </c>
      <c r="J124" s="79">
        <f t="shared" si="32"/>
        <v>162661</v>
      </c>
      <c r="K124" s="79">
        <f t="shared" si="32"/>
        <v>165913</v>
      </c>
      <c r="L124" s="80">
        <f t="shared" si="32"/>
        <v>173111</v>
      </c>
      <c r="M124" s="80">
        <f t="shared" si="32"/>
        <v>179007.07</v>
      </c>
      <c r="N124" s="475">
        <f t="shared" si="32"/>
        <v>207573.5</v>
      </c>
      <c r="O124" s="644">
        <f t="shared" si="32"/>
        <v>252852.5</v>
      </c>
      <c r="P124" s="644">
        <f>SUM(P125:P128)</f>
        <v>259830</v>
      </c>
      <c r="Q124" s="644">
        <f>SUM(Q125:Q128)</f>
        <v>341183.70999999996</v>
      </c>
      <c r="R124" s="475">
        <f t="shared" si="32"/>
        <v>312893</v>
      </c>
      <c r="S124" s="475">
        <f t="shared" si="32"/>
        <v>363265.4</v>
      </c>
      <c r="T124" s="475">
        <f t="shared" si="32"/>
        <v>459399</v>
      </c>
      <c r="U124" s="475">
        <f t="shared" si="32"/>
        <v>494313</v>
      </c>
      <c r="V124" s="475">
        <f t="shared" si="32"/>
        <v>0</v>
      </c>
      <c r="W124" s="510">
        <f>SUM(W125:W128)</f>
        <v>0</v>
      </c>
      <c r="X124" s="511">
        <f>SUM(X125:X128)</f>
        <v>494313</v>
      </c>
      <c r="AC124" s="2"/>
      <c r="AE124" s="2"/>
      <c r="AF124" s="2"/>
      <c r="AG124" s="2"/>
      <c r="AH124" s="2"/>
    </row>
    <row r="125" spans="1:33" ht="12.75">
      <c r="A125" s="803"/>
      <c r="B125" s="313"/>
      <c r="C125" s="41" t="s">
        <v>378</v>
      </c>
      <c r="D125" s="42">
        <v>373863</v>
      </c>
      <c r="E125" s="42">
        <v>211312</v>
      </c>
      <c r="F125" s="42">
        <v>220574</v>
      </c>
      <c r="G125" s="42">
        <v>190734</v>
      </c>
      <c r="H125" s="42">
        <v>216608</v>
      </c>
      <c r="I125" s="41">
        <v>202225</v>
      </c>
      <c r="J125" s="44">
        <v>118262</v>
      </c>
      <c r="K125" s="44">
        <v>116713</v>
      </c>
      <c r="L125" s="118">
        <v>116713</v>
      </c>
      <c r="M125" s="118">
        <v>132538</v>
      </c>
      <c r="N125" s="22">
        <v>117290</v>
      </c>
      <c r="O125" s="22">
        <v>150490</v>
      </c>
      <c r="P125" s="22">
        <v>157200</v>
      </c>
      <c r="Q125" s="118">
        <v>183913.71</v>
      </c>
      <c r="R125" s="22">
        <v>234058</v>
      </c>
      <c r="S125" s="22">
        <v>257655.4</v>
      </c>
      <c r="T125" s="22">
        <v>316929</v>
      </c>
      <c r="U125" s="490">
        <v>341843</v>
      </c>
      <c r="V125" s="708"/>
      <c r="W125" s="589"/>
      <c r="X125" s="590">
        <f>U125+V125+W125</f>
        <v>341843</v>
      </c>
      <c r="AC125" s="2"/>
      <c r="AG125" s="2"/>
    </row>
    <row r="126" spans="1:33" ht="12.75">
      <c r="A126" s="804"/>
      <c r="B126" s="679"/>
      <c r="C126" s="43" t="s">
        <v>332</v>
      </c>
      <c r="D126" s="44"/>
      <c r="E126" s="44"/>
      <c r="F126" s="44"/>
      <c r="G126" s="44"/>
      <c r="H126" s="44"/>
      <c r="I126" s="43"/>
      <c r="J126" s="44"/>
      <c r="K126" s="44"/>
      <c r="L126" s="205"/>
      <c r="M126" s="205">
        <v>3467.07</v>
      </c>
      <c r="N126" s="26">
        <v>50283.5</v>
      </c>
      <c r="O126" s="26">
        <v>101647</v>
      </c>
      <c r="P126" s="26">
        <v>53450</v>
      </c>
      <c r="Q126" s="205">
        <v>57270</v>
      </c>
      <c r="R126" s="26">
        <v>18835</v>
      </c>
      <c r="S126" s="26">
        <v>105610</v>
      </c>
      <c r="T126" s="26">
        <v>47470</v>
      </c>
      <c r="U126" s="485">
        <v>57470</v>
      </c>
      <c r="V126" s="445"/>
      <c r="W126" s="591"/>
      <c r="X126" s="592">
        <f>U126+V126+W126</f>
        <v>57470</v>
      </c>
      <c r="AC126" s="2"/>
      <c r="AD126" s="2"/>
      <c r="AG126" s="2"/>
    </row>
    <row r="127" spans="1:29" ht="12.75">
      <c r="A127" s="804"/>
      <c r="B127" s="679"/>
      <c r="C127" s="43" t="s">
        <v>367</v>
      </c>
      <c r="D127" s="44"/>
      <c r="E127" s="44"/>
      <c r="F127" s="44"/>
      <c r="G127" s="44"/>
      <c r="H127" s="44"/>
      <c r="I127" s="43"/>
      <c r="J127" s="44"/>
      <c r="K127" s="44"/>
      <c r="L127" s="205"/>
      <c r="M127" s="205"/>
      <c r="N127" s="26"/>
      <c r="O127" s="26"/>
      <c r="P127" s="26"/>
      <c r="Q127" s="205">
        <v>20000</v>
      </c>
      <c r="R127" s="26">
        <v>10000</v>
      </c>
      <c r="S127" s="26"/>
      <c r="T127" s="26">
        <v>10000</v>
      </c>
      <c r="U127" s="485">
        <v>10000</v>
      </c>
      <c r="V127" s="445"/>
      <c r="W127" s="602"/>
      <c r="X127" s="597">
        <f>U127+V127+W127</f>
        <v>10000</v>
      </c>
      <c r="AC127" s="2"/>
    </row>
    <row r="128" spans="1:33" ht="13.5" thickBot="1">
      <c r="A128" s="805"/>
      <c r="B128" s="314"/>
      <c r="C128" s="46" t="s">
        <v>302</v>
      </c>
      <c r="D128" s="60">
        <v>24298</v>
      </c>
      <c r="E128" s="60">
        <v>33957</v>
      </c>
      <c r="F128" s="60">
        <v>45476</v>
      </c>
      <c r="G128" s="60">
        <v>47207</v>
      </c>
      <c r="H128" s="60">
        <v>57100</v>
      </c>
      <c r="I128" s="46">
        <v>60450</v>
      </c>
      <c r="J128" s="44">
        <v>44399</v>
      </c>
      <c r="K128" s="44">
        <v>49200</v>
      </c>
      <c r="L128" s="223">
        <v>56398</v>
      </c>
      <c r="M128" s="223">
        <v>43002</v>
      </c>
      <c r="N128" s="30">
        <v>40000</v>
      </c>
      <c r="O128" s="30">
        <v>715.5</v>
      </c>
      <c r="P128" s="30">
        <f>102630-53450</f>
        <v>49180</v>
      </c>
      <c r="Q128" s="223">
        <v>80000</v>
      </c>
      <c r="R128" s="30">
        <v>50000</v>
      </c>
      <c r="S128" s="30"/>
      <c r="T128" s="30">
        <v>85000</v>
      </c>
      <c r="U128" s="494">
        <v>85000</v>
      </c>
      <c r="V128" s="709"/>
      <c r="W128" s="602"/>
      <c r="X128" s="597">
        <f>U128+V128+W128</f>
        <v>85000</v>
      </c>
      <c r="AC128" s="2"/>
      <c r="AG128" s="2"/>
    </row>
    <row r="129" spans="1:33" ht="15.75" thickBot="1">
      <c r="A129" s="212" t="s">
        <v>315</v>
      </c>
      <c r="B129" s="756" t="s">
        <v>76</v>
      </c>
      <c r="C129" s="787"/>
      <c r="D129" s="67">
        <v>16298</v>
      </c>
      <c r="E129" s="67">
        <f>SUM(E130:E141)</f>
        <v>196674</v>
      </c>
      <c r="F129" s="67">
        <f>SUM(F130:F141)</f>
        <v>276704</v>
      </c>
      <c r="G129" s="67">
        <v>322185</v>
      </c>
      <c r="H129" s="67">
        <v>434860</v>
      </c>
      <c r="I129" s="67">
        <f>SUM(I130:I141)</f>
        <v>399432</v>
      </c>
      <c r="J129" s="67">
        <f>SUM(J130:J141)</f>
        <v>332348</v>
      </c>
      <c r="K129" s="67">
        <f>SUM(K130:K141)</f>
        <v>315787</v>
      </c>
      <c r="L129" s="214">
        <f aca="true" t="shared" si="33" ref="L129:Q129">SUM(L130:L143)</f>
        <v>311192.31999999995</v>
      </c>
      <c r="M129" s="214">
        <f t="shared" si="33"/>
        <v>355810.5</v>
      </c>
      <c r="N129" s="471">
        <f t="shared" si="33"/>
        <v>384915.19</v>
      </c>
      <c r="O129" s="642">
        <f t="shared" si="33"/>
        <v>388070.83</v>
      </c>
      <c r="P129" s="642">
        <f t="shared" si="33"/>
        <v>361113.8</v>
      </c>
      <c r="Q129" s="642">
        <f t="shared" si="33"/>
        <v>408594.14</v>
      </c>
      <c r="R129" s="471">
        <f aca="true" t="shared" si="34" ref="R129:X129">SUM(R130:R143)</f>
        <v>261523</v>
      </c>
      <c r="S129" s="471">
        <f t="shared" si="34"/>
        <v>268647.67</v>
      </c>
      <c r="T129" s="471">
        <f t="shared" si="34"/>
        <v>401502</v>
      </c>
      <c r="U129" s="471">
        <f t="shared" si="34"/>
        <v>441836</v>
      </c>
      <c r="V129" s="471">
        <f t="shared" si="34"/>
        <v>0</v>
      </c>
      <c r="W129" s="510">
        <f t="shared" si="34"/>
        <v>0</v>
      </c>
      <c r="X129" s="511">
        <f t="shared" si="34"/>
        <v>441836</v>
      </c>
      <c r="Y129" s="2"/>
      <c r="AC129" s="2"/>
      <c r="AG129" s="2"/>
    </row>
    <row r="130" spans="1:33" ht="12.75">
      <c r="A130" s="803"/>
      <c r="B130" s="315"/>
      <c r="C130" s="224" t="s">
        <v>303</v>
      </c>
      <c r="D130" s="316">
        <v>4913</v>
      </c>
      <c r="E130" s="316">
        <v>3850</v>
      </c>
      <c r="F130" s="316">
        <v>5112</v>
      </c>
      <c r="G130" s="316"/>
      <c r="H130" s="316"/>
      <c r="I130" s="224">
        <v>6756</v>
      </c>
      <c r="J130" s="316">
        <v>7114</v>
      </c>
      <c r="K130" s="42">
        <v>7113</v>
      </c>
      <c r="L130" s="93">
        <v>7438.6</v>
      </c>
      <c r="M130" s="203">
        <v>12903.29</v>
      </c>
      <c r="N130" s="93">
        <v>10157.04</v>
      </c>
      <c r="O130" s="203">
        <v>15460.72</v>
      </c>
      <c r="P130" s="203">
        <v>9192</v>
      </c>
      <c r="Q130" s="203">
        <v>10989.94</v>
      </c>
      <c r="R130" s="93">
        <v>14300</v>
      </c>
      <c r="S130" s="93">
        <v>9714.43</v>
      </c>
      <c r="T130" s="93">
        <v>14300</v>
      </c>
      <c r="U130" s="484">
        <v>14300</v>
      </c>
      <c r="V130" s="708"/>
      <c r="W130" s="589"/>
      <c r="X130" s="590">
        <f aca="true" t="shared" si="35" ref="X130:X143">U130+V130+W130</f>
        <v>14300</v>
      </c>
      <c r="AC130" s="2"/>
      <c r="AG130" s="2"/>
    </row>
    <row r="131" spans="1:33" ht="12.75">
      <c r="A131" s="804"/>
      <c r="B131" s="317"/>
      <c r="C131" s="226" t="s">
        <v>226</v>
      </c>
      <c r="D131" s="318"/>
      <c r="E131" s="318"/>
      <c r="F131" s="318"/>
      <c r="G131" s="318"/>
      <c r="H131" s="318"/>
      <c r="I131" s="319">
        <v>48971</v>
      </c>
      <c r="J131" s="318"/>
      <c r="K131" s="57"/>
      <c r="L131" s="22"/>
      <c r="M131" s="118"/>
      <c r="N131" s="22"/>
      <c r="O131" s="118"/>
      <c r="P131" s="118">
        <v>12970.5</v>
      </c>
      <c r="Q131" s="118">
        <v>4960</v>
      </c>
      <c r="R131" s="22">
        <v>0</v>
      </c>
      <c r="S131" s="22"/>
      <c r="T131" s="22">
        <v>0</v>
      </c>
      <c r="U131" s="490"/>
      <c r="V131" s="445"/>
      <c r="W131" s="591"/>
      <c r="X131" s="592">
        <f t="shared" si="35"/>
        <v>0</v>
      </c>
      <c r="AC131" s="2"/>
      <c r="AG131" s="2"/>
    </row>
    <row r="132" spans="1:33" ht="12.75">
      <c r="A132" s="804"/>
      <c r="B132" s="317"/>
      <c r="C132" s="226" t="s">
        <v>211</v>
      </c>
      <c r="D132" s="318"/>
      <c r="E132" s="318"/>
      <c r="F132" s="318"/>
      <c r="G132" s="318"/>
      <c r="H132" s="318"/>
      <c r="I132" s="319">
        <v>24304</v>
      </c>
      <c r="J132" s="318">
        <v>10566</v>
      </c>
      <c r="K132" s="57">
        <v>3350</v>
      </c>
      <c r="L132" s="22">
        <v>4052</v>
      </c>
      <c r="M132" s="118">
        <v>10555.27</v>
      </c>
      <c r="N132" s="22"/>
      <c r="O132" s="118">
        <v>12040.65</v>
      </c>
      <c r="P132" s="118">
        <v>15000</v>
      </c>
      <c r="Q132" s="118">
        <v>42000</v>
      </c>
      <c r="R132" s="22">
        <v>10000</v>
      </c>
      <c r="S132" s="22"/>
      <c r="T132" s="22">
        <v>55000</v>
      </c>
      <c r="U132" s="490">
        <v>10000</v>
      </c>
      <c r="V132" s="445"/>
      <c r="W132" s="591"/>
      <c r="X132" s="592">
        <f t="shared" si="35"/>
        <v>10000</v>
      </c>
      <c r="AC132" s="2"/>
      <c r="AG132" s="2"/>
    </row>
    <row r="133" spans="1:33" ht="12.75">
      <c r="A133" s="804"/>
      <c r="B133" s="317"/>
      <c r="C133" s="226" t="s">
        <v>334</v>
      </c>
      <c r="D133" s="318"/>
      <c r="E133" s="318"/>
      <c r="F133" s="318"/>
      <c r="G133" s="318"/>
      <c r="H133" s="318"/>
      <c r="I133" s="319"/>
      <c r="J133" s="318"/>
      <c r="K133" s="57"/>
      <c r="L133" s="22"/>
      <c r="M133" s="118">
        <v>19000</v>
      </c>
      <c r="N133" s="22">
        <v>10407.57</v>
      </c>
      <c r="O133" s="118">
        <v>19000</v>
      </c>
      <c r="P133" s="118">
        <v>3083.2</v>
      </c>
      <c r="Q133" s="118">
        <v>4899.4</v>
      </c>
      <c r="R133" s="22">
        <v>2000</v>
      </c>
      <c r="S133" s="22">
        <v>3257.1899999999996</v>
      </c>
      <c r="T133" s="22">
        <v>7000</v>
      </c>
      <c r="U133" s="490">
        <v>7000</v>
      </c>
      <c r="V133" s="445"/>
      <c r="W133" s="591"/>
      <c r="X133" s="592">
        <f t="shared" si="35"/>
        <v>7000</v>
      </c>
      <c r="AC133" s="2"/>
      <c r="AG133" s="2"/>
    </row>
    <row r="134" spans="1:34" ht="12.75">
      <c r="A134" s="804"/>
      <c r="B134" s="317"/>
      <c r="C134" s="226" t="s">
        <v>304</v>
      </c>
      <c r="D134" s="318"/>
      <c r="E134" s="318"/>
      <c r="F134" s="318"/>
      <c r="G134" s="318"/>
      <c r="H134" s="318"/>
      <c r="I134" s="319"/>
      <c r="J134" s="318"/>
      <c r="K134" s="57"/>
      <c r="L134" s="22"/>
      <c r="M134" s="118"/>
      <c r="N134" s="22">
        <v>15000</v>
      </c>
      <c r="O134" s="118">
        <v>2377</v>
      </c>
      <c r="P134" s="118">
        <v>11700</v>
      </c>
      <c r="Q134" s="118">
        <v>17500</v>
      </c>
      <c r="R134" s="22">
        <v>1000</v>
      </c>
      <c r="S134" s="22">
        <v>6500</v>
      </c>
      <c r="T134" s="22">
        <v>1000</v>
      </c>
      <c r="U134" s="490">
        <v>10000</v>
      </c>
      <c r="V134" s="445"/>
      <c r="W134" s="591"/>
      <c r="X134" s="592">
        <f t="shared" si="35"/>
        <v>10000</v>
      </c>
      <c r="AC134" s="2"/>
      <c r="AE134" s="2"/>
      <c r="AF134" s="2"/>
      <c r="AG134" s="2"/>
      <c r="AH134" s="2"/>
    </row>
    <row r="135" spans="1:33" ht="12.75">
      <c r="A135" s="804"/>
      <c r="B135" s="320"/>
      <c r="C135" s="226" t="s">
        <v>377</v>
      </c>
      <c r="D135" s="206"/>
      <c r="E135" s="206">
        <v>7568</v>
      </c>
      <c r="F135" s="206">
        <v>15767</v>
      </c>
      <c r="G135" s="206">
        <v>15084</v>
      </c>
      <c r="H135" s="206"/>
      <c r="I135" s="226">
        <v>13552</v>
      </c>
      <c r="J135" s="206">
        <v>11060</v>
      </c>
      <c r="K135" s="44">
        <v>9650</v>
      </c>
      <c r="L135" s="26">
        <v>9100</v>
      </c>
      <c r="M135" s="205">
        <v>10889.5</v>
      </c>
      <c r="N135" s="26">
        <v>15000</v>
      </c>
      <c r="O135" s="205">
        <v>7950</v>
      </c>
      <c r="P135" s="205"/>
      <c r="Q135" s="205"/>
      <c r="R135" s="26">
        <v>4000</v>
      </c>
      <c r="S135" s="26"/>
      <c r="T135" s="26">
        <v>0</v>
      </c>
      <c r="U135" s="485">
        <v>6000</v>
      </c>
      <c r="V135" s="445"/>
      <c r="W135" s="591"/>
      <c r="X135" s="592">
        <f t="shared" si="35"/>
        <v>6000</v>
      </c>
      <c r="AC135" s="2"/>
      <c r="AG135" s="2"/>
    </row>
    <row r="136" spans="1:33" ht="12.75">
      <c r="A136" s="804"/>
      <c r="B136" s="320"/>
      <c r="C136" s="226" t="s">
        <v>73</v>
      </c>
      <c r="D136" s="206"/>
      <c r="E136" s="206"/>
      <c r="F136" s="206"/>
      <c r="G136" s="206"/>
      <c r="H136" s="206"/>
      <c r="I136" s="226"/>
      <c r="J136" s="206"/>
      <c r="K136" s="44"/>
      <c r="L136" s="26"/>
      <c r="M136" s="26"/>
      <c r="N136" s="26"/>
      <c r="O136" s="205">
        <v>10000</v>
      </c>
      <c r="P136" s="205">
        <v>5000</v>
      </c>
      <c r="Q136" s="205"/>
      <c r="R136" s="26">
        <v>0</v>
      </c>
      <c r="S136" s="26"/>
      <c r="T136" s="26">
        <v>0</v>
      </c>
      <c r="U136" s="485">
        <v>4000</v>
      </c>
      <c r="V136" s="445"/>
      <c r="W136" s="591"/>
      <c r="X136" s="592">
        <f t="shared" si="35"/>
        <v>4000</v>
      </c>
      <c r="AC136" s="2"/>
      <c r="AG136" s="2"/>
    </row>
    <row r="137" spans="1:33" ht="12.75">
      <c r="A137" s="804"/>
      <c r="B137" s="320"/>
      <c r="C137" s="226" t="s">
        <v>324</v>
      </c>
      <c r="D137" s="206"/>
      <c r="E137" s="206"/>
      <c r="F137" s="206"/>
      <c r="G137" s="206"/>
      <c r="H137" s="206"/>
      <c r="I137" s="226"/>
      <c r="J137" s="206"/>
      <c r="K137" s="44"/>
      <c r="L137" s="26"/>
      <c r="M137" s="26"/>
      <c r="N137" s="26">
        <v>256.58</v>
      </c>
      <c r="O137" s="205">
        <v>4000</v>
      </c>
      <c r="P137" s="205">
        <v>6335</v>
      </c>
      <c r="Q137" s="205">
        <v>10280.42</v>
      </c>
      <c r="R137" s="26">
        <v>1000</v>
      </c>
      <c r="S137" s="26"/>
      <c r="T137" s="26">
        <v>5000</v>
      </c>
      <c r="U137" s="485">
        <v>5000</v>
      </c>
      <c r="V137" s="445"/>
      <c r="W137" s="591"/>
      <c r="X137" s="592">
        <f t="shared" si="35"/>
        <v>5000</v>
      </c>
      <c r="AC137" s="2"/>
      <c r="AG137" s="2"/>
    </row>
    <row r="138" spans="1:33" ht="12.75">
      <c r="A138" s="804"/>
      <c r="B138" s="320"/>
      <c r="C138" s="226" t="s">
        <v>206</v>
      </c>
      <c r="D138" s="206"/>
      <c r="E138" s="206"/>
      <c r="F138" s="206"/>
      <c r="G138" s="206"/>
      <c r="H138" s="206"/>
      <c r="I138" s="226"/>
      <c r="J138" s="206"/>
      <c r="K138" s="44"/>
      <c r="L138" s="26"/>
      <c r="M138" s="26"/>
      <c r="N138" s="26">
        <v>4000</v>
      </c>
      <c r="O138" s="205">
        <v>1050</v>
      </c>
      <c r="P138" s="205">
        <v>42000.1</v>
      </c>
      <c r="Q138" s="205">
        <v>86465</v>
      </c>
      <c r="R138" s="26">
        <v>75178</v>
      </c>
      <c r="S138" s="26">
        <v>71700</v>
      </c>
      <c r="T138" s="26">
        <v>99317</v>
      </c>
      <c r="U138" s="485">
        <v>131000</v>
      </c>
      <c r="V138" s="445"/>
      <c r="W138" s="591"/>
      <c r="X138" s="592">
        <f t="shared" si="35"/>
        <v>131000</v>
      </c>
      <c r="AC138" s="2"/>
      <c r="AG138" s="2"/>
    </row>
    <row r="139" spans="1:33" ht="12.75">
      <c r="A139" s="804"/>
      <c r="B139" s="320"/>
      <c r="C139" s="226" t="s">
        <v>207</v>
      </c>
      <c r="D139" s="206"/>
      <c r="E139" s="206">
        <v>58189</v>
      </c>
      <c r="F139" s="206">
        <v>75483</v>
      </c>
      <c r="G139" s="206">
        <v>91400</v>
      </c>
      <c r="H139" s="206"/>
      <c r="I139" s="226">
        <v>152242</v>
      </c>
      <c r="J139" s="206">
        <v>162681</v>
      </c>
      <c r="K139" s="44">
        <v>150333</v>
      </c>
      <c r="L139" s="26">
        <v>119218</v>
      </c>
      <c r="M139" s="205">
        <v>148153</v>
      </c>
      <c r="N139" s="26">
        <v>76969</v>
      </c>
      <c r="O139" s="205">
        <v>70558</v>
      </c>
      <c r="P139" s="205">
        <v>77400</v>
      </c>
      <c r="Q139" s="205">
        <v>117346.38</v>
      </c>
      <c r="R139" s="26">
        <v>88613</v>
      </c>
      <c r="S139" s="26">
        <v>86733</v>
      </c>
      <c r="T139" s="26">
        <v>103402</v>
      </c>
      <c r="U139" s="485">
        <v>132000</v>
      </c>
      <c r="V139" s="445"/>
      <c r="W139" s="591"/>
      <c r="X139" s="592">
        <f t="shared" si="35"/>
        <v>132000</v>
      </c>
      <c r="AC139" s="2"/>
      <c r="AG139" s="2"/>
    </row>
    <row r="140" spans="1:33" ht="12.75">
      <c r="A140" s="804"/>
      <c r="B140" s="320"/>
      <c r="C140" s="226" t="s">
        <v>368</v>
      </c>
      <c r="D140" s="206"/>
      <c r="E140" s="206">
        <v>99250</v>
      </c>
      <c r="F140" s="206">
        <v>153754</v>
      </c>
      <c r="G140" s="206">
        <v>143286</v>
      </c>
      <c r="H140" s="206"/>
      <c r="I140" s="226">
        <v>86643</v>
      </c>
      <c r="J140" s="206">
        <v>82311</v>
      </c>
      <c r="K140" s="44">
        <v>93232</v>
      </c>
      <c r="L140" s="26">
        <v>109100</v>
      </c>
      <c r="M140" s="205">
        <v>88221</v>
      </c>
      <c r="N140" s="26">
        <v>81209</v>
      </c>
      <c r="O140" s="205">
        <v>72867</v>
      </c>
      <c r="P140" s="205"/>
      <c r="Q140" s="205"/>
      <c r="R140" s="26">
        <v>0</v>
      </c>
      <c r="S140" s="26"/>
      <c r="T140" s="26">
        <v>0</v>
      </c>
      <c r="U140" s="485">
        <v>0</v>
      </c>
      <c r="V140" s="445"/>
      <c r="W140" s="591"/>
      <c r="X140" s="592">
        <f t="shared" si="35"/>
        <v>0</v>
      </c>
      <c r="AC140" s="2"/>
      <c r="AG140" s="2"/>
    </row>
    <row r="141" spans="1:33" ht="12.75">
      <c r="A141" s="804"/>
      <c r="B141" s="321"/>
      <c r="C141" s="43" t="s">
        <v>208</v>
      </c>
      <c r="D141" s="44"/>
      <c r="E141" s="44">
        <v>27817</v>
      </c>
      <c r="F141" s="44">
        <v>26588</v>
      </c>
      <c r="G141" s="44">
        <v>25790</v>
      </c>
      <c r="H141" s="44"/>
      <c r="I141" s="43">
        <v>66964</v>
      </c>
      <c r="J141" s="44">
        <v>58616</v>
      </c>
      <c r="K141" s="44">
        <v>52109</v>
      </c>
      <c r="L141" s="44">
        <v>49442</v>
      </c>
      <c r="M141" s="114">
        <v>49808</v>
      </c>
      <c r="N141" s="26">
        <v>60863</v>
      </c>
      <c r="O141" s="205">
        <v>64900</v>
      </c>
      <c r="P141" s="205">
        <v>67942</v>
      </c>
      <c r="Q141" s="205"/>
      <c r="R141" s="26">
        <v>0</v>
      </c>
      <c r="S141" s="26"/>
      <c r="T141" s="26">
        <v>0</v>
      </c>
      <c r="U141" s="485">
        <v>0</v>
      </c>
      <c r="V141" s="445"/>
      <c r="W141" s="591"/>
      <c r="X141" s="592">
        <f t="shared" si="35"/>
        <v>0</v>
      </c>
      <c r="AC141" s="2"/>
      <c r="AG141" s="2"/>
    </row>
    <row r="142" spans="1:33" ht="12.75">
      <c r="A142" s="804"/>
      <c r="B142" s="446"/>
      <c r="C142" s="47" t="s">
        <v>209</v>
      </c>
      <c r="D142" s="74"/>
      <c r="E142" s="74"/>
      <c r="F142" s="74"/>
      <c r="G142" s="74"/>
      <c r="H142" s="74"/>
      <c r="I142" s="47"/>
      <c r="J142" s="74"/>
      <c r="K142" s="74"/>
      <c r="L142" s="74">
        <v>12841.72</v>
      </c>
      <c r="M142" s="254">
        <v>16280.44</v>
      </c>
      <c r="N142" s="30">
        <v>18152</v>
      </c>
      <c r="O142" s="223">
        <v>24031</v>
      </c>
      <c r="P142" s="223">
        <v>24298</v>
      </c>
      <c r="Q142" s="223">
        <v>25498</v>
      </c>
      <c r="R142" s="30">
        <v>7498</v>
      </c>
      <c r="S142" s="30">
        <v>18663</v>
      </c>
      <c r="T142" s="30">
        <v>21115</v>
      </c>
      <c r="U142" s="494">
        <v>25555</v>
      </c>
      <c r="V142" s="445"/>
      <c r="W142" s="591"/>
      <c r="X142" s="592">
        <f t="shared" si="35"/>
        <v>25555</v>
      </c>
      <c r="AC142" s="2"/>
      <c r="AG142" s="2"/>
    </row>
    <row r="143" spans="1:33" ht="13.5" thickBot="1">
      <c r="A143" s="805"/>
      <c r="B143" s="322"/>
      <c r="C143" s="46" t="s">
        <v>210</v>
      </c>
      <c r="D143" s="60"/>
      <c r="E143" s="60"/>
      <c r="F143" s="60"/>
      <c r="G143" s="60"/>
      <c r="H143" s="60"/>
      <c r="I143" s="46"/>
      <c r="J143" s="60"/>
      <c r="K143" s="60"/>
      <c r="L143" s="60"/>
      <c r="M143" s="60"/>
      <c r="N143" s="48">
        <v>92901</v>
      </c>
      <c r="O143" s="255">
        <v>83836.46</v>
      </c>
      <c r="P143" s="255">
        <v>86193</v>
      </c>
      <c r="Q143" s="255">
        <v>88655</v>
      </c>
      <c r="R143" s="48">
        <v>57934</v>
      </c>
      <c r="S143" s="48">
        <v>72080.05</v>
      </c>
      <c r="T143" s="48">
        <v>95368</v>
      </c>
      <c r="U143" s="476">
        <v>96981</v>
      </c>
      <c r="V143" s="709"/>
      <c r="W143" s="602"/>
      <c r="X143" s="597">
        <f t="shared" si="35"/>
        <v>96981</v>
      </c>
      <c r="AC143" s="2"/>
      <c r="AG143" s="2"/>
    </row>
    <row r="144" spans="1:33" ht="15.75" thickBot="1">
      <c r="A144" s="291" t="s">
        <v>305</v>
      </c>
      <c r="B144" s="756" t="s">
        <v>0</v>
      </c>
      <c r="C144" s="787"/>
      <c r="D144" s="67">
        <f>SUM(D145:D146)</f>
        <v>0</v>
      </c>
      <c r="E144" s="67">
        <f>SUM(E145:E146)</f>
        <v>44944</v>
      </c>
      <c r="F144" s="67">
        <f>SUM(F145:F146)</f>
        <v>55765</v>
      </c>
      <c r="G144" s="67">
        <f>SUM(G145:G146)</f>
        <v>48780</v>
      </c>
      <c r="H144" s="67">
        <f aca="true" t="shared" si="36" ref="H144:M144">SUM(H145:H146)</f>
        <v>52570</v>
      </c>
      <c r="I144" s="67">
        <f t="shared" si="36"/>
        <v>48691</v>
      </c>
      <c r="J144" s="67">
        <f t="shared" si="36"/>
        <v>46108</v>
      </c>
      <c r="K144" s="79">
        <f t="shared" si="36"/>
        <v>47470</v>
      </c>
      <c r="L144" s="80">
        <f t="shared" si="36"/>
        <v>48334.8</v>
      </c>
      <c r="M144" s="80">
        <f t="shared" si="36"/>
        <v>45244.8</v>
      </c>
      <c r="N144" s="475">
        <f aca="true" t="shared" si="37" ref="N144:V144">SUM(N145:N146)</f>
        <v>51246.22</v>
      </c>
      <c r="O144" s="644">
        <f t="shared" si="37"/>
        <v>45133.520000000004</v>
      </c>
      <c r="P144" s="644">
        <f t="shared" si="37"/>
        <v>47476.15</v>
      </c>
      <c r="Q144" s="644">
        <f t="shared" si="37"/>
        <v>47435.44</v>
      </c>
      <c r="R144" s="475">
        <f t="shared" si="37"/>
        <v>58836</v>
      </c>
      <c r="S144" s="475">
        <f t="shared" si="37"/>
        <v>55192.62</v>
      </c>
      <c r="T144" s="475">
        <f>SUM(T145:T146)</f>
        <v>61836</v>
      </c>
      <c r="U144" s="475">
        <f t="shared" si="37"/>
        <v>68261</v>
      </c>
      <c r="V144" s="716">
        <f t="shared" si="37"/>
        <v>0</v>
      </c>
      <c r="W144" s="510">
        <f>SUM(W145:W146)</f>
        <v>0</v>
      </c>
      <c r="X144" s="511">
        <f>SUM(X145:X146)</f>
        <v>68261</v>
      </c>
      <c r="AC144" s="2"/>
      <c r="AG144" s="2"/>
    </row>
    <row r="145" spans="1:33" ht="12.75">
      <c r="A145" s="803"/>
      <c r="B145" s="229">
        <v>630</v>
      </c>
      <c r="C145" s="224" t="s">
        <v>214</v>
      </c>
      <c r="D145" s="316"/>
      <c r="E145" s="316">
        <v>36679</v>
      </c>
      <c r="F145" s="316">
        <v>46803</v>
      </c>
      <c r="G145" s="316">
        <v>39726</v>
      </c>
      <c r="H145" s="316">
        <v>43006</v>
      </c>
      <c r="I145" s="224">
        <v>38795</v>
      </c>
      <c r="J145" s="224">
        <v>36600</v>
      </c>
      <c r="K145" s="42">
        <v>37500</v>
      </c>
      <c r="L145" s="203">
        <v>40890</v>
      </c>
      <c r="M145" s="203">
        <v>37800</v>
      </c>
      <c r="N145" s="93">
        <v>39750</v>
      </c>
      <c r="O145" s="203">
        <v>33550</v>
      </c>
      <c r="P145" s="203">
        <v>37036.15</v>
      </c>
      <c r="Q145" s="203">
        <v>37925.44</v>
      </c>
      <c r="R145" s="93">
        <v>39836</v>
      </c>
      <c r="S145" s="93">
        <v>42509.62</v>
      </c>
      <c r="T145" s="93">
        <v>42836</v>
      </c>
      <c r="U145" s="93">
        <v>49261</v>
      </c>
      <c r="V145" s="708"/>
      <c r="W145" s="589"/>
      <c r="X145" s="590">
        <f>U145+V145+W145</f>
        <v>49261</v>
      </c>
      <c r="AC145" s="2"/>
      <c r="AG145" s="2"/>
    </row>
    <row r="146" spans="1:33" ht="13.5" thickBot="1">
      <c r="A146" s="805"/>
      <c r="B146" s="253">
        <v>630</v>
      </c>
      <c r="C146" s="299" t="s">
        <v>1</v>
      </c>
      <c r="D146" s="301"/>
      <c r="E146" s="301">
        <v>8265</v>
      </c>
      <c r="F146" s="301">
        <v>8962</v>
      </c>
      <c r="G146" s="301">
        <v>9054</v>
      </c>
      <c r="H146" s="301">
        <v>9564</v>
      </c>
      <c r="I146" s="299">
        <v>9896</v>
      </c>
      <c r="J146" s="299">
        <v>9508</v>
      </c>
      <c r="K146" s="60">
        <v>9970</v>
      </c>
      <c r="L146" s="255">
        <v>7444.8</v>
      </c>
      <c r="M146" s="255">
        <v>7444.8</v>
      </c>
      <c r="N146" s="48">
        <v>11496.22</v>
      </c>
      <c r="O146" s="255">
        <v>11583.52</v>
      </c>
      <c r="P146" s="255">
        <v>10440</v>
      </c>
      <c r="Q146" s="255">
        <v>9510</v>
      </c>
      <c r="R146" s="48">
        <v>19000</v>
      </c>
      <c r="S146" s="48">
        <v>12683</v>
      </c>
      <c r="T146" s="48">
        <v>19000</v>
      </c>
      <c r="U146" s="476">
        <v>19000</v>
      </c>
      <c r="V146" s="709"/>
      <c r="W146" s="602"/>
      <c r="X146" s="597">
        <f>U146+V146+W146</f>
        <v>19000</v>
      </c>
      <c r="AC146" s="2"/>
      <c r="AG146" s="2"/>
    </row>
    <row r="147" spans="1:33" ht="15.75" thickBot="1">
      <c r="A147" s="267" t="s">
        <v>66</v>
      </c>
      <c r="B147" s="756" t="s">
        <v>2</v>
      </c>
      <c r="C147" s="787"/>
      <c r="D147" s="67">
        <v>6008</v>
      </c>
      <c r="E147" s="67">
        <f>SUM(E148:E151)</f>
        <v>6373</v>
      </c>
      <c r="F147" s="67">
        <f>SUM(F148:F151)</f>
        <v>76413</v>
      </c>
      <c r="G147" s="67">
        <f>SUM(G148:G151)</f>
        <v>50904</v>
      </c>
      <c r="H147" s="67">
        <v>43602</v>
      </c>
      <c r="I147" s="67">
        <f aca="true" t="shared" si="38" ref="I147:V147">SUM(I148:I151)</f>
        <v>80402</v>
      </c>
      <c r="J147" s="67">
        <f t="shared" si="38"/>
        <v>65201</v>
      </c>
      <c r="K147" s="67">
        <f t="shared" si="38"/>
        <v>82763</v>
      </c>
      <c r="L147" s="214">
        <f t="shared" si="38"/>
        <v>85325.96</v>
      </c>
      <c r="M147" s="214">
        <f t="shared" si="38"/>
        <v>98428.31</v>
      </c>
      <c r="N147" s="471">
        <f t="shared" si="38"/>
        <v>91637.84999999999</v>
      </c>
      <c r="O147" s="471">
        <f t="shared" si="38"/>
        <v>98282.1</v>
      </c>
      <c r="P147" s="471">
        <f t="shared" si="38"/>
        <v>86440.45</v>
      </c>
      <c r="Q147" s="642">
        <f t="shared" si="38"/>
        <v>124303.2</v>
      </c>
      <c r="R147" s="471">
        <f t="shared" si="38"/>
        <v>102958</v>
      </c>
      <c r="S147" s="471">
        <f t="shared" si="38"/>
        <v>120375.1</v>
      </c>
      <c r="T147" s="471">
        <f t="shared" si="38"/>
        <v>133572</v>
      </c>
      <c r="U147" s="471">
        <f t="shared" si="38"/>
        <v>110990</v>
      </c>
      <c r="V147" s="471">
        <f t="shared" si="38"/>
        <v>0</v>
      </c>
      <c r="W147" s="510">
        <f>SUM(W148:W151)</f>
        <v>0</v>
      </c>
      <c r="X147" s="511">
        <f>SUM(X148:X151)</f>
        <v>110990</v>
      </c>
      <c r="AC147" s="2"/>
      <c r="AG147" s="2"/>
    </row>
    <row r="148" spans="1:33" ht="12.75">
      <c r="A148" s="829"/>
      <c r="B148" s="824"/>
      <c r="C148" s="41" t="s">
        <v>3</v>
      </c>
      <c r="D148" s="42"/>
      <c r="E148" s="42">
        <v>5842</v>
      </c>
      <c r="F148" s="42">
        <v>6108</v>
      </c>
      <c r="G148" s="42">
        <v>13480</v>
      </c>
      <c r="H148" s="42">
        <v>6009</v>
      </c>
      <c r="I148" s="41">
        <v>6900</v>
      </c>
      <c r="J148" s="316">
        <v>3787</v>
      </c>
      <c r="K148" s="42">
        <v>3290</v>
      </c>
      <c r="L148" s="203">
        <v>1483</v>
      </c>
      <c r="M148" s="203">
        <v>9142.95</v>
      </c>
      <c r="N148" s="93">
        <v>5153.01</v>
      </c>
      <c r="O148" s="93"/>
      <c r="P148" s="93"/>
      <c r="Q148" s="203"/>
      <c r="R148" s="93">
        <v>0</v>
      </c>
      <c r="S148" s="93"/>
      <c r="T148" s="93">
        <v>0</v>
      </c>
      <c r="U148" s="484"/>
      <c r="V148" s="711"/>
      <c r="W148" s="628"/>
      <c r="X148" s="629">
        <f>U148+V148+W148</f>
        <v>0</v>
      </c>
      <c r="AC148" s="2"/>
      <c r="AG148" s="2"/>
    </row>
    <row r="149" spans="1:33" ht="12.75">
      <c r="A149" s="830"/>
      <c r="B149" s="825"/>
      <c r="C149" s="43" t="s">
        <v>163</v>
      </c>
      <c r="D149" s="44"/>
      <c r="E149" s="44"/>
      <c r="F149" s="44"/>
      <c r="G149" s="44"/>
      <c r="H149" s="44"/>
      <c r="I149" s="43"/>
      <c r="J149" s="206"/>
      <c r="K149" s="44"/>
      <c r="L149" s="118"/>
      <c r="M149" s="118"/>
      <c r="N149" s="22"/>
      <c r="O149" s="118">
        <v>4985.1</v>
      </c>
      <c r="P149" s="118">
        <v>14458.009999999998</v>
      </c>
      <c r="Q149" s="118">
        <v>18101.53</v>
      </c>
      <c r="R149" s="22">
        <v>12748</v>
      </c>
      <c r="S149" s="22">
        <v>24224.58</v>
      </c>
      <c r="T149" s="22">
        <v>22628</v>
      </c>
      <c r="U149" s="490"/>
      <c r="V149" s="708"/>
      <c r="W149" s="589"/>
      <c r="X149" s="590">
        <f>U149+V149+W149</f>
        <v>0</v>
      </c>
      <c r="AC149" s="2"/>
      <c r="AG149" s="2"/>
    </row>
    <row r="150" spans="1:33" ht="12.75">
      <c r="A150" s="830"/>
      <c r="B150" s="825"/>
      <c r="C150" s="43" t="s">
        <v>4</v>
      </c>
      <c r="D150" s="44"/>
      <c r="E150" s="44">
        <v>0</v>
      </c>
      <c r="F150" s="44">
        <v>66388</v>
      </c>
      <c r="G150" s="44">
        <v>33390</v>
      </c>
      <c r="H150" s="44">
        <v>32749</v>
      </c>
      <c r="I150" s="43">
        <v>70000</v>
      </c>
      <c r="J150" s="206">
        <v>59118</v>
      </c>
      <c r="K150" s="44">
        <v>75103</v>
      </c>
      <c r="L150" s="205">
        <v>81056.96</v>
      </c>
      <c r="M150" s="205">
        <v>86285.36</v>
      </c>
      <c r="N150" s="26">
        <v>5874.72</v>
      </c>
      <c r="O150" s="205">
        <v>90485</v>
      </c>
      <c r="P150" s="205">
        <v>71812.44</v>
      </c>
      <c r="Q150" s="205">
        <v>103201.67</v>
      </c>
      <c r="R150" s="26">
        <v>88710</v>
      </c>
      <c r="S150" s="26">
        <v>95300.52</v>
      </c>
      <c r="T150" s="26">
        <v>109444</v>
      </c>
      <c r="U150" s="485">
        <v>108990</v>
      </c>
      <c r="V150" s="445"/>
      <c r="W150" s="591"/>
      <c r="X150" s="592">
        <f>U150+V150+W150</f>
        <v>108990</v>
      </c>
      <c r="AC150" s="2"/>
      <c r="AG150" s="2"/>
    </row>
    <row r="151" spans="1:33" ht="13.5" thickBot="1">
      <c r="A151" s="831"/>
      <c r="B151" s="826"/>
      <c r="C151" s="115" t="s">
        <v>5</v>
      </c>
      <c r="D151" s="210"/>
      <c r="E151" s="210">
        <v>531</v>
      </c>
      <c r="F151" s="210">
        <v>3917</v>
      </c>
      <c r="G151" s="210">
        <v>4034</v>
      </c>
      <c r="H151" s="210">
        <v>796</v>
      </c>
      <c r="I151" s="115">
        <v>3502</v>
      </c>
      <c r="J151" s="301">
        <v>2296</v>
      </c>
      <c r="K151" s="60">
        <v>4370</v>
      </c>
      <c r="L151" s="211">
        <v>2786</v>
      </c>
      <c r="M151" s="211">
        <v>3000</v>
      </c>
      <c r="N151" s="77">
        <v>80610.12</v>
      </c>
      <c r="O151" s="211">
        <v>2812</v>
      </c>
      <c r="P151" s="211">
        <v>170</v>
      </c>
      <c r="Q151" s="211">
        <v>3000</v>
      </c>
      <c r="R151" s="77">
        <v>1500</v>
      </c>
      <c r="S151" s="77">
        <v>850</v>
      </c>
      <c r="T151" s="77">
        <v>1500</v>
      </c>
      <c r="U151" s="77">
        <v>2000</v>
      </c>
      <c r="V151" s="630"/>
      <c r="W151" s="630"/>
      <c r="X151" s="631">
        <f>U151+V151+W151</f>
        <v>2000</v>
      </c>
      <c r="AC151" s="2"/>
      <c r="AG151" s="2"/>
    </row>
    <row r="152" spans="1:34" ht="15.75" thickBot="1">
      <c r="A152" s="212" t="s">
        <v>6</v>
      </c>
      <c r="B152" s="756" t="s">
        <v>7</v>
      </c>
      <c r="C152" s="787"/>
      <c r="D152" s="67">
        <v>2960832</v>
      </c>
      <c r="E152" s="67">
        <v>3369814</v>
      </c>
      <c r="F152" s="67">
        <v>3780057</v>
      </c>
      <c r="G152" s="67">
        <v>4405952.43</v>
      </c>
      <c r="H152" s="67">
        <v>4455752</v>
      </c>
      <c r="I152" s="67">
        <f aca="true" t="shared" si="39" ref="I152:U152">I153+I158</f>
        <v>4609033</v>
      </c>
      <c r="J152" s="67">
        <f t="shared" si="39"/>
        <v>4840194</v>
      </c>
      <c r="K152" s="67">
        <f t="shared" si="39"/>
        <v>4773475</v>
      </c>
      <c r="L152" s="214">
        <f>L153+L158</f>
        <v>4944992.85</v>
      </c>
      <c r="M152" s="214">
        <f t="shared" si="39"/>
        <v>5255422.85</v>
      </c>
      <c r="N152" s="471">
        <f t="shared" si="39"/>
        <v>5401219.45</v>
      </c>
      <c r="O152" s="642">
        <f aca="true" t="shared" si="40" ref="O152:T152">O153+O158</f>
        <v>5606281.4399999995</v>
      </c>
      <c r="P152" s="642">
        <f t="shared" si="40"/>
        <v>5915004.52</v>
      </c>
      <c r="Q152" s="642">
        <f t="shared" si="40"/>
        <v>6513428.659999999</v>
      </c>
      <c r="R152" s="471">
        <f t="shared" si="40"/>
        <v>6622320</v>
      </c>
      <c r="S152" s="471">
        <f t="shared" si="40"/>
        <v>7277274.319999999</v>
      </c>
      <c r="T152" s="471">
        <f t="shared" si="40"/>
        <v>7604789</v>
      </c>
      <c r="U152" s="471">
        <f t="shared" si="39"/>
        <v>7566193</v>
      </c>
      <c r="V152" s="471">
        <f>V153+V158</f>
        <v>0</v>
      </c>
      <c r="W152" s="510">
        <f>W153+W158</f>
        <v>69428</v>
      </c>
      <c r="X152" s="511">
        <f>X153+X158</f>
        <v>7635621</v>
      </c>
      <c r="AC152" s="2"/>
      <c r="AE152" s="2"/>
      <c r="AF152" s="2"/>
      <c r="AG152" s="2"/>
      <c r="AH152" s="2"/>
    </row>
    <row r="153" spans="1:33" ht="15.75" thickBot="1">
      <c r="A153" s="829"/>
      <c r="B153" s="832" t="s">
        <v>227</v>
      </c>
      <c r="C153" s="833"/>
      <c r="D153" s="64">
        <v>29177</v>
      </c>
      <c r="E153" s="64">
        <v>27518</v>
      </c>
      <c r="F153" s="64">
        <v>28447</v>
      </c>
      <c r="G153" s="64">
        <v>30677</v>
      </c>
      <c r="H153" s="64">
        <v>31410</v>
      </c>
      <c r="I153" s="64">
        <f>SUM(I154:I156)</f>
        <v>41249</v>
      </c>
      <c r="J153" s="64">
        <f>SUM(J154:J156)</f>
        <v>38808</v>
      </c>
      <c r="K153" s="64">
        <f>SUM(K154:K156)</f>
        <v>36313</v>
      </c>
      <c r="L153" s="155">
        <f>SUM(L154:L156)</f>
        <v>35493.83</v>
      </c>
      <c r="M153" s="155">
        <f>SUM(M154:M157)</f>
        <v>51463.89000000001</v>
      </c>
      <c r="N153" s="478">
        <f>SUM(N154:N156)</f>
        <v>56202.630000000005</v>
      </c>
      <c r="O153" s="650">
        <f>SUM(O154:O156)</f>
        <v>54280.090000000004</v>
      </c>
      <c r="P153" s="650">
        <f>SUM(P154:P157)</f>
        <v>61314.87</v>
      </c>
      <c r="Q153" s="650">
        <f>SUM(Q154:Q157)</f>
        <v>51737.259999999995</v>
      </c>
      <c r="R153" s="478">
        <f aca="true" t="shared" si="41" ref="R153:X153">SUM(R154:R156)</f>
        <v>65741</v>
      </c>
      <c r="S153" s="478">
        <f t="shared" si="41"/>
        <v>44484.13</v>
      </c>
      <c r="T153" s="478">
        <f t="shared" si="41"/>
        <v>70862</v>
      </c>
      <c r="U153" s="478">
        <f t="shared" si="41"/>
        <v>74399</v>
      </c>
      <c r="V153" s="478">
        <f t="shared" si="41"/>
        <v>0</v>
      </c>
      <c r="W153" s="510">
        <f t="shared" si="41"/>
        <v>0</v>
      </c>
      <c r="X153" s="511">
        <f t="shared" si="41"/>
        <v>74399</v>
      </c>
      <c r="AC153" s="2"/>
      <c r="AG153" s="2"/>
    </row>
    <row r="154" spans="1:33" ht="12.75">
      <c r="A154" s="830"/>
      <c r="B154" s="309">
        <v>610</v>
      </c>
      <c r="C154" s="72" t="s">
        <v>247</v>
      </c>
      <c r="D154" s="242"/>
      <c r="E154" s="242">
        <v>18854</v>
      </c>
      <c r="F154" s="242">
        <v>18290</v>
      </c>
      <c r="G154" s="242">
        <v>19464</v>
      </c>
      <c r="H154" s="242">
        <v>22248</v>
      </c>
      <c r="I154" s="145">
        <v>29541</v>
      </c>
      <c r="J154" s="206">
        <v>26330</v>
      </c>
      <c r="K154" s="44">
        <v>25388</v>
      </c>
      <c r="L154" s="242">
        <v>24578.53</v>
      </c>
      <c r="M154" s="538">
        <v>33902.8</v>
      </c>
      <c r="N154" s="546">
        <v>34953.55</v>
      </c>
      <c r="O154" s="651">
        <v>37117.04</v>
      </c>
      <c r="P154" s="651">
        <v>39049.72</v>
      </c>
      <c r="Q154" s="651">
        <v>35866.21</v>
      </c>
      <c r="R154" s="546">
        <v>45404</v>
      </c>
      <c r="S154" s="546">
        <v>32858.17</v>
      </c>
      <c r="T154" s="546">
        <v>49504</v>
      </c>
      <c r="U154" s="498">
        <v>51820</v>
      </c>
      <c r="V154" s="708"/>
      <c r="W154" s="589"/>
      <c r="X154" s="590">
        <f>U154+V154+W154</f>
        <v>51820</v>
      </c>
      <c r="AC154" s="2"/>
      <c r="AG154" s="2"/>
    </row>
    <row r="155" spans="1:33" ht="12.75">
      <c r="A155" s="830"/>
      <c r="B155" s="230">
        <v>620</v>
      </c>
      <c r="C155" s="43" t="s">
        <v>248</v>
      </c>
      <c r="D155" s="44"/>
      <c r="E155" s="44">
        <v>6473</v>
      </c>
      <c r="F155" s="44">
        <v>6340</v>
      </c>
      <c r="G155" s="44">
        <v>6869</v>
      </c>
      <c r="H155" s="44">
        <v>6877</v>
      </c>
      <c r="I155" s="43">
        <v>9575</v>
      </c>
      <c r="J155" s="206">
        <v>9735</v>
      </c>
      <c r="K155" s="44">
        <v>9358</v>
      </c>
      <c r="L155" s="44">
        <v>9719.8</v>
      </c>
      <c r="M155" s="192">
        <v>11551.79</v>
      </c>
      <c r="N155" s="96">
        <v>12736.3</v>
      </c>
      <c r="O155" s="652">
        <v>13736.32</v>
      </c>
      <c r="P155" s="652">
        <v>15439.53</v>
      </c>
      <c r="Q155" s="652">
        <v>12794.52</v>
      </c>
      <c r="R155" s="96">
        <v>16337</v>
      </c>
      <c r="S155" s="96">
        <v>10514.61</v>
      </c>
      <c r="T155" s="96">
        <v>17358</v>
      </c>
      <c r="U155" s="499">
        <v>18579</v>
      </c>
      <c r="V155" s="445"/>
      <c r="W155" s="591"/>
      <c r="X155" s="592">
        <f>U155+V155+W155</f>
        <v>18579</v>
      </c>
      <c r="AC155" s="2"/>
      <c r="AG155" s="2"/>
    </row>
    <row r="156" spans="1:33" ht="13.5" thickBot="1">
      <c r="A156" s="830"/>
      <c r="B156" s="204">
        <v>630</v>
      </c>
      <c r="C156" s="43" t="s">
        <v>249</v>
      </c>
      <c r="D156" s="60"/>
      <c r="E156" s="60">
        <v>2191</v>
      </c>
      <c r="F156" s="60">
        <v>3817</v>
      </c>
      <c r="G156" s="60">
        <v>4344</v>
      </c>
      <c r="H156" s="60">
        <v>2285</v>
      </c>
      <c r="I156" s="46">
        <v>2133</v>
      </c>
      <c r="J156" s="206">
        <v>2743</v>
      </c>
      <c r="K156" s="44">
        <v>1567</v>
      </c>
      <c r="L156" s="44">
        <v>1195.5</v>
      </c>
      <c r="M156" s="114">
        <v>1127.3</v>
      </c>
      <c r="N156" s="26">
        <v>8512.78</v>
      </c>
      <c r="O156" s="205">
        <v>3426.73</v>
      </c>
      <c r="P156" s="205">
        <v>3125.62</v>
      </c>
      <c r="Q156" s="205">
        <v>3076.53</v>
      </c>
      <c r="R156" s="26">
        <v>4000</v>
      </c>
      <c r="S156" s="26">
        <v>1111.35</v>
      </c>
      <c r="T156" s="26">
        <v>4000</v>
      </c>
      <c r="U156" s="485">
        <v>4000</v>
      </c>
      <c r="V156" s="445"/>
      <c r="W156" s="591"/>
      <c r="X156" s="592">
        <f>U156+V156+W156</f>
        <v>4000</v>
      </c>
      <c r="AC156" s="2"/>
      <c r="AG156" s="2"/>
    </row>
    <row r="157" spans="1:33" ht="13.5" thickBot="1">
      <c r="A157" s="830"/>
      <c r="B157" s="45">
        <v>640</v>
      </c>
      <c r="C157" s="263" t="s">
        <v>250</v>
      </c>
      <c r="D157" s="210"/>
      <c r="E157" s="210"/>
      <c r="F157" s="210"/>
      <c r="G157" s="210"/>
      <c r="H157" s="210"/>
      <c r="I157" s="115"/>
      <c r="J157" s="233"/>
      <c r="K157" s="242"/>
      <c r="L157" s="242"/>
      <c r="M157" s="535">
        <v>4882</v>
      </c>
      <c r="N157" s="70"/>
      <c r="O157" s="116"/>
      <c r="P157" s="116">
        <v>3700</v>
      </c>
      <c r="Q157" s="116"/>
      <c r="R157" s="70"/>
      <c r="S157" s="70"/>
      <c r="T157" s="70"/>
      <c r="U157" s="472"/>
      <c r="V157" s="714"/>
      <c r="W157" s="598"/>
      <c r="X157" s="599">
        <f>U157+V157+W157</f>
        <v>0</v>
      </c>
      <c r="AC157" s="2"/>
      <c r="AG157" s="2"/>
    </row>
    <row r="158" spans="1:33" ht="13.5" thickBot="1">
      <c r="A158" s="830"/>
      <c r="B158" s="827" t="s">
        <v>8</v>
      </c>
      <c r="C158" s="828"/>
      <c r="D158" s="37">
        <v>2931655</v>
      </c>
      <c r="E158" s="37">
        <v>3342296</v>
      </c>
      <c r="F158" s="37">
        <v>3751610</v>
      </c>
      <c r="G158" s="37">
        <v>4375275.43</v>
      </c>
      <c r="H158" s="37">
        <v>4424342</v>
      </c>
      <c r="I158" s="37">
        <f aca="true" t="shared" si="42" ref="I158:V158">SUM(I159:I167)</f>
        <v>4567784</v>
      </c>
      <c r="J158" s="37">
        <f t="shared" si="42"/>
        <v>4801386</v>
      </c>
      <c r="K158" s="37">
        <f t="shared" si="42"/>
        <v>4737162</v>
      </c>
      <c r="L158" s="323">
        <f t="shared" si="42"/>
        <v>4909499.02</v>
      </c>
      <c r="M158" s="323">
        <f t="shared" si="42"/>
        <v>5203958.96</v>
      </c>
      <c r="N158" s="479">
        <f t="shared" si="42"/>
        <v>5345016.82</v>
      </c>
      <c r="O158" s="653">
        <f t="shared" si="42"/>
        <v>5552001.35</v>
      </c>
      <c r="P158" s="653">
        <f t="shared" si="42"/>
        <v>5853689.649999999</v>
      </c>
      <c r="Q158" s="653">
        <f t="shared" si="42"/>
        <v>6461691.399999999</v>
      </c>
      <c r="R158" s="479">
        <f t="shared" si="42"/>
        <v>6556579</v>
      </c>
      <c r="S158" s="479">
        <f>SUM(S159:S167)</f>
        <v>7232790.1899999995</v>
      </c>
      <c r="T158" s="479">
        <f>SUM(T159:T167)</f>
        <v>7533927</v>
      </c>
      <c r="U158" s="479">
        <f t="shared" si="42"/>
        <v>7491794</v>
      </c>
      <c r="V158" s="479">
        <f t="shared" si="42"/>
        <v>0</v>
      </c>
      <c r="W158" s="600">
        <f>SUM(W159:W167)</f>
        <v>69428</v>
      </c>
      <c r="X158" s="601">
        <f>SUM(X159:X167)</f>
        <v>7561222</v>
      </c>
      <c r="AC158" s="2"/>
      <c r="AG158" s="2"/>
    </row>
    <row r="159" spans="1:33" ht="12.75">
      <c r="A159" s="830"/>
      <c r="B159" s="824"/>
      <c r="C159" s="72" t="s">
        <v>9</v>
      </c>
      <c r="D159" s="57">
        <v>1541725</v>
      </c>
      <c r="E159" s="57">
        <v>1718084</v>
      </c>
      <c r="F159" s="57">
        <v>1793999</v>
      </c>
      <c r="G159" s="57">
        <v>1958942</v>
      </c>
      <c r="H159" s="57">
        <v>2084677</v>
      </c>
      <c r="I159" s="72">
        <v>2039732</v>
      </c>
      <c r="J159" s="57">
        <v>2241882</v>
      </c>
      <c r="K159" s="57">
        <v>2385291</v>
      </c>
      <c r="L159" s="118">
        <v>2363727.67</v>
      </c>
      <c r="M159" s="118">
        <v>2385302.7</v>
      </c>
      <c r="N159" s="22">
        <v>2457964.41</v>
      </c>
      <c r="O159" s="118">
        <v>2387323.05</v>
      </c>
      <c r="P159" s="118">
        <v>2377088.1</v>
      </c>
      <c r="Q159" s="118">
        <v>2542642.4799999995</v>
      </c>
      <c r="R159" s="22">
        <v>2750047</v>
      </c>
      <c r="S159" s="22">
        <v>3148124.82</v>
      </c>
      <c r="T159" s="22">
        <v>2831304</v>
      </c>
      <c r="U159" s="490">
        <v>2859269</v>
      </c>
      <c r="V159" s="708"/>
      <c r="W159" s="589"/>
      <c r="X159" s="590">
        <f aca="true" t="shared" si="43" ref="X159:X167">U159+V159+W159</f>
        <v>2859269</v>
      </c>
      <c r="AC159" s="2"/>
      <c r="AG159" s="2"/>
    </row>
    <row r="160" spans="1:33" ht="12.75">
      <c r="A160" s="830"/>
      <c r="B160" s="825"/>
      <c r="C160" s="43" t="s">
        <v>10</v>
      </c>
      <c r="D160" s="44">
        <v>1389930</v>
      </c>
      <c r="E160" s="44">
        <v>1591682</v>
      </c>
      <c r="F160" s="44">
        <v>1867423</v>
      </c>
      <c r="G160" s="44">
        <v>2134669.43</v>
      </c>
      <c r="H160" s="44">
        <v>2069302</v>
      </c>
      <c r="I160" s="43">
        <v>2182809</v>
      </c>
      <c r="J160" s="44">
        <v>2169532</v>
      </c>
      <c r="K160" s="44">
        <v>1972245</v>
      </c>
      <c r="L160" s="205">
        <v>2097007.99</v>
      </c>
      <c r="M160" s="205">
        <v>2239643.29</v>
      </c>
      <c r="N160" s="26">
        <v>2410623.65</v>
      </c>
      <c r="O160" s="205">
        <v>2546291.14</v>
      </c>
      <c r="P160" s="205">
        <v>2674051.77</v>
      </c>
      <c r="Q160" s="205">
        <v>2839554.52</v>
      </c>
      <c r="R160" s="26">
        <v>3056422</v>
      </c>
      <c r="S160" s="26">
        <v>3053951.34</v>
      </c>
      <c r="T160" s="26">
        <f>3489887+109583</f>
        <v>3599470</v>
      </c>
      <c r="U160" s="485">
        <v>3613996</v>
      </c>
      <c r="V160" s="445"/>
      <c r="W160" s="591"/>
      <c r="X160" s="592">
        <f t="shared" si="43"/>
        <v>3613996</v>
      </c>
      <c r="AC160" s="2"/>
      <c r="AG160" s="701"/>
    </row>
    <row r="161" spans="1:33" ht="12.75">
      <c r="A161" s="830"/>
      <c r="B161" s="825"/>
      <c r="C161" s="47" t="s">
        <v>11</v>
      </c>
      <c r="D161" s="74"/>
      <c r="E161" s="74"/>
      <c r="F161" s="74"/>
      <c r="G161" s="74"/>
      <c r="H161" s="74"/>
      <c r="I161" s="47"/>
      <c r="J161" s="47"/>
      <c r="K161" s="74">
        <v>6822</v>
      </c>
      <c r="L161" s="223">
        <v>58464.77</v>
      </c>
      <c r="M161" s="223">
        <v>145561.9699999993</v>
      </c>
      <c r="N161" s="30">
        <v>13019.76</v>
      </c>
      <c r="O161" s="223">
        <v>88405.36</v>
      </c>
      <c r="P161" s="223">
        <v>106886.92</v>
      </c>
      <c r="Q161" s="223">
        <v>135605.86</v>
      </c>
      <c r="R161" s="30"/>
      <c r="S161" s="30">
        <v>31662</v>
      </c>
      <c r="T161" s="30">
        <v>0</v>
      </c>
      <c r="U161" s="494"/>
      <c r="V161" s="445"/>
      <c r="W161" s="591"/>
      <c r="X161" s="592">
        <f t="shared" si="43"/>
        <v>0</v>
      </c>
      <c r="AC161" s="2"/>
      <c r="AG161" s="2"/>
    </row>
    <row r="162" spans="1:33" ht="12.75">
      <c r="A162" s="830"/>
      <c r="B162" s="825"/>
      <c r="C162" s="47" t="s">
        <v>395</v>
      </c>
      <c r="D162" s="74"/>
      <c r="E162" s="74"/>
      <c r="F162" s="74"/>
      <c r="G162" s="74"/>
      <c r="H162" s="74"/>
      <c r="I162" s="47">
        <v>11276</v>
      </c>
      <c r="J162" s="47">
        <v>23184</v>
      </c>
      <c r="K162" s="74">
        <v>0</v>
      </c>
      <c r="L162" s="223">
        <v>4779.37</v>
      </c>
      <c r="M162" s="223">
        <v>0</v>
      </c>
      <c r="N162" s="30">
        <v>0</v>
      </c>
      <c r="O162" s="223"/>
      <c r="P162" s="223">
        <v>10000</v>
      </c>
      <c r="Q162" s="223">
        <v>2000</v>
      </c>
      <c r="R162" s="30">
        <v>7500</v>
      </c>
      <c r="S162" s="30">
        <v>227811.97</v>
      </c>
      <c r="T162" s="30">
        <v>0</v>
      </c>
      <c r="U162" s="494"/>
      <c r="V162" s="445"/>
      <c r="W162" s="591"/>
      <c r="X162" s="592">
        <f t="shared" si="43"/>
        <v>0</v>
      </c>
      <c r="AC162" s="2"/>
      <c r="AG162" s="2"/>
    </row>
    <row r="163" spans="1:33" ht="12.75">
      <c r="A163" s="830"/>
      <c r="B163" s="825"/>
      <c r="C163" s="47" t="s">
        <v>356</v>
      </c>
      <c r="D163" s="74"/>
      <c r="E163" s="74"/>
      <c r="F163" s="74"/>
      <c r="G163" s="74"/>
      <c r="H163" s="74"/>
      <c r="I163" s="47"/>
      <c r="J163" s="47"/>
      <c r="K163" s="74"/>
      <c r="L163" s="223"/>
      <c r="M163" s="223"/>
      <c r="N163" s="30"/>
      <c r="O163" s="223"/>
      <c r="P163" s="223">
        <v>208274.06</v>
      </c>
      <c r="Q163" s="223">
        <v>197961.72999999998</v>
      </c>
      <c r="R163" s="30"/>
      <c r="S163" s="30">
        <v>120016.06</v>
      </c>
      <c r="T163" s="30">
        <v>253900</v>
      </c>
      <c r="U163" s="494">
        <v>253900</v>
      </c>
      <c r="V163" s="445"/>
      <c r="W163" s="591"/>
      <c r="X163" s="592">
        <f t="shared" si="43"/>
        <v>253900</v>
      </c>
      <c r="AC163" s="2"/>
      <c r="AG163" s="2"/>
    </row>
    <row r="164" spans="1:33" ht="12.75">
      <c r="A164" s="830"/>
      <c r="B164" s="825"/>
      <c r="C164" s="47" t="s">
        <v>370</v>
      </c>
      <c r="D164" s="74"/>
      <c r="E164" s="74"/>
      <c r="F164" s="74"/>
      <c r="G164" s="74"/>
      <c r="H164" s="74">
        <v>2568</v>
      </c>
      <c r="I164" s="47">
        <v>2134</v>
      </c>
      <c r="J164" s="47"/>
      <c r="K164" s="74">
        <v>0</v>
      </c>
      <c r="L164" s="223">
        <v>240.97</v>
      </c>
      <c r="M164" s="223">
        <v>0</v>
      </c>
      <c r="N164" s="30">
        <v>0</v>
      </c>
      <c r="O164" s="223"/>
      <c r="P164" s="223">
        <v>4600</v>
      </c>
      <c r="Q164" s="223">
        <v>48000</v>
      </c>
      <c r="R164" s="30">
        <v>20000</v>
      </c>
      <c r="S164" s="30"/>
      <c r="T164" s="30">
        <v>58230</v>
      </c>
      <c r="U164" s="494">
        <v>0</v>
      </c>
      <c r="V164" s="445"/>
      <c r="W164" s="591"/>
      <c r="X164" s="592">
        <f t="shared" si="43"/>
        <v>0</v>
      </c>
      <c r="AB164" s="2"/>
      <c r="AC164" s="2"/>
      <c r="AG164" s="2"/>
    </row>
    <row r="165" spans="1:33" ht="12.75">
      <c r="A165" s="830"/>
      <c r="B165" s="825"/>
      <c r="C165" s="47" t="s">
        <v>369</v>
      </c>
      <c r="D165" s="74"/>
      <c r="E165" s="74"/>
      <c r="F165" s="74"/>
      <c r="G165" s="74"/>
      <c r="H165" s="74"/>
      <c r="I165" s="47"/>
      <c r="J165" s="47"/>
      <c r="K165" s="74"/>
      <c r="L165" s="223">
        <v>8661.25</v>
      </c>
      <c r="M165" s="223"/>
      <c r="N165" s="30">
        <v>0</v>
      </c>
      <c r="O165" s="223"/>
      <c r="P165" s="223"/>
      <c r="Q165" s="223">
        <v>21500</v>
      </c>
      <c r="R165" s="30">
        <v>14500</v>
      </c>
      <c r="S165" s="30"/>
      <c r="T165" s="30">
        <v>0</v>
      </c>
      <c r="U165" s="494"/>
      <c r="V165" s="445"/>
      <c r="W165" s="591"/>
      <c r="X165" s="592">
        <f t="shared" si="43"/>
        <v>0</v>
      </c>
      <c r="AC165" s="2"/>
      <c r="AG165" s="2"/>
    </row>
    <row r="166" spans="1:33" ht="12.75">
      <c r="A166" s="830"/>
      <c r="B166" s="825"/>
      <c r="C166" s="47" t="s">
        <v>380</v>
      </c>
      <c r="D166" s="74"/>
      <c r="E166" s="74"/>
      <c r="F166" s="74"/>
      <c r="G166" s="74"/>
      <c r="H166" s="74">
        <v>2166</v>
      </c>
      <c r="I166" s="47">
        <v>10924</v>
      </c>
      <c r="J166" s="47">
        <v>33868</v>
      </c>
      <c r="K166" s="74">
        <v>0</v>
      </c>
      <c r="L166" s="223"/>
      <c r="M166" s="223"/>
      <c r="N166" s="30">
        <v>0</v>
      </c>
      <c r="O166" s="223">
        <v>415.8</v>
      </c>
      <c r="P166" s="223">
        <v>2494.8</v>
      </c>
      <c r="Q166" s="223">
        <v>22623.81</v>
      </c>
      <c r="R166" s="30">
        <v>6212</v>
      </c>
      <c r="S166" s="30"/>
      <c r="T166" s="30">
        <v>0</v>
      </c>
      <c r="U166" s="494">
        <v>0</v>
      </c>
      <c r="V166" s="445"/>
      <c r="W166" s="591"/>
      <c r="X166" s="592">
        <f t="shared" si="43"/>
        <v>0</v>
      </c>
      <c r="AC166" s="2"/>
      <c r="AG166" s="2"/>
    </row>
    <row r="167" spans="1:33" ht="13.5" thickBot="1">
      <c r="A167" s="831"/>
      <c r="B167" s="826"/>
      <c r="C167" s="46" t="s">
        <v>12</v>
      </c>
      <c r="D167" s="60"/>
      <c r="E167" s="60">
        <v>32530</v>
      </c>
      <c r="F167" s="60">
        <v>90188</v>
      </c>
      <c r="G167" s="60">
        <v>281664</v>
      </c>
      <c r="H167" s="60">
        <v>265629</v>
      </c>
      <c r="I167" s="46">
        <v>320909</v>
      </c>
      <c r="J167" s="46">
        <v>332920</v>
      </c>
      <c r="K167" s="60">
        <v>372804</v>
      </c>
      <c r="L167" s="255">
        <v>376617</v>
      </c>
      <c r="M167" s="255">
        <v>433451</v>
      </c>
      <c r="N167" s="48">
        <v>463409</v>
      </c>
      <c r="O167" s="255">
        <v>529566</v>
      </c>
      <c r="P167" s="255">
        <v>470294</v>
      </c>
      <c r="Q167" s="255">
        <v>651803</v>
      </c>
      <c r="R167" s="48">
        <v>701898</v>
      </c>
      <c r="S167" s="48">
        <v>651224</v>
      </c>
      <c r="T167" s="48">
        <v>791023</v>
      </c>
      <c r="U167" s="476">
        <v>764629</v>
      </c>
      <c r="V167" s="709"/>
      <c r="W167" s="602">
        <v>69428</v>
      </c>
      <c r="X167" s="597">
        <f t="shared" si="43"/>
        <v>834057</v>
      </c>
      <c r="AC167" s="2"/>
      <c r="AG167" s="2"/>
    </row>
    <row r="168" spans="1:33" ht="15.75" hidden="1" thickBot="1">
      <c r="A168" s="324" t="s">
        <v>13</v>
      </c>
      <c r="B168" s="756" t="s">
        <v>14</v>
      </c>
      <c r="C168" s="787"/>
      <c r="D168" s="67">
        <v>14672</v>
      </c>
      <c r="E168" s="67">
        <v>18356</v>
      </c>
      <c r="F168" s="67">
        <v>24962</v>
      </c>
      <c r="G168" s="67">
        <v>26012</v>
      </c>
      <c r="H168" s="67">
        <v>24167</v>
      </c>
      <c r="I168" s="67">
        <f aca="true" t="shared" si="44" ref="I168:N168">SUM(I169:I172)</f>
        <v>21978</v>
      </c>
      <c r="J168" s="67">
        <f t="shared" si="44"/>
        <v>26182</v>
      </c>
      <c r="K168" s="67">
        <f t="shared" si="44"/>
        <v>16605</v>
      </c>
      <c r="L168" s="214">
        <f t="shared" si="44"/>
        <v>19312.66</v>
      </c>
      <c r="M168" s="214">
        <f t="shared" si="44"/>
        <v>17232.5</v>
      </c>
      <c r="N168" s="471">
        <f t="shared" si="44"/>
        <v>19393.890000000003</v>
      </c>
      <c r="O168" s="471">
        <f>SUM(O169:O171)</f>
        <v>0</v>
      </c>
      <c r="P168" s="471">
        <f>SUM(P169:P171)</f>
        <v>0</v>
      </c>
      <c r="Q168" s="471">
        <f>SUM(Q169:Q171)</f>
        <v>0</v>
      </c>
      <c r="R168" s="471"/>
      <c r="S168" s="471">
        <v>315.6</v>
      </c>
      <c r="T168" s="471">
        <v>0</v>
      </c>
      <c r="U168" s="471" t="e">
        <f>SUM(U169:U171)</f>
        <v>#REF!</v>
      </c>
      <c r="V168" s="710">
        <f>IF(T168=0,0,U168/T168)</f>
        <v>0</v>
      </c>
      <c r="W168" s="443">
        <f>SUM(W169:W171)</f>
        <v>0</v>
      </c>
      <c r="X168" s="509">
        <f>SUM(X169:X171)</f>
        <v>0</v>
      </c>
      <c r="AC168" s="2"/>
      <c r="AG168" s="2"/>
    </row>
    <row r="169" spans="1:33" ht="13.5" hidden="1" thickBot="1">
      <c r="A169" s="834"/>
      <c r="B169" s="325">
        <v>610</v>
      </c>
      <c r="C169" s="72" t="s">
        <v>247</v>
      </c>
      <c r="D169" s="57"/>
      <c r="E169" s="57">
        <v>11817</v>
      </c>
      <c r="F169" s="57">
        <v>16331</v>
      </c>
      <c r="G169" s="57">
        <v>16188</v>
      </c>
      <c r="H169" s="57">
        <v>16639</v>
      </c>
      <c r="I169" s="57">
        <v>14808</v>
      </c>
      <c r="J169" s="57">
        <v>14984</v>
      </c>
      <c r="K169" s="57">
        <v>11095</v>
      </c>
      <c r="L169" s="118">
        <v>11946.75</v>
      </c>
      <c r="M169" s="118">
        <v>12156.96</v>
      </c>
      <c r="N169" s="22">
        <v>13480.65</v>
      </c>
      <c r="O169" s="22"/>
      <c r="P169" s="22"/>
      <c r="Q169" s="118"/>
      <c r="R169" s="22"/>
      <c r="S169" s="22">
        <v>4548.47</v>
      </c>
      <c r="T169" s="22">
        <v>0</v>
      </c>
      <c r="U169" s="490" t="e">
        <f>#REF!</f>
        <v>#REF!</v>
      </c>
      <c r="V169" s="708">
        <f>IF(T169=0,0,U169/T169)</f>
        <v>0</v>
      </c>
      <c r="W169" s="589">
        <v>0</v>
      </c>
      <c r="X169" s="590">
        <v>0</v>
      </c>
      <c r="AC169" s="2"/>
      <c r="AG169" s="2"/>
    </row>
    <row r="170" spans="1:33" ht="13.5" hidden="1" thickBot="1">
      <c r="A170" s="835"/>
      <c r="B170" s="204">
        <v>620</v>
      </c>
      <c r="C170" s="43" t="s">
        <v>248</v>
      </c>
      <c r="D170" s="44"/>
      <c r="E170" s="44">
        <v>3983</v>
      </c>
      <c r="F170" s="44">
        <v>5610</v>
      </c>
      <c r="G170" s="44">
        <v>5689</v>
      </c>
      <c r="H170" s="44">
        <v>5822</v>
      </c>
      <c r="I170" s="44">
        <v>5320</v>
      </c>
      <c r="J170" s="44">
        <v>5972</v>
      </c>
      <c r="K170" s="44">
        <v>4227</v>
      </c>
      <c r="L170" s="205">
        <v>4902.95</v>
      </c>
      <c r="M170" s="205">
        <v>3941.03</v>
      </c>
      <c r="N170" s="26">
        <v>4701.62</v>
      </c>
      <c r="O170" s="26"/>
      <c r="P170" s="26"/>
      <c r="Q170" s="205"/>
      <c r="R170" s="26"/>
      <c r="S170" s="26">
        <v>20800</v>
      </c>
      <c r="T170" s="26"/>
      <c r="U170" s="485" t="e">
        <f>#REF!</f>
        <v>#REF!</v>
      </c>
      <c r="V170" s="445">
        <f>IF(T170=0,0,U170/T170)</f>
        <v>0</v>
      </c>
      <c r="W170" s="591">
        <v>0</v>
      </c>
      <c r="X170" s="592">
        <v>0</v>
      </c>
      <c r="AC170" s="2"/>
      <c r="AG170" s="2"/>
    </row>
    <row r="171" spans="1:33" ht="13.5" hidden="1" thickBot="1">
      <c r="A171" s="835"/>
      <c r="B171" s="204">
        <v>630</v>
      </c>
      <c r="C171" s="43" t="s">
        <v>249</v>
      </c>
      <c r="D171" s="44"/>
      <c r="E171" s="44">
        <v>2556</v>
      </c>
      <c r="F171" s="44">
        <v>3021</v>
      </c>
      <c r="G171" s="44">
        <v>4135</v>
      </c>
      <c r="H171" s="44">
        <v>1706</v>
      </c>
      <c r="I171" s="44">
        <f>1591+259</f>
        <v>1850</v>
      </c>
      <c r="J171" s="44">
        <v>1495</v>
      </c>
      <c r="K171" s="44">
        <v>1200</v>
      </c>
      <c r="L171" s="205">
        <v>931.46</v>
      </c>
      <c r="M171" s="205">
        <v>1055.02</v>
      </c>
      <c r="N171" s="26">
        <v>1132.97</v>
      </c>
      <c r="O171" s="26"/>
      <c r="P171" s="26"/>
      <c r="Q171" s="205"/>
      <c r="R171" s="26"/>
      <c r="S171" s="26">
        <v>651224</v>
      </c>
      <c r="T171" s="26"/>
      <c r="U171" s="485" t="e">
        <f>#REF!</f>
        <v>#REF!</v>
      </c>
      <c r="V171" s="445">
        <f>IF(T171=0,0,U171/T171)</f>
        <v>0</v>
      </c>
      <c r="W171" s="591">
        <v>0</v>
      </c>
      <c r="X171" s="592">
        <v>0</v>
      </c>
      <c r="AC171" s="2"/>
      <c r="AG171" s="2"/>
    </row>
    <row r="172" spans="1:33" ht="2.25" customHeight="1" hidden="1" thickBot="1">
      <c r="A172" s="836"/>
      <c r="B172" s="326">
        <v>640</v>
      </c>
      <c r="C172" s="46" t="s">
        <v>15</v>
      </c>
      <c r="D172" s="60"/>
      <c r="E172" s="60"/>
      <c r="F172" s="60"/>
      <c r="G172" s="60"/>
      <c r="H172" s="60"/>
      <c r="I172" s="60"/>
      <c r="J172" s="60">
        <v>3731</v>
      </c>
      <c r="K172" s="242">
        <v>83</v>
      </c>
      <c r="L172" s="116">
        <v>1531.5</v>
      </c>
      <c r="M172" s="116">
        <v>79.49</v>
      </c>
      <c r="N172" s="70">
        <v>78.65</v>
      </c>
      <c r="O172" s="70"/>
      <c r="P172" s="70"/>
      <c r="Q172" s="116"/>
      <c r="R172" s="70"/>
      <c r="S172" s="70"/>
      <c r="T172" s="70"/>
      <c r="U172" s="472"/>
      <c r="V172" s="709">
        <f>IF(T172=0,0,U172/T172)</f>
        <v>0</v>
      </c>
      <c r="W172" s="602"/>
      <c r="X172" s="597"/>
      <c r="AC172" s="2"/>
      <c r="AG172" s="2"/>
    </row>
    <row r="173" spans="1:33" ht="15.75" thickBot="1">
      <c r="A173" s="212" t="s">
        <v>16</v>
      </c>
      <c r="B173" s="756" t="s">
        <v>17</v>
      </c>
      <c r="C173" s="787"/>
      <c r="D173" s="67">
        <v>42988</v>
      </c>
      <c r="E173" s="67">
        <v>41924</v>
      </c>
      <c r="F173" s="67">
        <v>49127</v>
      </c>
      <c r="G173" s="67">
        <v>48507</v>
      </c>
      <c r="H173" s="67">
        <v>53865</v>
      </c>
      <c r="I173" s="67">
        <f aca="true" t="shared" si="45" ref="I173:Q173">I174+I181+I180</f>
        <v>59113.2</v>
      </c>
      <c r="J173" s="67">
        <f t="shared" si="45"/>
        <v>51352</v>
      </c>
      <c r="K173" s="67">
        <f t="shared" si="45"/>
        <v>57413</v>
      </c>
      <c r="L173" s="214">
        <f t="shared" si="45"/>
        <v>142019.73</v>
      </c>
      <c r="M173" s="214">
        <f t="shared" si="45"/>
        <v>67235.89000000001</v>
      </c>
      <c r="N173" s="471">
        <f t="shared" si="45"/>
        <v>59484.65</v>
      </c>
      <c r="O173" s="642">
        <f t="shared" si="45"/>
        <v>64756.130000000005</v>
      </c>
      <c r="P173" s="471">
        <f t="shared" si="45"/>
        <v>109958.24</v>
      </c>
      <c r="Q173" s="642">
        <f t="shared" si="45"/>
        <v>135589.8</v>
      </c>
      <c r="R173" s="642">
        <f aca="true" t="shared" si="46" ref="R173:X173">R174+R181+R180</f>
        <v>125333</v>
      </c>
      <c r="S173" s="642">
        <f t="shared" si="46"/>
        <v>157945.56</v>
      </c>
      <c r="T173" s="642">
        <f t="shared" si="46"/>
        <v>173336</v>
      </c>
      <c r="U173" s="471">
        <f t="shared" si="46"/>
        <v>157032</v>
      </c>
      <c r="V173" s="471">
        <f t="shared" si="46"/>
        <v>0</v>
      </c>
      <c r="W173" s="510">
        <f t="shared" si="46"/>
        <v>0</v>
      </c>
      <c r="X173" s="511">
        <f t="shared" si="46"/>
        <v>157032</v>
      </c>
      <c r="AC173" s="2"/>
      <c r="AG173" s="2"/>
    </row>
    <row r="174" spans="1:33" ht="15.75" thickBot="1">
      <c r="A174" s="829"/>
      <c r="B174" s="832" t="s">
        <v>18</v>
      </c>
      <c r="C174" s="833"/>
      <c r="D174" s="64">
        <v>39801</v>
      </c>
      <c r="E174" s="64">
        <v>41194</v>
      </c>
      <c r="F174" s="64">
        <v>47169</v>
      </c>
      <c r="G174" s="64">
        <v>47600</v>
      </c>
      <c r="H174" s="64">
        <v>53724</v>
      </c>
      <c r="I174" s="64">
        <f>SUM(I175:I177)</f>
        <v>56208.2</v>
      </c>
      <c r="J174" s="64">
        <f>SUM(J175:J177)</f>
        <v>47897</v>
      </c>
      <c r="K174" s="64">
        <f>SUM(K175:K178)</f>
        <v>54913</v>
      </c>
      <c r="L174" s="155">
        <f>SUM(L175:L178)</f>
        <v>59991.65</v>
      </c>
      <c r="M174" s="155">
        <f>SUM(M175:M178)</f>
        <v>64735.89000000001</v>
      </c>
      <c r="N174" s="478">
        <f>SUM(N175:N178)</f>
        <v>54463.6</v>
      </c>
      <c r="O174" s="650">
        <f>SUM(O175:O178)</f>
        <v>60460.66</v>
      </c>
      <c r="P174" s="478">
        <f>SUM(P175:P180)</f>
        <v>105530.11</v>
      </c>
      <c r="Q174" s="650">
        <f>SUM(Q175:Q180)</f>
        <v>129250.44999999998</v>
      </c>
      <c r="R174" s="650">
        <f>SUM(R175:R180)</f>
        <v>120333</v>
      </c>
      <c r="S174" s="650">
        <f>SUM(S175:S180)</f>
        <v>153794.93</v>
      </c>
      <c r="T174" s="650">
        <f>SUM(T175:T180)</f>
        <v>164336</v>
      </c>
      <c r="U174" s="478">
        <f>SUM(U175:U179)</f>
        <v>152032</v>
      </c>
      <c r="V174" s="478">
        <f>SUM(V175:V179)</f>
        <v>0</v>
      </c>
      <c r="W174" s="510">
        <f>SUM(W175:W179)</f>
        <v>0</v>
      </c>
      <c r="X174" s="511">
        <f>SUM(X175:X179)</f>
        <v>152032</v>
      </c>
      <c r="AC174" s="2"/>
      <c r="AG174" s="2"/>
    </row>
    <row r="175" spans="1:29" ht="12.75">
      <c r="A175" s="830"/>
      <c r="B175" s="309">
        <v>610</v>
      </c>
      <c r="C175" s="72" t="s">
        <v>247</v>
      </c>
      <c r="D175" s="57"/>
      <c r="E175" s="57">
        <v>22141</v>
      </c>
      <c r="F175" s="57">
        <v>25294</v>
      </c>
      <c r="G175" s="57">
        <v>27320</v>
      </c>
      <c r="H175" s="57">
        <v>30945</v>
      </c>
      <c r="I175" s="57">
        <v>30403</v>
      </c>
      <c r="J175" s="57">
        <v>28630</v>
      </c>
      <c r="K175" s="57">
        <v>28741</v>
      </c>
      <c r="L175" s="118">
        <v>31950.86</v>
      </c>
      <c r="M175" s="118">
        <v>36896.54</v>
      </c>
      <c r="N175" s="22">
        <v>32643.72</v>
      </c>
      <c r="O175" s="118">
        <v>34750.01</v>
      </c>
      <c r="P175" s="118">
        <v>39563.77</v>
      </c>
      <c r="Q175" s="118">
        <v>51910.33</v>
      </c>
      <c r="R175" s="22">
        <v>54722</v>
      </c>
      <c r="S175" s="22">
        <v>75745.25</v>
      </c>
      <c r="T175" s="22">
        <v>72562</v>
      </c>
      <c r="U175" s="490">
        <v>77946</v>
      </c>
      <c r="V175" s="708"/>
      <c r="W175" s="589"/>
      <c r="X175" s="590">
        <f>U175+V175+W175</f>
        <v>77946</v>
      </c>
      <c r="AB175" s="2"/>
      <c r="AC175" s="2"/>
    </row>
    <row r="176" spans="1:29" ht="12.75">
      <c r="A176" s="830"/>
      <c r="B176" s="230">
        <v>620</v>
      </c>
      <c r="C176" s="43" t="s">
        <v>248</v>
      </c>
      <c r="D176" s="44"/>
      <c r="E176" s="44">
        <v>8265</v>
      </c>
      <c r="F176" s="44">
        <v>9427</v>
      </c>
      <c r="G176" s="44">
        <v>10234</v>
      </c>
      <c r="H176" s="44">
        <v>11482</v>
      </c>
      <c r="I176" s="44">
        <f>11947-(14.4+22.4+180)</f>
        <v>11730.2</v>
      </c>
      <c r="J176" s="44">
        <v>10691</v>
      </c>
      <c r="K176" s="44">
        <v>10646</v>
      </c>
      <c r="L176" s="205">
        <v>12860.64</v>
      </c>
      <c r="M176" s="205">
        <v>12687.37</v>
      </c>
      <c r="N176" s="26">
        <v>12446.38</v>
      </c>
      <c r="O176" s="205">
        <v>13294.12</v>
      </c>
      <c r="P176" s="205">
        <v>14895.57</v>
      </c>
      <c r="Q176" s="205">
        <v>19183.12</v>
      </c>
      <c r="R176" s="26">
        <v>20061</v>
      </c>
      <c r="S176" s="26">
        <v>24361.98</v>
      </c>
      <c r="T176" s="26">
        <v>26224</v>
      </c>
      <c r="U176" s="485">
        <v>28536</v>
      </c>
      <c r="V176" s="445"/>
      <c r="W176" s="591"/>
      <c r="X176" s="592">
        <f>U176+V176+W176</f>
        <v>28536</v>
      </c>
      <c r="AB176" s="2"/>
      <c r="AC176" s="2"/>
    </row>
    <row r="177" spans="1:29" ht="12.75">
      <c r="A177" s="830"/>
      <c r="B177" s="310">
        <v>630</v>
      </c>
      <c r="C177" s="47" t="s">
        <v>249</v>
      </c>
      <c r="D177" s="44"/>
      <c r="E177" s="44">
        <v>10788</v>
      </c>
      <c r="F177" s="44">
        <v>12448</v>
      </c>
      <c r="G177" s="44">
        <v>10046</v>
      </c>
      <c r="H177" s="44">
        <v>11297</v>
      </c>
      <c r="I177" s="44">
        <f>16682-(2550+28+110)+81</f>
        <v>14075</v>
      </c>
      <c r="J177" s="44">
        <f>11880-3455+151</f>
        <v>8576</v>
      </c>
      <c r="K177" s="44">
        <v>15451</v>
      </c>
      <c r="L177" s="114">
        <v>15180.15</v>
      </c>
      <c r="M177" s="114">
        <v>15023.18</v>
      </c>
      <c r="N177" s="26">
        <v>9257.17</v>
      </c>
      <c r="O177" s="205">
        <v>12173.76</v>
      </c>
      <c r="P177" s="205">
        <v>13915.91</v>
      </c>
      <c r="Q177" s="205">
        <v>9666.879999999997</v>
      </c>
      <c r="R177" s="26">
        <v>13550</v>
      </c>
      <c r="S177" s="26">
        <v>11553.059999999998</v>
      </c>
      <c r="T177" s="26">
        <v>13550</v>
      </c>
      <c r="U177" s="485">
        <v>13550</v>
      </c>
      <c r="V177" s="445"/>
      <c r="W177" s="591"/>
      <c r="X177" s="592">
        <f>U177+V177+W177</f>
        <v>13550</v>
      </c>
      <c r="AC177" s="2"/>
    </row>
    <row r="178" spans="1:29" ht="12.75">
      <c r="A178" s="830"/>
      <c r="B178" s="204">
        <v>640</v>
      </c>
      <c r="C178" s="226" t="s">
        <v>250</v>
      </c>
      <c r="D178" s="206"/>
      <c r="E178" s="206"/>
      <c r="F178" s="206"/>
      <c r="G178" s="206"/>
      <c r="H178" s="206"/>
      <c r="I178" s="44"/>
      <c r="J178" s="44"/>
      <c r="K178" s="44">
        <v>75</v>
      </c>
      <c r="L178" s="26"/>
      <c r="M178" s="205">
        <v>128.8</v>
      </c>
      <c r="N178" s="26">
        <v>116.33</v>
      </c>
      <c r="O178" s="205">
        <v>242.77</v>
      </c>
      <c r="P178" s="205">
        <v>133.86</v>
      </c>
      <c r="Q178" s="205">
        <v>88.44</v>
      </c>
      <c r="R178" s="26">
        <v>0</v>
      </c>
      <c r="S178" s="26"/>
      <c r="T178" s="26">
        <v>0</v>
      </c>
      <c r="U178" s="485"/>
      <c r="V178" s="445"/>
      <c r="W178" s="591"/>
      <c r="X178" s="592">
        <f>U178+V178+W178</f>
        <v>0</v>
      </c>
      <c r="AC178" s="2"/>
    </row>
    <row r="179" spans="1:29" ht="13.5" thickBot="1">
      <c r="A179" s="830"/>
      <c r="B179" s="326">
        <v>630</v>
      </c>
      <c r="C179" s="299" t="s">
        <v>355</v>
      </c>
      <c r="D179" s="301"/>
      <c r="E179" s="301"/>
      <c r="F179" s="301"/>
      <c r="G179" s="301"/>
      <c r="H179" s="301"/>
      <c r="I179" s="60"/>
      <c r="J179" s="60"/>
      <c r="K179" s="60"/>
      <c r="L179" s="48"/>
      <c r="M179" s="255"/>
      <c r="N179" s="48"/>
      <c r="O179" s="255"/>
      <c r="P179" s="255">
        <v>37021</v>
      </c>
      <c r="Q179" s="255">
        <v>48401.68</v>
      </c>
      <c r="R179" s="48">
        <v>32000</v>
      </c>
      <c r="S179" s="48">
        <v>42134.64</v>
      </c>
      <c r="T179" s="48">
        <v>52000</v>
      </c>
      <c r="U179" s="476">
        <v>32000</v>
      </c>
      <c r="V179" s="712"/>
      <c r="W179" s="630"/>
      <c r="X179" s="631">
        <f>U179+V179+W179</f>
        <v>32000</v>
      </c>
      <c r="AC179" s="2"/>
    </row>
    <row r="180" spans="1:29" ht="13.5" hidden="1" thickBot="1">
      <c r="A180" s="830"/>
      <c r="B180" s="312">
        <v>630</v>
      </c>
      <c r="C180" s="263" t="s">
        <v>174</v>
      </c>
      <c r="D180" s="297"/>
      <c r="E180" s="297"/>
      <c r="F180" s="297"/>
      <c r="G180" s="297"/>
      <c r="H180" s="297"/>
      <c r="I180" s="327"/>
      <c r="J180" s="327"/>
      <c r="K180" s="60"/>
      <c r="L180" s="211">
        <v>82028.08</v>
      </c>
      <c r="M180" s="77"/>
      <c r="N180" s="77"/>
      <c r="O180" s="211"/>
      <c r="P180" s="211"/>
      <c r="Q180" s="211"/>
      <c r="R180" s="77"/>
      <c r="S180" s="77"/>
      <c r="T180" s="77"/>
      <c r="U180" s="480"/>
      <c r="V180" s="710">
        <f>IF(T180=0,0,U180/T180)</f>
        <v>0</v>
      </c>
      <c r="W180" s="600"/>
      <c r="X180" s="601"/>
      <c r="AC180" s="2"/>
    </row>
    <row r="181" spans="1:29" ht="15.75" thickBot="1">
      <c r="A181" s="830"/>
      <c r="B181" s="827" t="s">
        <v>19</v>
      </c>
      <c r="C181" s="828"/>
      <c r="D181" s="328">
        <v>3187</v>
      </c>
      <c r="E181" s="328">
        <v>730</v>
      </c>
      <c r="F181" s="328">
        <v>1958</v>
      </c>
      <c r="G181" s="328">
        <v>907</v>
      </c>
      <c r="H181" s="328">
        <v>141</v>
      </c>
      <c r="I181" s="327">
        <f aca="true" t="shared" si="47" ref="I181:X181">I182</f>
        <v>2905</v>
      </c>
      <c r="J181" s="327">
        <f t="shared" si="47"/>
        <v>3455</v>
      </c>
      <c r="K181" s="327">
        <f t="shared" si="47"/>
        <v>2500</v>
      </c>
      <c r="L181" s="327">
        <v>0</v>
      </c>
      <c r="M181" s="559">
        <f t="shared" si="47"/>
        <v>2500</v>
      </c>
      <c r="N181" s="327">
        <f t="shared" si="47"/>
        <v>5021.05</v>
      </c>
      <c r="O181" s="559">
        <f t="shared" si="47"/>
        <v>4295.47</v>
      </c>
      <c r="P181" s="559">
        <f t="shared" si="47"/>
        <v>4428.13</v>
      </c>
      <c r="Q181" s="559">
        <f t="shared" si="47"/>
        <v>6339.35</v>
      </c>
      <c r="R181" s="481">
        <f>R182</f>
        <v>5000</v>
      </c>
      <c r="S181" s="481">
        <f>S182</f>
        <v>4150.63</v>
      </c>
      <c r="T181" s="481">
        <f>T182</f>
        <v>9000</v>
      </c>
      <c r="U181" s="481">
        <f t="shared" si="47"/>
        <v>5000</v>
      </c>
      <c r="V181" s="481">
        <f t="shared" si="47"/>
        <v>0</v>
      </c>
      <c r="W181" s="510">
        <f t="shared" si="47"/>
        <v>0</v>
      </c>
      <c r="X181" s="511">
        <f t="shared" si="47"/>
        <v>5000</v>
      </c>
      <c r="AC181" s="2"/>
    </row>
    <row r="182" spans="1:29" ht="13.5" thickBot="1">
      <c r="A182" s="831"/>
      <c r="B182" s="329">
        <v>630</v>
      </c>
      <c r="C182" s="46" t="s">
        <v>249</v>
      </c>
      <c r="D182" s="60">
        <v>3187</v>
      </c>
      <c r="E182" s="60">
        <v>730</v>
      </c>
      <c r="F182" s="60">
        <v>1958</v>
      </c>
      <c r="G182" s="60">
        <v>907</v>
      </c>
      <c r="H182" s="60">
        <v>141</v>
      </c>
      <c r="I182" s="46">
        <v>2905</v>
      </c>
      <c r="J182" s="46">
        <v>3455</v>
      </c>
      <c r="K182" s="60">
        <v>2500</v>
      </c>
      <c r="L182" s="48">
        <v>0</v>
      </c>
      <c r="M182" s="255">
        <v>2500</v>
      </c>
      <c r="N182" s="48">
        <v>5021.05</v>
      </c>
      <c r="O182" s="255">
        <v>4295.47</v>
      </c>
      <c r="P182" s="255">
        <v>4428.13</v>
      </c>
      <c r="Q182" s="255">
        <v>6339.35</v>
      </c>
      <c r="R182" s="48">
        <v>5000</v>
      </c>
      <c r="S182" s="48">
        <v>4150.63</v>
      </c>
      <c r="T182" s="48">
        <v>9000</v>
      </c>
      <c r="U182" s="476">
        <v>5000</v>
      </c>
      <c r="V182" s="710"/>
      <c r="W182" s="600"/>
      <c r="X182" s="601">
        <f>U182+V182+W182</f>
        <v>5000</v>
      </c>
      <c r="AC182" s="2"/>
    </row>
    <row r="183" spans="1:29" ht="15.75" thickBot="1">
      <c r="A183" s="687" t="s">
        <v>16</v>
      </c>
      <c r="B183" s="810" t="s">
        <v>20</v>
      </c>
      <c r="C183" s="778"/>
      <c r="D183" s="79">
        <v>90752</v>
      </c>
      <c r="E183" s="79">
        <v>96030</v>
      </c>
      <c r="F183" s="79">
        <v>117540</v>
      </c>
      <c r="G183" s="79">
        <v>141455</v>
      </c>
      <c r="H183" s="79">
        <f aca="true" t="shared" si="48" ref="H183:V183">SUM(H184:H188)</f>
        <v>157876</v>
      </c>
      <c r="I183" s="79">
        <f t="shared" si="48"/>
        <v>153798</v>
      </c>
      <c r="J183" s="79">
        <f t="shared" si="48"/>
        <v>141580</v>
      </c>
      <c r="K183" s="79">
        <f t="shared" si="48"/>
        <v>144793</v>
      </c>
      <c r="L183" s="80">
        <f t="shared" si="48"/>
        <v>138341.56</v>
      </c>
      <c r="M183" s="80">
        <f t="shared" si="48"/>
        <v>147764.81</v>
      </c>
      <c r="N183" s="475">
        <f t="shared" si="48"/>
        <v>187629.79</v>
      </c>
      <c r="O183" s="644">
        <f t="shared" si="48"/>
        <v>231026.1</v>
      </c>
      <c r="P183" s="475">
        <f t="shared" si="48"/>
        <v>241971.54</v>
      </c>
      <c r="Q183" s="644">
        <f t="shared" si="48"/>
        <v>327330.75</v>
      </c>
      <c r="R183" s="475">
        <f t="shared" si="48"/>
        <v>348444</v>
      </c>
      <c r="S183" s="475">
        <f t="shared" si="48"/>
        <v>321639.06</v>
      </c>
      <c r="T183" s="475">
        <f t="shared" si="48"/>
        <v>381400</v>
      </c>
      <c r="U183" s="475">
        <f t="shared" si="48"/>
        <v>384568</v>
      </c>
      <c r="V183" s="475">
        <f t="shared" si="48"/>
        <v>0</v>
      </c>
      <c r="W183" s="510">
        <f>SUM(W184:W187)</f>
        <v>0</v>
      </c>
      <c r="X183" s="511">
        <f>SUM(X184:X187)</f>
        <v>384568</v>
      </c>
      <c r="AC183" s="2"/>
    </row>
    <row r="184" spans="1:29" ht="12.75">
      <c r="A184" s="818"/>
      <c r="B184" s="229">
        <v>610</v>
      </c>
      <c r="C184" s="41" t="s">
        <v>247</v>
      </c>
      <c r="D184" s="42"/>
      <c r="E184" s="42">
        <v>65691</v>
      </c>
      <c r="F184" s="42">
        <v>80097</v>
      </c>
      <c r="G184" s="42">
        <v>93395</v>
      </c>
      <c r="H184" s="42">
        <v>102238</v>
      </c>
      <c r="I184" s="41">
        <v>102422</v>
      </c>
      <c r="J184" s="42">
        <v>93404</v>
      </c>
      <c r="K184" s="42">
        <v>93846</v>
      </c>
      <c r="L184" s="203">
        <v>85213.93</v>
      </c>
      <c r="M184" s="151">
        <v>101710.97</v>
      </c>
      <c r="N184" s="93">
        <v>126027.75</v>
      </c>
      <c r="O184" s="203">
        <v>154366.21</v>
      </c>
      <c r="P184" s="203">
        <v>162844.91</v>
      </c>
      <c r="Q184" s="203">
        <v>223275.62</v>
      </c>
      <c r="R184" s="93">
        <v>241998</v>
      </c>
      <c r="S184" s="93">
        <v>204838.15</v>
      </c>
      <c r="T184" s="93">
        <v>266298</v>
      </c>
      <c r="U184" s="484">
        <v>268607</v>
      </c>
      <c r="V184" s="708"/>
      <c r="W184" s="589"/>
      <c r="X184" s="590">
        <f>U184+V184+W184</f>
        <v>268607</v>
      </c>
      <c r="AC184" s="2"/>
    </row>
    <row r="185" spans="1:33" ht="12.75">
      <c r="A185" s="819"/>
      <c r="B185" s="230">
        <v>620</v>
      </c>
      <c r="C185" s="43" t="s">
        <v>248</v>
      </c>
      <c r="D185" s="44"/>
      <c r="E185" s="44">
        <v>22738</v>
      </c>
      <c r="F185" s="44">
        <v>27783</v>
      </c>
      <c r="G185" s="44">
        <v>32056</v>
      </c>
      <c r="H185" s="44">
        <v>35361</v>
      </c>
      <c r="I185" s="43">
        <v>35526</v>
      </c>
      <c r="J185" s="44">
        <v>32703</v>
      </c>
      <c r="K185" s="44">
        <v>32877</v>
      </c>
      <c r="L185" s="205">
        <v>32579.829999999994</v>
      </c>
      <c r="M185" s="114">
        <v>29560.18</v>
      </c>
      <c r="N185" s="26">
        <v>41405.87</v>
      </c>
      <c r="O185" s="205">
        <v>53348.97</v>
      </c>
      <c r="P185" s="205">
        <v>57717.62</v>
      </c>
      <c r="Q185" s="205">
        <v>78315.26</v>
      </c>
      <c r="R185" s="26">
        <v>85046</v>
      </c>
      <c r="S185" s="26">
        <v>76270.92</v>
      </c>
      <c r="T185" s="26">
        <v>93702</v>
      </c>
      <c r="U185" s="485">
        <v>94561</v>
      </c>
      <c r="V185" s="445"/>
      <c r="W185" s="591"/>
      <c r="X185" s="592">
        <f>U185+V185+W185</f>
        <v>94561</v>
      </c>
      <c r="AC185" s="2"/>
      <c r="AG185" s="444"/>
    </row>
    <row r="186" spans="1:33" ht="12.75">
      <c r="A186" s="819"/>
      <c r="B186" s="310">
        <v>630</v>
      </c>
      <c r="C186" s="47" t="s">
        <v>249</v>
      </c>
      <c r="D186" s="74"/>
      <c r="E186" s="74">
        <v>7369</v>
      </c>
      <c r="F186" s="74">
        <v>8830</v>
      </c>
      <c r="G186" s="74">
        <v>15669</v>
      </c>
      <c r="H186" s="74">
        <v>19477</v>
      </c>
      <c r="I186" s="47">
        <v>15050</v>
      </c>
      <c r="J186" s="44">
        <v>14133</v>
      </c>
      <c r="K186" s="44">
        <v>17748</v>
      </c>
      <c r="L186" s="223">
        <v>20156.86</v>
      </c>
      <c r="M186" s="223">
        <v>15870.11</v>
      </c>
      <c r="N186" s="30">
        <v>19809.26</v>
      </c>
      <c r="O186" s="223">
        <v>22572.22</v>
      </c>
      <c r="P186" s="223">
        <v>20719.09</v>
      </c>
      <c r="Q186" s="223">
        <v>25179.48</v>
      </c>
      <c r="R186" s="30">
        <v>21400</v>
      </c>
      <c r="S186" s="30">
        <v>33111.74</v>
      </c>
      <c r="T186" s="30">
        <v>21400</v>
      </c>
      <c r="U186" s="494">
        <v>21400</v>
      </c>
      <c r="V186" s="445"/>
      <c r="W186" s="591"/>
      <c r="X186" s="592">
        <f>U186+V186+W186</f>
        <v>21400</v>
      </c>
      <c r="AC186" s="2"/>
      <c r="AG186" s="444"/>
    </row>
    <row r="187" spans="1:33" ht="13.5" thickBot="1">
      <c r="A187" s="819"/>
      <c r="B187" s="253">
        <v>640</v>
      </c>
      <c r="C187" s="46" t="s">
        <v>250</v>
      </c>
      <c r="D187" s="60"/>
      <c r="E187" s="60"/>
      <c r="F187" s="60"/>
      <c r="G187" s="60"/>
      <c r="H187" s="60"/>
      <c r="I187" s="46"/>
      <c r="J187" s="60">
        <v>1340</v>
      </c>
      <c r="K187" s="60">
        <v>322</v>
      </c>
      <c r="L187" s="255">
        <v>390.94</v>
      </c>
      <c r="M187" s="255">
        <v>623.55</v>
      </c>
      <c r="N187" s="48">
        <v>386.91</v>
      </c>
      <c r="O187" s="255">
        <v>738.7</v>
      </c>
      <c r="P187" s="255">
        <v>689.92</v>
      </c>
      <c r="Q187" s="255">
        <v>560.39</v>
      </c>
      <c r="R187" s="48">
        <v>0</v>
      </c>
      <c r="S187" s="48">
        <v>7418.25</v>
      </c>
      <c r="T187" s="48">
        <v>0</v>
      </c>
      <c r="U187" s="476"/>
      <c r="V187" s="709"/>
      <c r="W187" s="602"/>
      <c r="X187" s="597">
        <f>U187+V187+W187</f>
        <v>0</v>
      </c>
      <c r="AC187" s="2"/>
      <c r="AG187" s="444"/>
    </row>
    <row r="188" spans="1:33" ht="13.5" hidden="1" thickBot="1">
      <c r="A188" s="820"/>
      <c r="B188" s="232">
        <v>630</v>
      </c>
      <c r="C188" s="115" t="s">
        <v>21</v>
      </c>
      <c r="D188" s="210"/>
      <c r="E188" s="210">
        <v>232</v>
      </c>
      <c r="F188" s="210">
        <v>830</v>
      </c>
      <c r="G188" s="210">
        <v>335</v>
      </c>
      <c r="H188" s="210">
        <v>800</v>
      </c>
      <c r="I188" s="115">
        <v>800</v>
      </c>
      <c r="J188" s="115"/>
      <c r="K188" s="210"/>
      <c r="L188" s="77"/>
      <c r="M188" s="77"/>
      <c r="N188" s="77"/>
      <c r="O188" s="211"/>
      <c r="P188" s="211"/>
      <c r="Q188" s="211"/>
      <c r="R188" s="77"/>
      <c r="S188" s="77"/>
      <c r="T188" s="77"/>
      <c r="U188" s="480"/>
      <c r="V188" s="710">
        <f>IF(T188=0,0,U188/T188)</f>
        <v>0</v>
      </c>
      <c r="W188" s="600"/>
      <c r="X188" s="601"/>
      <c r="AC188" s="2"/>
      <c r="AG188" s="444"/>
    </row>
    <row r="189" spans="1:33" ht="15.75" thickBot="1">
      <c r="A189" s="515" t="s">
        <v>22</v>
      </c>
      <c r="B189" s="810" t="s">
        <v>53</v>
      </c>
      <c r="C189" s="778"/>
      <c r="D189" s="269">
        <v>35152</v>
      </c>
      <c r="E189" s="269">
        <v>34654</v>
      </c>
      <c r="F189" s="269">
        <v>45741</v>
      </c>
      <c r="G189" s="269">
        <v>45381</v>
      </c>
      <c r="H189" s="79">
        <f>SUM(H190:H193)</f>
        <v>47758</v>
      </c>
      <c r="I189" s="79">
        <f>SUM(I190:I193)</f>
        <v>57427</v>
      </c>
      <c r="J189" s="79">
        <f>SUM(J190:J192)</f>
        <v>33860</v>
      </c>
      <c r="K189" s="79">
        <f>SUM(K190:K193)</f>
        <v>33843</v>
      </c>
      <c r="L189" s="80">
        <f>SUM(L190:L193)</f>
        <v>35020.590000000004</v>
      </c>
      <c r="M189" s="80">
        <f>SUM(M190:M193)</f>
        <v>40552.41</v>
      </c>
      <c r="N189" s="475">
        <f>SUM(N190:N193)</f>
        <v>37850.049999999996</v>
      </c>
      <c r="O189" s="644">
        <f>SUM(O190:O193)</f>
        <v>37981.53</v>
      </c>
      <c r="P189" s="475">
        <f aca="true" t="shared" si="49" ref="P189:V189">SUM(P190:P192)</f>
        <v>31489.34</v>
      </c>
      <c r="Q189" s="644">
        <f t="shared" si="49"/>
        <v>40039.15</v>
      </c>
      <c r="R189" s="475">
        <f t="shared" si="49"/>
        <v>42586</v>
      </c>
      <c r="S189" s="475">
        <f t="shared" si="49"/>
        <v>41664.05</v>
      </c>
      <c r="T189" s="475">
        <f t="shared" si="49"/>
        <v>46300</v>
      </c>
      <c r="U189" s="475">
        <f t="shared" si="49"/>
        <v>63816</v>
      </c>
      <c r="V189" s="716">
        <f t="shared" si="49"/>
        <v>0</v>
      </c>
      <c r="W189" s="510">
        <f>SUM(W190:W193)</f>
        <v>0</v>
      </c>
      <c r="X189" s="511">
        <f>SUM(X190:X193)</f>
        <v>63816</v>
      </c>
      <c r="AC189" s="2"/>
      <c r="AG189" s="444"/>
    </row>
    <row r="190" spans="1:33" ht="12.75">
      <c r="A190" s="821"/>
      <c r="B190" s="229">
        <v>610</v>
      </c>
      <c r="C190" s="224" t="s">
        <v>247</v>
      </c>
      <c r="D190" s="316"/>
      <c r="E190" s="316">
        <v>21277</v>
      </c>
      <c r="F190" s="316">
        <v>26622</v>
      </c>
      <c r="G190" s="316">
        <v>27938</v>
      </c>
      <c r="H190" s="316">
        <v>29205</v>
      </c>
      <c r="I190" s="42">
        <v>32982</v>
      </c>
      <c r="J190" s="42">
        <v>19537</v>
      </c>
      <c r="K190" s="42">
        <v>19331</v>
      </c>
      <c r="L190" s="203">
        <v>19931.3</v>
      </c>
      <c r="M190" s="203">
        <v>21474.28</v>
      </c>
      <c r="N190" s="93">
        <v>19698.37</v>
      </c>
      <c r="O190" s="203">
        <v>20600.24</v>
      </c>
      <c r="P190" s="203">
        <v>19790.26</v>
      </c>
      <c r="Q190" s="203">
        <v>21979.15</v>
      </c>
      <c r="R190" s="93">
        <v>23564</v>
      </c>
      <c r="S190" s="93">
        <v>20878.86</v>
      </c>
      <c r="T190" s="93">
        <v>26313</v>
      </c>
      <c r="U190" s="484">
        <v>39108</v>
      </c>
      <c r="V190" s="708"/>
      <c r="W190" s="589"/>
      <c r="X190" s="590">
        <f>U190+V190+W190</f>
        <v>39108</v>
      </c>
      <c r="AC190" s="2"/>
      <c r="AG190" s="444"/>
    </row>
    <row r="191" spans="1:33" ht="12.75">
      <c r="A191" s="822"/>
      <c r="B191" s="230">
        <v>620</v>
      </c>
      <c r="C191" s="226" t="s">
        <v>248</v>
      </c>
      <c r="D191" s="206"/>
      <c r="E191" s="206">
        <v>8033</v>
      </c>
      <c r="F191" s="206">
        <v>9792</v>
      </c>
      <c r="G191" s="206">
        <v>10190</v>
      </c>
      <c r="H191" s="206">
        <v>10431</v>
      </c>
      <c r="I191" s="44">
        <v>13206</v>
      </c>
      <c r="J191" s="44">
        <v>7857</v>
      </c>
      <c r="K191" s="44">
        <v>7510</v>
      </c>
      <c r="L191" s="205">
        <v>8330.59</v>
      </c>
      <c r="M191" s="205">
        <v>7982.2</v>
      </c>
      <c r="N191" s="26">
        <v>7602.19</v>
      </c>
      <c r="O191" s="205">
        <v>8776.16</v>
      </c>
      <c r="P191" s="205">
        <v>7193.52</v>
      </c>
      <c r="Q191" s="205">
        <v>8019.72</v>
      </c>
      <c r="R191" s="26">
        <v>8487</v>
      </c>
      <c r="S191" s="26">
        <v>7600.32</v>
      </c>
      <c r="T191" s="26">
        <v>9452</v>
      </c>
      <c r="U191" s="485">
        <v>14173</v>
      </c>
      <c r="V191" s="445"/>
      <c r="W191" s="591"/>
      <c r="X191" s="592">
        <f>U191+V191+W191</f>
        <v>14173</v>
      </c>
      <c r="AC191" s="2"/>
      <c r="AG191" s="444"/>
    </row>
    <row r="192" spans="1:33" ht="12.75">
      <c r="A192" s="822"/>
      <c r="B192" s="230">
        <v>630</v>
      </c>
      <c r="C192" s="226" t="s">
        <v>249</v>
      </c>
      <c r="D192" s="206"/>
      <c r="E192" s="206">
        <v>5344</v>
      </c>
      <c r="F192" s="206">
        <v>9327</v>
      </c>
      <c r="G192" s="206">
        <v>7253</v>
      </c>
      <c r="H192" s="206">
        <v>8122</v>
      </c>
      <c r="I192" s="44">
        <v>7483</v>
      </c>
      <c r="J192" s="44">
        <v>6466</v>
      </c>
      <c r="K192" s="44">
        <v>6899</v>
      </c>
      <c r="L192" s="205">
        <v>6669.76</v>
      </c>
      <c r="M192" s="205">
        <v>10990.38</v>
      </c>
      <c r="N192" s="26">
        <v>10449.24</v>
      </c>
      <c r="O192" s="205">
        <v>5491.570000000001</v>
      </c>
      <c r="P192" s="205">
        <v>4505.56</v>
      </c>
      <c r="Q192" s="205">
        <v>10040.28</v>
      </c>
      <c r="R192" s="26">
        <v>10535</v>
      </c>
      <c r="S192" s="26">
        <v>13184.87</v>
      </c>
      <c r="T192" s="26">
        <v>10535</v>
      </c>
      <c r="U192" s="26">
        <v>10535</v>
      </c>
      <c r="V192" s="445"/>
      <c r="W192" s="591"/>
      <c r="X192" s="592">
        <f>U192+V192+W192</f>
        <v>10535</v>
      </c>
      <c r="AC192" s="2"/>
      <c r="AG192" s="444"/>
    </row>
    <row r="193" spans="1:33" ht="13.5" thickBot="1">
      <c r="A193" s="823"/>
      <c r="B193" s="232">
        <v>640</v>
      </c>
      <c r="C193" s="263" t="s">
        <v>250</v>
      </c>
      <c r="D193" s="297"/>
      <c r="E193" s="297"/>
      <c r="F193" s="297"/>
      <c r="G193" s="297"/>
      <c r="H193" s="297"/>
      <c r="I193" s="210">
        <v>3756</v>
      </c>
      <c r="J193" s="210"/>
      <c r="K193" s="210">
        <v>103</v>
      </c>
      <c r="L193" s="330">
        <v>88.94</v>
      </c>
      <c r="M193" s="302">
        <v>105.55</v>
      </c>
      <c r="N193" s="48">
        <v>100.25</v>
      </c>
      <c r="O193" s="255">
        <v>3113.56</v>
      </c>
      <c r="P193" s="255"/>
      <c r="Q193" s="255"/>
      <c r="R193" s="48">
        <v>0</v>
      </c>
      <c r="S193" s="48"/>
      <c r="T193" s="48"/>
      <c r="U193" s="476"/>
      <c r="V193" s="709"/>
      <c r="W193" s="602"/>
      <c r="X193" s="597">
        <f>U193+V193+W193</f>
        <v>0</v>
      </c>
      <c r="AC193" s="2"/>
      <c r="AG193" s="444"/>
    </row>
    <row r="194" spans="1:33" ht="36" customHeight="1" thickBot="1">
      <c r="A194" s="331" t="s">
        <v>23</v>
      </c>
      <c r="B194" s="813" t="s">
        <v>24</v>
      </c>
      <c r="C194" s="814"/>
      <c r="D194" s="332">
        <v>105855</v>
      </c>
      <c r="E194" s="332">
        <v>102071</v>
      </c>
      <c r="F194" s="332">
        <v>77475</v>
      </c>
      <c r="G194" s="332">
        <v>119794</v>
      </c>
      <c r="H194" s="333">
        <v>122484</v>
      </c>
      <c r="I194" s="333">
        <f>I195+I200+I201+I202+I203+I204+I206+I208+I205</f>
        <v>95592</v>
      </c>
      <c r="J194" s="333">
        <f>J195+J200+J201+J202+J203+J204+J206+J208+J205</f>
        <v>235945</v>
      </c>
      <c r="K194" s="333">
        <f>K195+K200+K201+K202+K203+K204+K206+K208+K205</f>
        <v>566990</v>
      </c>
      <c r="L194" s="334">
        <f>L195+L200+L201+L202+L203+L204+L206+L208+L205</f>
        <v>568843.26</v>
      </c>
      <c r="M194" s="334">
        <f>M195+M200+M203+M204+M205+M206-M205</f>
        <v>470939.2299999999</v>
      </c>
      <c r="N194" s="482">
        <f>SUM(N200:N208)+N195</f>
        <v>341351.46</v>
      </c>
      <c r="O194" s="654">
        <f>SUM(O200:O208)+O195</f>
        <v>302230.36999999994</v>
      </c>
      <c r="P194" s="482">
        <f>SUM(P200:P208)+P195</f>
        <v>332895.13</v>
      </c>
      <c r="Q194" s="654">
        <f>SUM(Q200:Q208)+Q195</f>
        <v>380830.30000000005</v>
      </c>
      <c r="R194" s="482">
        <f>R195+R200+R203+R205+R207+R206+R202+R208</f>
        <v>352166</v>
      </c>
      <c r="S194" s="482">
        <f>S195+S200+S203+S205+S207+S206+S202+S208+S201</f>
        <v>318162.49999999994</v>
      </c>
      <c r="T194" s="482">
        <f>T195+T200+T203+T205+T207+T206+T202+T208+T201</f>
        <v>423000</v>
      </c>
      <c r="U194" s="482">
        <f>U195+U200+U203+U205+U207+U206+U202+U208+U201</f>
        <v>352744</v>
      </c>
      <c r="V194" s="482">
        <f>V195+V200+V203+V205+V207+V206+V202+V208+V201</f>
        <v>0</v>
      </c>
      <c r="W194" s="681">
        <f>W195+W200+W203+W205+W207+W206+W202</f>
        <v>0</v>
      </c>
      <c r="X194" s="682">
        <f>X195+X200+X203+X205+X207+X206+X202</f>
        <v>320744</v>
      </c>
      <c r="AC194" s="2"/>
      <c r="AG194" s="444"/>
    </row>
    <row r="195" spans="1:33" ht="26.25" customHeight="1" thickBot="1">
      <c r="A195" s="815"/>
      <c r="B195" s="816" t="s">
        <v>354</v>
      </c>
      <c r="C195" s="817"/>
      <c r="D195" s="335">
        <v>26024</v>
      </c>
      <c r="E195" s="335">
        <v>26422</v>
      </c>
      <c r="F195" s="335">
        <v>12381</v>
      </c>
      <c r="G195" s="335">
        <v>67096</v>
      </c>
      <c r="H195" s="336">
        <f aca="true" t="shared" si="50" ref="H195:O195">SUM(H196:H198)</f>
        <v>63788</v>
      </c>
      <c r="I195" s="336">
        <f t="shared" si="50"/>
        <v>2494</v>
      </c>
      <c r="J195" s="336">
        <f t="shared" si="50"/>
        <v>41385</v>
      </c>
      <c r="K195" s="336">
        <f>SUM(K196:K199)</f>
        <v>80229</v>
      </c>
      <c r="L195" s="337">
        <f>SUM(L196:L199)</f>
        <v>66952.96999999999</v>
      </c>
      <c r="M195" s="337">
        <f>SUM(M196:M199)</f>
        <v>85074.98</v>
      </c>
      <c r="N195" s="336">
        <f t="shared" si="50"/>
        <v>7365</v>
      </c>
      <c r="O195" s="337">
        <f t="shared" si="50"/>
        <v>28865.35</v>
      </c>
      <c r="P195" s="336">
        <f aca="true" t="shared" si="51" ref="P195:V195">SUM(P196:P199)</f>
        <v>120501.78</v>
      </c>
      <c r="Q195" s="337">
        <f t="shared" si="51"/>
        <v>126996.82000000002</v>
      </c>
      <c r="R195" s="336">
        <f t="shared" si="51"/>
        <v>141442</v>
      </c>
      <c r="S195" s="336">
        <f t="shared" si="51"/>
        <v>173154.97999999998</v>
      </c>
      <c r="T195" s="336">
        <f t="shared" si="51"/>
        <v>202040</v>
      </c>
      <c r="U195" s="336">
        <f t="shared" si="51"/>
        <v>198744</v>
      </c>
      <c r="V195" s="336">
        <f t="shared" si="51"/>
        <v>0</v>
      </c>
      <c r="W195" s="681">
        <f>SUM(W196:W199)</f>
        <v>0</v>
      </c>
      <c r="X195" s="682">
        <f>SUM(X196:X199)</f>
        <v>198744</v>
      </c>
      <c r="AC195" s="2"/>
      <c r="AG195" s="444"/>
    </row>
    <row r="196" spans="1:33" ht="12.75">
      <c r="A196" s="815"/>
      <c r="B196" s="202">
        <v>610</v>
      </c>
      <c r="C196" s="41" t="s">
        <v>247</v>
      </c>
      <c r="D196" s="42"/>
      <c r="E196" s="42">
        <v>16132</v>
      </c>
      <c r="F196" s="42">
        <v>7933</v>
      </c>
      <c r="G196" s="42">
        <v>43567</v>
      </c>
      <c r="H196" s="42">
        <v>42257</v>
      </c>
      <c r="I196" s="338">
        <v>2163</v>
      </c>
      <c r="J196" s="338">
        <v>27310</v>
      </c>
      <c r="K196" s="338">
        <v>54820</v>
      </c>
      <c r="L196" s="339">
        <v>43998.71</v>
      </c>
      <c r="M196" s="339">
        <v>61007.02</v>
      </c>
      <c r="N196" s="547">
        <v>1010.2</v>
      </c>
      <c r="O196" s="655">
        <v>19809.79</v>
      </c>
      <c r="P196" s="655">
        <v>74996.97</v>
      </c>
      <c r="Q196" s="655">
        <v>83271.48000000001</v>
      </c>
      <c r="R196" s="547">
        <v>91152</v>
      </c>
      <c r="S196" s="547">
        <v>116904.23</v>
      </c>
      <c r="T196" s="547">
        <v>136227</v>
      </c>
      <c r="U196" s="547">
        <v>133614</v>
      </c>
      <c r="V196" s="708"/>
      <c r="W196" s="589"/>
      <c r="X196" s="590">
        <f aca="true" t="shared" si="52" ref="X196:X208">U196+V196+W196</f>
        <v>133614</v>
      </c>
      <c r="AB196" s="2"/>
      <c r="AC196" s="2"/>
      <c r="AG196" s="444"/>
    </row>
    <row r="197" spans="1:33" ht="12.75">
      <c r="A197" s="815"/>
      <c r="B197" s="204">
        <v>620</v>
      </c>
      <c r="C197" s="43" t="s">
        <v>248</v>
      </c>
      <c r="D197" s="44"/>
      <c r="E197" s="44">
        <v>5344</v>
      </c>
      <c r="F197" s="44">
        <v>2622</v>
      </c>
      <c r="G197" s="44">
        <v>14529</v>
      </c>
      <c r="H197" s="44">
        <v>14713</v>
      </c>
      <c r="I197" s="340">
        <v>323</v>
      </c>
      <c r="J197" s="340">
        <v>10254</v>
      </c>
      <c r="K197" s="340">
        <v>19614</v>
      </c>
      <c r="L197" s="341">
        <v>18142.44</v>
      </c>
      <c r="M197" s="341">
        <v>19303.48</v>
      </c>
      <c r="N197" s="342">
        <v>430.73</v>
      </c>
      <c r="O197" s="341">
        <v>6838.92</v>
      </c>
      <c r="P197" s="341">
        <v>26581.7</v>
      </c>
      <c r="Q197" s="341">
        <v>26861.5</v>
      </c>
      <c r="R197" s="342">
        <v>32290</v>
      </c>
      <c r="S197" s="342">
        <v>40364.94</v>
      </c>
      <c r="T197" s="342">
        <v>47813</v>
      </c>
      <c r="U197" s="342">
        <v>47130</v>
      </c>
      <c r="V197" s="445"/>
      <c r="W197" s="591"/>
      <c r="X197" s="592">
        <f t="shared" si="52"/>
        <v>47130</v>
      </c>
      <c r="AC197" s="2"/>
      <c r="AG197" s="444"/>
    </row>
    <row r="198" spans="1:33" ht="12.75">
      <c r="A198" s="815"/>
      <c r="B198" s="204">
        <v>630</v>
      </c>
      <c r="C198" s="43" t="s">
        <v>249</v>
      </c>
      <c r="D198" s="44"/>
      <c r="E198" s="44">
        <v>4946</v>
      </c>
      <c r="F198" s="44">
        <v>1826</v>
      </c>
      <c r="G198" s="44">
        <v>9000</v>
      </c>
      <c r="H198" s="44">
        <v>6818</v>
      </c>
      <c r="I198" s="44">
        <v>8</v>
      </c>
      <c r="J198" s="44">
        <f>3526+295</f>
        <v>3821</v>
      </c>
      <c r="K198" s="340">
        <v>5011</v>
      </c>
      <c r="L198" s="341">
        <v>4277.15</v>
      </c>
      <c r="M198" s="341">
        <v>4479.7</v>
      </c>
      <c r="N198" s="342">
        <v>5924.07</v>
      </c>
      <c r="O198" s="341">
        <v>2216.64</v>
      </c>
      <c r="P198" s="341">
        <v>18923.11</v>
      </c>
      <c r="Q198" s="341">
        <v>14768.490000000002</v>
      </c>
      <c r="R198" s="342">
        <v>18000</v>
      </c>
      <c r="S198" s="342">
        <v>15653.83</v>
      </c>
      <c r="T198" s="342">
        <v>18000</v>
      </c>
      <c r="U198" s="342">
        <v>18000</v>
      </c>
      <c r="V198" s="445"/>
      <c r="W198" s="591"/>
      <c r="X198" s="592">
        <f t="shared" si="52"/>
        <v>18000</v>
      </c>
      <c r="AC198" s="2"/>
      <c r="AG198" s="444"/>
    </row>
    <row r="199" spans="1:33" ht="13.5" thickBot="1">
      <c r="A199" s="815"/>
      <c r="B199" s="326">
        <v>640</v>
      </c>
      <c r="C199" s="299" t="s">
        <v>250</v>
      </c>
      <c r="D199" s="301"/>
      <c r="E199" s="301"/>
      <c r="F199" s="301"/>
      <c r="G199" s="301"/>
      <c r="H199" s="301"/>
      <c r="I199" s="301"/>
      <c r="J199" s="301"/>
      <c r="K199" s="343">
        <v>784</v>
      </c>
      <c r="L199" s="344">
        <v>534.67</v>
      </c>
      <c r="M199" s="344">
        <v>284.78</v>
      </c>
      <c r="N199" s="345"/>
      <c r="O199" s="344"/>
      <c r="P199" s="344"/>
      <c r="Q199" s="344">
        <v>2095.35</v>
      </c>
      <c r="R199" s="345">
        <v>0</v>
      </c>
      <c r="S199" s="345">
        <v>231.98</v>
      </c>
      <c r="T199" s="345">
        <v>0</v>
      </c>
      <c r="U199" s="500"/>
      <c r="V199" s="712"/>
      <c r="W199" s="630"/>
      <c r="X199" s="631">
        <f t="shared" si="52"/>
        <v>0</v>
      </c>
      <c r="AC199" s="2"/>
      <c r="AG199" s="444"/>
    </row>
    <row r="200" spans="1:33" ht="12.75">
      <c r="A200" s="815"/>
      <c r="B200" s="346"/>
      <c r="C200" s="319" t="s">
        <v>25</v>
      </c>
      <c r="D200" s="318"/>
      <c r="E200" s="318"/>
      <c r="F200" s="318"/>
      <c r="G200" s="318"/>
      <c r="H200" s="318"/>
      <c r="I200" s="319">
        <v>9265</v>
      </c>
      <c r="J200" s="206">
        <v>11343</v>
      </c>
      <c r="K200" s="44">
        <v>6313</v>
      </c>
      <c r="L200" s="118">
        <v>5404.14</v>
      </c>
      <c r="M200" s="118">
        <v>4327.68</v>
      </c>
      <c r="N200" s="22"/>
      <c r="O200" s="118">
        <v>3575.04</v>
      </c>
      <c r="P200" s="118">
        <v>3928.96</v>
      </c>
      <c r="Q200" s="118">
        <v>5212.52</v>
      </c>
      <c r="R200" s="22">
        <v>3500</v>
      </c>
      <c r="S200" s="22">
        <v>2417</v>
      </c>
      <c r="T200" s="22">
        <v>3500</v>
      </c>
      <c r="U200" s="490">
        <v>3500</v>
      </c>
      <c r="V200" s="708"/>
      <c r="W200" s="22"/>
      <c r="X200" s="590">
        <f t="shared" si="52"/>
        <v>3500</v>
      </c>
      <c r="AC200" s="2"/>
      <c r="AG200" s="444"/>
    </row>
    <row r="201" spans="1:33" ht="12.75">
      <c r="A201" s="815"/>
      <c r="B201" s="347"/>
      <c r="C201" s="226" t="s">
        <v>26</v>
      </c>
      <c r="D201" s="206"/>
      <c r="E201" s="206"/>
      <c r="F201" s="206"/>
      <c r="G201" s="206"/>
      <c r="H201" s="206"/>
      <c r="I201" s="226"/>
      <c r="J201" s="206"/>
      <c r="K201" s="44"/>
      <c r="L201" s="205"/>
      <c r="M201" s="26"/>
      <c r="N201" s="26">
        <v>0</v>
      </c>
      <c r="O201" s="205">
        <v>30265.35</v>
      </c>
      <c r="P201" s="205"/>
      <c r="Q201" s="205"/>
      <c r="R201" s="26">
        <v>0</v>
      </c>
      <c r="S201" s="26">
        <v>937.16</v>
      </c>
      <c r="T201" s="26">
        <v>10000</v>
      </c>
      <c r="U201" s="485">
        <v>30000</v>
      </c>
      <c r="V201" s="445"/>
      <c r="W201" s="26"/>
      <c r="X201" s="592">
        <f t="shared" si="52"/>
        <v>30000</v>
      </c>
      <c r="AC201" s="2"/>
      <c r="AG201" s="444"/>
    </row>
    <row r="202" spans="1:33" ht="12.75" customHeight="1">
      <c r="A202" s="815"/>
      <c r="B202" s="347">
        <v>630</v>
      </c>
      <c r="C202" s="226" t="s">
        <v>26</v>
      </c>
      <c r="D202" s="206"/>
      <c r="E202" s="206"/>
      <c r="F202" s="206"/>
      <c r="G202" s="206"/>
      <c r="H202" s="206"/>
      <c r="I202" s="226"/>
      <c r="J202" s="206"/>
      <c r="K202" s="44"/>
      <c r="L202" s="205"/>
      <c r="M202" s="26"/>
      <c r="N202" s="26">
        <v>0</v>
      </c>
      <c r="O202" s="205"/>
      <c r="P202" s="205"/>
      <c r="Q202" s="205"/>
      <c r="R202" s="26">
        <v>0</v>
      </c>
      <c r="S202" s="26"/>
      <c r="T202" s="26">
        <v>0</v>
      </c>
      <c r="U202" s="485"/>
      <c r="V202" s="445"/>
      <c r="W202" s="26"/>
      <c r="X202" s="592">
        <f t="shared" si="52"/>
        <v>0</v>
      </c>
      <c r="AC202" s="2"/>
      <c r="AG202" s="444"/>
    </row>
    <row r="203" spans="1:33" ht="12.75" customHeight="1">
      <c r="A203" s="815"/>
      <c r="B203" s="347">
        <v>630</v>
      </c>
      <c r="C203" s="226" t="s">
        <v>27</v>
      </c>
      <c r="D203" s="206"/>
      <c r="E203" s="206"/>
      <c r="F203" s="206"/>
      <c r="G203" s="206"/>
      <c r="H203" s="206"/>
      <c r="I203" s="226">
        <v>66358</v>
      </c>
      <c r="J203" s="206">
        <v>95746</v>
      </c>
      <c r="K203" s="44">
        <f>5530+80179</f>
        <v>85709</v>
      </c>
      <c r="L203" s="205">
        <v>56320.98000000001</v>
      </c>
      <c r="M203" s="205">
        <v>47905.93</v>
      </c>
      <c r="N203" s="26">
        <v>34336.340000000004</v>
      </c>
      <c r="O203" s="205">
        <v>29495.23</v>
      </c>
      <c r="P203" s="205">
        <v>24290.5</v>
      </c>
      <c r="Q203" s="205">
        <v>106460.45</v>
      </c>
      <c r="R203" s="26">
        <v>35000</v>
      </c>
      <c r="S203" s="26"/>
      <c r="T203" s="26">
        <v>35000</v>
      </c>
      <c r="U203" s="485">
        <v>0</v>
      </c>
      <c r="V203" s="445"/>
      <c r="W203" s="26"/>
      <c r="X203" s="592">
        <f t="shared" si="52"/>
        <v>0</v>
      </c>
      <c r="AC203" s="2"/>
      <c r="AG203" s="444"/>
    </row>
    <row r="204" spans="1:33" ht="12.75">
      <c r="A204" s="815"/>
      <c r="B204" s="347">
        <v>630</v>
      </c>
      <c r="C204" s="226"/>
      <c r="D204" s="206"/>
      <c r="E204" s="206"/>
      <c r="F204" s="206"/>
      <c r="G204" s="206"/>
      <c r="H204" s="206"/>
      <c r="I204" s="44">
        <v>642</v>
      </c>
      <c r="J204" s="206"/>
      <c r="K204" s="44"/>
      <c r="L204" s="205"/>
      <c r="M204" s="205">
        <v>323039.83999999997</v>
      </c>
      <c r="N204" s="26">
        <v>0</v>
      </c>
      <c r="O204" s="205"/>
      <c r="P204" s="205"/>
      <c r="Q204" s="205"/>
      <c r="R204" s="26">
        <v>0</v>
      </c>
      <c r="S204" s="26"/>
      <c r="T204" s="26">
        <v>0</v>
      </c>
      <c r="U204" s="485"/>
      <c r="V204" s="445"/>
      <c r="W204" s="26"/>
      <c r="X204" s="592">
        <f t="shared" si="52"/>
        <v>0</v>
      </c>
      <c r="AC204" s="2"/>
      <c r="AG204" s="444"/>
    </row>
    <row r="205" spans="1:33" ht="12.75">
      <c r="A205" s="815"/>
      <c r="B205" s="347"/>
      <c r="C205" s="226" t="s">
        <v>169</v>
      </c>
      <c r="D205" s="206"/>
      <c r="E205" s="206"/>
      <c r="F205" s="206"/>
      <c r="G205" s="206"/>
      <c r="H205" s="206"/>
      <c r="I205" s="226"/>
      <c r="J205" s="206">
        <v>85602</v>
      </c>
      <c r="K205" s="44">
        <f>4915+388479</f>
        <v>393394</v>
      </c>
      <c r="L205" s="205">
        <v>426977.77</v>
      </c>
      <c r="M205" s="205">
        <v>6176.6</v>
      </c>
      <c r="N205" s="26">
        <v>281171.12</v>
      </c>
      <c r="O205" s="205">
        <v>192626.66999999998</v>
      </c>
      <c r="P205" s="205">
        <v>166083.11</v>
      </c>
      <c r="Q205" s="205">
        <v>128496.68000000001</v>
      </c>
      <c r="R205" s="26">
        <v>150000</v>
      </c>
      <c r="S205" s="26">
        <v>127195.48999999999</v>
      </c>
      <c r="T205" s="26">
        <v>138215</v>
      </c>
      <c r="U205" s="485">
        <v>115000</v>
      </c>
      <c r="V205" s="445"/>
      <c r="W205" s="26"/>
      <c r="X205" s="592">
        <f t="shared" si="52"/>
        <v>115000</v>
      </c>
      <c r="AC205" s="2"/>
      <c r="AG205" s="444"/>
    </row>
    <row r="206" spans="1:33" ht="12.75">
      <c r="A206" s="815"/>
      <c r="B206" s="347">
        <v>630</v>
      </c>
      <c r="C206" s="226" t="s">
        <v>322</v>
      </c>
      <c r="D206" s="206"/>
      <c r="E206" s="206"/>
      <c r="F206" s="206"/>
      <c r="G206" s="206"/>
      <c r="H206" s="206"/>
      <c r="I206" s="226">
        <v>16833</v>
      </c>
      <c r="J206" s="206">
        <v>1809</v>
      </c>
      <c r="K206" s="44">
        <v>1345</v>
      </c>
      <c r="L206" s="205">
        <v>13077.4</v>
      </c>
      <c r="M206" s="205">
        <v>10590.8</v>
      </c>
      <c r="N206" s="26">
        <v>6654.32</v>
      </c>
      <c r="O206" s="205">
        <v>7292.93</v>
      </c>
      <c r="P206" s="205">
        <v>7200.599999999999</v>
      </c>
      <c r="Q206" s="205">
        <v>10049.73</v>
      </c>
      <c r="R206" s="26">
        <v>0</v>
      </c>
      <c r="S206" s="26">
        <v>11104.67</v>
      </c>
      <c r="T206" s="26">
        <v>12021</v>
      </c>
      <c r="U206" s="485"/>
      <c r="V206" s="445"/>
      <c r="W206" s="26"/>
      <c r="X206" s="592">
        <f t="shared" si="52"/>
        <v>0</v>
      </c>
      <c r="AC206" s="2"/>
      <c r="AG206" s="444"/>
    </row>
    <row r="207" spans="1:33" ht="12.75">
      <c r="A207" s="815"/>
      <c r="B207" s="560"/>
      <c r="C207" s="226" t="s">
        <v>28</v>
      </c>
      <c r="D207" s="561"/>
      <c r="E207" s="561"/>
      <c r="F207" s="561"/>
      <c r="G207" s="561"/>
      <c r="H207" s="561"/>
      <c r="I207" s="416"/>
      <c r="J207" s="206"/>
      <c r="K207" s="44"/>
      <c r="L207" s="223"/>
      <c r="M207" s="223"/>
      <c r="N207" s="30">
        <v>9556.68</v>
      </c>
      <c r="O207" s="223">
        <v>7519.8</v>
      </c>
      <c r="P207" s="223">
        <v>6557</v>
      </c>
      <c r="Q207" s="223">
        <v>315.4</v>
      </c>
      <c r="R207" s="30">
        <v>20224</v>
      </c>
      <c r="S207" s="30">
        <v>3353.2</v>
      </c>
      <c r="T207" s="30">
        <v>20224</v>
      </c>
      <c r="U207" s="494">
        <v>3500</v>
      </c>
      <c r="V207" s="709"/>
      <c r="W207" s="30"/>
      <c r="X207" s="597">
        <f t="shared" si="52"/>
        <v>3500</v>
      </c>
      <c r="AC207" s="2"/>
      <c r="AG207" s="444"/>
    </row>
    <row r="208" spans="1:33" ht="13.5" thickBot="1">
      <c r="A208" s="815"/>
      <c r="B208" s="348">
        <v>630</v>
      </c>
      <c r="C208" s="349" t="s">
        <v>29</v>
      </c>
      <c r="D208" s="350"/>
      <c r="E208" s="350"/>
      <c r="F208" s="350"/>
      <c r="G208" s="350"/>
      <c r="H208" s="350"/>
      <c r="I208" s="349"/>
      <c r="J208" s="206">
        <v>60</v>
      </c>
      <c r="K208" s="44"/>
      <c r="L208" s="223">
        <v>110</v>
      </c>
      <c r="M208" s="351"/>
      <c r="N208" s="351">
        <v>2268</v>
      </c>
      <c r="O208" s="656">
        <v>2590</v>
      </c>
      <c r="P208" s="656">
        <v>4333.18</v>
      </c>
      <c r="Q208" s="656">
        <v>3298.7</v>
      </c>
      <c r="R208" s="351">
        <v>2000</v>
      </c>
      <c r="S208" s="351"/>
      <c r="T208" s="351">
        <v>2000</v>
      </c>
      <c r="U208" s="501">
        <v>2000</v>
      </c>
      <c r="V208" s="709"/>
      <c r="W208" s="602"/>
      <c r="X208" s="597">
        <f t="shared" si="52"/>
        <v>2000</v>
      </c>
      <c r="AC208" s="2"/>
      <c r="AG208" s="444"/>
    </row>
    <row r="209" spans="1:33" ht="17.25" thickBot="1" thickTop="1">
      <c r="A209" s="352"/>
      <c r="B209" s="353"/>
      <c r="C209" s="148" t="s">
        <v>30</v>
      </c>
      <c r="D209" s="101">
        <f aca="true" t="shared" si="53" ref="D209:X209">D4+D10+D14+D25+D27+D29+D34+D36+D41+D50+D56+D70+D74+D81+D86+D91+D110+D112+D124+D129+D144+D147+D152+D168+D173+D183+D189+D194+D115+D19+D43+D79</f>
        <v>5867125</v>
      </c>
      <c r="E209" s="101">
        <f t="shared" si="53"/>
        <v>6460200</v>
      </c>
      <c r="F209" s="101">
        <f t="shared" si="53"/>
        <v>7832271</v>
      </c>
      <c r="G209" s="101">
        <f t="shared" si="53"/>
        <v>8716285.43</v>
      </c>
      <c r="H209" s="101">
        <f t="shared" si="53"/>
        <v>9309387</v>
      </c>
      <c r="I209" s="101">
        <f t="shared" si="53"/>
        <v>8743512.2</v>
      </c>
      <c r="J209" s="101">
        <f t="shared" si="53"/>
        <v>8908071</v>
      </c>
      <c r="K209" s="101">
        <f t="shared" si="53"/>
        <v>8934542</v>
      </c>
      <c r="L209" s="354">
        <f t="shared" si="53"/>
        <v>9572545.38</v>
      </c>
      <c r="M209" s="354">
        <f t="shared" si="53"/>
        <v>9554914.799999999</v>
      </c>
      <c r="N209" s="483">
        <f>N4+N10+N14+N25+N27+N29+N34+N36+N41+N50+N56+N70+N74+N81+N86+N91+N110+N112+N124+N129+N144+N147+N152+N168+N173+N183+N189+N194+N115+N19+N43+N79</f>
        <v>9695081.340000002</v>
      </c>
      <c r="O209" s="657">
        <f>O4+O10+O14+O25+O27+O29+O34+O36+O41+O50+O56+O70+O74+O81+O86+O91+O110+O112+O124+O129+O144+O147+O152+O168+O173+O183+O189+O194+O115+O19+O43+O79</f>
        <v>10029034.879999999</v>
      </c>
      <c r="P209" s="483">
        <f>P4+P10+P14+P25+P27+P29+P34+P36+P41+P50+P56+P70+P74+P81+P86+P91+P110+P112+P124+P129+P144+P147+P152+P168+P173+P183+P189+P194+P115+P19+P43+P79</f>
        <v>10815176.44</v>
      </c>
      <c r="Q209" s="657">
        <f>Q4+Q10+Q14+Q25+Q27+Q29+Q34+Q36+Q41+Q50+Q56+Q70+Q74+Q81+Q86+Q91+Q110+Q112+Q124+Q129+Q144+Q147+Q152+Q168+Q173+Q183+Q189+Q194+Q115+Q19+Q43+Q79</f>
        <v>12072287.610000001</v>
      </c>
      <c r="R209" s="483">
        <f>R4+R10+R14+R19+R25+R27+R29+R34+R36+R41+R43+R50+R56+R70+R74+R81+R86+R91+R110+R112+R115+R124+R129+R144+R147+R152+R173+R183+R189+R194</f>
        <v>12278088</v>
      </c>
      <c r="S209" s="483">
        <f>S4+S10+S14+S19+S25+S27+S29+S34+S36+S41+S43+S50+S56+S70+S74+S81+S86+S91+S110+S112+S115+S124+S129+S144+S147+S152+S173+S183+S189+S194+S122</f>
        <v>13351433.260000002</v>
      </c>
      <c r="T209" s="483">
        <f>T4+T10+T14+T19+T25+T27+T29+T34+T36+T41+T43+T50+T56+T70+T74+T81+T86+T91+T110+T112+T115+T124+T129+T144+T147+T152+T173+T183+T189+T194</f>
        <v>14437769</v>
      </c>
      <c r="U209" s="483">
        <f>U4+U10+U14+U19+U25+U27+U29+U34+U36+U41+U43+U50+U56+U70+U74+U81+U86+U91+U110+U112+U115+U124+U129+U144+U147+U152+U173+U183+U189+U194</f>
        <v>14836790</v>
      </c>
      <c r="V209" s="483">
        <f>V4+V10+V14+V19+V25+V27+V29+V34+V36+V41+V43+V50+V56+V70+V74+V81+V86+V91+V110+V112+V115+V124+V129+V144+V147+V152+V173+V183+V189+V194</f>
        <v>0</v>
      </c>
      <c r="W209" s="483">
        <f>W4+W10+W14+W19+W25+W27+W29+W34+W36+W41+W43+W50+W56+W70+W74+W81+W86+W91+W110+W112+W115+W124+W129+W144+W147+W152+W173+W183+W189+W194</f>
        <v>95452</v>
      </c>
      <c r="X209" s="514">
        <f t="shared" si="53"/>
        <v>14900242</v>
      </c>
      <c r="AC209" s="2"/>
      <c r="AG209" s="444"/>
    </row>
    <row r="210" spans="22:33" ht="13.5" thickTop="1">
      <c r="V210" s="444"/>
      <c r="AC210" s="2"/>
      <c r="AG210" s="444"/>
    </row>
    <row r="211" spans="13:33" ht="12.75">
      <c r="M211" s="444"/>
      <c r="U211" s="2"/>
      <c r="V211" s="444"/>
      <c r="W211" s="605"/>
      <c r="X211" s="605"/>
      <c r="AC211" s="2"/>
      <c r="AG211" s="444"/>
    </row>
    <row r="212" spans="14:33" ht="12.75">
      <c r="N212" s="2"/>
      <c r="Q212" s="2"/>
      <c r="R212" s="2"/>
      <c r="S212" s="2"/>
      <c r="T212" s="2"/>
      <c r="U212" s="2"/>
      <c r="V212" s="444"/>
      <c r="W212" s="605"/>
      <c r="X212" s="605"/>
      <c r="AC212" s="2"/>
      <c r="AG212" s="444"/>
    </row>
    <row r="213" spans="13:33" ht="12.75">
      <c r="M213" s="444"/>
      <c r="U213" s="2"/>
      <c r="V213" s="2"/>
      <c r="W213" s="2"/>
      <c r="X213" s="2"/>
      <c r="AC213" s="2"/>
      <c r="AG213" s="444"/>
    </row>
    <row r="214" spans="14:33" ht="12.75">
      <c r="N214" s="2"/>
      <c r="O214" s="2"/>
      <c r="P214" s="2"/>
      <c r="Q214" s="2"/>
      <c r="R214" s="2"/>
      <c r="S214" s="2"/>
      <c r="T214" s="2"/>
      <c r="U214" s="2"/>
      <c r="V214" s="444"/>
      <c r="W214" s="605"/>
      <c r="X214" s="605"/>
      <c r="AC214" s="2"/>
      <c r="AG214" s="444"/>
    </row>
    <row r="215" spans="22:33" ht="12.75">
      <c r="V215" s="444"/>
      <c r="AC215" s="2"/>
      <c r="AG215" s="444"/>
    </row>
    <row r="216" spans="12:33" ht="12.7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444"/>
      <c r="W216" s="605"/>
      <c r="X216" s="605"/>
      <c r="AC216" s="2"/>
      <c r="AG216" s="444"/>
    </row>
    <row r="217" spans="17:33" ht="12.75">
      <c r="Q217">
        <v>2019</v>
      </c>
      <c r="R217">
        <v>2020</v>
      </c>
      <c r="V217" s="444"/>
      <c r="AC217" s="2"/>
      <c r="AG217" s="444"/>
    </row>
    <row r="218" spans="14:33" ht="12.75">
      <c r="N218" s="2"/>
      <c r="O218" s="2"/>
      <c r="P218" s="2"/>
      <c r="Q218" s="2">
        <f>Q5</f>
        <v>702314.57</v>
      </c>
      <c r="R218" s="2">
        <f>R5</f>
        <v>737427</v>
      </c>
      <c r="S218" s="2"/>
      <c r="T218" s="2"/>
      <c r="U218" s="2"/>
      <c r="V218" s="2"/>
      <c r="W218" s="2"/>
      <c r="X218" s="2"/>
      <c r="AC218" s="2"/>
      <c r="AG218" s="444"/>
    </row>
    <row r="219" spans="17:33" ht="12.75">
      <c r="Q219" s="2">
        <f>Q6</f>
        <v>266731.95</v>
      </c>
      <c r="R219" s="2">
        <f>R6</f>
        <v>273617</v>
      </c>
      <c r="S219" s="2"/>
      <c r="T219" s="2"/>
      <c r="U219" s="2"/>
      <c r="V219" s="444"/>
      <c r="AC219" s="2"/>
      <c r="AG219" s="444"/>
    </row>
    <row r="220" spans="17:33" ht="12.75">
      <c r="Q220" s="2">
        <f>Q7+Q8</f>
        <v>338014.24</v>
      </c>
      <c r="R220" s="2">
        <f>R7+R8</f>
        <v>393065</v>
      </c>
      <c r="S220" s="2"/>
      <c r="T220" s="2"/>
      <c r="U220" s="2"/>
      <c r="V220" s="2"/>
      <c r="W220" s="2"/>
      <c r="X220" s="2"/>
      <c r="AG220" s="444"/>
    </row>
    <row r="221" spans="21:33" ht="12.75">
      <c r="U221" s="2"/>
      <c r="V221" s="444"/>
      <c r="AG221" s="444"/>
    </row>
    <row r="222" spans="22:24" ht="12.75">
      <c r="V222" s="444"/>
      <c r="W222" s="605"/>
      <c r="X222" s="605"/>
    </row>
    <row r="223" spans="21:25" ht="12.75">
      <c r="U223" s="2"/>
      <c r="V223" s="2"/>
      <c r="W223" s="2"/>
      <c r="X223" s="2"/>
      <c r="Y223" s="2"/>
    </row>
    <row r="224" ht="12.75">
      <c r="V224" s="444"/>
    </row>
    <row r="225" ht="12.75">
      <c r="V225" s="444"/>
    </row>
    <row r="226" spans="23:24" ht="12.75">
      <c r="W226"/>
      <c r="X226"/>
    </row>
    <row r="227" spans="21:24" ht="12.75">
      <c r="U227" s="2"/>
      <c r="V227" s="2"/>
      <c r="W227" s="2"/>
      <c r="X227" s="2"/>
    </row>
    <row r="228" ht="12.75">
      <c r="V228" s="444"/>
    </row>
    <row r="229" ht="12.75">
      <c r="V229" s="444"/>
    </row>
    <row r="230" ht="12.75">
      <c r="V230" s="444"/>
    </row>
    <row r="231" ht="12.75">
      <c r="V231" s="444"/>
    </row>
    <row r="232" ht="12.75">
      <c r="V232" s="444"/>
    </row>
    <row r="233" ht="12.75">
      <c r="V233" s="444"/>
    </row>
    <row r="234" ht="12.75">
      <c r="V234" s="444"/>
    </row>
    <row r="235" ht="12.75">
      <c r="V235" s="444"/>
    </row>
    <row r="236" ht="12.75">
      <c r="V236" s="444"/>
    </row>
    <row r="237" ht="12.75">
      <c r="V237" s="444"/>
    </row>
    <row r="238" ht="12.75">
      <c r="V238" s="444"/>
    </row>
    <row r="239" ht="12.75">
      <c r="V239" s="444"/>
    </row>
    <row r="240" ht="12.75">
      <c r="V240" s="444"/>
    </row>
    <row r="241" ht="12.75">
      <c r="V241" s="444"/>
    </row>
    <row r="242" ht="12.75">
      <c r="V242" s="444"/>
    </row>
    <row r="243" ht="12.75">
      <c r="V243" s="444"/>
    </row>
    <row r="244" ht="12.75">
      <c r="V244" s="444"/>
    </row>
    <row r="245" ht="12.75">
      <c r="V245" s="444"/>
    </row>
    <row r="246" ht="12.75">
      <c r="V246" s="444"/>
    </row>
    <row r="247" ht="12.75">
      <c r="V247" s="444"/>
    </row>
    <row r="248" ht="12.75">
      <c r="V248" s="444"/>
    </row>
  </sheetData>
  <sheetProtection/>
  <mergeCells count="91">
    <mergeCell ref="A11:A13"/>
    <mergeCell ref="B10:C10"/>
    <mergeCell ref="S2:S3"/>
    <mergeCell ref="B4:C4"/>
    <mergeCell ref="I2:I3"/>
    <mergeCell ref="A1:C1"/>
    <mergeCell ref="A20:A24"/>
    <mergeCell ref="A15:A18"/>
    <mergeCell ref="B19:C19"/>
    <mergeCell ref="Q2:Q3"/>
    <mergeCell ref="O2:O3"/>
    <mergeCell ref="V2:W2"/>
    <mergeCell ref="T2:T3"/>
    <mergeCell ref="A2:A3"/>
    <mergeCell ref="B2:B3"/>
    <mergeCell ref="C2:C3"/>
    <mergeCell ref="B57:C57"/>
    <mergeCell ref="B43:C43"/>
    <mergeCell ref="B50:C50"/>
    <mergeCell ref="A44:A49"/>
    <mergeCell ref="A37:A40"/>
    <mergeCell ref="A51:A55"/>
    <mergeCell ref="B56:C56"/>
    <mergeCell ref="A57:A69"/>
    <mergeCell ref="B152:C152"/>
    <mergeCell ref="B144:C144"/>
    <mergeCell ref="B147:C147"/>
    <mergeCell ref="B124:C124"/>
    <mergeCell ref="A125:A128"/>
    <mergeCell ref="B129:C129"/>
    <mergeCell ref="A130:A143"/>
    <mergeCell ref="A145:A146"/>
    <mergeCell ref="A148:A151"/>
    <mergeCell ref="B148:B151"/>
    <mergeCell ref="B159:B167"/>
    <mergeCell ref="B181:C181"/>
    <mergeCell ref="A153:A167"/>
    <mergeCell ref="B153:C153"/>
    <mergeCell ref="B158:C158"/>
    <mergeCell ref="B168:C168"/>
    <mergeCell ref="B174:C174"/>
    <mergeCell ref="A174:A182"/>
    <mergeCell ref="A169:A172"/>
    <mergeCell ref="B173:C173"/>
    <mergeCell ref="B194:C194"/>
    <mergeCell ref="A195:A208"/>
    <mergeCell ref="B195:C195"/>
    <mergeCell ref="B183:C183"/>
    <mergeCell ref="A184:A188"/>
    <mergeCell ref="B189:C189"/>
    <mergeCell ref="A190:A193"/>
    <mergeCell ref="X2:X3"/>
    <mergeCell ref="A30:A33"/>
    <mergeCell ref="B27:C27"/>
    <mergeCell ref="B29:C29"/>
    <mergeCell ref="A5:A9"/>
    <mergeCell ref="G2:G3"/>
    <mergeCell ref="E2:E3"/>
    <mergeCell ref="D2:D3"/>
    <mergeCell ref="B25:C25"/>
    <mergeCell ref="J2:J3"/>
    <mergeCell ref="A71:A73"/>
    <mergeCell ref="A113:A114"/>
    <mergeCell ref="M2:M3"/>
    <mergeCell ref="B41:C41"/>
    <mergeCell ref="B112:C112"/>
    <mergeCell ref="B74:C74"/>
    <mergeCell ref="B81:C81"/>
    <mergeCell ref="B91:C91"/>
    <mergeCell ref="B70:C70"/>
    <mergeCell ref="B36:C36"/>
    <mergeCell ref="B34:C34"/>
    <mergeCell ref="L2:L3"/>
    <mergeCell ref="H2:H3"/>
    <mergeCell ref="F2:F3"/>
    <mergeCell ref="N2:N3"/>
    <mergeCell ref="U2:U3"/>
    <mergeCell ref="R2:R3"/>
    <mergeCell ref="B14:C14"/>
    <mergeCell ref="P2:P3"/>
    <mergeCell ref="K2:K3"/>
    <mergeCell ref="B122:C122"/>
    <mergeCell ref="A116:A121"/>
    <mergeCell ref="A75:A78"/>
    <mergeCell ref="A82:A85"/>
    <mergeCell ref="B86:C86"/>
    <mergeCell ref="B79:C79"/>
    <mergeCell ref="A92:A109"/>
    <mergeCell ref="A87:A90"/>
    <mergeCell ref="B115:C115"/>
    <mergeCell ref="B110:C110"/>
  </mergeCells>
  <printOptions/>
  <pageMargins left="0" right="0" top="0.1968503937007874" bottom="0.1968503937007874" header="0" footer="0"/>
  <pageSetup orientation="portrait" paperSize="9" scale="89" r:id="rId1"/>
  <rowBreaks count="3" manualBreakCount="3">
    <brk id="69" max="27" man="1"/>
    <brk id="151" max="255" man="1"/>
    <brk id="209" max="255" man="1"/>
  </rowBreaks>
  <colBreaks count="1" manualBreakCount="1">
    <brk id="24" max="65535" man="1"/>
  </colBreaks>
  <ignoredErrors>
    <ignoredError sqref="U74 B71:M74 B76:B78" numberStoredAsText="1"/>
    <ignoredError sqref="L112:M112 L111 L114 W112:X112 U112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4"/>
  <sheetViews>
    <sheetView zoomScale="85" zoomScaleNormal="85" zoomScalePageLayoutView="0" workbookViewId="0" topLeftCell="A1">
      <selection activeCell="Y5" sqref="Y5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939" t="s">
        <v>435</v>
      </c>
      <c r="B1" s="939"/>
      <c r="C1" s="939"/>
    </row>
    <row r="2" spans="1:3" ht="13.5" thickBot="1">
      <c r="A2" s="939" t="s">
        <v>436</v>
      </c>
      <c r="B2" s="939"/>
      <c r="C2" s="939"/>
    </row>
    <row r="3" spans="1:23" ht="14.25" customHeight="1" thickTop="1">
      <c r="A3" s="771" t="s">
        <v>84</v>
      </c>
      <c r="B3" s="796" t="s">
        <v>85</v>
      </c>
      <c r="C3" s="760" t="s">
        <v>86</v>
      </c>
      <c r="D3" s="760" t="s">
        <v>182</v>
      </c>
      <c r="E3" s="760" t="s">
        <v>183</v>
      </c>
      <c r="F3" s="760" t="s">
        <v>184</v>
      </c>
      <c r="G3" s="760" t="s">
        <v>185</v>
      </c>
      <c r="H3" s="760" t="s">
        <v>186</v>
      </c>
      <c r="I3" s="760" t="s">
        <v>92</v>
      </c>
      <c r="J3" s="760" t="s">
        <v>93</v>
      </c>
      <c r="K3" s="760" t="s">
        <v>94</v>
      </c>
      <c r="L3" s="760" t="s">
        <v>95</v>
      </c>
      <c r="M3" s="760" t="s">
        <v>321</v>
      </c>
      <c r="N3" s="760" t="s">
        <v>338</v>
      </c>
      <c r="O3" s="760" t="s">
        <v>357</v>
      </c>
      <c r="P3" s="760" t="s">
        <v>364</v>
      </c>
      <c r="Q3" s="760" t="s">
        <v>379</v>
      </c>
      <c r="R3" s="760" t="s">
        <v>388</v>
      </c>
      <c r="S3" s="760" t="s">
        <v>389</v>
      </c>
      <c r="T3" s="760" t="s">
        <v>390</v>
      </c>
      <c r="U3" s="773" t="s">
        <v>428</v>
      </c>
      <c r="V3" s="719" t="s">
        <v>426</v>
      </c>
      <c r="W3" s="775" t="s">
        <v>427</v>
      </c>
    </row>
    <row r="4" spans="1:23" ht="27.75" customHeight="1" thickBot="1">
      <c r="A4" s="772"/>
      <c r="B4" s="797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74"/>
      <c r="V4" s="704" t="s">
        <v>97</v>
      </c>
      <c r="W4" s="776"/>
    </row>
    <row r="5" spans="1:23" ht="17.25" thickBot="1" thickTop="1">
      <c r="A5" s="103">
        <v>200</v>
      </c>
      <c r="B5" s="785" t="s">
        <v>115</v>
      </c>
      <c r="C5" s="786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62">
        <f t="shared" si="0"/>
        <v>61991.15</v>
      </c>
      <c r="N5" s="104">
        <f t="shared" si="0"/>
        <v>87107.9</v>
      </c>
      <c r="O5" s="562">
        <f t="shared" si="0"/>
        <v>542510.87</v>
      </c>
      <c r="P5" s="562">
        <f aca="true" t="shared" si="1" ref="P5:U5">P6</f>
        <v>47974.47</v>
      </c>
      <c r="Q5" s="562">
        <f t="shared" si="1"/>
        <v>147766.67</v>
      </c>
      <c r="R5" s="104">
        <f t="shared" si="1"/>
        <v>177036</v>
      </c>
      <c r="S5" s="104">
        <f t="shared" si="1"/>
        <v>989473.64</v>
      </c>
      <c r="T5" s="104">
        <f t="shared" si="1"/>
        <v>93328</v>
      </c>
      <c r="U5" s="104">
        <f t="shared" si="1"/>
        <v>0</v>
      </c>
      <c r="V5" s="104">
        <f t="shared" si="0"/>
        <v>96000</v>
      </c>
      <c r="W5" s="105">
        <f t="shared" si="0"/>
        <v>96000</v>
      </c>
    </row>
    <row r="6" spans="1:23" ht="15.75" thickBot="1">
      <c r="A6" s="106">
        <v>230</v>
      </c>
      <c r="B6" s="755" t="s">
        <v>187</v>
      </c>
      <c r="C6" s="787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6">
        <f t="shared" si="3"/>
        <v>61991.15</v>
      </c>
      <c r="N6" s="107">
        <f t="shared" si="3"/>
        <v>87107.9</v>
      </c>
      <c r="O6" s="556">
        <f t="shared" si="3"/>
        <v>542510.87</v>
      </c>
      <c r="P6" s="556">
        <f t="shared" si="3"/>
        <v>47974.47</v>
      </c>
      <c r="Q6" s="556">
        <f t="shared" si="3"/>
        <v>147766.67</v>
      </c>
      <c r="R6" s="107">
        <f t="shared" si="3"/>
        <v>177036</v>
      </c>
      <c r="S6" s="107">
        <f>S7+S11</f>
        <v>989473.64</v>
      </c>
      <c r="T6" s="107">
        <f>T7+T11</f>
        <v>93328</v>
      </c>
      <c r="U6" s="67">
        <f t="shared" si="3"/>
        <v>0</v>
      </c>
      <c r="V6" s="67">
        <f>V7+V11</f>
        <v>96000</v>
      </c>
      <c r="W6" s="68">
        <f>U6+V6</f>
        <v>96000</v>
      </c>
    </row>
    <row r="7" spans="1:23" ht="13.5" thickBot="1">
      <c r="A7" s="749"/>
      <c r="B7" s="108">
        <v>231</v>
      </c>
      <c r="C7" s="62" t="s">
        <v>188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64">
        <f>SUM(T8:T10)</f>
        <v>0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50"/>
      <c r="B8" s="752"/>
      <c r="C8" s="109" t="s">
        <v>189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22"/>
      <c r="U8" s="57"/>
      <c r="V8" s="57"/>
      <c r="W8" s="23">
        <f>U8+V8</f>
        <v>0</v>
      </c>
    </row>
    <row r="9" spans="1:23" ht="12.75">
      <c r="A9" s="750"/>
      <c r="B9" s="753"/>
      <c r="C9" s="43" t="s">
        <v>190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22"/>
      <c r="U9" s="57"/>
      <c r="V9" s="57"/>
      <c r="W9" s="23">
        <f>U9+V9</f>
        <v>0</v>
      </c>
    </row>
    <row r="10" spans="1:23" ht="13.5" thickBot="1">
      <c r="A10" s="750"/>
      <c r="B10" s="754"/>
      <c r="C10" s="115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70"/>
      <c r="U10" s="57"/>
      <c r="V10" s="57"/>
      <c r="W10" s="23">
        <f>U10+V10</f>
        <v>0</v>
      </c>
    </row>
    <row r="11" spans="1:23" ht="13.5" thickBot="1">
      <c r="A11" s="750"/>
      <c r="B11" s="117">
        <v>233</v>
      </c>
      <c r="C11" s="61" t="s">
        <v>192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64">
        <f>SUM(T12:T16)</f>
        <v>93328</v>
      </c>
      <c r="U11" s="64">
        <f t="shared" si="5"/>
        <v>0</v>
      </c>
      <c r="V11" s="64">
        <f>SUM(V12:V16)</f>
        <v>96000</v>
      </c>
      <c r="W11" s="65">
        <f>SUM(W12:W16)</f>
        <v>96000</v>
      </c>
    </row>
    <row r="12" spans="1:23" ht="13.5" thickBot="1">
      <c r="A12" s="750"/>
      <c r="B12" s="752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73">
        <v>54104.9</v>
      </c>
      <c r="O12" s="659">
        <v>286867.51</v>
      </c>
      <c r="P12" s="659">
        <v>47974.47</v>
      </c>
      <c r="Q12" s="659">
        <v>147766.67</v>
      </c>
      <c r="R12" s="573">
        <v>138081</v>
      </c>
      <c r="S12" s="573">
        <v>983701.64</v>
      </c>
      <c r="T12" s="573">
        <v>93328</v>
      </c>
      <c r="U12" s="57"/>
      <c r="V12" s="57">
        <v>96000</v>
      </c>
      <c r="W12" s="23">
        <f>U12+V12</f>
        <v>96000</v>
      </c>
    </row>
    <row r="13" spans="1:23" ht="13.5" hidden="1" thickBot="1">
      <c r="A13" s="750"/>
      <c r="B13" s="753"/>
      <c r="C13" s="119" t="s">
        <v>194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60"/>
      <c r="P13" s="660"/>
      <c r="Q13" s="660"/>
      <c r="R13" s="121"/>
      <c r="S13" s="121"/>
      <c r="T13" s="121"/>
      <c r="U13" s="184"/>
      <c r="V13" s="184"/>
      <c r="W13" s="122"/>
    </row>
    <row r="14" spans="1:23" ht="13.5" hidden="1" thickBot="1">
      <c r="A14" s="750"/>
      <c r="B14" s="753"/>
      <c r="C14" s="119" t="s">
        <v>195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60"/>
      <c r="P14" s="660"/>
      <c r="Q14" s="660"/>
      <c r="R14" s="121"/>
      <c r="S14" s="121"/>
      <c r="T14" s="121"/>
      <c r="U14" s="184"/>
      <c r="V14" s="184"/>
      <c r="W14" s="122"/>
    </row>
    <row r="15" spans="1:23" ht="13.5" hidden="1" thickBot="1">
      <c r="A15" s="750"/>
      <c r="B15" s="753"/>
      <c r="C15" s="119" t="s">
        <v>196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60"/>
      <c r="P15" s="660"/>
      <c r="Q15" s="660"/>
      <c r="R15" s="121"/>
      <c r="S15" s="121"/>
      <c r="T15" s="121"/>
      <c r="U15" s="184"/>
      <c r="V15" s="184"/>
      <c r="W15" s="122"/>
    </row>
    <row r="16" spans="1:23" ht="13.5" hidden="1" thickBot="1">
      <c r="A16" s="750"/>
      <c r="B16" s="754"/>
      <c r="C16" s="123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70"/>
      <c r="U16" s="57"/>
      <c r="V16" s="57"/>
      <c r="W16" s="23"/>
    </row>
    <row r="17" spans="1:23" ht="16.5" thickBot="1">
      <c r="A17" s="124">
        <v>300</v>
      </c>
      <c r="B17" s="781" t="s">
        <v>147</v>
      </c>
      <c r="C17" s="853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U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64">
        <f t="shared" si="6"/>
        <v>690306.37</v>
      </c>
      <c r="N17" s="125">
        <f t="shared" si="6"/>
        <v>848428.28</v>
      </c>
      <c r="O17" s="564">
        <f aca="true" t="shared" si="7" ref="O17:T17">O18+O50</f>
        <v>1153730.93</v>
      </c>
      <c r="P17" s="564">
        <f t="shared" si="7"/>
        <v>2075273.05</v>
      </c>
      <c r="Q17" s="564">
        <f t="shared" si="7"/>
        <v>1378895.97</v>
      </c>
      <c r="R17" s="125">
        <f t="shared" si="7"/>
        <v>2461132</v>
      </c>
      <c r="S17" s="125">
        <f t="shared" si="7"/>
        <v>1872835.86</v>
      </c>
      <c r="T17" s="125">
        <f t="shared" si="7"/>
        <v>1029642</v>
      </c>
      <c r="U17" s="502">
        <f t="shared" si="6"/>
        <v>350000</v>
      </c>
      <c r="V17" s="502">
        <f>V18+V50</f>
        <v>-350000</v>
      </c>
      <c r="W17" s="126">
        <f>W18+W50</f>
        <v>0</v>
      </c>
    </row>
    <row r="18" spans="1:23" ht="15.75" thickBot="1">
      <c r="A18" s="106">
        <v>320</v>
      </c>
      <c r="B18" s="755" t="s">
        <v>198</v>
      </c>
      <c r="C18" s="787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8" ref="I18:W18">I19</f>
        <v>4417142</v>
      </c>
      <c r="J18" s="127">
        <f t="shared" si="8"/>
        <v>4408068.06</v>
      </c>
      <c r="K18" s="127">
        <f t="shared" si="8"/>
        <v>3580446</v>
      </c>
      <c r="L18" s="127">
        <f t="shared" si="8"/>
        <v>994806.09</v>
      </c>
      <c r="M18" s="565">
        <f t="shared" si="8"/>
        <v>690306.37</v>
      </c>
      <c r="N18" s="503">
        <f t="shared" si="8"/>
        <v>848428.28</v>
      </c>
      <c r="O18" s="585">
        <f t="shared" si="8"/>
        <v>1153730.93</v>
      </c>
      <c r="P18" s="503">
        <f t="shared" si="8"/>
        <v>2075273.05</v>
      </c>
      <c r="Q18" s="585">
        <v>1378895.97</v>
      </c>
      <c r="R18" s="503">
        <v>2461132</v>
      </c>
      <c r="S18" s="503">
        <f t="shared" si="8"/>
        <v>1872835.86</v>
      </c>
      <c r="T18" s="503">
        <f t="shared" si="8"/>
        <v>1029642</v>
      </c>
      <c r="U18" s="503">
        <f t="shared" si="8"/>
        <v>350000</v>
      </c>
      <c r="V18" s="503">
        <f t="shared" si="8"/>
        <v>-350000</v>
      </c>
      <c r="W18" s="128">
        <f t="shared" si="8"/>
        <v>0</v>
      </c>
    </row>
    <row r="19" spans="1:23" ht="13.5" customHeight="1" thickBot="1">
      <c r="A19" s="850"/>
      <c r="B19" s="117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6">
        <f>SUM(M20:M49)</f>
        <v>690306.37</v>
      </c>
      <c r="N19" s="129">
        <f>SUM(N20:N49)</f>
        <v>848428.28</v>
      </c>
      <c r="O19" s="566">
        <v>1153730.93</v>
      </c>
      <c r="P19" s="566">
        <v>2075273.05</v>
      </c>
      <c r="Q19" s="566">
        <v>1378895.97</v>
      </c>
      <c r="R19" s="129">
        <v>2461132</v>
      </c>
      <c r="S19" s="129">
        <v>1872835.86</v>
      </c>
      <c r="T19" s="129">
        <v>1029642</v>
      </c>
      <c r="U19" s="37">
        <f>U20</f>
        <v>350000</v>
      </c>
      <c r="V19" s="37">
        <f>SUM(V20:V49)</f>
        <v>-350000</v>
      </c>
      <c r="W19" s="38">
        <f>SUM(W20:W49)</f>
        <v>0</v>
      </c>
    </row>
    <row r="20" spans="1:23" ht="15.75" customHeight="1">
      <c r="A20" s="851"/>
      <c r="B20" s="849"/>
      <c r="C20" s="130" t="s">
        <v>421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21"/>
      <c r="U20" s="57">
        <v>350000</v>
      </c>
      <c r="V20" s="57">
        <v>-350000</v>
      </c>
      <c r="W20" s="23">
        <f>U20+V20</f>
        <v>0</v>
      </c>
    </row>
    <row r="21" spans="1:23" ht="15.75" customHeight="1">
      <c r="A21" s="851"/>
      <c r="B21" s="849"/>
      <c r="C21" s="20"/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21"/>
      <c r="U21" s="57"/>
      <c r="V21" s="57"/>
      <c r="W21" s="23">
        <f>U21+V21</f>
        <v>0</v>
      </c>
    </row>
    <row r="22" spans="1:23" ht="15.75" customHeight="1">
      <c r="A22" s="851"/>
      <c r="B22" s="849"/>
      <c r="C22" s="20"/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21"/>
      <c r="U22" s="57"/>
      <c r="V22" s="57"/>
      <c r="W22" s="23">
        <f>U22+V22</f>
        <v>0</v>
      </c>
    </row>
    <row r="23" spans="1:23" ht="15.75" customHeight="1">
      <c r="A23" s="851"/>
      <c r="B23" s="849"/>
      <c r="C23" s="20"/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21"/>
      <c r="U23" s="57"/>
      <c r="V23" s="57"/>
      <c r="W23" s="23">
        <f>U23+V23</f>
        <v>0</v>
      </c>
    </row>
    <row r="24" spans="1:23" ht="15.75" customHeight="1" thickBot="1">
      <c r="A24" s="851"/>
      <c r="B24" s="849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21"/>
      <c r="U24" s="57"/>
      <c r="V24" s="57"/>
      <c r="W24" s="23">
        <f>U24+V24</f>
        <v>0</v>
      </c>
    </row>
    <row r="25" spans="1:23" ht="15.75" customHeight="1" hidden="1">
      <c r="A25" s="851"/>
      <c r="B25" s="849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21"/>
      <c r="U25" s="57"/>
      <c r="V25" s="57"/>
      <c r="W25" s="23"/>
    </row>
    <row r="26" spans="1:23" ht="15.75" customHeight="1" hidden="1">
      <c r="A26" s="851"/>
      <c r="B26" s="849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21"/>
      <c r="U26" s="57"/>
      <c r="V26" s="57"/>
      <c r="W26" s="23"/>
    </row>
    <row r="27" spans="1:23" ht="15.75" customHeight="1" hidden="1">
      <c r="A27" s="851"/>
      <c r="B27" s="849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44"/>
      <c r="U27" s="44"/>
      <c r="V27" s="44"/>
      <c r="W27" s="27"/>
    </row>
    <row r="28" spans="1:23" ht="15.75" customHeight="1" hidden="1">
      <c r="A28" s="851"/>
      <c r="B28" s="849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25"/>
      <c r="U28" s="44"/>
      <c r="V28" s="44"/>
      <c r="W28" s="27"/>
    </row>
    <row r="29" spans="1:23" ht="15.75" customHeight="1" hidden="1">
      <c r="A29" s="851"/>
      <c r="B29" s="849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25"/>
      <c r="U29" s="44"/>
      <c r="V29" s="44"/>
      <c r="W29" s="27"/>
    </row>
    <row r="30" spans="1:23" ht="15.75" customHeight="1" hidden="1">
      <c r="A30" s="851"/>
      <c r="B30" s="849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25"/>
      <c r="U30" s="44"/>
      <c r="V30" s="44"/>
      <c r="W30" s="27"/>
    </row>
    <row r="31" spans="1:23" ht="15.75" customHeight="1" hidden="1">
      <c r="A31" s="851"/>
      <c r="B31" s="849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25"/>
      <c r="U31" s="114"/>
      <c r="V31" s="114"/>
      <c r="W31" s="135"/>
    </row>
    <row r="32" spans="1:23" ht="15.75" customHeight="1" hidden="1">
      <c r="A32" s="851"/>
      <c r="B32" s="849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25"/>
      <c r="U32" s="114"/>
      <c r="V32" s="114"/>
      <c r="W32" s="135"/>
    </row>
    <row r="33" spans="1:23" ht="15.75" customHeight="1" hidden="1">
      <c r="A33" s="851"/>
      <c r="B33" s="849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25"/>
      <c r="U33" s="114"/>
      <c r="V33" s="114"/>
      <c r="W33" s="135"/>
    </row>
    <row r="34" spans="1:23" ht="15.75" customHeight="1" hidden="1">
      <c r="A34" s="851"/>
      <c r="B34" s="849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25"/>
      <c r="U34" s="114"/>
      <c r="V34" s="114"/>
      <c r="W34" s="135"/>
    </row>
    <row r="35" spans="1:23" ht="15.75" customHeight="1" hidden="1">
      <c r="A35" s="851"/>
      <c r="B35" s="849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25"/>
      <c r="U35" s="114"/>
      <c r="V35" s="114"/>
      <c r="W35" s="135"/>
    </row>
    <row r="36" spans="1:23" ht="15.75" customHeight="1" hidden="1">
      <c r="A36" s="851"/>
      <c r="B36" s="849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25"/>
      <c r="U36" s="114"/>
      <c r="V36" s="114"/>
      <c r="W36" s="135"/>
    </row>
    <row r="37" spans="1:23" ht="15.75" customHeight="1" hidden="1">
      <c r="A37" s="851"/>
      <c r="B37" s="849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25"/>
      <c r="U37" s="114"/>
      <c r="V37" s="114"/>
      <c r="W37" s="135"/>
    </row>
    <row r="38" spans="1:23" ht="15.75" customHeight="1" hidden="1">
      <c r="A38" s="851"/>
      <c r="B38" s="849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25"/>
      <c r="U38" s="114"/>
      <c r="V38" s="114"/>
      <c r="W38" s="135"/>
    </row>
    <row r="39" spans="1:23" ht="15.75" customHeight="1" hidden="1">
      <c r="A39" s="851"/>
      <c r="B39" s="849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25"/>
      <c r="U39" s="114"/>
      <c r="V39" s="114"/>
      <c r="W39" s="135"/>
    </row>
    <row r="40" spans="1:23" ht="15.75" customHeight="1" hidden="1">
      <c r="A40" s="851"/>
      <c r="B40" s="849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25"/>
      <c r="U40" s="44"/>
      <c r="V40" s="44"/>
      <c r="W40" s="27"/>
    </row>
    <row r="41" spans="1:23" ht="15.75" customHeight="1" hidden="1">
      <c r="A41" s="851"/>
      <c r="B41" s="849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25"/>
      <c r="U41" s="44"/>
      <c r="V41" s="44"/>
      <c r="W41" s="27"/>
    </row>
    <row r="42" spans="1:23" ht="15.75" customHeight="1" hidden="1">
      <c r="A42" s="851"/>
      <c r="B42" s="849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25"/>
      <c r="U42" s="44"/>
      <c r="V42" s="44"/>
      <c r="W42" s="27"/>
    </row>
    <row r="43" spans="1:23" ht="15.75" customHeight="1" hidden="1">
      <c r="A43" s="851"/>
      <c r="B43" s="849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25"/>
      <c r="U43" s="44"/>
      <c r="V43" s="44"/>
      <c r="W43" s="27"/>
    </row>
    <row r="44" spans="1:23" ht="15.75" customHeight="1" hidden="1">
      <c r="A44" s="851"/>
      <c r="B44" s="849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25"/>
      <c r="U44" s="44"/>
      <c r="V44" s="44"/>
      <c r="W44" s="27"/>
    </row>
    <row r="45" spans="1:23" ht="15.75" customHeight="1" hidden="1">
      <c r="A45" s="851"/>
      <c r="B45" s="849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25"/>
      <c r="U45" s="44"/>
      <c r="V45" s="44"/>
      <c r="W45" s="27"/>
    </row>
    <row r="46" spans="1:23" ht="15.75" customHeight="1" hidden="1">
      <c r="A46" s="851"/>
      <c r="B46" s="849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25"/>
      <c r="U46" s="44"/>
      <c r="V46" s="44"/>
      <c r="W46" s="27"/>
    </row>
    <row r="47" spans="1:23" ht="15.75" customHeight="1" hidden="1">
      <c r="A47" s="851"/>
      <c r="B47" s="849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25"/>
      <c r="U47" s="44"/>
      <c r="V47" s="44"/>
      <c r="W47" s="27"/>
    </row>
    <row r="48" spans="1:23" ht="15.75" customHeight="1" hidden="1">
      <c r="A48" s="851"/>
      <c r="B48" s="849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25"/>
      <c r="U48" s="44"/>
      <c r="V48" s="44"/>
      <c r="W48" s="27"/>
    </row>
    <row r="49" spans="1:23" ht="15.75" customHeight="1" hidden="1" thickBot="1">
      <c r="A49" s="852"/>
      <c r="B49" s="849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25"/>
      <c r="U49" s="114"/>
      <c r="V49" s="114"/>
      <c r="W49" s="135"/>
    </row>
    <row r="50" spans="1:23" ht="15.75" thickBot="1">
      <c r="A50" s="136">
        <v>330</v>
      </c>
      <c r="B50" s="755" t="s">
        <v>179</v>
      </c>
      <c r="C50" s="787"/>
      <c r="D50" s="137">
        <f aca="true" t="shared" si="9" ref="D50:K51">D51</f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57800</v>
      </c>
      <c r="J50" s="138">
        <f t="shared" si="9"/>
        <v>20485</v>
      </c>
      <c r="K50" s="137">
        <f t="shared" si="9"/>
        <v>0</v>
      </c>
      <c r="L50" s="139"/>
      <c r="M50" s="137">
        <f aca="true" t="shared" si="10" ref="M50:O51">M51</f>
        <v>0</v>
      </c>
      <c r="N50" s="137">
        <f t="shared" si="10"/>
        <v>0</v>
      </c>
      <c r="O50" s="137">
        <f t="shared" si="10"/>
        <v>0</v>
      </c>
      <c r="P50" s="137"/>
      <c r="Q50" s="139">
        <f>Q51</f>
        <v>0</v>
      </c>
      <c r="R50" s="234"/>
      <c r="S50" s="234"/>
      <c r="T50" s="234">
        <f>T51</f>
        <v>0</v>
      </c>
      <c r="U50" s="504">
        <f>U51</f>
        <v>0</v>
      </c>
      <c r="V50" s="504">
        <f>V51</f>
        <v>0</v>
      </c>
      <c r="W50" s="140">
        <f>W51</f>
        <v>0</v>
      </c>
    </row>
    <row r="51" spans="1:23" ht="13.5" thickBot="1">
      <c r="A51" s="762"/>
      <c r="B51" s="117">
        <v>332</v>
      </c>
      <c r="C51" s="61" t="s">
        <v>233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57800</v>
      </c>
      <c r="J51" s="98">
        <f t="shared" si="9"/>
        <v>20485</v>
      </c>
      <c r="K51" s="62">
        <f t="shared" si="9"/>
        <v>0</v>
      </c>
      <c r="L51" s="141"/>
      <c r="M51" s="62">
        <f t="shared" si="10"/>
        <v>0</v>
      </c>
      <c r="N51" s="62">
        <f t="shared" si="10"/>
        <v>0</v>
      </c>
      <c r="O51" s="62">
        <f t="shared" si="10"/>
        <v>0</v>
      </c>
      <c r="P51" s="62"/>
      <c r="Q51" s="141">
        <f>Q52</f>
        <v>0</v>
      </c>
      <c r="R51" s="98"/>
      <c r="S51" s="98"/>
      <c r="T51" s="98">
        <f>T52</f>
        <v>0</v>
      </c>
      <c r="U51" s="98">
        <f>U52</f>
        <v>0</v>
      </c>
      <c r="V51" s="155"/>
      <c r="W51" s="142"/>
    </row>
    <row r="52" spans="1:23" ht="12.75">
      <c r="A52" s="763"/>
      <c r="B52" s="752"/>
      <c r="C52" s="130" t="s">
        <v>234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21"/>
      <c r="U52" s="73"/>
      <c r="V52" s="73"/>
      <c r="W52" s="144"/>
    </row>
    <row r="53" spans="1:23" ht="13.5" thickBot="1">
      <c r="A53" s="763"/>
      <c r="B53" s="753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70"/>
      <c r="U53" s="73"/>
      <c r="V53" s="73"/>
      <c r="W53" s="144"/>
    </row>
    <row r="54" spans="1:23" ht="17.25" thickBot="1" thickTop="1">
      <c r="A54" s="146"/>
      <c r="B54" s="147"/>
      <c r="C54" s="148" t="s">
        <v>235</v>
      </c>
      <c r="D54" s="101">
        <f aca="true" t="shared" si="11" ref="D54:U54">D17+D5</f>
        <v>2113092</v>
      </c>
      <c r="E54" s="101">
        <f t="shared" si="11"/>
        <v>1017958</v>
      </c>
      <c r="F54" s="101">
        <f t="shared" si="11"/>
        <v>1245369</v>
      </c>
      <c r="G54" s="101">
        <f t="shared" si="11"/>
        <v>4391413</v>
      </c>
      <c r="H54" s="101">
        <f t="shared" si="11"/>
        <v>3456141</v>
      </c>
      <c r="I54" s="101">
        <f t="shared" si="11"/>
        <v>4649713</v>
      </c>
      <c r="J54" s="101">
        <f t="shared" si="11"/>
        <v>4502774.06</v>
      </c>
      <c r="K54" s="101">
        <f t="shared" si="11"/>
        <v>3678497</v>
      </c>
      <c r="L54" s="101">
        <f t="shared" si="11"/>
        <v>1218338.5899999999</v>
      </c>
      <c r="M54" s="354">
        <f t="shared" si="11"/>
        <v>752297.52</v>
      </c>
      <c r="N54" s="101">
        <f t="shared" si="11"/>
        <v>935536.18</v>
      </c>
      <c r="O54" s="101">
        <f aca="true" t="shared" si="12" ref="O54:T54">O17+O5</f>
        <v>1696241.7999999998</v>
      </c>
      <c r="P54" s="101">
        <f t="shared" si="12"/>
        <v>2123247.52</v>
      </c>
      <c r="Q54" s="354">
        <f t="shared" si="12"/>
        <v>1526662.64</v>
      </c>
      <c r="R54" s="101">
        <f t="shared" si="12"/>
        <v>2638168</v>
      </c>
      <c r="S54" s="101">
        <f t="shared" si="12"/>
        <v>2862309.5</v>
      </c>
      <c r="T54" s="101">
        <f t="shared" si="12"/>
        <v>1122970</v>
      </c>
      <c r="U54" s="101">
        <f t="shared" si="11"/>
        <v>350000</v>
      </c>
      <c r="V54" s="101">
        <f>V17+V5</f>
        <v>-254000</v>
      </c>
      <c r="W54" s="102">
        <f>W17+W5</f>
        <v>96000</v>
      </c>
    </row>
    <row r="55" ht="13.5" thickTop="1"/>
  </sheetData>
  <sheetProtection/>
  <mergeCells count="34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7" max="27" width="13.140625" style="444" customWidth="1"/>
  </cols>
  <sheetData>
    <row r="1" spans="1:10" ht="13.5" thickBot="1">
      <c r="A1" s="875" t="s">
        <v>341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35" ht="13.5" customHeight="1" thickBot="1" thickTop="1">
      <c r="A2" s="841" t="s">
        <v>44</v>
      </c>
      <c r="B2" s="876" t="s">
        <v>85</v>
      </c>
      <c r="C2" s="845" t="s">
        <v>45</v>
      </c>
      <c r="D2" s="760" t="s">
        <v>182</v>
      </c>
      <c r="E2" s="760" t="s">
        <v>183</v>
      </c>
      <c r="F2" s="760" t="s">
        <v>184</v>
      </c>
      <c r="G2" s="760" t="s">
        <v>185</v>
      </c>
      <c r="H2" s="760" t="s">
        <v>186</v>
      </c>
      <c r="I2" s="760" t="s">
        <v>92</v>
      </c>
      <c r="J2" s="760" t="s">
        <v>93</v>
      </c>
      <c r="K2" s="760" t="s">
        <v>94</v>
      </c>
      <c r="L2" s="760" t="s">
        <v>95</v>
      </c>
      <c r="M2" s="854" t="s">
        <v>96</v>
      </c>
      <c r="N2" s="854" t="s">
        <v>338</v>
      </c>
      <c r="O2" s="760" t="s">
        <v>357</v>
      </c>
      <c r="P2" s="760" t="s">
        <v>364</v>
      </c>
      <c r="Q2" s="760" t="s">
        <v>379</v>
      </c>
      <c r="R2" s="760" t="s">
        <v>388</v>
      </c>
      <c r="S2" s="760" t="s">
        <v>389</v>
      </c>
      <c r="T2" s="760" t="s">
        <v>390</v>
      </c>
      <c r="U2" s="773" t="s">
        <v>428</v>
      </c>
      <c r="V2" s="839" t="s">
        <v>426</v>
      </c>
      <c r="W2" s="840"/>
      <c r="X2" s="775" t="s">
        <v>427</v>
      </c>
      <c r="AA2" s="677"/>
      <c r="AB2" s="677"/>
      <c r="AC2" s="677"/>
      <c r="AD2" s="677"/>
      <c r="AE2" s="677"/>
      <c r="AF2" s="677"/>
      <c r="AG2" s="677"/>
      <c r="AH2" s="677"/>
      <c r="AI2" s="677"/>
    </row>
    <row r="3" spans="1:35" ht="30" customHeight="1" thickBot="1">
      <c r="A3" s="842"/>
      <c r="B3" s="877"/>
      <c r="C3" s="846"/>
      <c r="D3" s="761"/>
      <c r="E3" s="761"/>
      <c r="F3" s="761"/>
      <c r="G3" s="761"/>
      <c r="H3" s="761"/>
      <c r="I3" s="761"/>
      <c r="J3" s="761"/>
      <c r="K3" s="761"/>
      <c r="L3" s="761"/>
      <c r="M3" s="855"/>
      <c r="N3" s="855"/>
      <c r="O3" s="761"/>
      <c r="P3" s="761"/>
      <c r="Q3" s="761"/>
      <c r="R3" s="761"/>
      <c r="S3" s="761"/>
      <c r="T3" s="761"/>
      <c r="U3" s="774"/>
      <c r="V3" s="706" t="s">
        <v>240</v>
      </c>
      <c r="W3" s="707" t="s">
        <v>244</v>
      </c>
      <c r="X3" s="776"/>
      <c r="AA3" s="677"/>
      <c r="AB3" s="677"/>
      <c r="AC3" s="677"/>
      <c r="AD3" s="677"/>
      <c r="AE3" s="677"/>
      <c r="AF3" s="677"/>
      <c r="AG3" s="677"/>
      <c r="AH3" s="677"/>
      <c r="AI3" s="677"/>
    </row>
    <row r="4" spans="1:24" ht="16.5" thickBot="1" thickTop="1">
      <c r="A4" s="267" t="s">
        <v>245</v>
      </c>
      <c r="B4" s="868" t="s">
        <v>31</v>
      </c>
      <c r="C4" s="868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v>6946.8</v>
      </c>
      <c r="O4" s="355">
        <v>10541.5</v>
      </c>
      <c r="P4" s="534">
        <v>23813.83</v>
      </c>
      <c r="Q4" s="534">
        <v>0</v>
      </c>
      <c r="R4" s="355">
        <v>16560</v>
      </c>
      <c r="S4" s="355">
        <v>9109</v>
      </c>
      <c r="T4" s="355">
        <v>0</v>
      </c>
      <c r="U4" s="355">
        <f>U5+U6+U8+U7</f>
        <v>45000</v>
      </c>
      <c r="V4" s="355">
        <f>V5+V6+V8+V7</f>
        <v>0</v>
      </c>
      <c r="W4" s="355">
        <f>W5+W6+W8</f>
        <v>0</v>
      </c>
      <c r="X4" s="357">
        <f>X5+X6+X8</f>
        <v>45000</v>
      </c>
    </row>
    <row r="5" spans="1:24" ht="12.75">
      <c r="A5" s="803"/>
      <c r="B5" s="856"/>
      <c r="C5" s="72" t="s">
        <v>413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04"/>
      <c r="B6" s="857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/>
      <c r="V6" s="57"/>
      <c r="W6" s="57"/>
      <c r="X6" s="23">
        <f>U6+V6+W6</f>
        <v>0</v>
      </c>
    </row>
    <row r="7" spans="1:24" ht="13.5" hidden="1" thickBot="1">
      <c r="A7" s="804"/>
      <c r="B7" s="857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05"/>
      <c r="B8" s="858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thickBot="1">
      <c r="A9" s="212" t="s">
        <v>69</v>
      </c>
      <c r="B9" s="865" t="s">
        <v>70</v>
      </c>
      <c r="C9" s="865"/>
      <c r="D9" s="234">
        <v>17958</v>
      </c>
      <c r="E9" s="234">
        <v>0</v>
      </c>
      <c r="F9" s="234">
        <v>19916</v>
      </c>
      <c r="G9" s="234">
        <v>18253</v>
      </c>
      <c r="H9" s="234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4">
        <v>12513.86</v>
      </c>
      <c r="Q9" s="214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thickBot="1">
      <c r="A10" s="358"/>
      <c r="B10" s="856"/>
      <c r="C10" s="41" t="s">
        <v>32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3"/>
      <c r="Q10" s="203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8"/>
      <c r="B11" s="858"/>
      <c r="C11" s="145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12" t="s">
        <v>64</v>
      </c>
      <c r="B12" s="865" t="s">
        <v>65</v>
      </c>
      <c r="C12" s="865"/>
      <c r="D12" s="234">
        <v>894211</v>
      </c>
      <c r="E12" s="234">
        <v>382958</v>
      </c>
      <c r="F12" s="234">
        <v>343590</v>
      </c>
      <c r="G12" s="234">
        <v>610914</v>
      </c>
      <c r="H12" s="234">
        <v>1718795</v>
      </c>
      <c r="I12" s="137">
        <v>495900</v>
      </c>
      <c r="J12" s="234">
        <v>421522</v>
      </c>
      <c r="K12" s="67">
        <f>SUM(K13:K29)</f>
        <v>2058954</v>
      </c>
      <c r="L12" s="67">
        <v>108548.12</v>
      </c>
      <c r="M12" s="214">
        <f>SUM(M13:M29)</f>
        <v>187078.06</v>
      </c>
      <c r="N12" s="67">
        <v>923357.06</v>
      </c>
      <c r="O12" s="67">
        <v>421573.23</v>
      </c>
      <c r="P12" s="214">
        <v>904828.37</v>
      </c>
      <c r="Q12" s="214">
        <v>1191812.5499999998</v>
      </c>
      <c r="R12" s="67">
        <v>1949425</v>
      </c>
      <c r="S12" s="67">
        <v>1324755.3800000001</v>
      </c>
      <c r="T12" s="67">
        <v>100000</v>
      </c>
      <c r="U12" s="67">
        <f>SUM(U13:U29)</f>
        <v>60000</v>
      </c>
      <c r="V12" s="67">
        <f>SUM(V13:V29)</f>
        <v>53000</v>
      </c>
      <c r="W12" s="67">
        <f>SUM(W13:W29)</f>
        <v>0</v>
      </c>
      <c r="X12" s="68">
        <f>SUM(X13:X29)</f>
        <v>113000</v>
      </c>
    </row>
    <row r="13" spans="1:24" ht="13.5" thickBot="1">
      <c r="A13" s="804"/>
      <c r="B13" s="866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96700</v>
      </c>
      <c r="U13" s="57">
        <v>60000</v>
      </c>
      <c r="V13" s="57">
        <v>53000</v>
      </c>
      <c r="W13" s="57"/>
      <c r="X13" s="23">
        <f>U13+V13+W13</f>
        <v>113000</v>
      </c>
    </row>
    <row r="14" spans="1:24" ht="13.5" hidden="1" thickBot="1">
      <c r="A14" s="804"/>
      <c r="B14" s="866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04"/>
      <c r="B15" s="866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04"/>
      <c r="B16" s="866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04"/>
      <c r="B17" s="866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04"/>
      <c r="B18" s="866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04"/>
      <c r="B19" s="866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8" ht="13.5" hidden="1" thickBot="1">
      <c r="A20" s="804"/>
      <c r="B20" s="866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B20" s="2"/>
    </row>
    <row r="21" spans="1:24" ht="13.5" hidden="1" thickBot="1">
      <c r="A21" s="804"/>
      <c r="B21" s="866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04"/>
      <c r="B22" s="866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04"/>
      <c r="B23" s="866"/>
      <c r="C23" s="43" t="s">
        <v>318</v>
      </c>
      <c r="D23" s="26"/>
      <c r="E23" s="26"/>
      <c r="F23" s="26"/>
      <c r="G23" s="26"/>
      <c r="H23" s="58"/>
      <c r="I23" s="58"/>
      <c r="J23" s="26"/>
      <c r="K23" s="26"/>
      <c r="L23" s="26"/>
      <c r="M23" s="205"/>
      <c r="N23" s="26"/>
      <c r="O23" s="26"/>
      <c r="P23" s="205"/>
      <c r="Q23" s="205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04"/>
      <c r="B24" s="866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5"/>
      <c r="N24" s="26"/>
      <c r="O24" s="26"/>
      <c r="P24" s="205"/>
      <c r="Q24" s="205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04"/>
      <c r="B25" s="866"/>
      <c r="C25" s="43" t="s">
        <v>319</v>
      </c>
      <c r="D25" s="26"/>
      <c r="E25" s="26"/>
      <c r="F25" s="26"/>
      <c r="G25" s="26"/>
      <c r="H25" s="58"/>
      <c r="I25" s="58"/>
      <c r="J25" s="26"/>
      <c r="K25" s="26"/>
      <c r="L25" s="26"/>
      <c r="M25" s="205">
        <v>1500</v>
      </c>
      <c r="N25" s="26"/>
      <c r="O25" s="26"/>
      <c r="P25" s="205"/>
      <c r="Q25" s="205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04"/>
      <c r="B26" s="866"/>
      <c r="C26" s="43" t="s">
        <v>331</v>
      </c>
      <c r="D26" s="26"/>
      <c r="E26" s="26"/>
      <c r="F26" s="26"/>
      <c r="G26" s="26"/>
      <c r="H26" s="58"/>
      <c r="I26" s="58"/>
      <c r="J26" s="26"/>
      <c r="K26" s="26"/>
      <c r="L26" s="26"/>
      <c r="M26" s="205"/>
      <c r="N26" s="26"/>
      <c r="O26" s="26"/>
      <c r="P26" s="205"/>
      <c r="Q26" s="205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04"/>
      <c r="B27" s="866"/>
      <c r="C27" s="43" t="s">
        <v>327</v>
      </c>
      <c r="D27" s="26"/>
      <c r="E27" s="26"/>
      <c r="F27" s="26"/>
      <c r="G27" s="26"/>
      <c r="H27" s="58"/>
      <c r="I27" s="58"/>
      <c r="J27" s="26"/>
      <c r="K27" s="26"/>
      <c r="L27" s="26"/>
      <c r="M27" s="205"/>
      <c r="N27" s="26"/>
      <c r="O27" s="26"/>
      <c r="P27" s="205"/>
      <c r="Q27" s="205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04"/>
      <c r="B28" s="866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5"/>
      <c r="N28" s="26"/>
      <c r="O28" s="26"/>
      <c r="P28" s="205"/>
      <c r="Q28" s="205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05"/>
      <c r="B29" s="867"/>
      <c r="C29" s="145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9" t="s">
        <v>219</v>
      </c>
      <c r="B30" s="755" t="s">
        <v>34</v>
      </c>
      <c r="C30" s="787"/>
      <c r="D30" s="234">
        <v>154053</v>
      </c>
      <c r="E30" s="234">
        <v>194317</v>
      </c>
      <c r="F30" s="234">
        <v>340238</v>
      </c>
      <c r="G30" s="234">
        <v>484191</v>
      </c>
      <c r="H30" s="234">
        <v>181309</v>
      </c>
      <c r="I30" s="137">
        <v>33695</v>
      </c>
      <c r="J30" s="234">
        <v>79908</v>
      </c>
      <c r="K30" s="67">
        <f>SUM(K31:K50)</f>
        <v>0</v>
      </c>
      <c r="L30" s="67">
        <f>SUM(L31:L50)</f>
        <v>75693</v>
      </c>
      <c r="M30" s="214">
        <f>SUM(M31:M46)</f>
        <v>107849.53999999998</v>
      </c>
      <c r="N30" s="67">
        <v>206988.84</v>
      </c>
      <c r="O30" s="67">
        <v>350387.76999999996</v>
      </c>
      <c r="P30" s="214">
        <v>405936.13</v>
      </c>
      <c r="Q30" s="214">
        <v>500251.95999999996</v>
      </c>
      <c r="R30" s="67">
        <v>637934</v>
      </c>
      <c r="S30" s="67">
        <v>149635.12</v>
      </c>
      <c r="T30" s="67">
        <v>1588587</v>
      </c>
      <c r="U30" s="67">
        <f>SUM(U31:U50)</f>
        <v>1138519</v>
      </c>
      <c r="V30" s="67">
        <f>SUM(V31:V50)</f>
        <v>-53000</v>
      </c>
      <c r="W30" s="67">
        <f>SUM(W31:W46)</f>
        <v>-25000</v>
      </c>
      <c r="X30" s="68">
        <f>SUM(X31:X46)</f>
        <v>1060519</v>
      </c>
    </row>
    <row r="31" spans="1:24" ht="12.75" hidden="1">
      <c r="A31" s="358"/>
      <c r="B31" s="360"/>
      <c r="C31" s="43" t="s">
        <v>342</v>
      </c>
      <c r="D31" s="26"/>
      <c r="E31" s="26"/>
      <c r="F31" s="26"/>
      <c r="G31" s="26"/>
      <c r="H31" s="58"/>
      <c r="I31" s="361"/>
      <c r="J31" s="362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8"/>
      <c r="B32" s="360"/>
      <c r="C32" s="43" t="s">
        <v>350</v>
      </c>
      <c r="D32" s="26"/>
      <c r="E32" s="26"/>
      <c r="F32" s="26"/>
      <c r="G32" s="26"/>
      <c r="H32" s="58"/>
      <c r="I32" s="361"/>
      <c r="J32" s="362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6" ht="12.75" hidden="1">
      <c r="A33" s="358"/>
      <c r="B33" s="360"/>
      <c r="C33" s="43" t="s">
        <v>82</v>
      </c>
      <c r="D33" s="26"/>
      <c r="E33" s="26"/>
      <c r="F33" s="26"/>
      <c r="G33" s="26"/>
      <c r="H33" s="58"/>
      <c r="I33" s="361"/>
      <c r="J33" s="362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  <c r="Z33" s="2"/>
    </row>
    <row r="34" spans="1:24" ht="12.75" hidden="1">
      <c r="A34" s="358"/>
      <c r="B34" s="360"/>
      <c r="C34" s="43" t="s">
        <v>83</v>
      </c>
      <c r="D34" s="26"/>
      <c r="E34" s="26"/>
      <c r="F34" s="26"/>
      <c r="G34" s="26"/>
      <c r="H34" s="58"/>
      <c r="I34" s="361"/>
      <c r="J34" s="362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6" ht="12.75" hidden="1">
      <c r="A35" s="358"/>
      <c r="B35" s="360"/>
      <c r="C35" s="43" t="s">
        <v>328</v>
      </c>
      <c r="D35" s="26"/>
      <c r="E35" s="26"/>
      <c r="F35" s="26"/>
      <c r="G35" s="26"/>
      <c r="H35" s="58"/>
      <c r="I35" s="361"/>
      <c r="J35" s="362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  <c r="Z35" s="2"/>
    </row>
    <row r="36" spans="1:24" ht="12.75" hidden="1">
      <c r="A36" s="358"/>
      <c r="B36" s="360"/>
      <c r="C36" s="43" t="s">
        <v>178</v>
      </c>
      <c r="D36" s="26"/>
      <c r="E36" s="26"/>
      <c r="F36" s="26"/>
      <c r="G36" s="26"/>
      <c r="H36" s="58"/>
      <c r="I36" s="361"/>
      <c r="J36" s="362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04"/>
      <c r="B37" s="857"/>
      <c r="C37" s="43" t="s">
        <v>385</v>
      </c>
      <c r="D37" s="26"/>
      <c r="E37" s="26"/>
      <c r="F37" s="26"/>
      <c r="G37" s="26"/>
      <c r="H37" s="58"/>
      <c r="I37" s="361"/>
      <c r="J37" s="362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504156</v>
      </c>
      <c r="V37" s="57"/>
      <c r="W37" s="57"/>
      <c r="X37" s="23">
        <f aca="true" t="shared" si="1" ref="X37:X50">U37+V37+W37</f>
        <v>504156</v>
      </c>
    </row>
    <row r="38" spans="1:24" ht="12.75">
      <c r="A38" s="804"/>
      <c r="B38" s="857"/>
      <c r="C38" s="43" t="s">
        <v>396</v>
      </c>
      <c r="D38" s="26"/>
      <c r="E38" s="26"/>
      <c r="F38" s="26"/>
      <c r="G38" s="26"/>
      <c r="H38" s="58"/>
      <c r="I38" s="361"/>
      <c r="J38" s="362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53000</v>
      </c>
      <c r="V38" s="57">
        <v>-53000</v>
      </c>
      <c r="W38" s="57"/>
      <c r="X38" s="23">
        <f t="shared" si="1"/>
        <v>0</v>
      </c>
    </row>
    <row r="39" spans="1:26" ht="12.75" customHeight="1">
      <c r="A39" s="804"/>
      <c r="B39" s="857"/>
      <c r="C39" s="43" t="s">
        <v>397</v>
      </c>
      <c r="D39" s="26"/>
      <c r="E39" s="26"/>
      <c r="F39" s="26"/>
      <c r="G39" s="26"/>
      <c r="H39" s="58"/>
      <c r="I39" s="361"/>
      <c r="J39" s="362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  <c r="Z39" s="2"/>
    </row>
    <row r="40" spans="1:24" ht="12.75" customHeight="1">
      <c r="A40" s="804"/>
      <c r="B40" s="857"/>
      <c r="C40" s="43" t="s">
        <v>398</v>
      </c>
      <c r="D40" s="26"/>
      <c r="E40" s="26"/>
      <c r="F40" s="26"/>
      <c r="G40" s="26"/>
      <c r="H40" s="58"/>
      <c r="I40" s="361"/>
      <c r="J40" s="362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8" ht="12.75" customHeight="1">
      <c r="A41" s="804"/>
      <c r="B41" s="857"/>
      <c r="C41" s="43" t="s">
        <v>419</v>
      </c>
      <c r="D41" s="26"/>
      <c r="E41" s="26"/>
      <c r="F41" s="26"/>
      <c r="G41" s="26"/>
      <c r="H41" s="58"/>
      <c r="I41" s="361"/>
      <c r="J41" s="362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B41" s="2"/>
    </row>
    <row r="42" spans="1:24" ht="12.75" customHeight="1">
      <c r="A42" s="804"/>
      <c r="B42" s="857"/>
      <c r="C42" s="43" t="s">
        <v>420</v>
      </c>
      <c r="D42" s="30"/>
      <c r="E42" s="30"/>
      <c r="F42" s="30"/>
      <c r="G42" s="30"/>
      <c r="H42" s="66"/>
      <c r="I42" s="363"/>
      <c r="J42" s="364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131521</v>
      </c>
      <c r="V42" s="57"/>
      <c r="W42" s="57">
        <v>-25000</v>
      </c>
      <c r="X42" s="23">
        <f t="shared" si="1"/>
        <v>106521</v>
      </c>
    </row>
    <row r="43" spans="1:24" ht="12.75" customHeight="1" thickBot="1">
      <c r="A43" s="804"/>
      <c r="B43" s="857"/>
      <c r="C43" s="43" t="s">
        <v>418</v>
      </c>
      <c r="D43" s="30"/>
      <c r="E43" s="30"/>
      <c r="F43" s="30"/>
      <c r="G43" s="30"/>
      <c r="H43" s="66"/>
      <c r="I43" s="363"/>
      <c r="J43" s="364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 hidden="1">
      <c r="A44" s="804"/>
      <c r="B44" s="857"/>
      <c r="C44" s="43"/>
      <c r="D44" s="30"/>
      <c r="E44" s="30"/>
      <c r="F44" s="30"/>
      <c r="G44" s="30"/>
      <c r="H44" s="66"/>
      <c r="I44" s="363"/>
      <c r="J44" s="364"/>
      <c r="K44" s="30"/>
      <c r="L44" s="30"/>
      <c r="M44" s="205">
        <v>19756.98</v>
      </c>
      <c r="N44" s="22"/>
      <c r="O44" s="22"/>
      <c r="P44" s="118"/>
      <c r="Q44" s="118"/>
      <c r="R44" s="22"/>
      <c r="S44" s="22"/>
      <c r="T44" s="22"/>
      <c r="U44" s="57"/>
      <c r="V44" s="57"/>
      <c r="W44" s="57"/>
      <c r="X44" s="23">
        <f t="shared" si="1"/>
        <v>0</v>
      </c>
    </row>
    <row r="45" spans="1:24" ht="12.75" customHeight="1" hidden="1">
      <c r="A45" s="804"/>
      <c r="B45" s="857"/>
      <c r="C45" s="43"/>
      <c r="D45" s="30"/>
      <c r="E45" s="30"/>
      <c r="F45" s="30"/>
      <c r="G45" s="30"/>
      <c r="H45" s="66"/>
      <c r="I45" s="363"/>
      <c r="J45" s="364"/>
      <c r="K45" s="30"/>
      <c r="L45" s="30"/>
      <c r="M45" s="205">
        <v>20994.32</v>
      </c>
      <c r="N45" s="22"/>
      <c r="O45" s="22"/>
      <c r="P45" s="118"/>
      <c r="Q45" s="118"/>
      <c r="R45" s="22"/>
      <c r="S45" s="22"/>
      <c r="T45" s="22"/>
      <c r="U45" s="57"/>
      <c r="V45" s="57"/>
      <c r="W45" s="57"/>
      <c r="X45" s="23">
        <f t="shared" si="1"/>
        <v>0</v>
      </c>
    </row>
    <row r="46" spans="1:24" ht="12.75" customHeight="1" hidden="1">
      <c r="A46" s="804"/>
      <c r="B46" s="857"/>
      <c r="C46" s="43"/>
      <c r="D46" s="30"/>
      <c r="E46" s="30"/>
      <c r="F46" s="30"/>
      <c r="G46" s="30"/>
      <c r="H46" s="66"/>
      <c r="I46" s="363"/>
      <c r="J46" s="364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04"/>
      <c r="B47" s="857"/>
      <c r="C47" s="43"/>
      <c r="D47" s="30"/>
      <c r="E47" s="30"/>
      <c r="F47" s="30"/>
      <c r="G47" s="30"/>
      <c r="H47" s="66"/>
      <c r="I47" s="363"/>
      <c r="J47" s="364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04"/>
      <c r="B48" s="857"/>
      <c r="C48" s="43"/>
      <c r="D48" s="30"/>
      <c r="E48" s="30"/>
      <c r="F48" s="30"/>
      <c r="G48" s="30"/>
      <c r="H48" s="66"/>
      <c r="I48" s="363"/>
      <c r="J48" s="364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804"/>
      <c r="B49" s="857"/>
      <c r="C49" s="43"/>
      <c r="D49" s="30"/>
      <c r="E49" s="30"/>
      <c r="F49" s="30"/>
      <c r="G49" s="30"/>
      <c r="H49" s="66"/>
      <c r="I49" s="363"/>
      <c r="J49" s="364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8"/>
      <c r="B50" s="360"/>
      <c r="C50" s="43"/>
      <c r="D50" s="30"/>
      <c r="E50" s="30"/>
      <c r="F50" s="30"/>
      <c r="G50" s="30"/>
      <c r="H50" s="66"/>
      <c r="I50" s="363"/>
      <c r="J50" s="364"/>
      <c r="K50" s="30"/>
      <c r="L50" s="30"/>
      <c r="M50" s="48"/>
      <c r="N50" s="48"/>
      <c r="O50" s="60"/>
      <c r="P50" s="535"/>
      <c r="Q50" s="535"/>
      <c r="R50" s="242"/>
      <c r="S50" s="242"/>
      <c r="T50" s="242"/>
      <c r="U50" s="57"/>
      <c r="V50" s="57"/>
      <c r="W50" s="57"/>
      <c r="X50" s="23">
        <f t="shared" si="1"/>
        <v>0</v>
      </c>
    </row>
    <row r="51" spans="1:24" ht="15.75" hidden="1" thickBot="1">
      <c r="A51" s="365" t="s">
        <v>71</v>
      </c>
      <c r="B51" s="755" t="s">
        <v>35</v>
      </c>
      <c r="C51" s="787"/>
      <c r="D51" s="366">
        <v>80894</v>
      </c>
      <c r="E51" s="234">
        <v>8298</v>
      </c>
      <c r="F51" s="234">
        <v>71666</v>
      </c>
      <c r="G51" s="234">
        <v>1330064</v>
      </c>
      <c r="H51" s="234">
        <v>2147096</v>
      </c>
      <c r="I51" s="137">
        <v>8121</v>
      </c>
      <c r="J51" s="234">
        <v>93729</v>
      </c>
      <c r="K51" s="67">
        <f>SUM(K52:K57)</f>
        <v>28919</v>
      </c>
      <c r="L51" s="67">
        <f>SUM(L52:L57)</f>
        <v>0</v>
      </c>
      <c r="M51" s="214">
        <f>SUM(M52:M57)</f>
        <v>69453.41</v>
      </c>
      <c r="N51" s="67">
        <v>5501</v>
      </c>
      <c r="O51" s="67">
        <v>396374.4</v>
      </c>
      <c r="P51" s="214">
        <v>215644.72</v>
      </c>
      <c r="Q51" s="214">
        <v>36876</v>
      </c>
      <c r="R51" s="67">
        <v>19548</v>
      </c>
      <c r="S51" s="67">
        <v>86260</v>
      </c>
      <c r="T51" s="67"/>
      <c r="U51" s="67">
        <f>SUM(U52:U57)</f>
        <v>0</v>
      </c>
      <c r="V51" s="67">
        <f>SUM(V52:V57)</f>
        <v>0</v>
      </c>
      <c r="W51" s="67">
        <f>SUM(W52:W57)</f>
        <v>0</v>
      </c>
      <c r="X51" s="68">
        <f>SUM(X52:X57)</f>
        <v>0</v>
      </c>
    </row>
    <row r="52" spans="1:24" ht="13.5" hidden="1" thickBot="1">
      <c r="A52" s="367"/>
      <c r="B52" s="368"/>
      <c r="C52" s="41"/>
      <c r="D52" s="93"/>
      <c r="E52" s="93"/>
      <c r="F52" s="93"/>
      <c r="G52" s="93"/>
      <c r="H52" s="55"/>
      <c r="I52" s="369"/>
      <c r="J52" s="370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/>
      <c r="V52" s="57"/>
      <c r="W52" s="57"/>
      <c r="X52" s="23"/>
    </row>
    <row r="53" spans="1:24" ht="13.5" hidden="1" thickBot="1">
      <c r="A53" s="358"/>
      <c r="B53" s="360"/>
      <c r="C53" s="72" t="s">
        <v>320</v>
      </c>
      <c r="D53" s="22"/>
      <c r="E53" s="22"/>
      <c r="F53" s="22"/>
      <c r="G53" s="22"/>
      <c r="H53" s="56"/>
      <c r="I53" s="371"/>
      <c r="J53" s="372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3.5" hidden="1" thickBot="1">
      <c r="A54" s="358"/>
      <c r="B54" s="360"/>
      <c r="C54" s="43" t="s">
        <v>336</v>
      </c>
      <c r="D54" s="22"/>
      <c r="E54" s="22"/>
      <c r="F54" s="22"/>
      <c r="G54" s="22"/>
      <c r="H54" s="56"/>
      <c r="I54" s="371"/>
      <c r="J54" s="372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3.5" hidden="1" thickBot="1">
      <c r="A55" s="358"/>
      <c r="B55" s="360"/>
      <c r="C55" s="43" t="s">
        <v>329</v>
      </c>
      <c r="D55" s="26"/>
      <c r="E55" s="26"/>
      <c r="F55" s="26"/>
      <c r="G55" s="26"/>
      <c r="H55" s="58"/>
      <c r="I55" s="361"/>
      <c r="J55" s="362"/>
      <c r="K55" s="26"/>
      <c r="L55" s="26"/>
      <c r="M55" s="26"/>
      <c r="N55" s="26"/>
      <c r="O55" s="26"/>
      <c r="P55" s="205"/>
      <c r="Q55" s="205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3.5" hidden="1" thickBot="1">
      <c r="A56" s="358"/>
      <c r="B56" s="360"/>
      <c r="C56" s="43" t="s">
        <v>36</v>
      </c>
      <c r="D56" s="26"/>
      <c r="E56" s="26"/>
      <c r="F56" s="26"/>
      <c r="G56" s="26"/>
      <c r="H56" s="58"/>
      <c r="I56" s="361"/>
      <c r="J56" s="362"/>
      <c r="K56" s="26"/>
      <c r="L56" s="26"/>
      <c r="M56" s="26"/>
      <c r="N56" s="26"/>
      <c r="O56" s="26"/>
      <c r="P56" s="205"/>
      <c r="Q56" s="205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5"/>
      <c r="B57" s="376"/>
      <c r="C57" s="72" t="s">
        <v>346</v>
      </c>
      <c r="D57" s="70"/>
      <c r="E57" s="70"/>
      <c r="F57" s="70"/>
      <c r="G57" s="70"/>
      <c r="H57" s="69"/>
      <c r="I57" s="373"/>
      <c r="J57" s="374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42"/>
      <c r="V57" s="242">
        <f t="shared" si="2"/>
        <v>0</v>
      </c>
      <c r="W57" s="242"/>
      <c r="X57" s="71"/>
    </row>
    <row r="58" spans="1:24" ht="15.75" hidden="1" thickBot="1">
      <c r="A58" s="377" t="s">
        <v>230</v>
      </c>
      <c r="B58" s="865" t="s">
        <v>231</v>
      </c>
      <c r="C58" s="865"/>
      <c r="D58" s="378"/>
      <c r="E58" s="378"/>
      <c r="F58" s="378"/>
      <c r="G58" s="378"/>
      <c r="H58" s="379">
        <v>182399</v>
      </c>
      <c r="I58" s="379"/>
      <c r="J58" s="380"/>
      <c r="K58" s="107"/>
      <c r="L58" s="107"/>
      <c r="M58" s="107"/>
      <c r="N58" s="107"/>
      <c r="O58" s="107"/>
      <c r="P58" s="556"/>
      <c r="Q58" s="556"/>
      <c r="R58" s="107"/>
      <c r="S58" s="107"/>
      <c r="T58" s="107"/>
      <c r="U58" s="67"/>
      <c r="V58" s="67">
        <f t="shared" si="2"/>
        <v>0</v>
      </c>
      <c r="W58" s="67"/>
      <c r="X58" s="68"/>
    </row>
    <row r="59" spans="1:24" ht="13.5" hidden="1" thickBot="1">
      <c r="A59" s="358"/>
      <c r="B59" s="360"/>
      <c r="C59" s="69"/>
      <c r="D59" s="70"/>
      <c r="E59" s="70"/>
      <c r="F59" s="70"/>
      <c r="G59" s="70"/>
      <c r="H59" s="69"/>
      <c r="I59" s="373"/>
      <c r="J59" s="374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42"/>
      <c r="V59" s="242">
        <f t="shared" si="2"/>
        <v>0</v>
      </c>
      <c r="W59" s="242"/>
      <c r="X59" s="71"/>
    </row>
    <row r="60" spans="1:24" ht="15.75" thickBot="1">
      <c r="A60" s="212" t="s">
        <v>47</v>
      </c>
      <c r="B60" s="755" t="s">
        <v>48</v>
      </c>
      <c r="C60" s="787"/>
      <c r="D60" s="213">
        <v>0</v>
      </c>
      <c r="E60" s="213">
        <v>0</v>
      </c>
      <c r="F60" s="213">
        <v>6639</v>
      </c>
      <c r="G60" s="213">
        <v>113606</v>
      </c>
      <c r="H60" s="213">
        <v>254005</v>
      </c>
      <c r="I60" s="278">
        <v>2699311</v>
      </c>
      <c r="J60" s="213">
        <v>3603230</v>
      </c>
      <c r="K60" s="67">
        <f>SUM(K67:K67)</f>
        <v>1781346</v>
      </c>
      <c r="L60" s="67">
        <f>SUM(L61:L67)</f>
        <v>11891.04</v>
      </c>
      <c r="M60" s="214">
        <f>SUM(M61:M67)</f>
        <v>1099.52</v>
      </c>
      <c r="N60" s="67">
        <v>9688.17</v>
      </c>
      <c r="O60" s="67">
        <v>125008.29000000001</v>
      </c>
      <c r="P60" s="214">
        <v>30038.8</v>
      </c>
      <c r="Q60" s="214">
        <v>3055</v>
      </c>
      <c r="R60" s="68">
        <v>23579</v>
      </c>
      <c r="S60" s="107">
        <v>5554</v>
      </c>
      <c r="T60" s="107"/>
      <c r="U60" s="67">
        <f>SUM(U61:U67)</f>
        <v>60000</v>
      </c>
      <c r="V60" s="67">
        <f>SUM(V61:V67)</f>
        <v>0</v>
      </c>
      <c r="W60" s="67">
        <f>SUM(W61:W67)</f>
        <v>0</v>
      </c>
      <c r="X60" s="68">
        <f>SUM(X61:X67)</f>
        <v>60000</v>
      </c>
    </row>
    <row r="61" spans="1:24" ht="15.75" thickBot="1">
      <c r="A61" s="800"/>
      <c r="B61" s="859"/>
      <c r="C61" s="381" t="s">
        <v>333</v>
      </c>
      <c r="D61" s="382"/>
      <c r="E61" s="382"/>
      <c r="F61" s="382"/>
      <c r="G61" s="382"/>
      <c r="H61" s="381"/>
      <c r="I61" s="383"/>
      <c r="J61" s="384"/>
      <c r="K61" s="305"/>
      <c r="L61" s="86">
        <v>11891.04</v>
      </c>
      <c r="M61" s="385">
        <v>1099.52</v>
      </c>
      <c r="N61" s="385"/>
      <c r="O61" s="385"/>
      <c r="P61" s="385"/>
      <c r="Q61" s="385"/>
      <c r="R61" s="385"/>
      <c r="S61" s="385"/>
      <c r="T61" s="385"/>
      <c r="U61" s="86">
        <v>60000</v>
      </c>
      <c r="V61" s="86"/>
      <c r="W61" s="505"/>
      <c r="X61" s="386">
        <f>U61+V61+W61</f>
        <v>60000</v>
      </c>
    </row>
    <row r="62" spans="1:24" ht="15.75" hidden="1" thickBot="1">
      <c r="A62" s="801"/>
      <c r="B62" s="860"/>
      <c r="C62" s="387" t="s">
        <v>330</v>
      </c>
      <c r="D62" s="388"/>
      <c r="E62" s="388"/>
      <c r="F62" s="388"/>
      <c r="G62" s="388"/>
      <c r="H62" s="387"/>
      <c r="I62" s="389"/>
      <c r="J62" s="390"/>
      <c r="K62" s="307"/>
      <c r="L62" s="88"/>
      <c r="M62" s="537"/>
      <c r="N62" s="537"/>
      <c r="O62" s="88"/>
      <c r="P62" s="537"/>
      <c r="Q62" s="537"/>
      <c r="R62" s="88"/>
      <c r="S62" s="88"/>
      <c r="T62" s="88"/>
      <c r="U62" s="88"/>
      <c r="V62" s="88">
        <f aca="true" t="shared" si="3" ref="V62:V67">IF(S62=0,0,U62/S62)</f>
        <v>0</v>
      </c>
      <c r="W62" s="582"/>
      <c r="X62" s="583"/>
    </row>
    <row r="63" spans="1:24" ht="15.75" hidden="1" thickBot="1">
      <c r="A63" s="801"/>
      <c r="B63" s="860"/>
      <c r="C63" s="387" t="s">
        <v>323</v>
      </c>
      <c r="D63" s="388"/>
      <c r="E63" s="388"/>
      <c r="F63" s="388"/>
      <c r="G63" s="388"/>
      <c r="H63" s="387"/>
      <c r="I63" s="389"/>
      <c r="J63" s="390"/>
      <c r="K63" s="307"/>
      <c r="L63" s="307"/>
      <c r="M63" s="391"/>
      <c r="N63" s="88"/>
      <c r="O63" s="391"/>
      <c r="P63" s="536"/>
      <c r="Q63" s="536"/>
      <c r="R63" s="391"/>
      <c r="S63" s="391"/>
      <c r="T63" s="391"/>
      <c r="U63" s="88"/>
      <c r="V63" s="391">
        <f t="shared" si="3"/>
        <v>0</v>
      </c>
      <c r="W63" s="391"/>
      <c r="X63" s="392"/>
    </row>
    <row r="64" spans="1:24" ht="15.75" hidden="1" thickBot="1">
      <c r="A64" s="801"/>
      <c r="B64" s="860"/>
      <c r="C64" s="387" t="s">
        <v>333</v>
      </c>
      <c r="D64" s="388"/>
      <c r="E64" s="388"/>
      <c r="F64" s="388"/>
      <c r="G64" s="388"/>
      <c r="H64" s="387"/>
      <c r="I64" s="389"/>
      <c r="J64" s="390"/>
      <c r="K64" s="307"/>
      <c r="L64" s="307"/>
      <c r="M64" s="307"/>
      <c r="N64" s="582"/>
      <c r="O64" s="88"/>
      <c r="P64" s="537"/>
      <c r="Q64" s="537"/>
      <c r="R64" s="88"/>
      <c r="S64" s="88"/>
      <c r="T64" s="88"/>
      <c r="U64" s="88"/>
      <c r="V64" s="88">
        <f t="shared" si="3"/>
        <v>0</v>
      </c>
      <c r="W64" s="582"/>
      <c r="X64" s="583"/>
    </row>
    <row r="65" spans="1:24" ht="15.75" hidden="1" thickBot="1">
      <c r="A65" s="801"/>
      <c r="B65" s="860"/>
      <c r="C65" s="393" t="s">
        <v>289</v>
      </c>
      <c r="D65" s="394"/>
      <c r="E65" s="394"/>
      <c r="F65" s="394"/>
      <c r="G65" s="394"/>
      <c r="H65" s="393"/>
      <c r="I65" s="395"/>
      <c r="J65" s="396"/>
      <c r="K65" s="397"/>
      <c r="L65" s="397"/>
      <c r="M65" s="397"/>
      <c r="N65" s="397"/>
      <c r="O65" s="397"/>
      <c r="P65" s="692"/>
      <c r="Q65" s="692"/>
      <c r="R65" s="397"/>
      <c r="S65" s="397"/>
      <c r="T65" s="397"/>
      <c r="U65" s="619"/>
      <c r="V65" s="90">
        <f t="shared" si="3"/>
        <v>0</v>
      </c>
      <c r="W65" s="397"/>
      <c r="X65" s="398"/>
    </row>
    <row r="66" spans="1:24" ht="15.75" hidden="1" thickBot="1">
      <c r="A66" s="801"/>
      <c r="B66" s="860"/>
      <c r="C66" s="393" t="s">
        <v>202</v>
      </c>
      <c r="D66" s="394"/>
      <c r="E66" s="394"/>
      <c r="F66" s="394"/>
      <c r="G66" s="394"/>
      <c r="H66" s="393"/>
      <c r="I66" s="395"/>
      <c r="J66" s="396"/>
      <c r="K66" s="397"/>
      <c r="L66" s="397"/>
      <c r="M66" s="397"/>
      <c r="N66" s="397"/>
      <c r="O66" s="397"/>
      <c r="P66" s="692"/>
      <c r="Q66" s="692"/>
      <c r="R66" s="397"/>
      <c r="S66" s="397"/>
      <c r="T66" s="397"/>
      <c r="U66" s="619"/>
      <c r="V66" s="90">
        <f t="shared" si="3"/>
        <v>0</v>
      </c>
      <c r="W66" s="397"/>
      <c r="X66" s="398"/>
    </row>
    <row r="67" spans="1:24" ht="13.5" hidden="1" thickBot="1">
      <c r="A67" s="802"/>
      <c r="B67" s="861"/>
      <c r="C67" s="46" t="s">
        <v>343</v>
      </c>
      <c r="D67" s="48"/>
      <c r="E67" s="48"/>
      <c r="F67" s="48"/>
      <c r="G67" s="48"/>
      <c r="H67" s="59"/>
      <c r="I67" s="399"/>
      <c r="J67" s="400"/>
      <c r="K67" s="48">
        <v>1781346</v>
      </c>
      <c r="L67" s="77"/>
      <c r="M67" s="77"/>
      <c r="N67" s="77"/>
      <c r="O67" s="77"/>
      <c r="P67" s="211"/>
      <c r="Q67" s="211"/>
      <c r="R67" s="77"/>
      <c r="S67" s="77"/>
      <c r="T67" s="77"/>
      <c r="U67" s="210"/>
      <c r="V67" s="210">
        <f t="shared" si="3"/>
        <v>0</v>
      </c>
      <c r="W67" s="210"/>
      <c r="X67" s="78"/>
    </row>
    <row r="68" spans="1:24" ht="15.75" thickBot="1">
      <c r="A68" s="359" t="s">
        <v>317</v>
      </c>
      <c r="B68" s="865" t="s">
        <v>316</v>
      </c>
      <c r="C68" s="865"/>
      <c r="D68" s="234">
        <v>38040</v>
      </c>
      <c r="E68" s="234">
        <v>144792</v>
      </c>
      <c r="F68" s="234">
        <v>36414</v>
      </c>
      <c r="G68" s="234">
        <v>3228</v>
      </c>
      <c r="H68" s="234">
        <v>15058</v>
      </c>
      <c r="I68" s="379"/>
      <c r="J68" s="380"/>
      <c r="K68" s="107">
        <f>SUM(K69:K71)</f>
        <v>5000</v>
      </c>
      <c r="L68" s="107">
        <f>SUM(L69:L71)</f>
        <v>35480.8</v>
      </c>
      <c r="M68" s="556">
        <f>SUM(M69:M71)</f>
        <v>555131.6</v>
      </c>
      <c r="N68" s="107">
        <v>10197.6</v>
      </c>
      <c r="O68" s="107">
        <v>323.6</v>
      </c>
      <c r="P68" s="556">
        <v>16171.269999999999</v>
      </c>
      <c r="Q68" s="556">
        <v>27465.02</v>
      </c>
      <c r="R68" s="107">
        <v>159050</v>
      </c>
      <c r="S68" s="107">
        <v>22014.41</v>
      </c>
      <c r="T68" s="107">
        <v>11409</v>
      </c>
      <c r="U68" s="67">
        <f>U69+U70+U71</f>
        <v>0</v>
      </c>
      <c r="V68" s="67">
        <f>V69+V70+V71</f>
        <v>0</v>
      </c>
      <c r="W68" s="67">
        <f>W69+W70+W71</f>
        <v>0</v>
      </c>
      <c r="X68" s="68">
        <f>X69+X70+X71</f>
        <v>0</v>
      </c>
    </row>
    <row r="69" spans="1:24" ht="14.25" hidden="1">
      <c r="A69" s="800"/>
      <c r="B69" s="862"/>
      <c r="C69" s="41" t="s">
        <v>362</v>
      </c>
      <c r="D69" s="93"/>
      <c r="E69" s="93"/>
      <c r="F69" s="93"/>
      <c r="G69" s="93"/>
      <c r="H69" s="55"/>
      <c r="I69" s="369"/>
      <c r="J69" s="370"/>
      <c r="K69" s="402">
        <v>5000</v>
      </c>
      <c r="L69" s="402">
        <v>20503.12</v>
      </c>
      <c r="M69" s="568"/>
      <c r="N69" s="402"/>
      <c r="O69" s="402"/>
      <c r="P69" s="568"/>
      <c r="Q69" s="568"/>
      <c r="R69" s="402"/>
      <c r="S69" s="402"/>
      <c r="T69" s="402"/>
      <c r="U69" s="42"/>
      <c r="V69" s="506">
        <f>IF(S69=0,0,U69/S69)</f>
        <v>0</v>
      </c>
      <c r="W69" s="506">
        <f aca="true" t="shared" si="4" ref="W69:X71">IF(T69=0,0,V69/T69)</f>
        <v>0</v>
      </c>
      <c r="X69" s="944">
        <f t="shared" si="4"/>
        <v>0</v>
      </c>
    </row>
    <row r="70" spans="1:24" ht="14.25" hidden="1">
      <c r="A70" s="801"/>
      <c r="B70" s="863"/>
      <c r="C70" s="72"/>
      <c r="D70" s="70"/>
      <c r="E70" s="70"/>
      <c r="F70" s="70"/>
      <c r="G70" s="70"/>
      <c r="H70" s="69"/>
      <c r="I70" s="373"/>
      <c r="J70" s="374"/>
      <c r="K70" s="567"/>
      <c r="L70" s="606"/>
      <c r="M70" s="607">
        <v>555131.6</v>
      </c>
      <c r="N70" s="606"/>
      <c r="O70" s="606"/>
      <c r="P70" s="606"/>
      <c r="Q70" s="607"/>
      <c r="R70" s="606"/>
      <c r="S70" s="606"/>
      <c r="T70" s="606"/>
      <c r="U70" s="608"/>
      <c r="V70" s="608">
        <f>IF(S70=0,0,U70/S70)</f>
        <v>0</v>
      </c>
      <c r="W70" s="608">
        <f t="shared" si="4"/>
        <v>0</v>
      </c>
      <c r="X70" s="945">
        <f t="shared" si="4"/>
        <v>0</v>
      </c>
    </row>
    <row r="71" spans="1:24" ht="13.5" hidden="1" thickBot="1">
      <c r="A71" s="802"/>
      <c r="B71" s="864"/>
      <c r="C71" s="43"/>
      <c r="D71" s="70"/>
      <c r="E71" s="70"/>
      <c r="F71" s="70"/>
      <c r="G71" s="70"/>
      <c r="H71" s="69"/>
      <c r="I71" s="373"/>
      <c r="J71" s="374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42"/>
      <c r="V71" s="242">
        <f>IF(S71=0,0,U71/S71)</f>
        <v>0</v>
      </c>
      <c r="W71" s="242">
        <f t="shared" si="4"/>
        <v>0</v>
      </c>
      <c r="X71" s="71">
        <f t="shared" si="4"/>
        <v>0</v>
      </c>
    </row>
    <row r="72" spans="1:24" ht="15.75" thickBot="1">
      <c r="A72" s="359" t="s">
        <v>61</v>
      </c>
      <c r="B72" s="865" t="s">
        <v>300</v>
      </c>
      <c r="C72" s="865"/>
      <c r="D72" s="234">
        <v>326960</v>
      </c>
      <c r="E72" s="234">
        <v>144858</v>
      </c>
      <c r="F72" s="234">
        <v>123880</v>
      </c>
      <c r="G72" s="234">
        <v>20761</v>
      </c>
      <c r="H72" s="234">
        <v>158221</v>
      </c>
      <c r="I72" s="137">
        <v>92051</v>
      </c>
      <c r="J72" s="234">
        <v>68225</v>
      </c>
      <c r="K72" s="67">
        <f>SUM(K73:K94)</f>
        <v>16198</v>
      </c>
      <c r="L72" s="67">
        <f>SUM(L73:L94)</f>
        <v>1305435.64</v>
      </c>
      <c r="M72" s="214">
        <f>SUM(M73:M94)</f>
        <v>139207.66</v>
      </c>
      <c r="N72" s="67">
        <v>44614.21</v>
      </c>
      <c r="O72" s="214">
        <v>60675.76000000001</v>
      </c>
      <c r="P72" s="214">
        <v>54775.5</v>
      </c>
      <c r="Q72" s="214">
        <v>566821.34</v>
      </c>
      <c r="R72" s="67">
        <v>6378869</v>
      </c>
      <c r="S72" s="67">
        <v>4461136.199999999</v>
      </c>
      <c r="T72" s="67">
        <v>4398472</v>
      </c>
      <c r="U72" s="67">
        <f>SUM(U73:U92)</f>
        <v>1682750</v>
      </c>
      <c r="V72" s="67">
        <f>SUM(V73:V92)</f>
        <v>0</v>
      </c>
      <c r="W72" s="67">
        <f>SUM(W73:W92)</f>
        <v>90000</v>
      </c>
      <c r="X72" s="68">
        <f>SUM(X73:X92)</f>
        <v>1772750</v>
      </c>
    </row>
    <row r="73" spans="1:24" ht="12.75" hidden="1">
      <c r="A73" s="803"/>
      <c r="B73" s="856"/>
      <c r="C73" s="403" t="s">
        <v>37</v>
      </c>
      <c r="D73" s="404"/>
      <c r="E73" s="404"/>
      <c r="F73" s="404"/>
      <c r="G73" s="404"/>
      <c r="H73" s="405"/>
      <c r="I73" s="406"/>
      <c r="J73" s="407"/>
      <c r="K73" s="93"/>
      <c r="L73" s="93"/>
      <c r="M73" s="203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04"/>
      <c r="B74" s="857"/>
      <c r="C74" s="226" t="s">
        <v>399</v>
      </c>
      <c r="D74" s="408"/>
      <c r="E74" s="408"/>
      <c r="F74" s="408"/>
      <c r="G74" s="408"/>
      <c r="H74" s="409"/>
      <c r="I74" s="410"/>
      <c r="J74" s="287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5" ref="X74:X86">U74+V74+W74</f>
        <v>259552</v>
      </c>
    </row>
    <row r="75" spans="1:24" ht="12.75">
      <c r="A75" s="804"/>
      <c r="B75" s="857"/>
      <c r="C75" s="226" t="s">
        <v>400</v>
      </c>
      <c r="D75" s="408"/>
      <c r="E75" s="408"/>
      <c r="F75" s="408"/>
      <c r="G75" s="408"/>
      <c r="H75" s="409"/>
      <c r="I75" s="410"/>
      <c r="J75" s="287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392852</v>
      </c>
      <c r="V75" s="44"/>
      <c r="W75" s="44"/>
      <c r="X75" s="27">
        <f t="shared" si="5"/>
        <v>392852</v>
      </c>
    </row>
    <row r="76" spans="1:24" ht="12.75">
      <c r="A76" s="804"/>
      <c r="B76" s="857"/>
      <c r="C76" s="226" t="s">
        <v>401</v>
      </c>
      <c r="D76" s="408"/>
      <c r="E76" s="408"/>
      <c r="F76" s="408"/>
      <c r="G76" s="408"/>
      <c r="H76" s="409"/>
      <c r="I76" s="410"/>
      <c r="J76" s="287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145000</v>
      </c>
      <c r="V76" s="44"/>
      <c r="W76" s="44"/>
      <c r="X76" s="27">
        <f t="shared" si="5"/>
        <v>145000</v>
      </c>
    </row>
    <row r="77" spans="1:24" ht="12.75">
      <c r="A77" s="804"/>
      <c r="B77" s="857"/>
      <c r="C77" s="226" t="s">
        <v>402</v>
      </c>
      <c r="D77" s="408"/>
      <c r="E77" s="408"/>
      <c r="F77" s="408"/>
      <c r="G77" s="408"/>
      <c r="H77" s="409"/>
      <c r="I77" s="410"/>
      <c r="J77" s="287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5"/>
        <v>10200</v>
      </c>
    </row>
    <row r="78" spans="1:24" ht="12.75">
      <c r="A78" s="804"/>
      <c r="B78" s="857"/>
      <c r="C78" s="411" t="s">
        <v>403</v>
      </c>
      <c r="D78" s="412"/>
      <c r="E78" s="412"/>
      <c r="F78" s="412"/>
      <c r="G78" s="412"/>
      <c r="H78" s="413"/>
      <c r="I78" s="414"/>
      <c r="J78" s="415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5"/>
        <v>20000</v>
      </c>
    </row>
    <row r="79" spans="1:29" ht="12.75">
      <c r="A79" s="804"/>
      <c r="B79" s="857"/>
      <c r="C79" s="411" t="s">
        <v>410</v>
      </c>
      <c r="D79" s="417"/>
      <c r="E79" s="417"/>
      <c r="F79" s="417"/>
      <c r="G79" s="417"/>
      <c r="H79" s="418"/>
      <c r="I79" s="419"/>
      <c r="J79" s="420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5"/>
        <v>2262</v>
      </c>
      <c r="AC79" s="2"/>
    </row>
    <row r="80" spans="1:29" ht="12.75" customHeight="1">
      <c r="A80" s="804"/>
      <c r="B80" s="857"/>
      <c r="C80" s="226" t="s">
        <v>405</v>
      </c>
      <c r="D80" s="417"/>
      <c r="E80" s="417"/>
      <c r="F80" s="417"/>
      <c r="G80" s="417"/>
      <c r="H80" s="418"/>
      <c r="I80" s="419"/>
      <c r="J80" s="420"/>
      <c r="K80" s="30"/>
      <c r="L80" s="70"/>
      <c r="M80" s="116">
        <v>0</v>
      </c>
      <c r="N80" s="26"/>
      <c r="O80" s="44"/>
      <c r="P80" s="44"/>
      <c r="Q80" s="114"/>
      <c r="R80" s="44"/>
      <c r="S80" s="44"/>
      <c r="T80" s="44"/>
      <c r="U80" s="44">
        <v>8000</v>
      </c>
      <c r="V80" s="44"/>
      <c r="W80" s="44"/>
      <c r="X80" s="27">
        <f t="shared" si="5"/>
        <v>8000</v>
      </c>
      <c r="AC80" s="2"/>
    </row>
    <row r="81" spans="1:26" ht="12.75" customHeight="1">
      <c r="A81" s="804"/>
      <c r="B81" s="857"/>
      <c r="C81" s="226" t="s">
        <v>404</v>
      </c>
      <c r="D81" s="26"/>
      <c r="E81" s="26"/>
      <c r="F81" s="26"/>
      <c r="G81" s="26"/>
      <c r="H81" s="58"/>
      <c r="I81" s="361"/>
      <c r="J81" s="362"/>
      <c r="K81" s="26"/>
      <c r="L81" s="26"/>
      <c r="M81" s="205">
        <v>0</v>
      </c>
      <c r="N81" s="26"/>
      <c r="O81" s="44"/>
      <c r="P81" s="44"/>
      <c r="Q81" s="114"/>
      <c r="R81" s="44"/>
      <c r="S81" s="44"/>
      <c r="T81" s="44"/>
      <c r="U81" s="44">
        <v>432884</v>
      </c>
      <c r="V81" s="44"/>
      <c r="W81" s="44"/>
      <c r="X81" s="27">
        <f t="shared" si="5"/>
        <v>432884</v>
      </c>
      <c r="Z81" s="2"/>
    </row>
    <row r="82" spans="1:24" ht="12.75" customHeight="1">
      <c r="A82" s="804"/>
      <c r="B82" s="857"/>
      <c r="C82" s="43" t="s">
        <v>406</v>
      </c>
      <c r="D82" s="26"/>
      <c r="E82" s="26"/>
      <c r="F82" s="26"/>
      <c r="G82" s="26"/>
      <c r="H82" s="58"/>
      <c r="I82" s="361"/>
      <c r="J82" s="362"/>
      <c r="K82" s="26">
        <v>7632</v>
      </c>
      <c r="L82" s="26"/>
      <c r="M82" s="205">
        <v>0</v>
      </c>
      <c r="N82" s="26"/>
      <c r="O82" s="44"/>
      <c r="P82" s="44"/>
      <c r="Q82" s="114"/>
      <c r="R82" s="44"/>
      <c r="S82" s="44"/>
      <c r="T82" s="44"/>
      <c r="U82" s="44">
        <v>402000</v>
      </c>
      <c r="V82" s="44"/>
      <c r="W82" s="44"/>
      <c r="X82" s="27">
        <f t="shared" si="5"/>
        <v>402000</v>
      </c>
    </row>
    <row r="83" spans="1:24" ht="12.75">
      <c r="A83" s="804"/>
      <c r="B83" s="857"/>
      <c r="C83" s="43" t="s">
        <v>38</v>
      </c>
      <c r="D83" s="26"/>
      <c r="E83" s="26"/>
      <c r="F83" s="26"/>
      <c r="G83" s="26"/>
      <c r="H83" s="58"/>
      <c r="I83" s="361"/>
      <c r="J83" s="362"/>
      <c r="K83" s="26"/>
      <c r="L83" s="26"/>
      <c r="M83" s="205">
        <v>0</v>
      </c>
      <c r="N83" s="26"/>
      <c r="O83" s="44"/>
      <c r="P83" s="44"/>
      <c r="Q83" s="114"/>
      <c r="R83" s="44"/>
      <c r="S83" s="44"/>
      <c r="T83" s="44"/>
      <c r="U83" s="44">
        <v>10000</v>
      </c>
      <c r="V83" s="44"/>
      <c r="W83" s="44"/>
      <c r="X83" s="27">
        <f t="shared" si="5"/>
        <v>10000</v>
      </c>
    </row>
    <row r="84" spans="1:24" ht="12.75" customHeight="1">
      <c r="A84" s="804"/>
      <c r="B84" s="857"/>
      <c r="C84" s="43" t="s">
        <v>431</v>
      </c>
      <c r="D84" s="26"/>
      <c r="E84" s="26"/>
      <c r="F84" s="26"/>
      <c r="G84" s="26"/>
      <c r="H84" s="58"/>
      <c r="I84" s="361"/>
      <c r="J84" s="362"/>
      <c r="K84" s="26">
        <v>0</v>
      </c>
      <c r="L84" s="26"/>
      <c r="M84" s="205">
        <v>0</v>
      </c>
      <c r="N84" s="26"/>
      <c r="O84" s="26"/>
      <c r="P84" s="26"/>
      <c r="Q84" s="205"/>
      <c r="R84" s="26"/>
      <c r="S84" s="26"/>
      <c r="T84" s="26"/>
      <c r="U84" s="44"/>
      <c r="V84" s="44"/>
      <c r="W84" s="44">
        <v>90000</v>
      </c>
      <c r="X84" s="27">
        <f t="shared" si="5"/>
        <v>90000</v>
      </c>
    </row>
    <row r="85" spans="1:24" ht="13.5" thickBot="1">
      <c r="A85" s="804"/>
      <c r="B85" s="857"/>
      <c r="C85" s="43"/>
      <c r="D85" s="26"/>
      <c r="E85" s="26"/>
      <c r="F85" s="26"/>
      <c r="G85" s="26"/>
      <c r="H85" s="58"/>
      <c r="I85" s="361"/>
      <c r="J85" s="362"/>
      <c r="K85" s="26">
        <v>0</v>
      </c>
      <c r="L85" s="26">
        <v>1302435.64</v>
      </c>
      <c r="M85" s="205">
        <v>95467.84</v>
      </c>
      <c r="N85" s="26"/>
      <c r="O85" s="26"/>
      <c r="P85" s="26"/>
      <c r="Q85" s="205"/>
      <c r="R85" s="26"/>
      <c r="S85" s="26"/>
      <c r="T85" s="26"/>
      <c r="U85" s="44"/>
      <c r="V85" s="44"/>
      <c r="W85" s="44"/>
      <c r="X85" s="27">
        <f t="shared" si="5"/>
        <v>0</v>
      </c>
    </row>
    <row r="86" spans="1:24" ht="12.75" hidden="1">
      <c r="A86" s="804"/>
      <c r="B86" s="857"/>
      <c r="C86" s="43"/>
      <c r="D86" s="26"/>
      <c r="E86" s="26"/>
      <c r="F86" s="26"/>
      <c r="G86" s="26"/>
      <c r="H86" s="58"/>
      <c r="I86" s="361"/>
      <c r="J86" s="362"/>
      <c r="K86" s="26"/>
      <c r="L86" s="26"/>
      <c r="M86" s="205">
        <v>38905.74</v>
      </c>
      <c r="N86" s="26"/>
      <c r="O86" s="26"/>
      <c r="P86" s="26"/>
      <c r="Q86" s="205"/>
      <c r="R86" s="26"/>
      <c r="S86" s="26"/>
      <c r="T86" s="26"/>
      <c r="U86" s="44"/>
      <c r="V86" s="44"/>
      <c r="W86" s="44"/>
      <c r="X86" s="27">
        <f t="shared" si="5"/>
        <v>0</v>
      </c>
    </row>
    <row r="87" spans="1:24" ht="12.75" customHeight="1" hidden="1">
      <c r="A87" s="804"/>
      <c r="B87" s="857"/>
      <c r="C87" s="43"/>
      <c r="D87" s="26"/>
      <c r="E87" s="26"/>
      <c r="F87" s="26"/>
      <c r="G87" s="26"/>
      <c r="H87" s="58"/>
      <c r="I87" s="361"/>
      <c r="J87" s="362"/>
      <c r="K87" s="26"/>
      <c r="L87" s="26"/>
      <c r="M87" s="205">
        <v>0</v>
      </c>
      <c r="N87" s="26"/>
      <c r="O87" s="26"/>
      <c r="P87" s="26"/>
      <c r="Q87" s="205"/>
      <c r="R87" s="26"/>
      <c r="S87" s="26"/>
      <c r="T87" s="26"/>
      <c r="U87" s="44"/>
      <c r="V87" s="44"/>
      <c r="W87" s="44"/>
      <c r="X87" s="27"/>
    </row>
    <row r="88" spans="1:24" ht="12.75" customHeight="1" hidden="1">
      <c r="A88" s="804"/>
      <c r="B88" s="857"/>
      <c r="C88" s="43"/>
      <c r="D88" s="26"/>
      <c r="E88" s="26"/>
      <c r="F88" s="26"/>
      <c r="G88" s="26"/>
      <c r="H88" s="58"/>
      <c r="I88" s="361"/>
      <c r="J88" s="362"/>
      <c r="K88" s="26"/>
      <c r="L88" s="26"/>
      <c r="M88" s="205">
        <v>0</v>
      </c>
      <c r="N88" s="26"/>
      <c r="O88" s="26"/>
      <c r="P88" s="26"/>
      <c r="Q88" s="205"/>
      <c r="R88" s="26"/>
      <c r="S88" s="26"/>
      <c r="T88" s="26"/>
      <c r="U88" s="44"/>
      <c r="V88" s="44"/>
      <c r="W88" s="44"/>
      <c r="X88" s="27"/>
    </row>
    <row r="89" spans="1:24" ht="12.75" customHeight="1" hidden="1">
      <c r="A89" s="804"/>
      <c r="B89" s="857"/>
      <c r="C89" s="43"/>
      <c r="D89" s="26"/>
      <c r="E89" s="26"/>
      <c r="F89" s="26"/>
      <c r="G89" s="26"/>
      <c r="H89" s="58"/>
      <c r="I89" s="361"/>
      <c r="J89" s="362"/>
      <c r="K89" s="26">
        <v>8090</v>
      </c>
      <c r="L89" s="26"/>
      <c r="M89" s="205">
        <v>0</v>
      </c>
      <c r="N89" s="26"/>
      <c r="O89" s="26"/>
      <c r="P89" s="26"/>
      <c r="Q89" s="205"/>
      <c r="R89" s="26"/>
      <c r="S89" s="26"/>
      <c r="T89" s="26"/>
      <c r="U89" s="44"/>
      <c r="V89" s="44"/>
      <c r="W89" s="44"/>
      <c r="X89" s="27"/>
    </row>
    <row r="90" spans="1:24" ht="12.75" hidden="1">
      <c r="A90" s="804"/>
      <c r="B90" s="857"/>
      <c r="C90" s="43"/>
      <c r="D90" s="26"/>
      <c r="E90" s="26"/>
      <c r="F90" s="26"/>
      <c r="G90" s="26"/>
      <c r="H90" s="58"/>
      <c r="I90" s="361"/>
      <c r="J90" s="362"/>
      <c r="K90" s="26"/>
      <c r="L90" s="26"/>
      <c r="M90" s="205"/>
      <c r="N90" s="26"/>
      <c r="O90" s="26"/>
      <c r="P90" s="26"/>
      <c r="Q90" s="205"/>
      <c r="R90" s="26"/>
      <c r="S90" s="26"/>
      <c r="T90" s="26"/>
      <c r="U90" s="44"/>
      <c r="V90" s="44"/>
      <c r="W90" s="44"/>
      <c r="X90" s="27"/>
    </row>
    <row r="91" spans="1:24" ht="12.75" hidden="1">
      <c r="A91" s="804"/>
      <c r="B91" s="857"/>
      <c r="C91" s="43"/>
      <c r="D91" s="30"/>
      <c r="E91" s="30"/>
      <c r="F91" s="30"/>
      <c r="G91" s="30"/>
      <c r="H91" s="66"/>
      <c r="I91" s="363"/>
      <c r="J91" s="364"/>
      <c r="K91" s="30"/>
      <c r="L91" s="30"/>
      <c r="M91" s="223"/>
      <c r="N91" s="30"/>
      <c r="O91" s="30"/>
      <c r="P91" s="30"/>
      <c r="Q91" s="223"/>
      <c r="R91" s="30"/>
      <c r="S91" s="30"/>
      <c r="T91" s="30"/>
      <c r="U91" s="44"/>
      <c r="V91" s="44"/>
      <c r="W91" s="44"/>
      <c r="X91" s="27"/>
    </row>
    <row r="92" spans="1:24" ht="0.75" customHeight="1" hidden="1" thickBot="1">
      <c r="A92" s="805"/>
      <c r="B92" s="858"/>
      <c r="C92" s="145"/>
      <c r="D92" s="30"/>
      <c r="E92" s="30"/>
      <c r="F92" s="30"/>
      <c r="G92" s="30"/>
      <c r="H92" s="66"/>
      <c r="I92" s="363"/>
      <c r="J92" s="364"/>
      <c r="K92" s="30"/>
      <c r="L92" s="30"/>
      <c r="M92" s="223"/>
      <c r="N92" s="30"/>
      <c r="O92" s="30"/>
      <c r="P92" s="30"/>
      <c r="Q92" s="223"/>
      <c r="R92" s="30"/>
      <c r="S92" s="30"/>
      <c r="T92" s="30"/>
      <c r="U92" s="74"/>
      <c r="V92" s="44">
        <f aca="true" t="shared" si="6" ref="V92:V98">IF(S92=0,0,U92/S92)</f>
        <v>0</v>
      </c>
      <c r="W92" s="74"/>
      <c r="X92" s="31"/>
    </row>
    <row r="93" spans="1:27" s="620" customFormat="1" ht="15.75" hidden="1" thickBot="1">
      <c r="A93" s="291" t="s">
        <v>359</v>
      </c>
      <c r="B93" s="872" t="s">
        <v>360</v>
      </c>
      <c r="C93" s="807"/>
      <c r="D93" s="671"/>
      <c r="E93" s="671"/>
      <c r="F93" s="671"/>
      <c r="G93" s="671"/>
      <c r="H93" s="672"/>
      <c r="I93" s="673"/>
      <c r="J93" s="674"/>
      <c r="K93" s="671"/>
      <c r="L93" s="671"/>
      <c r="M93" s="675"/>
      <c r="N93" s="107"/>
      <c r="O93" s="107"/>
      <c r="P93" s="556">
        <v>5880</v>
      </c>
      <c r="Q93" s="556">
        <v>44123.79</v>
      </c>
      <c r="R93" s="107"/>
      <c r="S93" s="107"/>
      <c r="T93" s="107"/>
      <c r="U93" s="67">
        <f>U94</f>
        <v>0</v>
      </c>
      <c r="V93" s="67">
        <f t="shared" si="6"/>
        <v>0</v>
      </c>
      <c r="W93" s="67"/>
      <c r="X93" s="68"/>
      <c r="AA93" s="676"/>
    </row>
    <row r="94" spans="1:24" ht="13.5" hidden="1" thickBot="1">
      <c r="A94" s="375"/>
      <c r="B94" s="376"/>
      <c r="C94" s="115" t="s">
        <v>361</v>
      </c>
      <c r="D94" s="48"/>
      <c r="E94" s="48"/>
      <c r="F94" s="48"/>
      <c r="G94" s="48"/>
      <c r="H94" s="59"/>
      <c r="I94" s="399"/>
      <c r="J94" s="400"/>
      <c r="K94" s="48">
        <v>476</v>
      </c>
      <c r="L94" s="48">
        <v>3000</v>
      </c>
      <c r="M94" s="255">
        <v>3545</v>
      </c>
      <c r="N94" s="12"/>
      <c r="O94" s="12"/>
      <c r="P94" s="12"/>
      <c r="Q94" s="246"/>
      <c r="R94" s="242"/>
      <c r="S94" s="242"/>
      <c r="T94" s="242"/>
      <c r="U94" s="242"/>
      <c r="V94" s="242">
        <f t="shared" si="6"/>
        <v>0</v>
      </c>
      <c r="W94" s="242"/>
      <c r="X94" s="71"/>
    </row>
    <row r="95" spans="1:24" ht="15.75" hidden="1" thickBot="1">
      <c r="A95" s="291" t="s">
        <v>39</v>
      </c>
      <c r="B95" s="777" t="s">
        <v>0</v>
      </c>
      <c r="C95" s="778"/>
      <c r="D95" s="421"/>
      <c r="E95" s="421"/>
      <c r="F95" s="421"/>
      <c r="G95" s="421"/>
      <c r="H95" s="268"/>
      <c r="I95" s="422"/>
      <c r="J95" s="423"/>
      <c r="K95" s="401"/>
      <c r="L95" s="401"/>
      <c r="M95" s="401"/>
      <c r="N95" s="401"/>
      <c r="O95" s="401"/>
      <c r="P95" s="401"/>
      <c r="Q95" s="661"/>
      <c r="R95" s="401"/>
      <c r="S95" s="401"/>
      <c r="T95" s="401"/>
      <c r="U95" s="67"/>
      <c r="V95" s="67">
        <f t="shared" si="6"/>
        <v>0</v>
      </c>
      <c r="W95" s="67"/>
      <c r="X95" s="68"/>
    </row>
    <row r="96" spans="1:24" ht="12.75" hidden="1">
      <c r="A96" s="358"/>
      <c r="B96" s="360"/>
      <c r="C96" s="43"/>
      <c r="D96" s="26"/>
      <c r="E96" s="26"/>
      <c r="F96" s="26"/>
      <c r="G96" s="26"/>
      <c r="H96" s="58"/>
      <c r="I96" s="361"/>
      <c r="J96" s="362"/>
      <c r="K96" s="26"/>
      <c r="L96" s="26"/>
      <c r="M96" s="26"/>
      <c r="N96" s="26"/>
      <c r="O96" s="26"/>
      <c r="P96" s="26"/>
      <c r="Q96" s="205"/>
      <c r="R96" s="26"/>
      <c r="S96" s="26"/>
      <c r="T96" s="26"/>
      <c r="U96" s="44"/>
      <c r="V96" s="44">
        <f t="shared" si="6"/>
        <v>0</v>
      </c>
      <c r="W96" s="44"/>
      <c r="X96" s="27"/>
    </row>
    <row r="97" spans="1:24" ht="12.75" hidden="1">
      <c r="A97" s="358"/>
      <c r="B97" s="360"/>
      <c r="C97" s="43"/>
      <c r="D97" s="26"/>
      <c r="E97" s="26"/>
      <c r="F97" s="26"/>
      <c r="G97" s="26"/>
      <c r="H97" s="58"/>
      <c r="I97" s="361"/>
      <c r="J97" s="362"/>
      <c r="K97" s="26"/>
      <c r="L97" s="26"/>
      <c r="M97" s="26"/>
      <c r="N97" s="26"/>
      <c r="O97" s="26"/>
      <c r="P97" s="26"/>
      <c r="Q97" s="205"/>
      <c r="R97" s="26"/>
      <c r="S97" s="26"/>
      <c r="T97" s="26"/>
      <c r="U97" s="44"/>
      <c r="V97" s="44">
        <f t="shared" si="6"/>
        <v>0</v>
      </c>
      <c r="W97" s="44"/>
      <c r="X97" s="27"/>
    </row>
    <row r="98" spans="1:24" ht="13.5" hidden="1" thickBot="1">
      <c r="A98" s="358"/>
      <c r="B98" s="360"/>
      <c r="C98" s="47"/>
      <c r="D98" s="30"/>
      <c r="E98" s="30"/>
      <c r="F98" s="30"/>
      <c r="G98" s="30"/>
      <c r="H98" s="66"/>
      <c r="I98" s="363"/>
      <c r="J98" s="364"/>
      <c r="K98" s="30"/>
      <c r="L98" s="30"/>
      <c r="M98" s="30"/>
      <c r="N98" s="30"/>
      <c r="O98" s="30"/>
      <c r="P98" s="30"/>
      <c r="Q98" s="223"/>
      <c r="R98" s="30"/>
      <c r="S98" s="30"/>
      <c r="T98" s="30"/>
      <c r="U98" s="74"/>
      <c r="V98" s="74">
        <f t="shared" si="6"/>
        <v>0</v>
      </c>
      <c r="W98" s="74"/>
      <c r="X98" s="31"/>
    </row>
    <row r="99" spans="1:24" ht="15.75" thickBot="1">
      <c r="A99" s="359" t="s">
        <v>228</v>
      </c>
      <c r="B99" s="865" t="s">
        <v>229</v>
      </c>
      <c r="C99" s="865"/>
      <c r="D99" s="234">
        <v>8298</v>
      </c>
      <c r="E99" s="234">
        <v>3983</v>
      </c>
      <c r="F99" s="234">
        <v>175065</v>
      </c>
      <c r="G99" s="234">
        <v>138049</v>
      </c>
      <c r="H99" s="234">
        <v>127764</v>
      </c>
      <c r="I99" s="137">
        <v>149292</v>
      </c>
      <c r="J99" s="234">
        <v>3000</v>
      </c>
      <c r="K99" s="67">
        <f>SUM(K104:K106)</f>
        <v>6455</v>
      </c>
      <c r="L99" s="67">
        <f>SUM(L100:L106)</f>
        <v>131475.39</v>
      </c>
      <c r="M99" s="214">
        <f>SUM(M100:M106)</f>
        <v>1775474.1500000001</v>
      </c>
      <c r="N99" s="67">
        <v>12967.75</v>
      </c>
      <c r="O99" s="214">
        <v>2000</v>
      </c>
      <c r="P99" s="214">
        <v>138793.75</v>
      </c>
      <c r="Q99" s="214">
        <v>36288</v>
      </c>
      <c r="R99" s="67">
        <v>84304</v>
      </c>
      <c r="S99" s="67"/>
      <c r="T99" s="67">
        <v>7700</v>
      </c>
      <c r="U99" s="67">
        <f>SUM(U100:U106)</f>
        <v>0</v>
      </c>
      <c r="V99" s="67">
        <f>SUM(V100:V106)</f>
        <v>0</v>
      </c>
      <c r="W99" s="67">
        <f>SUM(W100:W106)</f>
        <v>0</v>
      </c>
      <c r="X99" s="68">
        <f>SUM(X100:X106)</f>
        <v>0</v>
      </c>
    </row>
    <row r="100" spans="1:24" ht="12.75" hidden="1">
      <c r="A100" s="800"/>
      <c r="B100" s="859"/>
      <c r="C100" s="381"/>
      <c r="D100" s="424"/>
      <c r="E100" s="424"/>
      <c r="F100" s="424"/>
      <c r="G100" s="424"/>
      <c r="H100" s="425"/>
      <c r="I100" s="426"/>
      <c r="J100" s="427"/>
      <c r="K100" s="143"/>
      <c r="L100" s="143">
        <v>123141.28</v>
      </c>
      <c r="M100" s="217">
        <v>1602434.8900000001</v>
      </c>
      <c r="N100" s="143"/>
      <c r="O100" s="143"/>
      <c r="P100" s="143"/>
      <c r="Q100" s="217"/>
      <c r="R100" s="143"/>
      <c r="S100" s="143"/>
      <c r="T100" s="143"/>
      <c r="U100" s="86"/>
      <c r="V100" s="86"/>
      <c r="W100" s="86"/>
      <c r="X100" s="428">
        <f aca="true" t="shared" si="7" ref="X100:X106">U100+V100+W100</f>
        <v>0</v>
      </c>
    </row>
    <row r="101" spans="1:24" ht="12.75" hidden="1">
      <c r="A101" s="801"/>
      <c r="B101" s="860"/>
      <c r="C101" s="387"/>
      <c r="D101" s="429"/>
      <c r="E101" s="429"/>
      <c r="F101" s="429"/>
      <c r="G101" s="429"/>
      <c r="H101" s="430"/>
      <c r="I101" s="431"/>
      <c r="J101" s="432"/>
      <c r="K101" s="21"/>
      <c r="L101" s="21"/>
      <c r="M101" s="131">
        <v>18092.39</v>
      </c>
      <c r="N101" s="21"/>
      <c r="O101" s="21"/>
      <c r="P101" s="21"/>
      <c r="Q101" s="131"/>
      <c r="R101" s="21"/>
      <c r="S101" s="21"/>
      <c r="T101" s="21"/>
      <c r="U101" s="88"/>
      <c r="V101" s="88"/>
      <c r="W101" s="88"/>
      <c r="X101" s="433">
        <f t="shared" si="7"/>
        <v>0</v>
      </c>
    </row>
    <row r="102" spans="1:24" ht="12.75" hidden="1">
      <c r="A102" s="801"/>
      <c r="B102" s="860"/>
      <c r="C102" s="387"/>
      <c r="D102" s="429"/>
      <c r="E102" s="429"/>
      <c r="F102" s="429"/>
      <c r="G102" s="429"/>
      <c r="H102" s="430"/>
      <c r="I102" s="431"/>
      <c r="J102" s="432"/>
      <c r="K102" s="21"/>
      <c r="L102" s="21"/>
      <c r="M102" s="131">
        <v>16624.5</v>
      </c>
      <c r="N102" s="21"/>
      <c r="O102" s="21"/>
      <c r="P102" s="21"/>
      <c r="Q102" s="131"/>
      <c r="R102" s="21"/>
      <c r="S102" s="21"/>
      <c r="T102" s="21"/>
      <c r="U102" s="88"/>
      <c r="V102" s="88"/>
      <c r="W102" s="88"/>
      <c r="X102" s="433">
        <f t="shared" si="7"/>
        <v>0</v>
      </c>
    </row>
    <row r="103" spans="1:24" ht="12.75" hidden="1">
      <c r="A103" s="801"/>
      <c r="B103" s="860"/>
      <c r="C103" s="387"/>
      <c r="D103" s="429"/>
      <c r="E103" s="429"/>
      <c r="F103" s="429"/>
      <c r="G103" s="429"/>
      <c r="H103" s="430"/>
      <c r="I103" s="431"/>
      <c r="J103" s="432"/>
      <c r="K103" s="21"/>
      <c r="L103" s="21"/>
      <c r="M103" s="131">
        <v>120000</v>
      </c>
      <c r="N103" s="21"/>
      <c r="O103" s="21"/>
      <c r="P103" s="21"/>
      <c r="Q103" s="131"/>
      <c r="R103" s="21"/>
      <c r="S103" s="21"/>
      <c r="T103" s="21"/>
      <c r="U103" s="88"/>
      <c r="V103" s="88"/>
      <c r="W103" s="88"/>
      <c r="X103" s="433">
        <f t="shared" si="7"/>
        <v>0</v>
      </c>
    </row>
    <row r="104" spans="1:24" ht="12.75" hidden="1">
      <c r="A104" s="801"/>
      <c r="B104" s="860"/>
      <c r="C104" s="72"/>
      <c r="D104" s="22"/>
      <c r="E104" s="22"/>
      <c r="F104" s="22"/>
      <c r="G104" s="22"/>
      <c r="H104" s="56"/>
      <c r="I104" s="371"/>
      <c r="J104" s="372"/>
      <c r="K104" s="22">
        <v>6455</v>
      </c>
      <c r="L104" s="22"/>
      <c r="M104" s="118">
        <v>14992.37</v>
      </c>
      <c r="N104" s="22"/>
      <c r="O104" s="22"/>
      <c r="P104" s="22"/>
      <c r="Q104" s="118"/>
      <c r="R104" s="22"/>
      <c r="S104" s="22"/>
      <c r="T104" s="22"/>
      <c r="U104" s="57"/>
      <c r="V104" s="57"/>
      <c r="W104" s="57"/>
      <c r="X104" s="23">
        <f t="shared" si="7"/>
        <v>0</v>
      </c>
    </row>
    <row r="105" spans="1:24" ht="12.75" hidden="1">
      <c r="A105" s="801"/>
      <c r="B105" s="860"/>
      <c r="C105" s="145"/>
      <c r="D105" s="70"/>
      <c r="E105" s="70"/>
      <c r="F105" s="70"/>
      <c r="G105" s="70"/>
      <c r="H105" s="69"/>
      <c r="I105" s="373"/>
      <c r="J105" s="374"/>
      <c r="K105" s="70"/>
      <c r="L105" s="44"/>
      <c r="M105" s="205"/>
      <c r="N105" s="22"/>
      <c r="O105" s="22"/>
      <c r="P105" s="22"/>
      <c r="Q105" s="118"/>
      <c r="R105" s="22"/>
      <c r="S105" s="22"/>
      <c r="T105" s="22"/>
      <c r="U105" s="57"/>
      <c r="V105" s="57"/>
      <c r="W105" s="57"/>
      <c r="X105" s="23">
        <f t="shared" si="7"/>
        <v>0</v>
      </c>
    </row>
    <row r="106" spans="1:24" ht="13.5" hidden="1" thickBot="1">
      <c r="A106" s="802"/>
      <c r="B106" s="861"/>
      <c r="C106" s="46"/>
      <c r="D106" s="48"/>
      <c r="E106" s="48"/>
      <c r="F106" s="48"/>
      <c r="G106" s="48"/>
      <c r="H106" s="59"/>
      <c r="I106" s="399"/>
      <c r="J106" s="400"/>
      <c r="K106" s="48"/>
      <c r="L106" s="77">
        <v>8334.11</v>
      </c>
      <c r="M106" s="211">
        <v>3330</v>
      </c>
      <c r="N106" s="77"/>
      <c r="O106" s="77"/>
      <c r="P106" s="77"/>
      <c r="Q106" s="211"/>
      <c r="R106" s="77"/>
      <c r="S106" s="77"/>
      <c r="T106" s="77"/>
      <c r="U106" s="210"/>
      <c r="V106" s="210"/>
      <c r="W106" s="210"/>
      <c r="X106" s="78">
        <f t="shared" si="7"/>
        <v>0</v>
      </c>
    </row>
    <row r="107" spans="1:24" ht="15.75" thickBot="1">
      <c r="A107" s="359" t="s">
        <v>55</v>
      </c>
      <c r="B107" s="865" t="s">
        <v>76</v>
      </c>
      <c r="C107" s="865"/>
      <c r="D107" s="234"/>
      <c r="E107" s="234">
        <v>22472</v>
      </c>
      <c r="F107" s="234">
        <v>20713</v>
      </c>
      <c r="G107" s="234">
        <v>11074</v>
      </c>
      <c r="H107" s="234">
        <v>15914</v>
      </c>
      <c r="I107" s="137">
        <v>116842</v>
      </c>
      <c r="J107" s="234">
        <v>38905</v>
      </c>
      <c r="K107" s="67">
        <f>SUM(K108:K113)</f>
        <v>15848</v>
      </c>
      <c r="L107" s="67">
        <f>SUM(L108:L113)</f>
        <v>26915.190000000002</v>
      </c>
      <c r="M107" s="214">
        <f>SUM(M108:M113)</f>
        <v>9771.24</v>
      </c>
      <c r="N107" s="67">
        <v>62531.63</v>
      </c>
      <c r="O107" s="214">
        <v>193266.02</v>
      </c>
      <c r="P107" s="214">
        <v>3920.81</v>
      </c>
      <c r="Q107" s="214"/>
      <c r="R107" s="67"/>
      <c r="S107" s="67"/>
      <c r="T107" s="67">
        <v>48265</v>
      </c>
      <c r="U107" s="67">
        <f>SUM(U108:U113)</f>
        <v>0</v>
      </c>
      <c r="V107" s="67">
        <f>SUM(V108:V113)</f>
        <v>0</v>
      </c>
      <c r="W107" s="67">
        <f>SUM(W108:W113)</f>
        <v>0</v>
      </c>
      <c r="X107" s="68">
        <f>SUM(X108:X113)</f>
        <v>0</v>
      </c>
    </row>
    <row r="108" spans="1:24" ht="13.5" hidden="1" thickBot="1">
      <c r="A108" s="803"/>
      <c r="B108" s="856"/>
      <c r="C108" s="41"/>
      <c r="D108" s="93"/>
      <c r="E108" s="93"/>
      <c r="F108" s="93"/>
      <c r="G108" s="93"/>
      <c r="H108" s="55"/>
      <c r="I108" s="369"/>
      <c r="J108" s="370"/>
      <c r="K108" s="93">
        <v>7000</v>
      </c>
      <c r="L108" s="22">
        <v>16662.2</v>
      </c>
      <c r="M108" s="118"/>
      <c r="N108" s="22"/>
      <c r="O108" s="22"/>
      <c r="P108" s="12"/>
      <c r="Q108" s="247"/>
      <c r="R108" s="12"/>
      <c r="S108" s="12"/>
      <c r="T108" s="12"/>
      <c r="U108" s="83"/>
      <c r="V108" s="83"/>
      <c r="W108" s="83"/>
      <c r="X108" s="685">
        <f aca="true" t="shared" si="8" ref="X108:X113">U108+V108+W108</f>
        <v>0</v>
      </c>
    </row>
    <row r="109" spans="1:24" ht="12.75" hidden="1">
      <c r="A109" s="804"/>
      <c r="B109" s="857"/>
      <c r="C109" s="43"/>
      <c r="D109" s="26"/>
      <c r="E109" s="26"/>
      <c r="F109" s="26"/>
      <c r="G109" s="26"/>
      <c r="H109" s="58"/>
      <c r="I109" s="361"/>
      <c r="J109" s="362"/>
      <c r="K109" s="26"/>
      <c r="L109" s="26"/>
      <c r="M109" s="205"/>
      <c r="N109" s="26"/>
      <c r="O109" s="26"/>
      <c r="P109" s="22"/>
      <c r="Q109" s="118"/>
      <c r="R109" s="22"/>
      <c r="S109" s="22"/>
      <c r="T109" s="22"/>
      <c r="U109" s="57"/>
      <c r="V109" s="57"/>
      <c r="W109" s="57"/>
      <c r="X109" s="23">
        <f t="shared" si="8"/>
        <v>0</v>
      </c>
    </row>
    <row r="110" spans="1:24" ht="12.75" hidden="1">
      <c r="A110" s="804"/>
      <c r="B110" s="857"/>
      <c r="C110" s="43"/>
      <c r="D110" s="26"/>
      <c r="E110" s="26"/>
      <c r="F110" s="26"/>
      <c r="G110" s="26"/>
      <c r="H110" s="58"/>
      <c r="I110" s="361"/>
      <c r="J110" s="362"/>
      <c r="K110" s="26"/>
      <c r="L110" s="26"/>
      <c r="M110" s="205"/>
      <c r="N110" s="26"/>
      <c r="O110" s="26"/>
      <c r="P110" s="26"/>
      <c r="Q110" s="205"/>
      <c r="R110" s="26"/>
      <c r="S110" s="26"/>
      <c r="T110" s="26"/>
      <c r="U110" s="44"/>
      <c r="V110" s="44"/>
      <c r="W110" s="44"/>
      <c r="X110" s="27">
        <f t="shared" si="8"/>
        <v>0</v>
      </c>
    </row>
    <row r="111" spans="1:24" ht="12.75" hidden="1">
      <c r="A111" s="804"/>
      <c r="B111" s="857"/>
      <c r="C111" s="43"/>
      <c r="D111" s="26"/>
      <c r="E111" s="26"/>
      <c r="F111" s="26"/>
      <c r="G111" s="26"/>
      <c r="H111" s="58"/>
      <c r="I111" s="361"/>
      <c r="J111" s="362"/>
      <c r="K111" s="26"/>
      <c r="L111" s="26"/>
      <c r="M111" s="205"/>
      <c r="N111" s="26"/>
      <c r="O111" s="26"/>
      <c r="P111" s="26"/>
      <c r="Q111" s="205"/>
      <c r="R111" s="26"/>
      <c r="S111" s="26"/>
      <c r="T111" s="26"/>
      <c r="U111" s="44"/>
      <c r="V111" s="44"/>
      <c r="W111" s="44"/>
      <c r="X111" s="27">
        <f t="shared" si="8"/>
        <v>0</v>
      </c>
    </row>
    <row r="112" spans="1:24" ht="13.5" hidden="1" thickBot="1">
      <c r="A112" s="804"/>
      <c r="B112" s="857"/>
      <c r="C112" s="46"/>
      <c r="D112" s="48"/>
      <c r="E112" s="48"/>
      <c r="F112" s="48"/>
      <c r="G112" s="48"/>
      <c r="H112" s="59"/>
      <c r="I112" s="399"/>
      <c r="J112" s="400"/>
      <c r="K112" s="48"/>
      <c r="L112" s="48"/>
      <c r="M112" s="255">
        <v>9771.24</v>
      </c>
      <c r="N112" s="48"/>
      <c r="O112" s="48"/>
      <c r="P112" s="48"/>
      <c r="Q112" s="255"/>
      <c r="R112" s="48"/>
      <c r="S112" s="48"/>
      <c r="T112" s="48"/>
      <c r="U112" s="276"/>
      <c r="V112" s="276"/>
      <c r="W112" s="276"/>
      <c r="X112" s="637">
        <f t="shared" si="8"/>
        <v>0</v>
      </c>
    </row>
    <row r="113" spans="1:24" ht="13.5" hidden="1" thickBot="1">
      <c r="A113" s="805"/>
      <c r="B113" s="858"/>
      <c r="C113" s="115" t="s">
        <v>40</v>
      </c>
      <c r="D113" s="77"/>
      <c r="E113" s="77"/>
      <c r="F113" s="77"/>
      <c r="G113" s="77"/>
      <c r="H113" s="76"/>
      <c r="I113" s="635"/>
      <c r="J113" s="636"/>
      <c r="K113" s="77">
        <v>8848</v>
      </c>
      <c r="L113" s="77">
        <v>10252.99</v>
      </c>
      <c r="M113" s="211"/>
      <c r="N113" s="77"/>
      <c r="O113" s="77"/>
      <c r="P113" s="77"/>
      <c r="Q113" s="211"/>
      <c r="R113" s="77"/>
      <c r="S113" s="77"/>
      <c r="T113" s="77"/>
      <c r="U113" s="210"/>
      <c r="V113" s="210">
        <f aca="true" t="shared" si="9" ref="V113:V131">IF(S113=0,0,U113/S113)</f>
        <v>0</v>
      </c>
      <c r="W113" s="210"/>
      <c r="X113" s="78">
        <f t="shared" si="8"/>
        <v>0</v>
      </c>
    </row>
    <row r="114" spans="1:24" ht="17.25" customHeight="1" thickBot="1">
      <c r="A114" s="377" t="s">
        <v>41</v>
      </c>
      <c r="B114" s="755" t="s">
        <v>2</v>
      </c>
      <c r="C114" s="787"/>
      <c r="D114" s="421"/>
      <c r="E114" s="421"/>
      <c r="F114" s="421"/>
      <c r="G114" s="421"/>
      <c r="H114" s="268"/>
      <c r="I114" s="422"/>
      <c r="J114" s="423"/>
      <c r="K114" s="401">
        <v>5500</v>
      </c>
      <c r="L114" s="401"/>
      <c r="M114" s="401">
        <f>M115</f>
        <v>0</v>
      </c>
      <c r="N114" s="401"/>
      <c r="O114" s="661">
        <v>10000</v>
      </c>
      <c r="P114" s="661">
        <v>2238</v>
      </c>
      <c r="Q114" s="661">
        <v>21924.4</v>
      </c>
      <c r="R114" s="401">
        <v>1080</v>
      </c>
      <c r="S114" s="401"/>
      <c r="T114" s="401">
        <v>84299</v>
      </c>
      <c r="U114" s="79">
        <f>U115</f>
        <v>0</v>
      </c>
      <c r="V114" s="79">
        <f>V115</f>
        <v>0</v>
      </c>
      <c r="W114" s="79">
        <f>W115</f>
        <v>0</v>
      </c>
      <c r="X114" s="946">
        <f>X115</f>
        <v>0</v>
      </c>
    </row>
    <row r="115" spans="1:24" ht="17.25" customHeight="1" thickBot="1">
      <c r="A115" s="358"/>
      <c r="B115" s="360"/>
      <c r="C115" s="115" t="s">
        <v>36</v>
      </c>
      <c r="D115" s="70"/>
      <c r="E115" s="70"/>
      <c r="F115" s="70"/>
      <c r="G115" s="70"/>
      <c r="H115" s="69"/>
      <c r="I115" s="373"/>
      <c r="J115" s="374"/>
      <c r="K115" s="70">
        <v>5500</v>
      </c>
      <c r="L115" s="70"/>
      <c r="M115" s="70"/>
      <c r="N115" s="70"/>
      <c r="O115" s="116"/>
      <c r="P115" s="116"/>
      <c r="Q115" s="116"/>
      <c r="R115" s="70"/>
      <c r="S115" s="70"/>
      <c r="T115" s="70"/>
      <c r="U115" s="44"/>
      <c r="V115" s="44"/>
      <c r="W115" s="44"/>
      <c r="X115" s="27">
        <f>U115+V115+W115</f>
        <v>0</v>
      </c>
    </row>
    <row r="116" spans="1:24" ht="17.25" customHeight="1" thickBot="1">
      <c r="A116" s="434" t="s">
        <v>6</v>
      </c>
      <c r="B116" s="871" t="s">
        <v>7</v>
      </c>
      <c r="C116" s="871"/>
      <c r="D116" s="234">
        <v>666567</v>
      </c>
      <c r="E116" s="234">
        <v>223164</v>
      </c>
      <c r="F116" s="234">
        <v>527019</v>
      </c>
      <c r="G116" s="234">
        <v>279677</v>
      </c>
      <c r="H116" s="234">
        <v>1160065</v>
      </c>
      <c r="I116" s="435">
        <v>2097438</v>
      </c>
      <c r="J116" s="234">
        <v>344577</v>
      </c>
      <c r="K116" s="67">
        <f>SUM(K117:K131)</f>
        <v>11076</v>
      </c>
      <c r="L116" s="67">
        <f>SUM(L117:L131)</f>
        <v>22611.84</v>
      </c>
      <c r="M116" s="214">
        <f>SUM(M117:M131)</f>
        <v>52135.36</v>
      </c>
      <c r="N116" s="67">
        <v>60359.19</v>
      </c>
      <c r="O116" s="214">
        <v>319793.29</v>
      </c>
      <c r="P116" s="214">
        <v>478985.9</v>
      </c>
      <c r="Q116" s="214">
        <v>204385.99</v>
      </c>
      <c r="R116" s="67">
        <v>195114</v>
      </c>
      <c r="S116" s="67">
        <v>196595</v>
      </c>
      <c r="T116" s="67">
        <v>518029</v>
      </c>
      <c r="U116" s="67">
        <f>SUM(U117:U131)</f>
        <v>13777</v>
      </c>
      <c r="V116" s="67">
        <f>SUM(V117:V131)</f>
        <v>0</v>
      </c>
      <c r="W116" s="67">
        <f>SUM(W117:W131)</f>
        <v>0</v>
      </c>
      <c r="X116" s="68">
        <f>SUM(X117:X131)</f>
        <v>13777</v>
      </c>
    </row>
    <row r="117" spans="1:24" ht="12.75" hidden="1">
      <c r="A117" s="803"/>
      <c r="B117" s="856"/>
      <c r="C117" s="43"/>
      <c r="D117" s="58"/>
      <c r="E117" s="58"/>
      <c r="F117" s="58"/>
      <c r="G117" s="58"/>
      <c r="H117" s="58"/>
      <c r="I117" s="361"/>
      <c r="J117" s="362"/>
      <c r="K117" s="26">
        <v>11076</v>
      </c>
      <c r="L117" s="22"/>
      <c r="M117" s="22"/>
      <c r="N117" s="22"/>
      <c r="O117" s="22"/>
      <c r="P117" s="22"/>
      <c r="Q117" s="118"/>
      <c r="R117" s="22"/>
      <c r="S117" s="22"/>
      <c r="T117" s="22"/>
      <c r="U117" s="57"/>
      <c r="V117" s="57">
        <f t="shared" si="9"/>
        <v>0</v>
      </c>
      <c r="W117" s="57"/>
      <c r="X117" s="23"/>
    </row>
    <row r="118" spans="1:24" ht="12.75" hidden="1">
      <c r="A118" s="804"/>
      <c r="B118" s="857"/>
      <c r="C118" s="43"/>
      <c r="D118" s="58"/>
      <c r="E118" s="58"/>
      <c r="F118" s="58"/>
      <c r="G118" s="58"/>
      <c r="H118" s="58"/>
      <c r="I118" s="361"/>
      <c r="J118" s="362"/>
      <c r="K118" s="26"/>
      <c r="L118" s="22"/>
      <c r="M118" s="22"/>
      <c r="N118" s="22"/>
      <c r="O118" s="22"/>
      <c r="P118" s="22"/>
      <c r="Q118" s="118"/>
      <c r="R118" s="22"/>
      <c r="S118" s="22"/>
      <c r="T118" s="22"/>
      <c r="U118" s="57"/>
      <c r="V118" s="57">
        <f t="shared" si="9"/>
        <v>0</v>
      </c>
      <c r="W118" s="57"/>
      <c r="X118" s="23"/>
    </row>
    <row r="119" spans="1:24" ht="12.75" hidden="1">
      <c r="A119" s="804"/>
      <c r="B119" s="857"/>
      <c r="C119" s="43" t="s">
        <v>358</v>
      </c>
      <c r="D119" s="58"/>
      <c r="E119" s="58"/>
      <c r="F119" s="58"/>
      <c r="G119" s="58"/>
      <c r="H119" s="58"/>
      <c r="I119" s="361"/>
      <c r="J119" s="362"/>
      <c r="K119" s="26"/>
      <c r="L119" s="22"/>
      <c r="M119" s="22"/>
      <c r="N119" s="22"/>
      <c r="O119" s="22"/>
      <c r="P119" s="22"/>
      <c r="Q119" s="118"/>
      <c r="R119" s="22"/>
      <c r="S119" s="22"/>
      <c r="T119" s="22"/>
      <c r="U119" s="57"/>
      <c r="V119" s="57">
        <f t="shared" si="9"/>
        <v>0</v>
      </c>
      <c r="W119" s="57"/>
      <c r="X119" s="23"/>
    </row>
    <row r="120" spans="1:24" ht="12.75" hidden="1">
      <c r="A120" s="804"/>
      <c r="B120" s="857"/>
      <c r="C120" s="43" t="s">
        <v>344</v>
      </c>
      <c r="D120" s="58"/>
      <c r="E120" s="58"/>
      <c r="F120" s="58"/>
      <c r="G120" s="58"/>
      <c r="H120" s="58"/>
      <c r="I120" s="361"/>
      <c r="J120" s="362"/>
      <c r="K120" s="26"/>
      <c r="L120" s="22"/>
      <c r="M120" s="22"/>
      <c r="N120" s="22"/>
      <c r="O120" s="22"/>
      <c r="P120" s="22"/>
      <c r="Q120" s="118"/>
      <c r="R120" s="22"/>
      <c r="S120" s="22"/>
      <c r="T120" s="22"/>
      <c r="U120" s="57"/>
      <c r="V120" s="57">
        <f t="shared" si="9"/>
        <v>0</v>
      </c>
      <c r="W120" s="57"/>
      <c r="X120" s="23"/>
    </row>
    <row r="121" spans="1:24" ht="12.75" hidden="1">
      <c r="A121" s="804"/>
      <c r="B121" s="857"/>
      <c r="C121" s="43" t="s">
        <v>325</v>
      </c>
      <c r="D121" s="58"/>
      <c r="E121" s="58"/>
      <c r="F121" s="58"/>
      <c r="G121" s="58"/>
      <c r="H121" s="58"/>
      <c r="I121" s="361"/>
      <c r="J121" s="362"/>
      <c r="K121" s="26"/>
      <c r="L121" s="22"/>
      <c r="M121" s="22"/>
      <c r="N121" s="22"/>
      <c r="O121" s="22"/>
      <c r="P121" s="22"/>
      <c r="Q121" s="118"/>
      <c r="R121" s="22"/>
      <c r="S121" s="22"/>
      <c r="T121" s="22"/>
      <c r="U121" s="57"/>
      <c r="V121" s="57">
        <f t="shared" si="9"/>
        <v>0</v>
      </c>
      <c r="W121" s="57"/>
      <c r="X121" s="23"/>
    </row>
    <row r="122" spans="1:24" ht="12.75" hidden="1">
      <c r="A122" s="804"/>
      <c r="B122" s="857"/>
      <c r="C122" s="43"/>
      <c r="D122" s="58"/>
      <c r="E122" s="58"/>
      <c r="F122" s="58"/>
      <c r="G122" s="58"/>
      <c r="H122" s="58"/>
      <c r="I122" s="361"/>
      <c r="J122" s="362"/>
      <c r="K122" s="26"/>
      <c r="L122" s="22"/>
      <c r="M122" s="22"/>
      <c r="N122" s="22"/>
      <c r="O122" s="22"/>
      <c r="P122" s="22"/>
      <c r="Q122" s="118"/>
      <c r="R122" s="22"/>
      <c r="S122" s="22"/>
      <c r="T122" s="22"/>
      <c r="U122" s="57"/>
      <c r="V122" s="57">
        <f t="shared" si="9"/>
        <v>0</v>
      </c>
      <c r="W122" s="57"/>
      <c r="X122" s="23"/>
    </row>
    <row r="123" spans="1:24" ht="12.75" hidden="1">
      <c r="A123" s="804"/>
      <c r="B123" s="857"/>
      <c r="C123" s="43"/>
      <c r="D123" s="58"/>
      <c r="E123" s="58"/>
      <c r="F123" s="58"/>
      <c r="G123" s="58"/>
      <c r="H123" s="58"/>
      <c r="I123" s="361"/>
      <c r="J123" s="362"/>
      <c r="K123" s="26"/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9"/>
        <v>0</v>
      </c>
      <c r="W123" s="57"/>
      <c r="X123" s="23"/>
    </row>
    <row r="124" spans="1:24" ht="12.75" hidden="1">
      <c r="A124" s="804"/>
      <c r="B124" s="857"/>
      <c r="C124" s="43"/>
      <c r="D124" s="58"/>
      <c r="E124" s="58"/>
      <c r="F124" s="58"/>
      <c r="G124" s="58"/>
      <c r="H124" s="58"/>
      <c r="I124" s="361"/>
      <c r="J124" s="362"/>
      <c r="K124" s="26"/>
      <c r="L124" s="22">
        <v>22611.84</v>
      </c>
      <c r="M124" s="118"/>
      <c r="N124" s="22"/>
      <c r="O124" s="22"/>
      <c r="P124" s="22"/>
      <c r="Q124" s="118"/>
      <c r="R124" s="22"/>
      <c r="S124" s="22"/>
      <c r="T124" s="22"/>
      <c r="U124" s="57"/>
      <c r="V124" s="57">
        <f t="shared" si="9"/>
        <v>0</v>
      </c>
      <c r="W124" s="57"/>
      <c r="X124" s="23"/>
    </row>
    <row r="125" spans="1:24" ht="13.5" thickBot="1">
      <c r="A125" s="804"/>
      <c r="B125" s="857"/>
      <c r="C125" s="43" t="s">
        <v>325</v>
      </c>
      <c r="D125" s="58"/>
      <c r="E125" s="58"/>
      <c r="F125" s="58"/>
      <c r="G125" s="58"/>
      <c r="H125" s="58"/>
      <c r="I125" s="361"/>
      <c r="J125" s="362"/>
      <c r="K125" s="26"/>
      <c r="L125" s="22"/>
      <c r="M125" s="118">
        <v>31200</v>
      </c>
      <c r="N125" s="22"/>
      <c r="O125" s="22"/>
      <c r="P125" s="22"/>
      <c r="Q125" s="118"/>
      <c r="R125" s="22"/>
      <c r="S125" s="22"/>
      <c r="T125" s="22"/>
      <c r="U125" s="57">
        <v>13777</v>
      </c>
      <c r="V125" s="57"/>
      <c r="W125" s="57"/>
      <c r="X125" s="23">
        <f>U125+V125+W125</f>
        <v>13777</v>
      </c>
    </row>
    <row r="126" spans="1:24" ht="12.75" hidden="1">
      <c r="A126" s="804"/>
      <c r="B126" s="857"/>
      <c r="C126" s="43"/>
      <c r="D126" s="58"/>
      <c r="E126" s="58"/>
      <c r="F126" s="58"/>
      <c r="G126" s="58"/>
      <c r="H126" s="58"/>
      <c r="I126" s="361"/>
      <c r="J126" s="362"/>
      <c r="K126" s="26"/>
      <c r="L126" s="22"/>
      <c r="M126" s="118"/>
      <c r="N126" s="22"/>
      <c r="O126" s="22"/>
      <c r="P126" s="22"/>
      <c r="Q126" s="118"/>
      <c r="R126" s="22"/>
      <c r="S126" s="22"/>
      <c r="T126" s="22"/>
      <c r="U126" s="57"/>
      <c r="V126" s="57">
        <f t="shared" si="9"/>
        <v>0</v>
      </c>
      <c r="W126" s="57"/>
      <c r="X126" s="23"/>
    </row>
    <row r="127" spans="1:24" ht="12.75" hidden="1">
      <c r="A127" s="804"/>
      <c r="B127" s="857"/>
      <c r="C127" s="43"/>
      <c r="D127" s="58"/>
      <c r="E127" s="58"/>
      <c r="F127" s="58"/>
      <c r="G127" s="58"/>
      <c r="H127" s="58"/>
      <c r="I127" s="361"/>
      <c r="J127" s="362"/>
      <c r="K127" s="26"/>
      <c r="L127" s="22"/>
      <c r="M127" s="118">
        <v>12085.36</v>
      </c>
      <c r="N127" s="22"/>
      <c r="O127" s="22"/>
      <c r="P127" s="22"/>
      <c r="Q127" s="118"/>
      <c r="R127" s="22"/>
      <c r="S127" s="22"/>
      <c r="T127" s="22"/>
      <c r="U127" s="57"/>
      <c r="V127" s="57">
        <f t="shared" si="9"/>
        <v>0</v>
      </c>
      <c r="W127" s="57"/>
      <c r="X127" s="23"/>
    </row>
    <row r="128" spans="1:24" ht="12.75" hidden="1">
      <c r="A128" s="804"/>
      <c r="B128" s="857"/>
      <c r="C128" s="43"/>
      <c r="D128" s="66"/>
      <c r="E128" s="66"/>
      <c r="F128" s="66"/>
      <c r="G128" s="66"/>
      <c r="H128" s="66"/>
      <c r="I128" s="363"/>
      <c r="J128" s="364"/>
      <c r="K128" s="30"/>
      <c r="L128" s="22"/>
      <c r="M128" s="118"/>
      <c r="N128" s="22"/>
      <c r="O128" s="22"/>
      <c r="P128" s="22"/>
      <c r="Q128" s="118"/>
      <c r="R128" s="22"/>
      <c r="S128" s="22"/>
      <c r="T128" s="22"/>
      <c r="U128" s="57"/>
      <c r="V128" s="57">
        <f t="shared" si="9"/>
        <v>0</v>
      </c>
      <c r="W128" s="57"/>
      <c r="X128" s="23"/>
    </row>
    <row r="129" spans="1:24" ht="12.75" hidden="1">
      <c r="A129" s="804"/>
      <c r="B129" s="857"/>
      <c r="C129" s="43"/>
      <c r="D129" s="66"/>
      <c r="E129" s="66"/>
      <c r="F129" s="66"/>
      <c r="G129" s="66"/>
      <c r="H129" s="66"/>
      <c r="I129" s="363"/>
      <c r="J129" s="364"/>
      <c r="K129" s="30"/>
      <c r="L129" s="26"/>
      <c r="M129" s="205">
        <v>8850</v>
      </c>
      <c r="N129" s="44"/>
      <c r="O129" s="57"/>
      <c r="P129" s="57"/>
      <c r="Q129" s="73"/>
      <c r="R129" s="57"/>
      <c r="S129" s="57"/>
      <c r="T129" s="57"/>
      <c r="U129" s="57"/>
      <c r="V129" s="57">
        <f t="shared" si="9"/>
        <v>0</v>
      </c>
      <c r="W129" s="57"/>
      <c r="X129" s="23"/>
    </row>
    <row r="130" spans="1:24" ht="12.75" hidden="1">
      <c r="A130" s="804"/>
      <c r="B130" s="857"/>
      <c r="C130" s="47"/>
      <c r="D130" s="66"/>
      <c r="E130" s="66"/>
      <c r="F130" s="66"/>
      <c r="G130" s="66"/>
      <c r="H130" s="66"/>
      <c r="I130" s="363"/>
      <c r="J130" s="364"/>
      <c r="K130" s="30"/>
      <c r="L130" s="70"/>
      <c r="M130" s="116"/>
      <c r="N130" s="70"/>
      <c r="O130" s="70"/>
      <c r="P130" s="70"/>
      <c r="Q130" s="116"/>
      <c r="R130" s="70"/>
      <c r="S130" s="70"/>
      <c r="T130" s="70"/>
      <c r="U130" s="57"/>
      <c r="V130" s="57">
        <f t="shared" si="9"/>
        <v>0</v>
      </c>
      <c r="W130" s="57"/>
      <c r="X130" s="23"/>
    </row>
    <row r="131" spans="1:24" ht="13.5" hidden="1" thickBot="1">
      <c r="A131" s="805"/>
      <c r="B131" s="858"/>
      <c r="C131" s="47"/>
      <c r="D131" s="66"/>
      <c r="E131" s="66"/>
      <c r="F131" s="66"/>
      <c r="G131" s="66"/>
      <c r="H131" s="66"/>
      <c r="I131" s="363"/>
      <c r="J131" s="364"/>
      <c r="K131" s="30"/>
      <c r="L131" s="30"/>
      <c r="M131" s="223"/>
      <c r="N131" s="30"/>
      <c r="O131" s="30"/>
      <c r="P131" s="30"/>
      <c r="Q131" s="223"/>
      <c r="R131" s="30"/>
      <c r="S131" s="30"/>
      <c r="T131" s="30"/>
      <c r="U131" s="44"/>
      <c r="V131" s="44">
        <f t="shared" si="9"/>
        <v>0</v>
      </c>
      <c r="W131" s="44"/>
      <c r="X131" s="27"/>
    </row>
    <row r="132" spans="1:24" ht="15.75" hidden="1" thickBot="1">
      <c r="A132" s="212" t="s">
        <v>16</v>
      </c>
      <c r="B132" s="755" t="s">
        <v>17</v>
      </c>
      <c r="C132" s="787"/>
      <c r="D132" s="6"/>
      <c r="E132" s="6"/>
      <c r="F132" s="6"/>
      <c r="G132" s="6"/>
      <c r="H132" s="6"/>
      <c r="I132" s="278">
        <v>104542</v>
      </c>
      <c r="J132" s="213">
        <v>66000</v>
      </c>
      <c r="K132" s="67">
        <f>K133+K136</f>
        <v>0</v>
      </c>
      <c r="L132" s="107"/>
      <c r="M132" s="107"/>
      <c r="N132" s="107"/>
      <c r="O132" s="107"/>
      <c r="P132" s="107">
        <v>35641.19</v>
      </c>
      <c r="Q132" s="556">
        <v>17</v>
      </c>
      <c r="R132" s="107"/>
      <c r="S132" s="107"/>
      <c r="T132" s="107"/>
      <c r="U132" s="67"/>
      <c r="V132" s="67">
        <f aca="true" t="shared" si="10" ref="V132:V138">IF(S132=0,0,U132/S132)</f>
        <v>0</v>
      </c>
      <c r="W132" s="67"/>
      <c r="X132" s="68"/>
    </row>
    <row r="133" spans="1:24" ht="13.5" hidden="1" thickBot="1">
      <c r="A133" s="436"/>
      <c r="B133" s="574"/>
      <c r="C133" s="574"/>
      <c r="D133" s="437"/>
      <c r="E133" s="437"/>
      <c r="F133" s="437"/>
      <c r="G133" s="437"/>
      <c r="H133" s="437"/>
      <c r="I133" s="437"/>
      <c r="J133" s="437"/>
      <c r="K133" s="437"/>
      <c r="L133" s="575"/>
      <c r="M133" s="574"/>
      <c r="N133" s="576"/>
      <c r="O133" s="576"/>
      <c r="P133" s="576"/>
      <c r="Q133" s="577"/>
      <c r="R133" s="574"/>
      <c r="S133" s="574"/>
      <c r="T133" s="574"/>
      <c r="U133" s="574"/>
      <c r="V133" s="720">
        <f t="shared" si="10"/>
        <v>0</v>
      </c>
      <c r="W133" s="574"/>
      <c r="X133" s="578"/>
    </row>
    <row r="134" spans="1:24" ht="15.75" hidden="1" thickBot="1">
      <c r="A134" s="434" t="s">
        <v>22</v>
      </c>
      <c r="B134" s="810" t="s">
        <v>53</v>
      </c>
      <c r="C134" s="778"/>
      <c r="D134" s="437"/>
      <c r="E134" s="437"/>
      <c r="F134" s="437"/>
      <c r="G134" s="437"/>
      <c r="H134" s="437"/>
      <c r="I134" s="437"/>
      <c r="J134" s="437"/>
      <c r="K134" s="437"/>
      <c r="L134" s="546"/>
      <c r="M134" s="133"/>
      <c r="N134" s="437"/>
      <c r="O134" s="437"/>
      <c r="P134" s="574"/>
      <c r="Q134" s="577">
        <v>1550</v>
      </c>
      <c r="R134" s="576"/>
      <c r="S134" s="574"/>
      <c r="T134" s="576"/>
      <c r="U134" s="515">
        <f>U135</f>
        <v>0</v>
      </c>
      <c r="V134" s="504">
        <f t="shared" si="10"/>
        <v>0</v>
      </c>
      <c r="W134" s="574"/>
      <c r="X134" s="578"/>
    </row>
    <row r="135" spans="1:24" ht="13.5" hidden="1" thickBot="1">
      <c r="A135" s="436"/>
      <c r="B135" s="437"/>
      <c r="C135" s="132" t="s">
        <v>371</v>
      </c>
      <c r="D135" s="437"/>
      <c r="E135" s="437"/>
      <c r="F135" s="437"/>
      <c r="G135" s="437"/>
      <c r="H135" s="437"/>
      <c r="I135" s="437"/>
      <c r="J135" s="437"/>
      <c r="K135" s="437"/>
      <c r="L135" s="546"/>
      <c r="M135" s="133"/>
      <c r="N135" s="437"/>
      <c r="O135" s="437"/>
      <c r="P135" s="437"/>
      <c r="Q135" s="693"/>
      <c r="R135" s="132"/>
      <c r="S135" s="132"/>
      <c r="T135" s="132"/>
      <c r="U135" s="132"/>
      <c r="V135" s="721">
        <f t="shared" si="10"/>
        <v>0</v>
      </c>
      <c r="W135" s="132"/>
      <c r="X135" s="438"/>
    </row>
    <row r="136" spans="1:24" ht="13.5" hidden="1" thickBot="1">
      <c r="A136" s="358"/>
      <c r="B136" s="360"/>
      <c r="C136" s="145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30"/>
      <c r="R136" s="242"/>
      <c r="S136" s="242"/>
      <c r="T136" s="242"/>
      <c r="U136" s="242"/>
      <c r="V136" s="242">
        <f t="shared" si="10"/>
        <v>0</v>
      </c>
      <c r="W136" s="242"/>
      <c r="X136" s="71"/>
    </row>
    <row r="137" spans="1:24" ht="13.5" hidden="1" thickBot="1">
      <c r="A137" s="439" t="s">
        <v>42</v>
      </c>
      <c r="B137" s="873" t="s">
        <v>24</v>
      </c>
      <c r="C137" s="874"/>
      <c r="D137" s="440"/>
      <c r="E137" s="440"/>
      <c r="F137" s="440"/>
      <c r="G137" s="440"/>
      <c r="H137" s="440"/>
      <c r="I137" s="129">
        <f>I138</f>
        <v>0</v>
      </c>
      <c r="J137" s="129">
        <f>J138</f>
        <v>0</v>
      </c>
      <c r="K137" s="129">
        <f>K138</f>
        <v>0</v>
      </c>
      <c r="L137" s="129">
        <f>L138</f>
        <v>82887.77</v>
      </c>
      <c r="M137" s="566">
        <v>7399.64</v>
      </c>
      <c r="N137" s="507">
        <v>0</v>
      </c>
      <c r="O137" s="507">
        <f>O138</f>
        <v>0</v>
      </c>
      <c r="P137" s="507"/>
      <c r="Q137" s="323"/>
      <c r="R137" s="507"/>
      <c r="S137" s="507"/>
      <c r="T137" s="507"/>
      <c r="U137" s="507">
        <f>U138</f>
        <v>0</v>
      </c>
      <c r="V137" s="37">
        <f t="shared" si="10"/>
        <v>0</v>
      </c>
      <c r="W137" s="507"/>
      <c r="X137" s="441"/>
    </row>
    <row r="138" spans="1:24" ht="13.5" hidden="1" thickBot="1">
      <c r="A138" s="358"/>
      <c r="B138" s="360"/>
      <c r="C138" s="437" t="s">
        <v>199</v>
      </c>
      <c r="D138" s="437"/>
      <c r="E138" s="437"/>
      <c r="F138" s="437"/>
      <c r="G138" s="437"/>
      <c r="H138" s="437"/>
      <c r="I138" s="69"/>
      <c r="J138" s="69"/>
      <c r="K138" s="70"/>
      <c r="L138" s="70">
        <v>82887.77</v>
      </c>
      <c r="M138" s="116">
        <v>7399.64</v>
      </c>
      <c r="N138" s="70"/>
      <c r="O138" s="70"/>
      <c r="P138" s="70"/>
      <c r="Q138" s="116"/>
      <c r="R138" s="70"/>
      <c r="S138" s="70"/>
      <c r="T138" s="70"/>
      <c r="U138" s="242"/>
      <c r="V138" s="242">
        <f t="shared" si="10"/>
        <v>0</v>
      </c>
      <c r="W138" s="242"/>
      <c r="X138" s="71"/>
    </row>
    <row r="139" spans="1:24" ht="17.25" thickBot="1" thickTop="1">
      <c r="A139" s="869" t="s">
        <v>43</v>
      </c>
      <c r="B139" s="870"/>
      <c r="C139" s="870"/>
      <c r="D139" s="101">
        <v>2988050</v>
      </c>
      <c r="E139" s="101">
        <v>1793069</v>
      </c>
      <c r="F139" s="101">
        <v>2942409</v>
      </c>
      <c r="G139" s="101">
        <v>4880528</v>
      </c>
      <c r="H139" s="101">
        <f aca="true" t="shared" si="11" ref="H139:N139">H116+H99+H107+H95+H72+H68+H60+H58+H51+H30+H12+H9+H4+H114+H132+H137</f>
        <v>5977301</v>
      </c>
      <c r="I139" s="101">
        <f t="shared" si="11"/>
        <v>5818483</v>
      </c>
      <c r="J139" s="101">
        <f t="shared" si="11"/>
        <v>4719096</v>
      </c>
      <c r="K139" s="101">
        <f t="shared" si="11"/>
        <v>3939694</v>
      </c>
      <c r="L139" s="101">
        <f t="shared" si="11"/>
        <v>1800938.79</v>
      </c>
      <c r="M139" s="354">
        <f t="shared" si="11"/>
        <v>2904600.1800000006</v>
      </c>
      <c r="N139" s="101">
        <f t="shared" si="11"/>
        <v>1348818.6500000001</v>
      </c>
      <c r="O139" s="354">
        <f>O116+O99+O107+O95+O72+O68+O60+O58+O51+O30+O12+O9+O4+O114+O132+O137</f>
        <v>1900647.68</v>
      </c>
      <c r="P139" s="101">
        <f>P116+P99+P107+P95+P72+P68+P60+P58+P51+P30+P12+P9+P4+P114+P132+P137+P93</f>
        <v>2329182.13</v>
      </c>
      <c r="Q139" s="354">
        <f>Q116+Q99+Q107+Q95+Q72+Q68+Q60+Q58+Q51+Q30+Q12+Q9+Q4+Q114+Q132+Q137+Q93+Q134</f>
        <v>2649518.4899999998</v>
      </c>
      <c r="R139" s="101">
        <f>R116+R99+R107+R95+R72+R68+R60+R58+R51+R30+R12+R9+R4+R114+R132+R137+R93+R134</f>
        <v>9465463</v>
      </c>
      <c r="S139" s="101">
        <v>6260788.56</v>
      </c>
      <c r="T139" s="101">
        <v>6753461</v>
      </c>
      <c r="U139" s="101">
        <f>U116+U99+U107+U95+U72+U68+U60+U58+U51+U30+U12+U9+U4+U114+U132+U137+U93+U134</f>
        <v>3000046</v>
      </c>
      <c r="V139" s="101">
        <f>V116+V99+V107+V95+V72+V68+V60+V58+V51+V30+V12+V9+V4+V114+V132+V137+V93+V134</f>
        <v>0</v>
      </c>
      <c r="W139" s="101">
        <f>W116+W99+W107+W95+W72+W68+W60+W58+W51+W30+W12+W9+W4+W114+W132+W137+W93+W134</f>
        <v>65000</v>
      </c>
      <c r="X139" s="102">
        <f>X116+X99+X107+X95+X72+X68+X60+X58+X51+X30+X12+X9+X4+X114+X132+X137</f>
        <v>3065046</v>
      </c>
    </row>
    <row r="140" ht="13.5" thickTop="1"/>
    <row r="142" spans="17:24" ht="12.75">
      <c r="Q142">
        <v>4970127</v>
      </c>
      <c r="U142" s="605"/>
      <c r="V142" s="2"/>
      <c r="W142" s="2"/>
      <c r="X142" s="2"/>
    </row>
    <row r="145" spans="17:24" ht="12.75">
      <c r="Q145" s="2">
        <f>Q142-Q139</f>
        <v>2320608.5100000002</v>
      </c>
      <c r="R145" s="2"/>
      <c r="S145" s="2"/>
      <c r="T145" s="2"/>
      <c r="U145" s="605"/>
      <c r="V145" s="2"/>
      <c r="W145" s="2"/>
      <c r="X145" s="2"/>
    </row>
    <row r="151" spans="18:20" ht="12.75">
      <c r="R151" s="2"/>
      <c r="S151" s="2"/>
      <c r="T151" s="2"/>
    </row>
  </sheetData>
  <sheetProtection/>
  <mergeCells count="62">
    <mergeCell ref="A2:A3"/>
    <mergeCell ref="B2:B3"/>
    <mergeCell ref="B132:C132"/>
    <mergeCell ref="B107:C107"/>
    <mergeCell ref="V2:W2"/>
    <mergeCell ref="T2:T3"/>
    <mergeCell ref="S2:S3"/>
    <mergeCell ref="A1:J1"/>
    <mergeCell ref="I2:I3"/>
    <mergeCell ref="J2:J3"/>
    <mergeCell ref="H2:H3"/>
    <mergeCell ref="F2:F3"/>
    <mergeCell ref="B4:C4"/>
    <mergeCell ref="D2:D3"/>
    <mergeCell ref="L2:L3"/>
    <mergeCell ref="A139:C139"/>
    <mergeCell ref="B114:C114"/>
    <mergeCell ref="B116:C116"/>
    <mergeCell ref="A117:A131"/>
    <mergeCell ref="B117:B131"/>
    <mergeCell ref="B93:C93"/>
    <mergeCell ref="B137:C137"/>
    <mergeCell ref="B60:C60"/>
    <mergeCell ref="B58:C58"/>
    <mergeCell ref="A37:A49"/>
    <mergeCell ref="M2:M3"/>
    <mergeCell ref="B51:C51"/>
    <mergeCell ref="B9:C9"/>
    <mergeCell ref="B5:B8"/>
    <mergeCell ref="B10:B11"/>
    <mergeCell ref="B13:B29"/>
    <mergeCell ref="B12:C12"/>
    <mergeCell ref="B95:C95"/>
    <mergeCell ref="A69:A71"/>
    <mergeCell ref="B73:B92"/>
    <mergeCell ref="A61:A67"/>
    <mergeCell ref="G2:G3"/>
    <mergeCell ref="E2:E3"/>
    <mergeCell ref="B30:C30"/>
    <mergeCell ref="C2:C3"/>
    <mergeCell ref="A13:A29"/>
    <mergeCell ref="A5:A8"/>
    <mergeCell ref="X2:X3"/>
    <mergeCell ref="Q2:Q3"/>
    <mergeCell ref="U2:U3"/>
    <mergeCell ref="P2:P3"/>
    <mergeCell ref="B69:B71"/>
    <mergeCell ref="B61:B67"/>
    <mergeCell ref="B68:C68"/>
    <mergeCell ref="K2:K3"/>
    <mergeCell ref="R2:R3"/>
    <mergeCell ref="B37:B49"/>
    <mergeCell ref="B134:C134"/>
    <mergeCell ref="O2:O3"/>
    <mergeCell ref="N2:N3"/>
    <mergeCell ref="A108:A113"/>
    <mergeCell ref="B108:B113"/>
    <mergeCell ref="A100:A106"/>
    <mergeCell ref="B100:B106"/>
    <mergeCell ref="B72:C72"/>
    <mergeCell ref="B99:C99"/>
    <mergeCell ref="A73:A92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43"/>
  <sheetViews>
    <sheetView zoomScalePageLayoutView="0" workbookViewId="0" topLeftCell="A1">
      <selection activeCell="V33" sqref="V33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</cols>
  <sheetData>
    <row r="1" ht="15">
      <c r="A1" s="941" t="s">
        <v>437</v>
      </c>
    </row>
    <row r="2" spans="1:10" ht="15.75" thickBot="1">
      <c r="A2" s="941" t="s">
        <v>438</v>
      </c>
      <c r="B2" s="939"/>
      <c r="C2" s="939"/>
      <c r="D2" s="939"/>
      <c r="E2" s="939"/>
      <c r="F2" s="939"/>
      <c r="G2" s="939"/>
      <c r="H2" s="939"/>
      <c r="I2" s="939"/>
      <c r="J2" s="939"/>
    </row>
    <row r="3" spans="1:23" ht="14.25" customHeight="1" thickTop="1">
      <c r="A3" s="771" t="s">
        <v>84</v>
      </c>
      <c r="B3" s="796" t="s">
        <v>85</v>
      </c>
      <c r="C3" s="760" t="s">
        <v>86</v>
      </c>
      <c r="D3" s="760" t="s">
        <v>182</v>
      </c>
      <c r="E3" s="760" t="s">
        <v>183</v>
      </c>
      <c r="F3" s="760" t="s">
        <v>184</v>
      </c>
      <c r="G3" s="760" t="s">
        <v>185</v>
      </c>
      <c r="H3" s="760" t="s">
        <v>186</v>
      </c>
      <c r="I3" s="760" t="s">
        <v>92</v>
      </c>
      <c r="J3" s="760" t="s">
        <v>93</v>
      </c>
      <c r="K3" s="760" t="s">
        <v>94</v>
      </c>
      <c r="L3" s="760" t="s">
        <v>95</v>
      </c>
      <c r="M3" s="760" t="s">
        <v>321</v>
      </c>
      <c r="N3" s="760" t="s">
        <v>338</v>
      </c>
      <c r="O3" s="760" t="s">
        <v>357</v>
      </c>
      <c r="P3" s="760" t="s">
        <v>364</v>
      </c>
      <c r="Q3" s="760" t="s">
        <v>379</v>
      </c>
      <c r="R3" s="760" t="s">
        <v>388</v>
      </c>
      <c r="S3" s="760" t="s">
        <v>389</v>
      </c>
      <c r="T3" s="760" t="s">
        <v>390</v>
      </c>
      <c r="U3" s="773" t="s">
        <v>428</v>
      </c>
      <c r="V3" s="719" t="s">
        <v>426</v>
      </c>
      <c r="W3" s="775" t="s">
        <v>427</v>
      </c>
    </row>
    <row r="4" spans="1:23" ht="27.75" customHeight="1" thickBot="1">
      <c r="A4" s="772"/>
      <c r="B4" s="797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74"/>
      <c r="V4" s="704" t="s">
        <v>97</v>
      </c>
      <c r="W4" s="776"/>
    </row>
    <row r="5" spans="1:23" ht="14.25" thickBot="1" thickTop="1">
      <c r="A5" s="39">
        <v>519</v>
      </c>
      <c r="B5" s="883" t="s">
        <v>54</v>
      </c>
      <c r="C5" s="884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6">
        <f t="shared" si="1"/>
        <v>6720048</v>
      </c>
      <c r="U5" s="16">
        <f t="shared" si="1"/>
        <v>1561585</v>
      </c>
      <c r="V5" s="16">
        <f>SUM(V6:V11)</f>
        <v>0</v>
      </c>
      <c r="W5" s="17">
        <f>SUM(W6:W11)</f>
        <v>1561585</v>
      </c>
    </row>
    <row r="6" spans="1:23" ht="12.75">
      <c r="A6" s="749"/>
      <c r="B6" s="150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42">
        <v>2698429</v>
      </c>
      <c r="U6" s="42">
        <v>1128701</v>
      </c>
      <c r="V6" s="42"/>
      <c r="W6" s="94">
        <f aca="true" t="shared" si="2" ref="W6:W11">U6+V6</f>
        <v>1128701</v>
      </c>
    </row>
    <row r="7" spans="1:23" ht="12.75">
      <c r="A7" s="750"/>
      <c r="B7" s="695"/>
      <c r="C7" s="43" t="s">
        <v>376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44"/>
      <c r="U7" s="44"/>
      <c r="V7" s="44"/>
      <c r="W7" s="27">
        <f t="shared" si="2"/>
        <v>0</v>
      </c>
    </row>
    <row r="8" spans="1:23" ht="12.75">
      <c r="A8" s="750"/>
      <c r="B8" s="695"/>
      <c r="C8" s="43" t="s">
        <v>384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44"/>
      <c r="U8" s="44"/>
      <c r="V8" s="44"/>
      <c r="W8" s="27">
        <f t="shared" si="2"/>
        <v>0</v>
      </c>
    </row>
    <row r="9" spans="1:23" ht="12.75">
      <c r="A9" s="750"/>
      <c r="B9" s="695"/>
      <c r="C9" s="43" t="s">
        <v>382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44"/>
      <c r="U9" s="44"/>
      <c r="V9" s="44"/>
      <c r="W9" s="27">
        <f t="shared" si="2"/>
        <v>0</v>
      </c>
    </row>
    <row r="10" spans="1:23" ht="12.75">
      <c r="A10" s="750"/>
      <c r="B10" s="695"/>
      <c r="C10" s="43" t="s">
        <v>383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44"/>
      <c r="U10" s="44"/>
      <c r="V10" s="44"/>
      <c r="W10" s="27">
        <f t="shared" si="2"/>
        <v>0</v>
      </c>
    </row>
    <row r="11" spans="1:23" ht="13.5" thickBot="1">
      <c r="A11" s="751"/>
      <c r="B11" s="152"/>
      <c r="C11" s="686" t="s">
        <v>425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3">
        <v>4021619</v>
      </c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82" t="s">
        <v>142</v>
      </c>
      <c r="C12" s="833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64">
        <f t="shared" si="4"/>
        <v>2320307</v>
      </c>
      <c r="U12" s="64">
        <f t="shared" si="4"/>
        <v>1663513</v>
      </c>
      <c r="V12" s="64">
        <f>SUM(V13:V22)</f>
        <v>270628</v>
      </c>
      <c r="W12" s="65">
        <f>SUM(W13:W22)</f>
        <v>1934141</v>
      </c>
    </row>
    <row r="13" spans="1:23" ht="12.75">
      <c r="A13" s="749"/>
      <c r="B13" s="150"/>
      <c r="C13" s="156" t="s">
        <v>57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8"/>
      <c r="U13" s="42"/>
      <c r="V13" s="42"/>
      <c r="W13" s="94">
        <f aca="true" t="shared" si="5" ref="W13:W22">U13+V13</f>
        <v>0</v>
      </c>
    </row>
    <row r="14" spans="1:23" ht="12.75">
      <c r="A14" s="750"/>
      <c r="B14" s="160"/>
      <c r="C14" s="161" t="s">
        <v>415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3"/>
      <c r="U14" s="57"/>
      <c r="V14" s="57"/>
      <c r="W14" s="23">
        <f t="shared" si="5"/>
        <v>0</v>
      </c>
    </row>
    <row r="15" spans="1:23" ht="12.75">
      <c r="A15" s="750"/>
      <c r="B15" s="160"/>
      <c r="C15" s="161" t="s">
        <v>416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3"/>
      <c r="U15" s="57">
        <v>548863</v>
      </c>
      <c r="V15" s="57"/>
      <c r="W15" s="23">
        <f t="shared" si="5"/>
        <v>548863</v>
      </c>
    </row>
    <row r="16" spans="1:23" ht="12.75">
      <c r="A16" s="750"/>
      <c r="B16" s="160"/>
      <c r="C16" s="161" t="s">
        <v>58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3">
        <v>1171762</v>
      </c>
      <c r="U16" s="57">
        <v>392852</v>
      </c>
      <c r="V16" s="57">
        <f>109677+88166+72785</f>
        <v>270628</v>
      </c>
      <c r="W16" s="23">
        <f t="shared" si="5"/>
        <v>663480</v>
      </c>
    </row>
    <row r="17" spans="1:23" ht="12.75">
      <c r="A17" s="750"/>
      <c r="B17" s="160"/>
      <c r="C17" s="161" t="s">
        <v>59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3"/>
      <c r="U17" s="57"/>
      <c r="V17" s="57"/>
      <c r="W17" s="23">
        <f t="shared" si="5"/>
        <v>0</v>
      </c>
    </row>
    <row r="18" spans="1:23" ht="12.75">
      <c r="A18" s="750"/>
      <c r="B18" s="160"/>
      <c r="C18" s="161" t="s">
        <v>345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3"/>
      <c r="U18" s="57"/>
      <c r="V18" s="57"/>
      <c r="W18" s="23">
        <f t="shared" si="5"/>
        <v>0</v>
      </c>
    </row>
    <row r="19" spans="1:25" ht="12.75">
      <c r="A19" s="750"/>
      <c r="B19" s="160"/>
      <c r="C19" s="161" t="s">
        <v>60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3">
        <v>1148545</v>
      </c>
      <c r="U19" s="57">
        <f>116746+56196+80000</f>
        <v>252942</v>
      </c>
      <c r="V19" s="57"/>
      <c r="W19" s="23">
        <f t="shared" si="5"/>
        <v>252942</v>
      </c>
      <c r="Y19" s="2"/>
    </row>
    <row r="20" spans="1:25" ht="12.75">
      <c r="A20" s="750"/>
      <c r="B20" s="160"/>
      <c r="C20" s="161" t="s">
        <v>412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f>470000-1144</f>
        <v>468856</v>
      </c>
      <c r="V20" s="57"/>
      <c r="W20" s="23">
        <f t="shared" si="5"/>
        <v>468856</v>
      </c>
      <c r="Y20" s="2"/>
    </row>
    <row r="21" spans="1:23" ht="12.75">
      <c r="A21" s="750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/>
      <c r="V21" s="44"/>
      <c r="W21" s="27">
        <f t="shared" si="5"/>
        <v>0</v>
      </c>
    </row>
    <row r="22" spans="1:23" ht="13.5" thickBot="1">
      <c r="A22" s="791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/>
      <c r="V22" s="44"/>
      <c r="W22" s="27">
        <f t="shared" si="5"/>
        <v>0</v>
      </c>
    </row>
    <row r="23" spans="1:23" ht="14.25" thickBot="1" thickTop="1">
      <c r="A23" s="878" t="s">
        <v>238</v>
      </c>
      <c r="B23" s="879"/>
      <c r="C23" s="880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7">
        <f t="shared" si="7"/>
        <v>9040355</v>
      </c>
      <c r="U23" s="167">
        <f t="shared" si="7"/>
        <v>3225098</v>
      </c>
      <c r="V23" s="167">
        <f>V12+V5</f>
        <v>270628</v>
      </c>
      <c r="W23" s="169">
        <f>W12+W5</f>
        <v>3495726</v>
      </c>
    </row>
    <row r="24" spans="1:21" ht="13.5" thickTop="1">
      <c r="A24" s="881"/>
      <c r="B24" s="881"/>
      <c r="C24" s="881"/>
      <c r="D24" s="881"/>
      <c r="E24" s="881"/>
      <c r="F24" s="881"/>
      <c r="G24" s="881"/>
      <c r="H24" s="881"/>
      <c r="I24" s="881"/>
      <c r="J24" s="881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8" ht="12.75">
      <c r="U28" s="2"/>
    </row>
    <row r="32" ht="12.75">
      <c r="S32">
        <v>2616183</v>
      </c>
    </row>
    <row r="33" ht="12.75">
      <c r="S33" s="2">
        <f>U5+U16+U19</f>
        <v>2207379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X2" sqref="X2:X3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4" width="10.57421875" style="0" customWidth="1"/>
    <col min="26" max="26" width="10.140625" style="0" bestFit="1" customWidth="1"/>
  </cols>
  <sheetData>
    <row r="1" spans="1:22" ht="13.5" thickBot="1">
      <c r="A1" s="875" t="s">
        <v>239</v>
      </c>
      <c r="B1" s="875"/>
      <c r="C1" s="875"/>
      <c r="D1" s="875"/>
      <c r="E1" s="875"/>
      <c r="F1" s="875"/>
      <c r="G1" s="875"/>
      <c r="H1" s="875"/>
      <c r="I1" s="875"/>
      <c r="J1" s="875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88" t="s">
        <v>44</v>
      </c>
      <c r="B2" s="876" t="s">
        <v>85</v>
      </c>
      <c r="C2" s="845" t="s">
        <v>45</v>
      </c>
      <c r="D2" s="760" t="s">
        <v>182</v>
      </c>
      <c r="E2" s="760" t="s">
        <v>183</v>
      </c>
      <c r="F2" s="760" t="s">
        <v>184</v>
      </c>
      <c r="G2" s="760" t="s">
        <v>185</v>
      </c>
      <c r="H2" s="760" t="s">
        <v>186</v>
      </c>
      <c r="I2" s="760" t="s">
        <v>92</v>
      </c>
      <c r="J2" s="760" t="s">
        <v>93</v>
      </c>
      <c r="K2" s="760" t="s">
        <v>94</v>
      </c>
      <c r="L2" s="760" t="s">
        <v>95</v>
      </c>
      <c r="M2" s="760" t="s">
        <v>321</v>
      </c>
      <c r="N2" s="760" t="s">
        <v>338</v>
      </c>
      <c r="O2" s="760" t="s">
        <v>357</v>
      </c>
      <c r="P2" s="760" t="s">
        <v>364</v>
      </c>
      <c r="Q2" s="760" t="s">
        <v>379</v>
      </c>
      <c r="R2" s="760" t="s">
        <v>388</v>
      </c>
      <c r="S2" s="760" t="s">
        <v>389</v>
      </c>
      <c r="T2" s="760" t="s">
        <v>390</v>
      </c>
      <c r="U2" s="773" t="s">
        <v>428</v>
      </c>
      <c r="V2" s="839" t="s">
        <v>426</v>
      </c>
      <c r="W2" s="840"/>
      <c r="X2" s="775" t="s">
        <v>427</v>
      </c>
    </row>
    <row r="3" spans="1:24" ht="25.5" customHeight="1" thickBot="1">
      <c r="A3" s="889"/>
      <c r="B3" s="877"/>
      <c r="C3" s="846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74"/>
      <c r="V3" s="706" t="s">
        <v>240</v>
      </c>
      <c r="W3" s="707" t="s">
        <v>236</v>
      </c>
      <c r="X3" s="776"/>
    </row>
    <row r="4" spans="1:24" ht="14.25" thickBot="1" thickTop="1">
      <c r="A4" s="173" t="s">
        <v>62</v>
      </c>
      <c r="B4" s="883" t="s">
        <v>54</v>
      </c>
      <c r="C4" s="884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67">
        <f>SUM(N5:N11)</f>
        <v>2548753.6599999997</v>
      </c>
      <c r="O4" s="667">
        <f>SUM(O5:O11)</f>
        <v>484835.82</v>
      </c>
      <c r="P4" s="666">
        <f>SUM(P5:P11)</f>
        <v>849215.54</v>
      </c>
      <c r="Q4" s="667">
        <f>SUM(Q5:Q11)</f>
        <v>553837.26</v>
      </c>
      <c r="R4" s="666">
        <f t="shared" si="0"/>
        <v>919778</v>
      </c>
      <c r="S4" s="666">
        <f>SUM(S5:S11)</f>
        <v>614297.92</v>
      </c>
      <c r="T4" s="666">
        <f t="shared" si="0"/>
        <v>3442289</v>
      </c>
      <c r="U4" s="666">
        <f t="shared" si="0"/>
        <v>520439</v>
      </c>
      <c r="V4" s="666">
        <f t="shared" si="0"/>
        <v>0</v>
      </c>
      <c r="W4" s="174">
        <f>SUM(W5:W11)</f>
        <v>0</v>
      </c>
      <c r="X4" s="176">
        <f>SUM(X5:X11)</f>
        <v>520439</v>
      </c>
    </row>
    <row r="5" spans="1:26" ht="12.75">
      <c r="A5" s="885"/>
      <c r="B5" s="177"/>
      <c r="C5" s="177" t="s">
        <v>241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62">
        <v>1839260.43</v>
      </c>
      <c r="O5" s="662">
        <v>338571.97</v>
      </c>
      <c r="P5" s="662">
        <v>367612.56</v>
      </c>
      <c r="Q5" s="662">
        <v>378931.96</v>
      </c>
      <c r="R5" s="569">
        <v>428301</v>
      </c>
      <c r="S5" s="569">
        <v>444893.33</v>
      </c>
      <c r="T5" s="569">
        <v>189756</v>
      </c>
      <c r="U5" s="539">
        <f>159432+184116</f>
        <v>343548</v>
      </c>
      <c r="V5" s="722"/>
      <c r="W5" s="539"/>
      <c r="X5" s="181">
        <f>U5+V5+W5</f>
        <v>343548</v>
      </c>
      <c r="Z5" s="444"/>
    </row>
    <row r="6" spans="1:24" ht="12.75">
      <c r="A6" s="886"/>
      <c r="B6" s="182"/>
      <c r="C6" s="183" t="s">
        <v>242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63">
        <v>497600.75</v>
      </c>
      <c r="O6" s="663"/>
      <c r="P6" s="663">
        <v>363308.49</v>
      </c>
      <c r="Q6" s="663"/>
      <c r="R6" s="570">
        <v>400000</v>
      </c>
      <c r="S6" s="570">
        <v>18960</v>
      </c>
      <c r="T6" s="570">
        <v>373591</v>
      </c>
      <c r="U6" s="95"/>
      <c r="V6" s="723"/>
      <c r="W6" s="95"/>
      <c r="X6" s="97">
        <f aca="true" t="shared" si="1" ref="X6:X11">U6+V6+W6</f>
        <v>0</v>
      </c>
    </row>
    <row r="7" spans="1:24" ht="12.75">
      <c r="A7" s="886"/>
      <c r="B7" s="187"/>
      <c r="C7" s="119" t="s">
        <v>243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63">
        <v>74759.43</v>
      </c>
      <c r="O7" s="663">
        <v>75808.05</v>
      </c>
      <c r="P7" s="663">
        <v>76653.59</v>
      </c>
      <c r="Q7" s="663">
        <v>77863.88</v>
      </c>
      <c r="R7" s="570">
        <v>91477</v>
      </c>
      <c r="S7" s="570">
        <v>133280.82</v>
      </c>
      <c r="T7" s="570">
        <v>139528</v>
      </c>
      <c r="U7" s="185">
        <v>156891</v>
      </c>
      <c r="V7" s="724"/>
      <c r="W7" s="185"/>
      <c r="X7" s="188">
        <f t="shared" si="1"/>
        <v>156891</v>
      </c>
    </row>
    <row r="8" spans="1:26" ht="12.75">
      <c r="A8" s="886"/>
      <c r="B8" s="189"/>
      <c r="C8" s="618" t="s">
        <v>347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52">
        <v>114400.25</v>
      </c>
      <c r="O8" s="652"/>
      <c r="P8" s="652"/>
      <c r="Q8" s="652">
        <v>44078.86</v>
      </c>
      <c r="R8" s="96"/>
      <c r="S8" s="96"/>
      <c r="T8" s="96"/>
      <c r="U8" s="95"/>
      <c r="V8" s="723"/>
      <c r="W8" s="95"/>
      <c r="X8" s="97">
        <f t="shared" si="1"/>
        <v>0</v>
      </c>
      <c r="Z8" s="2"/>
    </row>
    <row r="9" spans="1:26" ht="12.75">
      <c r="A9" s="886"/>
      <c r="B9" s="189"/>
      <c r="C9" s="618" t="s">
        <v>348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52">
        <v>11332.8</v>
      </c>
      <c r="O9" s="652"/>
      <c r="P9" s="652">
        <v>14992.5</v>
      </c>
      <c r="Q9" s="652"/>
      <c r="R9" s="96"/>
      <c r="S9" s="96"/>
      <c r="T9" s="96">
        <v>2739414</v>
      </c>
      <c r="U9" s="95"/>
      <c r="V9" s="723"/>
      <c r="W9" s="95"/>
      <c r="X9" s="97">
        <f t="shared" si="1"/>
        <v>0</v>
      </c>
      <c r="Z9" s="2"/>
    </row>
    <row r="10" spans="1:24" ht="12.75">
      <c r="A10" s="886"/>
      <c r="B10" s="187"/>
      <c r="C10" s="187" t="s">
        <v>417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64"/>
      <c r="O10" s="664">
        <v>70455.80000000005</v>
      </c>
      <c r="P10" s="664"/>
      <c r="Q10" s="664">
        <v>47962.56</v>
      </c>
      <c r="R10" s="571"/>
      <c r="S10" s="571"/>
      <c r="T10" s="571"/>
      <c r="U10" s="193">
        <v>20000</v>
      </c>
      <c r="V10" s="725"/>
      <c r="W10" s="193"/>
      <c r="X10" s="195">
        <f t="shared" si="1"/>
        <v>20000</v>
      </c>
    </row>
    <row r="11" spans="1:24" ht="13.5" thickBot="1">
      <c r="A11" s="887"/>
      <c r="B11" s="196"/>
      <c r="C11" s="187" t="s">
        <v>345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65">
        <v>11400</v>
      </c>
      <c r="O11" s="665"/>
      <c r="P11" s="665">
        <v>26648.4</v>
      </c>
      <c r="Q11" s="665">
        <v>5000</v>
      </c>
      <c r="R11" s="572"/>
      <c r="S11" s="572">
        <v>17163.77</v>
      </c>
      <c r="T11" s="572"/>
      <c r="U11" s="197">
        <v>0</v>
      </c>
      <c r="V11" s="726"/>
      <c r="W11" s="197"/>
      <c r="X11" s="451">
        <f t="shared" si="1"/>
        <v>0</v>
      </c>
    </row>
    <row r="12" spans="1:24" ht="14.25" thickBot="1" thickTop="1">
      <c r="A12" s="878" t="s">
        <v>238</v>
      </c>
      <c r="B12" s="879"/>
      <c r="C12" s="880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69">
        <f t="shared" si="2"/>
        <v>2548753.6599999997</v>
      </c>
      <c r="O12" s="168">
        <f t="shared" si="2"/>
        <v>484835.82</v>
      </c>
      <c r="P12" s="668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7">
        <f t="shared" si="2"/>
        <v>3442289</v>
      </c>
      <c r="U12" s="167">
        <f t="shared" si="2"/>
        <v>520439</v>
      </c>
      <c r="V12" s="167">
        <f t="shared" si="2"/>
        <v>0</v>
      </c>
      <c r="W12" s="167">
        <f>W4</f>
        <v>0</v>
      </c>
      <c r="X12" s="169">
        <f>X4</f>
        <v>520439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82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8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890" t="s">
        <v>306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</row>
    <row r="2" spans="1:21" ht="13.5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892" t="s">
        <v>86</v>
      </c>
      <c r="B3" s="760" t="s">
        <v>182</v>
      </c>
      <c r="C3" s="760" t="s">
        <v>183</v>
      </c>
      <c r="D3" s="760" t="s">
        <v>184</v>
      </c>
      <c r="E3" s="760" t="s">
        <v>185</v>
      </c>
      <c r="F3" s="760" t="s">
        <v>186</v>
      </c>
      <c r="G3" s="760" t="s">
        <v>92</v>
      </c>
      <c r="H3" s="760" t="s">
        <v>93</v>
      </c>
      <c r="I3" s="760" t="s">
        <v>94</v>
      </c>
      <c r="J3" s="760" t="s">
        <v>95</v>
      </c>
      <c r="K3" s="760" t="s">
        <v>321</v>
      </c>
      <c r="L3" s="760" t="s">
        <v>338</v>
      </c>
      <c r="M3" s="760" t="s">
        <v>357</v>
      </c>
      <c r="N3" s="760" t="s">
        <v>364</v>
      </c>
      <c r="O3" s="760" t="s">
        <v>379</v>
      </c>
      <c r="P3" s="760" t="s">
        <v>388</v>
      </c>
      <c r="Q3" s="760" t="s">
        <v>389</v>
      </c>
      <c r="R3" s="760" t="s">
        <v>390</v>
      </c>
      <c r="S3" s="909" t="s">
        <v>428</v>
      </c>
      <c r="T3" s="921" t="s">
        <v>426</v>
      </c>
      <c r="U3" s="922"/>
      <c r="V3" s="854"/>
      <c r="W3" s="906" t="s">
        <v>427</v>
      </c>
    </row>
    <row r="4" spans="1:23" ht="12.75">
      <c r="A4" s="893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910"/>
      <c r="T4" s="923" t="s">
        <v>97</v>
      </c>
      <c r="U4" s="924"/>
      <c r="V4" s="925"/>
      <c r="W4" s="907"/>
    </row>
    <row r="5" spans="1:23" ht="13.5" thickBot="1">
      <c r="A5" s="893"/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911"/>
      <c r="T5" s="705" t="s">
        <v>240</v>
      </c>
      <c r="U5" s="703" t="s">
        <v>244</v>
      </c>
      <c r="V5" s="727" t="s">
        <v>236</v>
      </c>
      <c r="W5" s="908"/>
    </row>
    <row r="6" spans="1:29" ht="13.5" thickTop="1">
      <c r="A6" s="447" t="s">
        <v>307</v>
      </c>
      <c r="B6" s="448">
        <f>'Bežné príjmy'!D110</f>
        <v>7125871</v>
      </c>
      <c r="C6" s="448">
        <f>'Bežné príjmy'!E110</f>
        <v>7561840</v>
      </c>
      <c r="D6" s="448">
        <f>'Bežné príjmy'!F110</f>
        <v>9082354</v>
      </c>
      <c r="E6" s="448">
        <f>'Bežné príjmy'!G110</f>
        <v>9080838</v>
      </c>
      <c r="F6" s="448">
        <f>'Bežné príjmy'!H110</f>
        <v>8537685</v>
      </c>
      <c r="G6" s="448">
        <f>'Bežné príjmy'!I110</f>
        <v>9096722</v>
      </c>
      <c r="H6" s="448">
        <f>'Bežné príjmy'!J110</f>
        <v>9201831</v>
      </c>
      <c r="I6" s="448">
        <f>'Bežné príjmy'!K110</f>
        <v>9722622</v>
      </c>
      <c r="J6" s="448">
        <f>'Bežné príjmy'!L110</f>
        <v>9640328.239999998</v>
      </c>
      <c r="K6" s="516">
        <f>'Bežné príjmy'!M110</f>
        <v>10178626.01</v>
      </c>
      <c r="L6" s="516">
        <f>'Bežné príjmy'!N110</f>
        <v>10784511.560000002</v>
      </c>
      <c r="M6" s="516">
        <f>'Bežné príjmy'!O110</f>
        <v>10947354.260000002</v>
      </c>
      <c r="N6" s="448">
        <f>'Bežné príjmy'!P110</f>
        <v>11835790.83</v>
      </c>
      <c r="O6" s="516">
        <f>'Bežné príjmy'!Q110</f>
        <v>12870365.969999999</v>
      </c>
      <c r="P6" s="516">
        <f>'Bežné príjmy'!R110</f>
        <v>13601928.51</v>
      </c>
      <c r="Q6" s="516">
        <f>'Bežné príjmy'!S110</f>
        <v>14215260.54</v>
      </c>
      <c r="R6" s="516">
        <f>'Bežné príjmy'!T110</f>
        <v>14470194</v>
      </c>
      <c r="S6" s="448">
        <f>'Bežné príjmy'!U110</f>
        <v>14782177</v>
      </c>
      <c r="T6" s="912">
        <f>'Bežné príjmy'!V110</f>
        <v>143824</v>
      </c>
      <c r="U6" s="913"/>
      <c r="V6" s="914"/>
      <c r="W6" s="449">
        <f>S6+T6</f>
        <v>14926001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0" t="s">
        <v>308</v>
      </c>
      <c r="B7" s="197">
        <f>'bežné výdavky'!D209</f>
        <v>5867125</v>
      </c>
      <c r="C7" s="197">
        <f>'bežné výdavky'!E209</f>
        <v>6460200</v>
      </c>
      <c r="D7" s="197">
        <f>'bežné výdavky'!F209</f>
        <v>7832271</v>
      </c>
      <c r="E7" s="197">
        <f>'bežné výdavky'!G209</f>
        <v>8716285.43</v>
      </c>
      <c r="F7" s="197">
        <f>'bežné výdavky'!H209</f>
        <v>9309387</v>
      </c>
      <c r="G7" s="197">
        <f>'bežné výdavky'!I209</f>
        <v>8743512.2</v>
      </c>
      <c r="H7" s="197">
        <f>'bežné výdavky'!J209</f>
        <v>8908071</v>
      </c>
      <c r="I7" s="197">
        <f>'bežné výdavky'!K209</f>
        <v>8934542</v>
      </c>
      <c r="J7" s="197">
        <f>'bežné výdavky'!L209</f>
        <v>9572545.38</v>
      </c>
      <c r="K7" s="198">
        <f>'bežné výdavky'!M209</f>
        <v>9554914.799999999</v>
      </c>
      <c r="L7" s="198">
        <f>'bežné výdavky'!N209</f>
        <v>9695081.340000002</v>
      </c>
      <c r="M7" s="198">
        <f>'bežné výdavky'!O209</f>
        <v>10029034.879999999</v>
      </c>
      <c r="N7" s="197">
        <f>'bežné výdavky'!P209</f>
        <v>10815176.44</v>
      </c>
      <c r="O7" s="198">
        <f>'bežné výdavky'!Q209</f>
        <v>12072287.610000001</v>
      </c>
      <c r="P7" s="198">
        <f>'bežné výdavky'!R209</f>
        <v>12278088</v>
      </c>
      <c r="Q7" s="198">
        <f>'bežné výdavky'!S209</f>
        <v>13351433.260000002</v>
      </c>
      <c r="R7" s="198">
        <f>'bežné výdavky'!T209</f>
        <v>14437769</v>
      </c>
      <c r="S7" s="197">
        <f>'bežné výdavky'!U209</f>
        <v>14836790</v>
      </c>
      <c r="T7" s="197">
        <f>'bežné výdavky'!V209</f>
        <v>0</v>
      </c>
      <c r="U7" s="197">
        <f>'bežné výdavky'!W209</f>
        <v>95452</v>
      </c>
      <c r="V7" s="197"/>
      <c r="W7" s="451">
        <f>S7+T7+U7</f>
        <v>14932242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2" t="s">
        <v>309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293760</v>
      </c>
      <c r="I8" s="453">
        <f t="shared" si="0"/>
        <v>788080</v>
      </c>
      <c r="J8" s="454">
        <f t="shared" si="0"/>
        <v>67782.85999999754</v>
      </c>
      <c r="K8" s="454">
        <f t="shared" si="0"/>
        <v>623711.2100000009</v>
      </c>
      <c r="L8" s="454">
        <f aca="true" t="shared" si="1" ref="L8:S8">L6-L7</f>
        <v>1089430.2200000007</v>
      </c>
      <c r="M8" s="454">
        <f t="shared" si="1"/>
        <v>918319.3800000027</v>
      </c>
      <c r="N8" s="453">
        <f t="shared" si="1"/>
        <v>1020614.3900000006</v>
      </c>
      <c r="O8" s="454">
        <f t="shared" si="1"/>
        <v>798078.3599999975</v>
      </c>
      <c r="P8" s="454">
        <f t="shared" si="1"/>
        <v>1323840.5099999998</v>
      </c>
      <c r="Q8" s="454">
        <f t="shared" si="1"/>
        <v>863827.2799999975</v>
      </c>
      <c r="R8" s="454">
        <f t="shared" si="1"/>
        <v>32425</v>
      </c>
      <c r="S8" s="453">
        <f t="shared" si="1"/>
        <v>-54613</v>
      </c>
      <c r="T8" s="915">
        <f>T6-(U7+T7)</f>
        <v>48372</v>
      </c>
      <c r="U8" s="916"/>
      <c r="V8" s="917"/>
      <c r="W8" s="455">
        <f>W6-W7</f>
        <v>-6241</v>
      </c>
      <c r="Z8" s="2">
        <v>300</v>
      </c>
      <c r="AA8" s="2">
        <f>'Bežné príjmy'!O69+'Kapitálové príjmy'!O17</f>
        <v>4237177.49</v>
      </c>
    </row>
    <row r="9" spans="1:30" ht="14.25" thickBot="1" thickTop="1">
      <c r="A9" s="903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5"/>
      <c r="Z9" s="2">
        <v>400</v>
      </c>
      <c r="AA9" s="2">
        <f>'Fin operácie - príjmy'!U12</f>
        <v>1663513</v>
      </c>
      <c r="AD9" s="2"/>
    </row>
    <row r="10" spans="1:29" ht="13.5" thickTop="1">
      <c r="A10" s="447" t="s">
        <v>310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516">
        <f>'Kapitálové príjmy'!M54</f>
        <v>752297.52</v>
      </c>
      <c r="L10" s="516">
        <f>'Kapitálové príjmy'!N54</f>
        <v>935536.18</v>
      </c>
      <c r="M10" s="516">
        <f>'Kapitálové príjmy'!O54</f>
        <v>1696241.7999999998</v>
      </c>
      <c r="N10" s="448">
        <f>'Kapitálové príjmy'!P54</f>
        <v>2123247.52</v>
      </c>
      <c r="O10" s="516">
        <f>'Kapitálové príjmy'!Q54</f>
        <v>1526662.64</v>
      </c>
      <c r="P10" s="516">
        <f>'Kapitálové príjmy'!R54</f>
        <v>2638168</v>
      </c>
      <c r="Q10" s="516">
        <f>'Kapitálové príjmy'!S54</f>
        <v>2862309.5</v>
      </c>
      <c r="R10" s="516">
        <f>'Kapitálové príjmy'!T54</f>
        <v>1122970</v>
      </c>
      <c r="S10" s="448">
        <f>'Kapitálové príjmy'!U54</f>
        <v>350000</v>
      </c>
      <c r="T10" s="912">
        <f>'Kapitálové príjmy'!V54</f>
        <v>-254000</v>
      </c>
      <c r="U10" s="913"/>
      <c r="V10" s="914"/>
      <c r="W10" s="449">
        <f>S10+T10</f>
        <v>96000</v>
      </c>
      <c r="Z10" s="2">
        <v>500</v>
      </c>
      <c r="AA10" s="2">
        <f>'Fin operácie - príjmy'!U5</f>
        <v>1561585</v>
      </c>
      <c r="AB10" s="2"/>
      <c r="AC10" s="2">
        <f>SUM(AA6:AA10)</f>
        <v>15868694.06</v>
      </c>
    </row>
    <row r="11" spans="1:30" ht="13.5" thickBot="1">
      <c r="A11" s="450" t="s">
        <v>311</v>
      </c>
      <c r="B11" s="197">
        <f>'Kapitálové výdavky'!D139</f>
        <v>2988050</v>
      </c>
      <c r="C11" s="197">
        <f>'Kapitálové výdavky'!E139</f>
        <v>1793069</v>
      </c>
      <c r="D11" s="197">
        <f>'Kapitálové výdavky'!F139</f>
        <v>2942409</v>
      </c>
      <c r="E11" s="197">
        <f>'Kapitálové výdavky'!G139</f>
        <v>4880528</v>
      </c>
      <c r="F11" s="197">
        <f>'Kapitálové výdavky'!H139</f>
        <v>5977301</v>
      </c>
      <c r="G11" s="197">
        <f>'Kapitálové výdavky'!I139</f>
        <v>5818483</v>
      </c>
      <c r="H11" s="197">
        <f>'Kapitálové výdavky'!J139</f>
        <v>4719096</v>
      </c>
      <c r="I11" s="197">
        <f>'Kapitálové výdavky'!K139</f>
        <v>3939694</v>
      </c>
      <c r="J11" s="197">
        <f>'Kapitálové výdavky'!L139</f>
        <v>1800938.79</v>
      </c>
      <c r="K11" s="198">
        <f>'Kapitálové výdavky'!M139</f>
        <v>2904600.1800000006</v>
      </c>
      <c r="L11" s="198">
        <f>'Kapitálové výdavky'!N139</f>
        <v>1348818.6500000001</v>
      </c>
      <c r="M11" s="198">
        <f>'Kapitálové výdavky'!O139</f>
        <v>1900647.68</v>
      </c>
      <c r="N11" s="197">
        <f>'Kapitálové výdavky'!P139</f>
        <v>2329182.13</v>
      </c>
      <c r="O11" s="198">
        <f>'Kapitálové výdavky'!Q139</f>
        <v>2649518.4899999998</v>
      </c>
      <c r="P11" s="198">
        <f>'Kapitálové výdavky'!R139</f>
        <v>9465463</v>
      </c>
      <c r="Q11" s="198">
        <f>'Kapitálové výdavky'!S139</f>
        <v>6260788.56</v>
      </c>
      <c r="R11" s="198">
        <f>'Kapitálové výdavky'!T139</f>
        <v>6753461</v>
      </c>
      <c r="S11" s="197">
        <f>'Kapitálové výdavky'!U139</f>
        <v>3000046</v>
      </c>
      <c r="T11" s="197">
        <f>'Kapitálové výdavky'!V139</f>
        <v>0</v>
      </c>
      <c r="U11" s="197">
        <f>'Kapitálové výdavky'!W139</f>
        <v>65000</v>
      </c>
      <c r="V11" s="197">
        <f>'bežné výdavky'!W213</f>
        <v>0</v>
      </c>
      <c r="W11" s="451">
        <f>S11+T11+U11</f>
        <v>3065046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  <c r="AD11" s="2"/>
    </row>
    <row r="12" spans="1:30" ht="15.75" thickBot="1">
      <c r="A12" s="456" t="s">
        <v>312</v>
      </c>
      <c r="B12" s="457">
        <f aca="true" t="shared" si="2" ref="B12:K12">B10-B11</f>
        <v>-874958</v>
      </c>
      <c r="C12" s="457">
        <f t="shared" si="2"/>
        <v>-775111</v>
      </c>
      <c r="D12" s="457">
        <f t="shared" si="2"/>
        <v>-1697040</v>
      </c>
      <c r="E12" s="457">
        <f t="shared" si="2"/>
        <v>-489115</v>
      </c>
      <c r="F12" s="457">
        <f t="shared" si="2"/>
        <v>-2521160</v>
      </c>
      <c r="G12" s="457">
        <f t="shared" si="2"/>
        <v>-1168770</v>
      </c>
      <c r="H12" s="457">
        <f t="shared" si="2"/>
        <v>-216321.9400000004</v>
      </c>
      <c r="I12" s="457">
        <f t="shared" si="2"/>
        <v>-261197</v>
      </c>
      <c r="J12" s="458">
        <f t="shared" si="2"/>
        <v>-582600.2000000002</v>
      </c>
      <c r="K12" s="458">
        <f t="shared" si="2"/>
        <v>-2152302.6600000006</v>
      </c>
      <c r="L12" s="458">
        <f aca="true" t="shared" si="3" ref="L12:S12">L10-L11</f>
        <v>-413282.4700000001</v>
      </c>
      <c r="M12" s="458">
        <f t="shared" si="3"/>
        <v>-204405.88000000012</v>
      </c>
      <c r="N12" s="457">
        <f t="shared" si="3"/>
        <v>-205934.60999999987</v>
      </c>
      <c r="O12" s="458">
        <f t="shared" si="3"/>
        <v>-1122855.8499999999</v>
      </c>
      <c r="P12" s="458">
        <f t="shared" si="3"/>
        <v>-6827295</v>
      </c>
      <c r="Q12" s="458">
        <f t="shared" si="3"/>
        <v>-3398479.0599999996</v>
      </c>
      <c r="R12" s="458">
        <f t="shared" si="3"/>
        <v>-5630491</v>
      </c>
      <c r="S12" s="457">
        <f t="shared" si="3"/>
        <v>-2650046</v>
      </c>
      <c r="T12" s="915">
        <f>T10-(U11+T11)</f>
        <v>-319000</v>
      </c>
      <c r="U12" s="916"/>
      <c r="V12" s="917"/>
      <c r="W12" s="459">
        <f>W10-W11</f>
        <v>-2969046</v>
      </c>
      <c r="Z12" s="2">
        <v>700</v>
      </c>
      <c r="AA12" s="2">
        <f>M11</f>
        <v>1900647.68</v>
      </c>
      <c r="AC12" s="2">
        <f>AC10-AC11</f>
        <v>3454175.6800000016</v>
      </c>
      <c r="AD12" s="2"/>
    </row>
    <row r="13" spans="1:30" ht="14.25" thickBot="1" thickTop="1">
      <c r="A13" s="903"/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5"/>
      <c r="Z13" s="2">
        <v>800</v>
      </c>
      <c r="AA13" s="2">
        <f>M15</f>
        <v>484835.82</v>
      </c>
      <c r="AD13" s="2"/>
    </row>
    <row r="14" spans="1:29" ht="13.5" thickTop="1">
      <c r="A14" s="447" t="s">
        <v>313</v>
      </c>
      <c r="B14" s="448">
        <f>'Fin operácie - príjmy'!D23</f>
        <v>499436</v>
      </c>
      <c r="C14" s="448">
        <f>'Fin operácie - príjmy'!E23</f>
        <v>313085</v>
      </c>
      <c r="D14" s="448">
        <f>'Fin operácie - príjmy'!F23</f>
        <v>1640749</v>
      </c>
      <c r="E14" s="448">
        <f>'Fin operácie - príjmy'!G23</f>
        <v>2754938</v>
      </c>
      <c r="F14" s="448">
        <f>'Fin operácie - príjmy'!H23</f>
        <v>4479434</v>
      </c>
      <c r="G14" s="448">
        <f>'Fin operácie - príjmy'!I23</f>
        <v>2266668</v>
      </c>
      <c r="H14" s="448">
        <f>'Fin operácie - príjmy'!J23</f>
        <v>1305406</v>
      </c>
      <c r="I14" s="448">
        <f>'Fin operácie - príjmy'!K23</f>
        <v>1509534</v>
      </c>
      <c r="J14" s="448">
        <f>'Fin operácie - príjmy'!L23</f>
        <v>1300969.13</v>
      </c>
      <c r="K14" s="516">
        <f>'Fin operácie - príjmy'!M23</f>
        <v>2766561.36</v>
      </c>
      <c r="L14" s="516">
        <f>'Fin operácie - príjmy'!N23</f>
        <v>2492133.9299999997</v>
      </c>
      <c r="M14" s="516">
        <f>'Fin operácie - príjmy'!O23</f>
        <v>1267177.12</v>
      </c>
      <c r="N14" s="448">
        <f>'Fin operácie - príjmy'!P23</f>
        <v>1389578.65</v>
      </c>
      <c r="O14" s="516">
        <f>'Fin operácie - príjmy'!Q23</f>
        <v>1600445.57</v>
      </c>
      <c r="P14" s="516">
        <f>'Fin operácie - príjmy'!R23</f>
        <v>7583014</v>
      </c>
      <c r="Q14" s="516">
        <f>'Fin operácie - príjmy'!S23</f>
        <v>7475946.97</v>
      </c>
      <c r="R14" s="516">
        <f>'Fin operácie - príjmy'!T23</f>
        <v>9040355</v>
      </c>
      <c r="S14" s="448">
        <f>'Fin operácie - príjmy'!U23</f>
        <v>3225098</v>
      </c>
      <c r="T14" s="912">
        <f>'Fin operácie - príjmy'!V23</f>
        <v>270628</v>
      </c>
      <c r="U14" s="913"/>
      <c r="V14" s="914"/>
      <c r="W14" s="449">
        <f>S14+T14</f>
        <v>3495726</v>
      </c>
      <c r="Y14" s="2"/>
      <c r="Z14" s="2"/>
      <c r="AA14" s="2"/>
      <c r="AB14" s="2"/>
      <c r="AC14" s="2"/>
    </row>
    <row r="15" spans="1:30" ht="13.5" thickBot="1">
      <c r="A15" s="450" t="s">
        <v>314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3442289</v>
      </c>
      <c r="S15" s="197">
        <f>'Finančné operácie - výdavky'!U12</f>
        <v>520439</v>
      </c>
      <c r="T15" s="197">
        <f>'Finančné operácie - výdavky'!V12</f>
        <v>0</v>
      </c>
      <c r="U15" s="198"/>
      <c r="V15" s="197">
        <f>'Finančné operácie - výdavky'!W12</f>
        <v>0</v>
      </c>
      <c r="W15" s="451">
        <f>S15+T15+U15</f>
        <v>520439</v>
      </c>
      <c r="Z15" s="2"/>
      <c r="AA15" s="2"/>
      <c r="AB15" s="2"/>
      <c r="AC15" s="2"/>
      <c r="AD15" s="2"/>
    </row>
    <row r="16" spans="1:28" ht="15.75" thickBot="1">
      <c r="A16" s="456" t="s">
        <v>223</v>
      </c>
      <c r="B16" s="457">
        <f aca="true" t="shared" si="4" ref="B16:K16">B14-B15</f>
        <v>21643</v>
      </c>
      <c r="C16" s="457">
        <f t="shared" si="4"/>
        <v>-157771</v>
      </c>
      <c r="D16" s="457">
        <f t="shared" si="4"/>
        <v>1306664</v>
      </c>
      <c r="E16" s="457">
        <f t="shared" si="4"/>
        <v>1451734</v>
      </c>
      <c r="F16" s="457">
        <f t="shared" si="4"/>
        <v>3501338</v>
      </c>
      <c r="G16" s="457">
        <f t="shared" si="4"/>
        <v>910060</v>
      </c>
      <c r="H16" s="457">
        <f t="shared" si="4"/>
        <v>114143</v>
      </c>
      <c r="I16" s="457">
        <f t="shared" si="4"/>
        <v>531544</v>
      </c>
      <c r="J16" s="458">
        <f t="shared" si="4"/>
        <v>861949.1799999999</v>
      </c>
      <c r="K16" s="458">
        <f t="shared" si="4"/>
        <v>2226481.0599999996</v>
      </c>
      <c r="L16" s="458">
        <f aca="true" t="shared" si="5" ref="L16:S16">L14-L15</f>
        <v>-56619.72999999998</v>
      </c>
      <c r="M16" s="458">
        <f t="shared" si="5"/>
        <v>782341.3</v>
      </c>
      <c r="N16" s="457">
        <f t="shared" si="5"/>
        <v>540363.1099999999</v>
      </c>
      <c r="O16" s="458">
        <f t="shared" si="5"/>
        <v>1046608.31</v>
      </c>
      <c r="P16" s="458">
        <f t="shared" si="5"/>
        <v>6663236</v>
      </c>
      <c r="Q16" s="458">
        <f>Q14-Q15</f>
        <v>6861649.05</v>
      </c>
      <c r="R16" s="458">
        <f>R14-R15</f>
        <v>5598066</v>
      </c>
      <c r="S16" s="457">
        <f t="shared" si="5"/>
        <v>2704659</v>
      </c>
      <c r="T16" s="915">
        <f>T14-(T15+V15)</f>
        <v>270628</v>
      </c>
      <c r="U16" s="916"/>
      <c r="V16" s="917"/>
      <c r="W16" s="459">
        <f>W14-W15</f>
        <v>2975287</v>
      </c>
      <c r="AA16" s="2"/>
      <c r="AB16" s="2"/>
    </row>
    <row r="17" spans="1:29" ht="14.25" thickBot="1" thickTop="1">
      <c r="A17" s="900"/>
      <c r="B17" s="901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2"/>
      <c r="Z17" s="2"/>
      <c r="AB17" s="2"/>
      <c r="AC17" s="2"/>
    </row>
    <row r="18" spans="1:29" ht="16.5" customHeight="1" thickTop="1">
      <c r="A18" s="894" t="s">
        <v>224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6"/>
      <c r="Z18" s="2"/>
      <c r="AB18" s="2"/>
      <c r="AC18" s="2"/>
    </row>
    <row r="19" spans="1:23" ht="13.5" thickBot="1">
      <c r="A19" s="897"/>
      <c r="B19" s="898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9"/>
    </row>
    <row r="20" spans="1:23" ht="17.25" thickBot="1" thickTop="1">
      <c r="A20" s="460" t="s">
        <v>225</v>
      </c>
      <c r="B20" s="461">
        <f aca="true" t="shared" si="6" ref="B20:J20">B8+B12+B16</f>
        <v>405431</v>
      </c>
      <c r="C20" s="461">
        <f t="shared" si="6"/>
        <v>168758</v>
      </c>
      <c r="D20" s="461">
        <f t="shared" si="6"/>
        <v>859707</v>
      </c>
      <c r="E20" s="461">
        <f t="shared" si="6"/>
        <v>1327171.5700000003</v>
      </c>
      <c r="F20" s="461">
        <f t="shared" si="6"/>
        <v>208476</v>
      </c>
      <c r="G20" s="461">
        <f t="shared" si="6"/>
        <v>94499.80000000075</v>
      </c>
      <c r="H20" s="461">
        <f t="shared" si="6"/>
        <v>191581.0599999996</v>
      </c>
      <c r="I20" s="461">
        <f t="shared" si="6"/>
        <v>1058427</v>
      </c>
      <c r="J20" s="462">
        <f t="shared" si="6"/>
        <v>347131.8399999973</v>
      </c>
      <c r="K20" s="462">
        <f aca="true" t="shared" si="7" ref="K20:Q20">K8+K12+K16</f>
        <v>697889.6099999999</v>
      </c>
      <c r="L20" s="462">
        <f t="shared" si="7"/>
        <v>619528.0200000006</v>
      </c>
      <c r="M20" s="462">
        <f t="shared" si="7"/>
        <v>1496254.8000000026</v>
      </c>
      <c r="N20" s="461">
        <f t="shared" si="7"/>
        <v>1355042.8900000006</v>
      </c>
      <c r="O20" s="462">
        <f t="shared" si="7"/>
        <v>721830.8199999977</v>
      </c>
      <c r="P20" s="461">
        <f t="shared" si="7"/>
        <v>1159781.5099999998</v>
      </c>
      <c r="Q20" s="461">
        <f t="shared" si="7"/>
        <v>4326997.269999998</v>
      </c>
      <c r="R20" s="461">
        <f>R8+R12+R16</f>
        <v>0</v>
      </c>
      <c r="S20" s="541">
        <f>S16+S12+S8</f>
        <v>0</v>
      </c>
      <c r="T20" s="918">
        <f>T8+T12+T16</f>
        <v>0</v>
      </c>
      <c r="U20" s="919"/>
      <c r="V20" s="920"/>
      <c r="W20" s="540">
        <f>W16+W12+W8</f>
        <v>0</v>
      </c>
    </row>
    <row r="21" ht="13.5" thickTop="1">
      <c r="AA21" s="2"/>
    </row>
    <row r="22" spans="19:26" ht="12.75">
      <c r="S22" s="2"/>
      <c r="T22" s="2"/>
      <c r="U22" s="2"/>
      <c r="V22" s="2"/>
      <c r="W22" s="2"/>
      <c r="Z22" s="2"/>
    </row>
    <row r="23" spans="19:27" ht="12.75" customHeight="1">
      <c r="S23" s="587"/>
      <c r="U23" s="2"/>
      <c r="V23" s="587"/>
      <c r="W23" s="587"/>
      <c r="AA23" s="2"/>
    </row>
    <row r="24" spans="19:23" ht="15.75" customHeight="1">
      <c r="S24" s="696"/>
      <c r="T24" s="696"/>
      <c r="U24" s="696"/>
      <c r="V24" s="696"/>
      <c r="W24" s="696"/>
    </row>
    <row r="25" spans="11:23" ht="15.75">
      <c r="K25" s="2"/>
      <c r="M25" s="2"/>
      <c r="N25" s="2"/>
      <c r="O25" s="2"/>
      <c r="P25" s="2"/>
      <c r="Q25" s="2"/>
      <c r="R25" s="2"/>
      <c r="S25" s="2"/>
      <c r="V25" s="587"/>
      <c r="W25" s="587"/>
    </row>
    <row r="26" spans="22:30" ht="15.75">
      <c r="V26" s="587"/>
      <c r="W26" s="587"/>
      <c r="AD26" s="2"/>
    </row>
    <row r="28" spans="19:23" ht="12.75">
      <c r="S28" s="2"/>
      <c r="T28" s="2"/>
      <c r="U28" s="2"/>
      <c r="V28" s="2"/>
      <c r="W28" s="2"/>
    </row>
    <row r="29" spans="19:30" ht="12.75">
      <c r="S29" s="2"/>
      <c r="T29" s="2"/>
      <c r="U29" s="2"/>
      <c r="V29" s="2"/>
      <c r="W29" s="2"/>
      <c r="AD29" s="2"/>
    </row>
    <row r="31" spans="10:23" ht="15.75">
      <c r="J31" s="584"/>
      <c r="S31" s="2"/>
      <c r="T31" s="2"/>
      <c r="U31" s="2"/>
      <c r="V31" s="2"/>
      <c r="W31" s="2"/>
    </row>
    <row r="32" spans="19:23" ht="12.75">
      <c r="S32" s="2"/>
      <c r="T32" s="2"/>
      <c r="U32" s="2"/>
      <c r="V32" s="2"/>
      <c r="W32" s="2"/>
    </row>
    <row r="34" ht="12.75">
      <c r="J34" s="2"/>
    </row>
    <row r="35" ht="12.75">
      <c r="W35" s="640"/>
    </row>
    <row r="38" spans="19:23" ht="12.75">
      <c r="S38" s="2"/>
      <c r="T38" s="2"/>
      <c r="U38" s="2"/>
      <c r="V38" s="2"/>
      <c r="W38" s="2"/>
    </row>
    <row r="41" spans="27:29" ht="12.75">
      <c r="AA41" s="2"/>
      <c r="AB41" s="2"/>
      <c r="AC41" s="2"/>
    </row>
    <row r="47" spans="19:23" ht="12.75">
      <c r="S47" s="2"/>
      <c r="T47" s="2"/>
      <c r="U47" s="2"/>
      <c r="V47" s="2"/>
      <c r="W47" s="2"/>
    </row>
    <row r="62" spans="19:22" ht="12.75">
      <c r="S62" s="2"/>
      <c r="T62" s="2"/>
      <c r="U62" s="2"/>
      <c r="V62" s="2"/>
    </row>
    <row r="63" spans="19:22" ht="12.75">
      <c r="S63" s="2"/>
      <c r="T63" s="2"/>
      <c r="U63" s="2"/>
      <c r="V63" s="2"/>
    </row>
    <row r="69" ht="12.75">
      <c r="J69">
        <f>SUM(J55:J68)</f>
        <v>0</v>
      </c>
    </row>
    <row r="70" spans="19:22" ht="12.75">
      <c r="S70" s="2"/>
      <c r="T70" s="2"/>
      <c r="U70" s="2"/>
      <c r="V70" s="2"/>
    </row>
    <row r="71" spans="19:22" ht="12.75">
      <c r="S71" s="2"/>
      <c r="T71" s="2"/>
      <c r="U71" s="2"/>
      <c r="V71" s="2"/>
    </row>
    <row r="73" spans="1:10" ht="12.75">
      <c r="A73" s="581" t="s">
        <v>326</v>
      </c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34">
    <mergeCell ref="T14:V14"/>
    <mergeCell ref="T16:V16"/>
    <mergeCell ref="T20:V20"/>
    <mergeCell ref="T3:V3"/>
    <mergeCell ref="T4:V4"/>
    <mergeCell ref="T6:V6"/>
    <mergeCell ref="T8:V8"/>
    <mergeCell ref="T10:V10"/>
    <mergeCell ref="T12:V12"/>
    <mergeCell ref="D3:D5"/>
    <mergeCell ref="C3:C5"/>
    <mergeCell ref="J3:J5"/>
    <mergeCell ref="K3:K5"/>
    <mergeCell ref="M3:M5"/>
    <mergeCell ref="F3:F5"/>
    <mergeCell ref="G3:G5"/>
    <mergeCell ref="E3:E5"/>
    <mergeCell ref="W3:W5"/>
    <mergeCell ref="L3:L5"/>
    <mergeCell ref="S3:S5"/>
    <mergeCell ref="N3:N5"/>
    <mergeCell ref="P3:P5"/>
    <mergeCell ref="Q3:Q5"/>
    <mergeCell ref="R3:R5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L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customWidth="1"/>
    <col min="2" max="2" width="13.28125" style="0" customWidth="1"/>
    <col min="3" max="3" width="11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4.140625" style="0" customWidth="1"/>
    <col min="8" max="10" width="11.421875" style="0" customWidth="1"/>
  </cols>
  <sheetData>
    <row r="1" spans="1:10" ht="24.75" customHeight="1">
      <c r="A1" s="926" t="s">
        <v>439</v>
      </c>
      <c r="B1" s="926"/>
      <c r="C1" s="926"/>
      <c r="D1" s="926"/>
      <c r="E1" s="926"/>
      <c r="F1" s="926"/>
      <c r="G1" s="926"/>
      <c r="H1" s="926"/>
      <c r="I1" s="926"/>
      <c r="J1" s="926"/>
    </row>
    <row r="2" ht="13.5" thickBot="1">
      <c r="A2" t="s">
        <v>117</v>
      </c>
    </row>
    <row r="3" spans="1:10" ht="13.5" customHeight="1" thickBot="1" thickTop="1">
      <c r="A3" s="932" t="s">
        <v>45</v>
      </c>
      <c r="B3" s="930" t="s">
        <v>381</v>
      </c>
      <c r="C3" s="927" t="s">
        <v>78</v>
      </c>
      <c r="D3" s="927"/>
      <c r="E3" s="927"/>
      <c r="F3" s="927"/>
      <c r="G3" s="927"/>
      <c r="H3" s="927"/>
      <c r="I3" s="927"/>
      <c r="J3" s="928" t="s">
        <v>56</v>
      </c>
    </row>
    <row r="4" spans="1:10" ht="49.5" customHeight="1" thickBot="1">
      <c r="A4" s="933"/>
      <c r="B4" s="931"/>
      <c r="C4" s="542" t="s">
        <v>79</v>
      </c>
      <c r="D4" s="586" t="s">
        <v>80</v>
      </c>
      <c r="E4" s="586" t="s">
        <v>81</v>
      </c>
      <c r="F4" s="586" t="s">
        <v>407</v>
      </c>
      <c r="G4" s="586" t="s">
        <v>372</v>
      </c>
      <c r="H4" s="586" t="s">
        <v>375</v>
      </c>
      <c r="I4" s="586" t="s">
        <v>408</v>
      </c>
      <c r="J4" s="929"/>
    </row>
    <row r="5" spans="1:12" ht="12.75" customHeight="1" thickTop="1">
      <c r="A5" s="678" t="s">
        <v>33</v>
      </c>
      <c r="B5" s="57">
        <v>113000</v>
      </c>
      <c r="C5" s="57"/>
      <c r="D5" s="57"/>
      <c r="E5" s="57"/>
      <c r="F5" s="88"/>
      <c r="G5" s="88">
        <v>80000</v>
      </c>
      <c r="H5" s="88"/>
      <c r="I5" s="88">
        <v>33000</v>
      </c>
      <c r="J5" s="23">
        <f>SUM(C5:I5)</f>
        <v>113000</v>
      </c>
      <c r="L5" s="2"/>
    </row>
    <row r="6" spans="1:12" ht="12.75" customHeight="1">
      <c r="A6" s="678" t="s">
        <v>414</v>
      </c>
      <c r="B6" s="57">
        <v>45000</v>
      </c>
      <c r="C6" s="57"/>
      <c r="D6" s="57"/>
      <c r="E6" s="57"/>
      <c r="F6" s="88"/>
      <c r="G6" s="88">
        <v>8876</v>
      </c>
      <c r="H6" s="88"/>
      <c r="I6" s="88">
        <f>45000-8876</f>
        <v>36124</v>
      </c>
      <c r="J6" s="23">
        <f>SUM(C6:I6)</f>
        <v>45000</v>
      </c>
      <c r="L6" s="2"/>
    </row>
    <row r="7" spans="1:12" ht="12.75" customHeight="1">
      <c r="A7" s="678" t="s">
        <v>385</v>
      </c>
      <c r="B7" s="57">
        <v>504156</v>
      </c>
      <c r="C7" s="57"/>
      <c r="D7" s="57"/>
      <c r="E7" s="57"/>
      <c r="F7" s="88"/>
      <c r="G7" s="88">
        <v>503</v>
      </c>
      <c r="H7" s="88">
        <v>503653</v>
      </c>
      <c r="I7" s="88"/>
      <c r="J7" s="23">
        <f aca="true" t="shared" si="0" ref="J7:J20">SUM(C7:I7)</f>
        <v>504156</v>
      </c>
      <c r="L7" s="2"/>
    </row>
    <row r="8" spans="1:12" ht="12.75" customHeight="1">
      <c r="A8" s="678" t="s">
        <v>396</v>
      </c>
      <c r="B8" s="57"/>
      <c r="C8" s="57"/>
      <c r="D8" s="57"/>
      <c r="E8" s="57"/>
      <c r="F8" s="88"/>
      <c r="G8" s="88"/>
      <c r="H8" s="88"/>
      <c r="I8" s="88"/>
      <c r="J8" s="23">
        <f t="shared" si="0"/>
        <v>0</v>
      </c>
      <c r="L8" s="2"/>
    </row>
    <row r="9" spans="1:12" ht="12.75" customHeight="1">
      <c r="A9" s="678" t="s">
        <v>397</v>
      </c>
      <c r="B9" s="57">
        <v>137500</v>
      </c>
      <c r="C9" s="57"/>
      <c r="D9" s="57"/>
      <c r="E9" s="57"/>
      <c r="F9" s="88"/>
      <c r="G9" s="88">
        <v>7500</v>
      </c>
      <c r="H9" s="88"/>
      <c r="I9" s="88">
        <v>130000</v>
      </c>
      <c r="J9" s="23">
        <f t="shared" si="0"/>
        <v>137500</v>
      </c>
      <c r="L9" s="2"/>
    </row>
    <row r="10" spans="1:12" ht="12.75" customHeight="1">
      <c r="A10" s="678" t="s">
        <v>398</v>
      </c>
      <c r="B10" s="57">
        <v>90000</v>
      </c>
      <c r="C10" s="57"/>
      <c r="D10" s="57"/>
      <c r="E10" s="57"/>
      <c r="F10" s="88"/>
      <c r="G10" s="88"/>
      <c r="H10" s="88"/>
      <c r="I10" s="88">
        <v>90000</v>
      </c>
      <c r="J10" s="23">
        <f t="shared" si="0"/>
        <v>90000</v>
      </c>
      <c r="L10" s="2"/>
    </row>
    <row r="11" spans="1:12" ht="12.75" customHeight="1">
      <c r="A11" s="678" t="s">
        <v>419</v>
      </c>
      <c r="B11" s="57">
        <v>99957</v>
      </c>
      <c r="C11" s="57"/>
      <c r="D11" s="57"/>
      <c r="E11" s="57"/>
      <c r="F11" s="88">
        <v>88166</v>
      </c>
      <c r="G11" s="88"/>
      <c r="H11" s="88"/>
      <c r="I11" s="88">
        <v>11791</v>
      </c>
      <c r="J11" s="23">
        <f t="shared" si="0"/>
        <v>99957</v>
      </c>
      <c r="L11" s="2"/>
    </row>
    <row r="12" spans="1:12" ht="12.75" customHeight="1">
      <c r="A12" s="678" t="s">
        <v>420</v>
      </c>
      <c r="B12" s="57">
        <v>106521</v>
      </c>
      <c r="C12" s="57"/>
      <c r="D12" s="57"/>
      <c r="E12" s="57"/>
      <c r="F12" s="88">
        <v>72785</v>
      </c>
      <c r="G12" s="88"/>
      <c r="H12" s="88"/>
      <c r="I12" s="88">
        <v>33736</v>
      </c>
      <c r="J12" s="23">
        <f t="shared" si="0"/>
        <v>106521</v>
      </c>
      <c r="L12" s="2"/>
    </row>
    <row r="13" spans="1:12" ht="12.75" customHeight="1">
      <c r="A13" s="678" t="s">
        <v>418</v>
      </c>
      <c r="B13" s="57">
        <v>122385</v>
      </c>
      <c r="C13" s="57"/>
      <c r="D13" s="57"/>
      <c r="E13" s="57"/>
      <c r="F13" s="88">
        <v>109677</v>
      </c>
      <c r="G13" s="88"/>
      <c r="H13" s="88"/>
      <c r="I13" s="88">
        <v>12708</v>
      </c>
      <c r="J13" s="23">
        <f t="shared" si="0"/>
        <v>122385</v>
      </c>
      <c r="L13" s="2"/>
    </row>
    <row r="14" spans="1:12" ht="12.75" customHeight="1">
      <c r="A14" s="678" t="s">
        <v>333</v>
      </c>
      <c r="B14" s="57">
        <v>60000</v>
      </c>
      <c r="C14" s="57"/>
      <c r="D14" s="57"/>
      <c r="E14" s="57"/>
      <c r="F14" s="88"/>
      <c r="G14" s="88">
        <v>60000</v>
      </c>
      <c r="H14" s="88"/>
      <c r="I14" s="88"/>
      <c r="J14" s="23">
        <f t="shared" si="0"/>
        <v>60000</v>
      </c>
      <c r="L14" s="2"/>
    </row>
    <row r="15" spans="1:12" ht="12.75" customHeight="1">
      <c r="A15" s="678" t="s">
        <v>399</v>
      </c>
      <c r="B15" s="57">
        <v>259552</v>
      </c>
      <c r="C15" s="57"/>
      <c r="D15" s="57"/>
      <c r="E15" s="57"/>
      <c r="F15" s="88"/>
      <c r="G15" s="88"/>
      <c r="H15" s="88">
        <v>223048</v>
      </c>
      <c r="I15" s="88">
        <v>36504</v>
      </c>
      <c r="J15" s="23">
        <f t="shared" si="0"/>
        <v>259552</v>
      </c>
      <c r="L15" s="2"/>
    </row>
    <row r="16" spans="1:12" ht="12.75" customHeight="1">
      <c r="A16" s="678" t="s">
        <v>400</v>
      </c>
      <c r="B16" s="57">
        <v>392852</v>
      </c>
      <c r="C16" s="57"/>
      <c r="D16" s="57"/>
      <c r="E16" s="57"/>
      <c r="F16" s="88">
        <v>392852</v>
      </c>
      <c r="G16" s="88"/>
      <c r="H16" s="88"/>
      <c r="I16" s="88"/>
      <c r="J16" s="23">
        <f t="shared" si="0"/>
        <v>392852</v>
      </c>
      <c r="L16" s="2"/>
    </row>
    <row r="17" spans="1:12" ht="12.75" customHeight="1">
      <c r="A17" s="678" t="s">
        <v>401</v>
      </c>
      <c r="B17" s="57">
        <v>145000</v>
      </c>
      <c r="C17" s="57"/>
      <c r="D17" s="57"/>
      <c r="E17" s="57"/>
      <c r="F17" s="88"/>
      <c r="G17" s="88"/>
      <c r="H17" s="88"/>
      <c r="I17" s="88">
        <v>145000</v>
      </c>
      <c r="J17" s="23">
        <f t="shared" si="0"/>
        <v>145000</v>
      </c>
      <c r="L17" s="2"/>
    </row>
    <row r="18" spans="1:12" ht="12.75" customHeight="1">
      <c r="A18" s="678" t="s">
        <v>402</v>
      </c>
      <c r="B18" s="57">
        <v>10200</v>
      </c>
      <c r="C18" s="57"/>
      <c r="D18" s="57"/>
      <c r="E18" s="57"/>
      <c r="F18" s="88"/>
      <c r="G18" s="88">
        <v>10200</v>
      </c>
      <c r="H18" s="88"/>
      <c r="I18" s="88"/>
      <c r="J18" s="23">
        <f t="shared" si="0"/>
        <v>10200</v>
      </c>
      <c r="L18" s="2"/>
    </row>
    <row r="19" spans="1:12" ht="12.75" customHeight="1">
      <c r="A19" s="678" t="s">
        <v>403</v>
      </c>
      <c r="B19" s="26">
        <v>20000</v>
      </c>
      <c r="C19" s="26"/>
      <c r="D19" s="26"/>
      <c r="E19" s="26"/>
      <c r="F19" s="25"/>
      <c r="G19" s="25"/>
      <c r="H19" s="25"/>
      <c r="I19" s="25">
        <v>20000</v>
      </c>
      <c r="J19" s="27">
        <f t="shared" si="0"/>
        <v>20000</v>
      </c>
      <c r="L19" s="2"/>
    </row>
    <row r="20" spans="1:12" ht="12.75" customHeight="1">
      <c r="A20" s="678" t="s">
        <v>410</v>
      </c>
      <c r="B20" s="44">
        <v>2262</v>
      </c>
      <c r="C20" s="44"/>
      <c r="D20" s="44"/>
      <c r="E20" s="44"/>
      <c r="F20" s="90"/>
      <c r="G20" s="90">
        <v>2262</v>
      </c>
      <c r="H20" s="90"/>
      <c r="I20" s="90"/>
      <c r="J20" s="27">
        <f t="shared" si="0"/>
        <v>2262</v>
      </c>
      <c r="L20" s="2"/>
    </row>
    <row r="21" spans="1:12" ht="12.75" customHeight="1">
      <c r="A21" s="678" t="s">
        <v>405</v>
      </c>
      <c r="B21" s="44">
        <v>8000</v>
      </c>
      <c r="C21" s="44"/>
      <c r="D21" s="44"/>
      <c r="E21" s="44"/>
      <c r="F21" s="90"/>
      <c r="G21" s="90">
        <v>8000</v>
      </c>
      <c r="H21" s="90"/>
      <c r="I21" s="90"/>
      <c r="J21" s="27">
        <f aca="true" t="shared" si="1" ref="J21:J29">SUM(C21:I21)</f>
        <v>8000</v>
      </c>
      <c r="L21" s="2"/>
    </row>
    <row r="22" spans="1:12" ht="12.75" customHeight="1">
      <c r="A22" s="678" t="s">
        <v>404</v>
      </c>
      <c r="B22" s="44">
        <v>432884</v>
      </c>
      <c r="C22" s="44"/>
      <c r="D22" s="44"/>
      <c r="E22" s="44"/>
      <c r="F22" s="90"/>
      <c r="G22" s="90"/>
      <c r="H22" s="90"/>
      <c r="I22" s="90">
        <v>432884</v>
      </c>
      <c r="J22" s="27">
        <f t="shared" si="1"/>
        <v>432884</v>
      </c>
      <c r="L22" s="2"/>
    </row>
    <row r="23" spans="1:12" ht="12.75" customHeight="1">
      <c r="A23" s="678" t="s">
        <v>406</v>
      </c>
      <c r="B23" s="44">
        <v>402000</v>
      </c>
      <c r="C23" s="44"/>
      <c r="D23" s="44"/>
      <c r="E23" s="44"/>
      <c r="F23" s="90"/>
      <c r="G23" s="90"/>
      <c r="H23" s="90">
        <v>402000</v>
      </c>
      <c r="I23" s="90"/>
      <c r="J23" s="27">
        <f t="shared" si="1"/>
        <v>402000</v>
      </c>
      <c r="L23" s="2"/>
    </row>
    <row r="24" spans="1:12" ht="12.75" customHeight="1">
      <c r="A24" s="678" t="s">
        <v>38</v>
      </c>
      <c r="B24" s="44">
        <v>10000</v>
      </c>
      <c r="C24" s="44"/>
      <c r="D24" s="44">
        <v>6000</v>
      </c>
      <c r="E24" s="44"/>
      <c r="F24" s="90"/>
      <c r="G24" s="90">
        <v>4000</v>
      </c>
      <c r="H24" s="90"/>
      <c r="I24" s="90"/>
      <c r="J24" s="27">
        <f t="shared" si="1"/>
        <v>10000</v>
      </c>
      <c r="L24" s="2"/>
    </row>
    <row r="25" spans="1:12" ht="12.75" customHeight="1">
      <c r="A25" s="678" t="s">
        <v>431</v>
      </c>
      <c r="B25" s="44">
        <v>90000</v>
      </c>
      <c r="C25" s="44"/>
      <c r="D25" s="44">
        <v>90000</v>
      </c>
      <c r="E25" s="44"/>
      <c r="F25" s="90"/>
      <c r="G25" s="90"/>
      <c r="H25" s="90"/>
      <c r="I25" s="90"/>
      <c r="J25" s="27">
        <v>90000</v>
      </c>
      <c r="L25" s="2"/>
    </row>
    <row r="26" spans="1:12" ht="12.75" customHeight="1" thickBot="1">
      <c r="A26" s="678" t="s">
        <v>325</v>
      </c>
      <c r="B26" s="44">
        <v>13777</v>
      </c>
      <c r="C26" s="44"/>
      <c r="D26" s="44"/>
      <c r="E26" s="44"/>
      <c r="F26" s="90"/>
      <c r="G26" s="90">
        <v>13777</v>
      </c>
      <c r="H26" s="90"/>
      <c r="I26" s="90"/>
      <c r="J26" s="27">
        <f t="shared" si="1"/>
        <v>13777</v>
      </c>
      <c r="L26" s="2"/>
    </row>
    <row r="27" spans="1:12" ht="12.75" customHeight="1" hidden="1">
      <c r="A27" s="678"/>
      <c r="B27" s="44"/>
      <c r="C27" s="44"/>
      <c r="D27" s="44"/>
      <c r="E27" s="44"/>
      <c r="F27" s="90"/>
      <c r="G27" s="90"/>
      <c r="H27" s="90"/>
      <c r="I27" s="90"/>
      <c r="J27" s="27">
        <f t="shared" si="1"/>
        <v>0</v>
      </c>
      <c r="L27" s="2">
        <f>J27-B27</f>
        <v>0</v>
      </c>
    </row>
    <row r="28" spans="1:12" ht="12.75" customHeight="1" hidden="1">
      <c r="A28" s="678"/>
      <c r="B28" s="44"/>
      <c r="C28" s="44"/>
      <c r="D28" s="44"/>
      <c r="E28" s="44"/>
      <c r="F28" s="90"/>
      <c r="G28" s="90"/>
      <c r="H28" s="90"/>
      <c r="I28" s="90"/>
      <c r="J28" s="27">
        <f t="shared" si="1"/>
        <v>0</v>
      </c>
      <c r="L28" s="2">
        <f>J28-B28</f>
        <v>0</v>
      </c>
    </row>
    <row r="29" spans="1:12" ht="13.5" customHeight="1" hidden="1" thickBot="1">
      <c r="A29" s="678"/>
      <c r="B29" s="44"/>
      <c r="C29" s="44"/>
      <c r="D29" s="44"/>
      <c r="E29" s="44"/>
      <c r="F29" s="90"/>
      <c r="G29" s="90"/>
      <c r="H29" s="90"/>
      <c r="I29" s="90"/>
      <c r="J29" s="27">
        <f t="shared" si="1"/>
        <v>0</v>
      </c>
      <c r="L29" s="2">
        <f>J29-B29</f>
        <v>0</v>
      </c>
    </row>
    <row r="30" spans="1:10" ht="17.25" thickBot="1" thickTop="1">
      <c r="A30" s="670" t="s">
        <v>363</v>
      </c>
      <c r="B30" s="543">
        <f>SUM(B5:B29)</f>
        <v>3065046</v>
      </c>
      <c r="C30" s="543">
        <f aca="true" t="shared" si="2" ref="C30:I30">SUM(C5:C29)</f>
        <v>0</v>
      </c>
      <c r="D30" s="543">
        <f t="shared" si="2"/>
        <v>96000</v>
      </c>
      <c r="E30" s="543">
        <f t="shared" si="2"/>
        <v>0</v>
      </c>
      <c r="F30" s="543">
        <f>SUM(F5:F29)</f>
        <v>663480</v>
      </c>
      <c r="G30" s="543">
        <f t="shared" si="2"/>
        <v>195118</v>
      </c>
      <c r="H30" s="543">
        <f t="shared" si="2"/>
        <v>1128701</v>
      </c>
      <c r="I30" s="543">
        <f t="shared" si="2"/>
        <v>981747</v>
      </c>
      <c r="J30" s="544">
        <f>SUM(J5:J29)</f>
        <v>3065046</v>
      </c>
    </row>
    <row r="31" ht="13.5" thickTop="1"/>
    <row r="32" ht="12.75">
      <c r="F32" s="2"/>
    </row>
    <row r="33" ht="12.75">
      <c r="F33" s="2"/>
    </row>
    <row r="34" ht="12.75">
      <c r="J34" s="2"/>
    </row>
    <row r="41" spans="6:7" ht="12.75">
      <c r="F41" s="2"/>
      <c r="G41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J27 J14:J20 J5 J7:J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8.57421875" style="0" customWidth="1"/>
    <col min="2" max="2" width="15.57421875" style="0" customWidth="1"/>
    <col min="3" max="3" width="13.421875" style="0" customWidth="1"/>
    <col min="4" max="4" width="13.57421875" style="0" customWidth="1"/>
    <col min="5" max="8" width="13.140625" style="0" customWidth="1"/>
    <col min="9" max="9" width="14.7109375" style="0" customWidth="1"/>
  </cols>
  <sheetData>
    <row r="1" ht="13.5" thickBot="1"/>
    <row r="2" spans="1:4" ht="33" thickBot="1" thickTop="1">
      <c r="A2" s="728" t="s">
        <v>422</v>
      </c>
      <c r="B2" s="736" t="s">
        <v>429</v>
      </c>
      <c r="C2" s="736" t="s">
        <v>426</v>
      </c>
      <c r="D2" s="737" t="s">
        <v>430</v>
      </c>
    </row>
    <row r="3" spans="1:7" ht="13.5" thickTop="1">
      <c r="A3" s="729" t="s">
        <v>33</v>
      </c>
      <c r="B3" s="738">
        <v>34504</v>
      </c>
      <c r="C3" s="734">
        <v>45496</v>
      </c>
      <c r="D3" s="730">
        <f>B3+C3</f>
        <v>80000</v>
      </c>
      <c r="G3" s="2"/>
    </row>
    <row r="4" spans="1:7" ht="12.75">
      <c r="A4" s="746" t="s">
        <v>414</v>
      </c>
      <c r="B4" s="747"/>
      <c r="C4" s="748">
        <v>8876</v>
      </c>
      <c r="D4" s="732">
        <f aca="true" t="shared" si="0" ref="D4:D13">B4+C4</f>
        <v>8876</v>
      </c>
      <c r="G4" s="2"/>
    </row>
    <row r="5" spans="1:4" ht="12.75">
      <c r="A5" s="731" t="s">
        <v>385</v>
      </c>
      <c r="B5" s="739">
        <v>503</v>
      </c>
      <c r="C5" s="735"/>
      <c r="D5" s="732">
        <f t="shared" si="0"/>
        <v>503</v>
      </c>
    </row>
    <row r="6" spans="1:4" ht="12.75">
      <c r="A6" s="731" t="s">
        <v>397</v>
      </c>
      <c r="B6" s="739">
        <v>7500</v>
      </c>
      <c r="C6" s="735"/>
      <c r="D6" s="733">
        <f t="shared" si="0"/>
        <v>7500</v>
      </c>
    </row>
    <row r="7" spans="1:4" ht="12.75">
      <c r="A7" s="731" t="s">
        <v>333</v>
      </c>
      <c r="B7" s="739">
        <v>60000</v>
      </c>
      <c r="C7" s="735"/>
      <c r="D7" s="733">
        <f t="shared" si="0"/>
        <v>60000</v>
      </c>
    </row>
    <row r="8" spans="1:4" ht="12.75">
      <c r="A8" s="731" t="s">
        <v>402</v>
      </c>
      <c r="B8" s="739">
        <v>10200</v>
      </c>
      <c r="C8" s="735"/>
      <c r="D8" s="733">
        <f t="shared" si="0"/>
        <v>10200</v>
      </c>
    </row>
    <row r="9" spans="1:4" ht="12.75">
      <c r="A9" s="731" t="s">
        <v>410</v>
      </c>
      <c r="B9" s="739">
        <v>2262</v>
      </c>
      <c r="C9" s="735"/>
      <c r="D9" s="733">
        <f t="shared" si="0"/>
        <v>2262</v>
      </c>
    </row>
    <row r="10" spans="1:4" ht="12.75">
      <c r="A10" s="731" t="s">
        <v>405</v>
      </c>
      <c r="B10" s="739">
        <v>8000</v>
      </c>
      <c r="C10" s="735"/>
      <c r="D10" s="733">
        <f t="shared" si="0"/>
        <v>8000</v>
      </c>
    </row>
    <row r="11" spans="1:4" ht="12.75">
      <c r="A11" s="731" t="s">
        <v>38</v>
      </c>
      <c r="B11" s="739">
        <v>10000</v>
      </c>
      <c r="C11" s="735">
        <v>-6000</v>
      </c>
      <c r="D11" s="733">
        <f t="shared" si="0"/>
        <v>4000</v>
      </c>
    </row>
    <row r="12" spans="1:4" ht="13.5" thickBot="1">
      <c r="A12" s="731" t="s">
        <v>325</v>
      </c>
      <c r="B12" s="739">
        <v>13777</v>
      </c>
      <c r="C12" s="735"/>
      <c r="D12" s="733">
        <f t="shared" si="0"/>
        <v>13777</v>
      </c>
    </row>
    <row r="13" spans="1:4" ht="12.75" hidden="1">
      <c r="A13" s="731"/>
      <c r="B13" s="739"/>
      <c r="C13" s="735"/>
      <c r="D13" s="733">
        <f t="shared" si="0"/>
        <v>0</v>
      </c>
    </row>
    <row r="14" spans="1:4" ht="12.75" hidden="1">
      <c r="A14" s="731"/>
      <c r="B14" s="739"/>
      <c r="C14" s="735"/>
      <c r="D14" s="733"/>
    </row>
    <row r="15" spans="1:4" ht="12.75" hidden="1">
      <c r="A15" s="731"/>
      <c r="B15" s="739"/>
      <c r="C15" s="735"/>
      <c r="D15" s="733"/>
    </row>
    <row r="16" spans="1:4" ht="13.5" hidden="1" thickBot="1">
      <c r="A16" s="742"/>
      <c r="B16" s="743"/>
      <c r="C16" s="744"/>
      <c r="D16" s="745"/>
    </row>
    <row r="17" spans="1:4" ht="17.25" thickBot="1" thickTop="1">
      <c r="A17" s="728" t="s">
        <v>50</v>
      </c>
      <c r="B17" s="740">
        <f>SUM(B3:B16)</f>
        <v>146746</v>
      </c>
      <c r="C17" s="740">
        <f>SUM(C3:C16)</f>
        <v>48372</v>
      </c>
      <c r="D17" s="741">
        <f>SUM(D3:D16)</f>
        <v>195118</v>
      </c>
    </row>
    <row r="18" ht="13.5" thickTop="1"/>
    <row r="21" ht="12.75">
      <c r="D21" s="2"/>
    </row>
    <row r="22" ht="12.75">
      <c r="D22" s="2"/>
    </row>
    <row r="23" ht="12.75">
      <c r="D23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2023-02-14T08:20:04Z</cp:lastPrinted>
  <dcterms:created xsi:type="dcterms:W3CDTF">2009-12-28T11:25:53Z</dcterms:created>
  <dcterms:modified xsi:type="dcterms:W3CDTF">2023-02-14T08:22:58Z</dcterms:modified>
  <cp:category/>
  <cp:version/>
  <cp:contentType/>
  <cp:contentStatus/>
</cp:coreProperties>
</file>