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55" yWindow="255" windowWidth="22335" windowHeight="11985" firstSheet="3" activeTab="6"/>
  </bookViews>
  <sheets>
    <sheet name="Bežné príjmy" sheetId="1" r:id="rId1"/>
    <sheet name="bežné výdavky" sheetId="2" r:id="rId2"/>
    <sheet name="Kapitálové príjmy" sheetId="3" r:id="rId3"/>
    <sheet name="Kapitálové výdavky" sheetId="4" r:id="rId4"/>
    <sheet name="Fin operácie - príjmy" sheetId="5" r:id="rId5"/>
    <sheet name="Finančné operácie - výdavky" sheetId="6" r:id="rId6"/>
    <sheet name="HOSP." sheetId="7" r:id="rId7"/>
    <sheet name="SUM." sheetId="9" r:id="rId8"/>
  </sheets>
  <definedNames>
    <definedName name="_xlnm.Print_Area" localSheetId="1">'bežné výdavky'!$A$1:$T$213</definedName>
    <definedName name="_xlnm.Print_Area" localSheetId="5">'Finančné operácie - výdavky'!$A$2:$T$13</definedName>
  </definedNames>
  <calcPr calcId="144525"/>
</workbook>
</file>

<file path=xl/calcChain.xml><?xml version="1.0" encoding="utf-8"?>
<calcChain xmlns="http://schemas.openxmlformats.org/spreadsheetml/2006/main">
  <c r="S205" i="2" l="1"/>
  <c r="S60" i="2" l="1"/>
  <c r="S66" i="2"/>
  <c r="S10" i="5" l="1"/>
  <c r="C19" i="9" l="1"/>
  <c r="C18" i="9"/>
  <c r="D9" i="9"/>
  <c r="C9" i="9"/>
  <c r="D8" i="9"/>
  <c r="C8" i="9"/>
  <c r="C4" i="9"/>
  <c r="C3" i="9"/>
  <c r="B20" i="9"/>
  <c r="B14" i="9"/>
  <c r="B13" i="9"/>
  <c r="B15" i="9" s="1"/>
  <c r="B10" i="9"/>
  <c r="B5" i="9"/>
  <c r="B21" i="9" s="1"/>
  <c r="E8" i="9" l="1"/>
  <c r="C10" i="9"/>
  <c r="C20" i="9"/>
  <c r="C14" i="9"/>
  <c r="D10" i="9"/>
  <c r="C13" i="9"/>
  <c r="C15" i="9" s="1"/>
  <c r="E9" i="9"/>
  <c r="C5" i="9"/>
  <c r="C21" i="9" l="1"/>
  <c r="S208" i="2" l="1"/>
  <c r="S158" i="2"/>
  <c r="S9" i="5" l="1"/>
  <c r="S12" i="6"/>
  <c r="S5" i="6"/>
  <c r="S19" i="4"/>
  <c r="S96" i="4"/>
  <c r="S113" i="4"/>
  <c r="R130" i="4"/>
  <c r="S130" i="4"/>
  <c r="T130" i="4" s="1"/>
  <c r="S139" i="4"/>
  <c r="S105" i="4"/>
  <c r="S86" i="4"/>
  <c r="S43" i="4"/>
  <c r="S26" i="4"/>
  <c r="S25" i="4"/>
  <c r="S73" i="2"/>
  <c r="S206" i="2"/>
  <c r="S207" i="2"/>
  <c r="S196" i="2"/>
  <c r="S199" i="2"/>
  <c r="S198" i="2"/>
  <c r="S197" i="2"/>
  <c r="S200" i="2"/>
  <c r="S151" i="2"/>
  <c r="S167" i="2"/>
  <c r="S147" i="2"/>
  <c r="S128" i="2"/>
  <c r="S131" i="2"/>
  <c r="S53" i="2" l="1"/>
  <c r="S86" i="1" l="1"/>
  <c r="S84" i="1"/>
  <c r="S83" i="1"/>
  <c r="S89" i="1"/>
  <c r="S80" i="1"/>
  <c r="S95" i="1"/>
  <c r="T95" i="1"/>
  <c r="S66" i="1"/>
  <c r="S60" i="1"/>
  <c r="S49" i="1"/>
  <c r="S50" i="1"/>
  <c r="S56" i="1"/>
  <c r="S53" i="1"/>
  <c r="S46" i="1"/>
  <c r="S55" i="1"/>
  <c r="S42" i="1"/>
  <c r="S38" i="1"/>
  <c r="S33" i="1"/>
  <c r="T12" i="6"/>
  <c r="T11" i="6"/>
  <c r="T10" i="6"/>
  <c r="T9" i="6"/>
  <c r="T8" i="6"/>
  <c r="T7" i="6"/>
  <c r="T6" i="6"/>
  <c r="T5" i="6"/>
  <c r="T21" i="5"/>
  <c r="T20" i="5"/>
  <c r="T19" i="5"/>
  <c r="T18" i="5"/>
  <c r="T17" i="5"/>
  <c r="T16" i="5"/>
  <c r="T15" i="5"/>
  <c r="T14" i="5"/>
  <c r="T12" i="5"/>
  <c r="T11" i="5"/>
  <c r="T10" i="5"/>
  <c r="T9" i="5"/>
  <c r="T8" i="5"/>
  <c r="T7" i="5"/>
  <c r="T6" i="5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29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7" i="4"/>
  <c r="T76" i="4"/>
  <c r="T75" i="4"/>
  <c r="T73" i="4"/>
  <c r="T72" i="4"/>
  <c r="T71" i="4"/>
  <c r="T70" i="4"/>
  <c r="T69" i="4"/>
  <c r="T68" i="4"/>
  <c r="T67" i="4"/>
  <c r="T65" i="4"/>
  <c r="T64" i="4"/>
  <c r="T63" i="4"/>
  <c r="T62" i="4"/>
  <c r="T61" i="4"/>
  <c r="T60" i="4"/>
  <c r="T59" i="4"/>
  <c r="T58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1" i="4"/>
  <c r="T10" i="4"/>
  <c r="T8" i="4"/>
  <c r="T7" i="4"/>
  <c r="T6" i="4"/>
  <c r="T5" i="4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6" i="3"/>
  <c r="T15" i="3"/>
  <c r="T14" i="3"/>
  <c r="T13" i="3"/>
  <c r="T12" i="3"/>
  <c r="T10" i="3"/>
  <c r="T9" i="3"/>
  <c r="T8" i="3"/>
  <c r="T209" i="2"/>
  <c r="T208" i="2"/>
  <c r="T207" i="2"/>
  <c r="T206" i="2"/>
  <c r="T205" i="2"/>
  <c r="T204" i="2"/>
  <c r="T203" i="2"/>
  <c r="T202" i="2"/>
  <c r="T201" i="2"/>
  <c r="T200" i="2"/>
  <c r="T199" i="2"/>
  <c r="T198" i="2"/>
  <c r="T197" i="2"/>
  <c r="T194" i="2"/>
  <c r="T193" i="2"/>
  <c r="T192" i="2"/>
  <c r="T191" i="2"/>
  <c r="T189" i="2"/>
  <c r="T188" i="2"/>
  <c r="T187" i="2"/>
  <c r="T186" i="2"/>
  <c r="T185" i="2"/>
  <c r="T183" i="2"/>
  <c r="T181" i="2"/>
  <c r="T180" i="2"/>
  <c r="T179" i="2"/>
  <c r="T178" i="2"/>
  <c r="T177" i="2"/>
  <c r="T176" i="2"/>
  <c r="T173" i="2"/>
  <c r="T172" i="2"/>
  <c r="T171" i="2"/>
  <c r="T170" i="2"/>
  <c r="T169" i="2"/>
  <c r="T168" i="2"/>
  <c r="T167" i="2"/>
  <c r="T166" i="2"/>
  <c r="T165" i="2"/>
  <c r="T164" i="2"/>
  <c r="T163" i="2"/>
  <c r="T162" i="2"/>
  <c r="T161" i="2"/>
  <c r="T160" i="2"/>
  <c r="T159" i="2"/>
  <c r="T158" i="2"/>
  <c r="T157" i="2"/>
  <c r="T155" i="2"/>
  <c r="T154" i="2"/>
  <c r="T153" i="2"/>
  <c r="T152" i="2"/>
  <c r="T149" i="2"/>
  <c r="T148" i="2"/>
  <c r="T147" i="2"/>
  <c r="T146" i="2"/>
  <c r="T144" i="2"/>
  <c r="T143" i="2"/>
  <c r="T141" i="2"/>
  <c r="T140" i="2"/>
  <c r="T139" i="2"/>
  <c r="T138" i="2"/>
  <c r="T137" i="2"/>
  <c r="T136" i="2"/>
  <c r="T135" i="2"/>
  <c r="T134" i="2"/>
  <c r="T133" i="2"/>
  <c r="T132" i="2"/>
  <c r="T131" i="2"/>
  <c r="T130" i="2"/>
  <c r="T129" i="2"/>
  <c r="T128" i="2"/>
  <c r="T126" i="2"/>
  <c r="T125" i="2"/>
  <c r="T124" i="2"/>
  <c r="T123" i="2"/>
  <c r="T121" i="2"/>
  <c r="T120" i="2"/>
  <c r="T119" i="2"/>
  <c r="T118" i="2"/>
  <c r="T117" i="2"/>
  <c r="T116" i="2"/>
  <c r="T114" i="2"/>
  <c r="T113" i="2"/>
  <c r="T111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T96" i="2"/>
  <c r="T95" i="2"/>
  <c r="T94" i="2"/>
  <c r="T93" i="2"/>
  <c r="T92" i="2"/>
  <c r="T90" i="2"/>
  <c r="T89" i="2"/>
  <c r="T88" i="2"/>
  <c r="T87" i="2"/>
  <c r="T85" i="2"/>
  <c r="T84" i="2"/>
  <c r="T83" i="2"/>
  <c r="T82" i="2"/>
  <c r="T80" i="2"/>
  <c r="T79" i="2"/>
  <c r="T78" i="2"/>
  <c r="T77" i="2"/>
  <c r="T76" i="2"/>
  <c r="T75" i="2"/>
  <c r="T73" i="2"/>
  <c r="T72" i="2"/>
  <c r="T71" i="2"/>
  <c r="T69" i="2"/>
  <c r="T68" i="2"/>
  <c r="T67" i="2"/>
  <c r="T66" i="2"/>
  <c r="T65" i="2"/>
  <c r="T64" i="2"/>
  <c r="T63" i="2"/>
  <c r="T62" i="2"/>
  <c r="T61" i="2"/>
  <c r="T60" i="2"/>
  <c r="T59" i="2"/>
  <c r="T58" i="2"/>
  <c r="T55" i="2"/>
  <c r="T54" i="2"/>
  <c r="T53" i="2"/>
  <c r="T52" i="2"/>
  <c r="T51" i="2"/>
  <c r="T49" i="2"/>
  <c r="T48" i="2"/>
  <c r="T47" i="2"/>
  <c r="T46" i="2"/>
  <c r="T45" i="2"/>
  <c r="T44" i="2"/>
  <c r="T42" i="2"/>
  <c r="T40" i="2"/>
  <c r="T39" i="2"/>
  <c r="T38" i="2"/>
  <c r="T37" i="2"/>
  <c r="T35" i="2"/>
  <c r="T33" i="2"/>
  <c r="T32" i="2"/>
  <c r="T31" i="2"/>
  <c r="T30" i="2"/>
  <c r="T28" i="2"/>
  <c r="T26" i="2"/>
  <c r="T24" i="2"/>
  <c r="T23" i="2"/>
  <c r="T22" i="2"/>
  <c r="T21" i="2"/>
  <c r="T20" i="2"/>
  <c r="T18" i="2"/>
  <c r="T17" i="2"/>
  <c r="T16" i="2"/>
  <c r="T15" i="2"/>
  <c r="T13" i="2"/>
  <c r="T12" i="2"/>
  <c r="T11" i="2"/>
  <c r="T9" i="2"/>
  <c r="T8" i="2"/>
  <c r="T7" i="2"/>
  <c r="T6" i="2"/>
  <c r="T5" i="2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1" i="1"/>
  <c r="T70" i="1"/>
  <c r="T67" i="1"/>
  <c r="T66" i="1"/>
  <c r="T65" i="1"/>
  <c r="T64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4" i="1"/>
  <c r="T43" i="1"/>
  <c r="T42" i="1"/>
  <c r="T39" i="1"/>
  <c r="T38" i="1"/>
  <c r="T37" i="1"/>
  <c r="T36" i="1"/>
  <c r="T35" i="1"/>
  <c r="T34" i="1"/>
  <c r="T33" i="1"/>
  <c r="T31" i="1"/>
  <c r="T30" i="1"/>
  <c r="T29" i="1"/>
  <c r="T25" i="1"/>
  <c r="T24" i="1"/>
  <c r="T23" i="1"/>
  <c r="T22" i="1"/>
  <c r="T21" i="1"/>
  <c r="T20" i="1"/>
  <c r="T19" i="1"/>
  <c r="T16" i="1"/>
  <c r="T15" i="1"/>
  <c r="T14" i="1"/>
  <c r="T11" i="1"/>
  <c r="T10" i="1"/>
  <c r="T9" i="1"/>
  <c r="T8" i="1"/>
  <c r="T7" i="1"/>
  <c r="T6" i="1"/>
  <c r="S24" i="1"/>
  <c r="R4" i="4" l="1"/>
  <c r="S4" i="4" l="1"/>
  <c r="T4" i="4" s="1"/>
  <c r="R57" i="4" l="1"/>
  <c r="R74" i="4"/>
  <c r="R66" i="4"/>
  <c r="R113" i="4"/>
  <c r="S66" i="4" l="1"/>
  <c r="S74" i="4"/>
  <c r="T74" i="4" s="1"/>
  <c r="S57" i="4"/>
  <c r="T57" i="4" s="1"/>
  <c r="S36" i="4"/>
  <c r="T36" i="4" s="1"/>
  <c r="T66" i="4" l="1"/>
  <c r="S72" i="1" l="1"/>
  <c r="T72" i="1" s="1"/>
  <c r="R19" i="2" l="1"/>
  <c r="S19" i="3" l="1"/>
  <c r="T19" i="3" s="1"/>
  <c r="Q153" i="4" l="1"/>
  <c r="Q208" i="2"/>
  <c r="Q207" i="2"/>
  <c r="Q206" i="2"/>
  <c r="Q204" i="2"/>
  <c r="Q200" i="2"/>
  <c r="Q199" i="2"/>
  <c r="Q198" i="2"/>
  <c r="Q197" i="2"/>
  <c r="Q190" i="2"/>
  <c r="Q184" i="2"/>
  <c r="Q182" i="2"/>
  <c r="Q175" i="2"/>
  <c r="Q72" i="1"/>
  <c r="Q156" i="2"/>
  <c r="Q151" i="2"/>
  <c r="Q145" i="2"/>
  <c r="Q142" i="2"/>
  <c r="Q127" i="2"/>
  <c r="Q122" i="2"/>
  <c r="Q115" i="2"/>
  <c r="Q110" i="2"/>
  <c r="Q91" i="2"/>
  <c r="Q86" i="2"/>
  <c r="Q81" i="2"/>
  <c r="Q74" i="2"/>
  <c r="Q70" i="2"/>
  <c r="Q64" i="2"/>
  <c r="Q62" i="2"/>
  <c r="Q61" i="2"/>
  <c r="Q57" i="2"/>
  <c r="Q50" i="2"/>
  <c r="Q43" i="2"/>
  <c r="Q41" i="2"/>
  <c r="Q36" i="2"/>
  <c r="Q34" i="2"/>
  <c r="Q29" i="2"/>
  <c r="Q27" i="2"/>
  <c r="Q56" i="2" l="1"/>
  <c r="Q150" i="2"/>
  <c r="Q174" i="2"/>
  <c r="Q196" i="2"/>
  <c r="Q195" i="2" s="1"/>
  <c r="Q25" i="2"/>
  <c r="Q19" i="2"/>
  <c r="Q14" i="2"/>
  <c r="Q10" i="2"/>
  <c r="Q4" i="2"/>
  <c r="Q210" i="2" l="1"/>
  <c r="R12" i="4" l="1"/>
  <c r="R142" i="2" l="1"/>
  <c r="R127" i="2"/>
  <c r="R122" i="2"/>
  <c r="R115" i="2"/>
  <c r="R112" i="2"/>
  <c r="R86" i="2"/>
  <c r="R5" i="5" l="1"/>
  <c r="S5" i="5" l="1"/>
  <c r="T5" i="5" s="1"/>
  <c r="S13" i="6" l="1"/>
  <c r="S151" i="4"/>
  <c r="R151" i="4"/>
  <c r="S148" i="4"/>
  <c r="R148" i="4"/>
  <c r="S146" i="4"/>
  <c r="R146" i="4"/>
  <c r="S128" i="4"/>
  <c r="T128" i="4" s="1"/>
  <c r="R128" i="4"/>
  <c r="S121" i="4"/>
  <c r="R121" i="4"/>
  <c r="T113" i="4"/>
  <c r="S107" i="4"/>
  <c r="R107" i="4"/>
  <c r="S78" i="4"/>
  <c r="R78" i="4"/>
  <c r="R36" i="4"/>
  <c r="S12" i="4"/>
  <c r="S9" i="4"/>
  <c r="T9" i="4" s="1"/>
  <c r="R9" i="4"/>
  <c r="S7" i="3"/>
  <c r="T7" i="3" s="1"/>
  <c r="R196" i="2"/>
  <c r="R195" i="2" s="1"/>
  <c r="S190" i="2"/>
  <c r="T190" i="2" s="1"/>
  <c r="R190" i="2"/>
  <c r="S184" i="2"/>
  <c r="T184" i="2" s="1"/>
  <c r="R184" i="2"/>
  <c r="S182" i="2"/>
  <c r="T182" i="2" s="1"/>
  <c r="R182" i="2"/>
  <c r="S175" i="2"/>
  <c r="T175" i="2" s="1"/>
  <c r="S156" i="2"/>
  <c r="T151" i="2"/>
  <c r="R156" i="2"/>
  <c r="R151" i="2"/>
  <c r="S145" i="2"/>
  <c r="T145" i="2" s="1"/>
  <c r="R145" i="2"/>
  <c r="S142" i="2"/>
  <c r="T142" i="2" s="1"/>
  <c r="S127" i="2"/>
  <c r="T127" i="2" s="1"/>
  <c r="S122" i="2"/>
  <c r="T122" i="2" s="1"/>
  <c r="S115" i="2"/>
  <c r="T115" i="2" s="1"/>
  <c r="S112" i="2"/>
  <c r="T112" i="2" s="1"/>
  <c r="S110" i="2"/>
  <c r="T110" i="2" s="1"/>
  <c r="R110" i="2"/>
  <c r="S91" i="2"/>
  <c r="R91" i="2"/>
  <c r="S86" i="2"/>
  <c r="T86" i="2" s="1"/>
  <c r="S81" i="2"/>
  <c r="T81" i="2" s="1"/>
  <c r="R81" i="2"/>
  <c r="S74" i="2"/>
  <c r="R74" i="2"/>
  <c r="S70" i="2"/>
  <c r="S29" i="2"/>
  <c r="T29" i="2" s="1"/>
  <c r="S27" i="2"/>
  <c r="T27" i="2" s="1"/>
  <c r="S25" i="2"/>
  <c r="T25" i="2" s="1"/>
  <c r="R70" i="2"/>
  <c r="R175" i="2"/>
  <c r="S57" i="2"/>
  <c r="R57" i="2"/>
  <c r="R56" i="2" s="1"/>
  <c r="S50" i="2"/>
  <c r="T50" i="2" s="1"/>
  <c r="R50" i="2"/>
  <c r="S43" i="2"/>
  <c r="T43" i="2" s="1"/>
  <c r="R43" i="2"/>
  <c r="S41" i="2"/>
  <c r="T41" i="2" s="1"/>
  <c r="R41" i="2"/>
  <c r="S36" i="2"/>
  <c r="T36" i="2" s="1"/>
  <c r="R36" i="2"/>
  <c r="S34" i="2"/>
  <c r="T34" i="2" s="1"/>
  <c r="R34" i="2"/>
  <c r="R29" i="2"/>
  <c r="R27" i="2"/>
  <c r="R25" i="2"/>
  <c r="S19" i="2"/>
  <c r="S14" i="2"/>
  <c r="T14" i="2" s="1"/>
  <c r="R14" i="2"/>
  <c r="S10" i="2"/>
  <c r="T10" i="2" s="1"/>
  <c r="R10" i="2"/>
  <c r="S4" i="2"/>
  <c r="T4" i="2" s="1"/>
  <c r="R4" i="2"/>
  <c r="S41" i="1"/>
  <c r="T41" i="1" s="1"/>
  <c r="T13" i="6" l="1"/>
  <c r="D19" i="9"/>
  <c r="Q14" i="7"/>
  <c r="T156" i="2"/>
  <c r="T78" i="4"/>
  <c r="T12" i="4"/>
  <c r="T19" i="2"/>
  <c r="T70" i="2"/>
  <c r="T74" i="2"/>
  <c r="S195" i="2"/>
  <c r="T196" i="2"/>
  <c r="T91" i="2"/>
  <c r="S56" i="2"/>
  <c r="T56" i="2" s="1"/>
  <c r="T57" i="2"/>
  <c r="R150" i="2"/>
  <c r="S174" i="2"/>
  <c r="S210" i="2" s="1"/>
  <c r="S150" i="2"/>
  <c r="R174" i="2"/>
  <c r="R153" i="4"/>
  <c r="S153" i="4"/>
  <c r="E19" i="9" l="1"/>
  <c r="T195" i="2"/>
  <c r="T150" i="2"/>
  <c r="Q10" i="7"/>
  <c r="T153" i="4"/>
  <c r="T174" i="2"/>
  <c r="P10" i="7"/>
  <c r="R210" i="2"/>
  <c r="P6" i="7" s="1"/>
  <c r="S6" i="1"/>
  <c r="R13" i="1"/>
  <c r="R12" i="1" s="1"/>
  <c r="S13" i="1"/>
  <c r="R18" i="1"/>
  <c r="R28" i="1"/>
  <c r="S28" i="1"/>
  <c r="T28" i="1" s="1"/>
  <c r="R32" i="1"/>
  <c r="R41" i="1"/>
  <c r="R45" i="1"/>
  <c r="R58" i="1"/>
  <c r="S58" i="1"/>
  <c r="R60" i="1"/>
  <c r="R63" i="1"/>
  <c r="R62" i="1" s="1"/>
  <c r="S64" i="1"/>
  <c r="S65" i="1"/>
  <c r="R70" i="1"/>
  <c r="S70" i="1"/>
  <c r="R72" i="1"/>
  <c r="R111" i="1"/>
  <c r="R10" i="7" l="1"/>
  <c r="S12" i="1"/>
  <c r="T12" i="1" s="1"/>
  <c r="T13" i="1"/>
  <c r="D4" i="9"/>
  <c r="D14" i="9" s="1"/>
  <c r="T210" i="2"/>
  <c r="Q6" i="7"/>
  <c r="S45" i="1"/>
  <c r="T45" i="1" s="1"/>
  <c r="R6" i="1"/>
  <c r="S69" i="1"/>
  <c r="R69" i="1"/>
  <c r="R68" i="1" s="1"/>
  <c r="S63" i="1"/>
  <c r="S32" i="1"/>
  <c r="R27" i="1"/>
  <c r="R40" i="1"/>
  <c r="S18" i="1"/>
  <c r="R17" i="1"/>
  <c r="E4" i="9" l="1"/>
  <c r="S17" i="1"/>
  <c r="T18" i="1"/>
  <c r="R6" i="7"/>
  <c r="E14" i="9"/>
  <c r="S68" i="1"/>
  <c r="T68" i="1" s="1"/>
  <c r="T69" i="1"/>
  <c r="S62" i="1"/>
  <c r="T62" i="1" s="1"/>
  <c r="T63" i="1"/>
  <c r="S27" i="1"/>
  <c r="T27" i="1" s="1"/>
  <c r="T32" i="1"/>
  <c r="S40" i="1"/>
  <c r="R5" i="1"/>
  <c r="R26" i="1"/>
  <c r="S5" i="1" l="1"/>
  <c r="T17" i="1"/>
  <c r="S26" i="1"/>
  <c r="T40" i="1"/>
  <c r="S114" i="1"/>
  <c r="D3" i="9" s="1"/>
  <c r="R114" i="1"/>
  <c r="P5" i="7" s="1"/>
  <c r="J77" i="7"/>
  <c r="J64" i="7"/>
  <c r="N7" i="7"/>
  <c r="L7" i="7"/>
  <c r="J7" i="7"/>
  <c r="H7" i="7"/>
  <c r="F7" i="7"/>
  <c r="D7" i="7"/>
  <c r="B7" i="7"/>
  <c r="R5" i="6"/>
  <c r="R13" i="6" s="1"/>
  <c r="P14" i="7" s="1"/>
  <c r="R14" i="7" s="1"/>
  <c r="Q5" i="6"/>
  <c r="Q13" i="6" s="1"/>
  <c r="P5" i="6"/>
  <c r="P13" i="6" s="1"/>
  <c r="O5" i="6"/>
  <c r="O13" i="6" s="1"/>
  <c r="N5" i="6"/>
  <c r="M5" i="6"/>
  <c r="M13" i="6" s="1"/>
  <c r="L5" i="6"/>
  <c r="L13" i="6" s="1"/>
  <c r="K5" i="6"/>
  <c r="K13" i="6" s="1"/>
  <c r="J5" i="6"/>
  <c r="J13" i="6" s="1"/>
  <c r="I5" i="6"/>
  <c r="I13" i="6" s="1"/>
  <c r="H5" i="6"/>
  <c r="H13" i="6" s="1"/>
  <c r="G5" i="6"/>
  <c r="G13" i="6" s="1"/>
  <c r="F5" i="6"/>
  <c r="F13" i="6" s="1"/>
  <c r="E5" i="6"/>
  <c r="E13" i="6" s="1"/>
  <c r="D5" i="6"/>
  <c r="D13" i="6" s="1"/>
  <c r="N153" i="4"/>
  <c r="H153" i="4"/>
  <c r="O151" i="4"/>
  <c r="L151" i="4"/>
  <c r="K151" i="4"/>
  <c r="J151" i="4"/>
  <c r="J153" i="4" s="1"/>
  <c r="I151" i="4"/>
  <c r="I153" i="4" s="1"/>
  <c r="K146" i="4"/>
  <c r="M130" i="4"/>
  <c r="L130" i="4"/>
  <c r="K130" i="4"/>
  <c r="M128" i="4"/>
  <c r="M121" i="4"/>
  <c r="L121" i="4"/>
  <c r="K121" i="4"/>
  <c r="M113" i="4"/>
  <c r="L113" i="4"/>
  <c r="K113" i="4"/>
  <c r="M78" i="4"/>
  <c r="L78" i="4"/>
  <c r="K78" i="4"/>
  <c r="M74" i="4"/>
  <c r="L74" i="4"/>
  <c r="K74" i="4"/>
  <c r="M66" i="4"/>
  <c r="L66" i="4"/>
  <c r="K66" i="4"/>
  <c r="M57" i="4"/>
  <c r="L57" i="4"/>
  <c r="K57" i="4"/>
  <c r="M36" i="4"/>
  <c r="L36" i="4"/>
  <c r="K36" i="4"/>
  <c r="M12" i="4"/>
  <c r="K12" i="4"/>
  <c r="M9" i="4"/>
  <c r="K9" i="4"/>
  <c r="R39" i="3"/>
  <c r="Q39" i="3"/>
  <c r="Q38" i="3" s="1"/>
  <c r="Q17" i="3" s="1"/>
  <c r="O39" i="3"/>
  <c r="O38" i="3" s="1"/>
  <c r="N39" i="3"/>
  <c r="N38" i="3" s="1"/>
  <c r="M39" i="3"/>
  <c r="M38" i="3" s="1"/>
  <c r="K39" i="3"/>
  <c r="K38" i="3" s="1"/>
  <c r="J39" i="3"/>
  <c r="J38" i="3" s="1"/>
  <c r="I39" i="3"/>
  <c r="I38" i="3" s="1"/>
  <c r="H39" i="3"/>
  <c r="H38" i="3" s="1"/>
  <c r="G39" i="3"/>
  <c r="G38" i="3" s="1"/>
  <c r="F39" i="3"/>
  <c r="F38" i="3" s="1"/>
  <c r="E39" i="3"/>
  <c r="E38" i="3" s="1"/>
  <c r="D39" i="3"/>
  <c r="D38" i="3" s="1"/>
  <c r="S38" i="3"/>
  <c r="S18" i="3"/>
  <c r="T18" i="3" s="1"/>
  <c r="R19" i="3"/>
  <c r="R18" i="3" s="1"/>
  <c r="N19" i="3"/>
  <c r="N18" i="3" s="1"/>
  <c r="M19" i="3"/>
  <c r="M18" i="3" s="1"/>
  <c r="P18" i="3"/>
  <c r="O18" i="3"/>
  <c r="L18" i="3"/>
  <c r="L17" i="3" s="1"/>
  <c r="K18" i="3"/>
  <c r="J18" i="3"/>
  <c r="I18" i="3"/>
  <c r="G18" i="3"/>
  <c r="F18" i="3"/>
  <c r="E18" i="3"/>
  <c r="D18" i="3"/>
  <c r="P17" i="3"/>
  <c r="S11" i="3"/>
  <c r="R11" i="3"/>
  <c r="Q11" i="3"/>
  <c r="Q6" i="3" s="1"/>
  <c r="Q5" i="3" s="1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R7" i="3"/>
  <c r="R6" i="3" s="1"/>
  <c r="R5" i="3" s="1"/>
  <c r="O7" i="3"/>
  <c r="O6" i="3" s="1"/>
  <c r="O5" i="3" s="1"/>
  <c r="N7" i="3"/>
  <c r="N6" i="3" s="1"/>
  <c r="N5" i="3" s="1"/>
  <c r="M7" i="3"/>
  <c r="M6" i="3" s="1"/>
  <c r="M5" i="3" s="1"/>
  <c r="L7" i="3"/>
  <c r="K7" i="3"/>
  <c r="K6" i="3" s="1"/>
  <c r="K5" i="3" s="1"/>
  <c r="J7" i="3"/>
  <c r="J6" i="3" s="1"/>
  <c r="J5" i="3" s="1"/>
  <c r="I7" i="3"/>
  <c r="I6" i="3" s="1"/>
  <c r="I5" i="3" s="1"/>
  <c r="H7" i="3"/>
  <c r="G7" i="3"/>
  <c r="G6" i="3" s="1"/>
  <c r="G5" i="3" s="1"/>
  <c r="F7" i="3"/>
  <c r="F6" i="3" s="1"/>
  <c r="F5" i="3" s="1"/>
  <c r="E7" i="3"/>
  <c r="E6" i="3" s="1"/>
  <c r="E5" i="3" s="1"/>
  <c r="D7" i="3"/>
  <c r="P6" i="3"/>
  <c r="L6" i="3"/>
  <c r="H6" i="3"/>
  <c r="D6" i="3"/>
  <c r="P5" i="3"/>
  <c r="L5" i="3"/>
  <c r="H5" i="3"/>
  <c r="H42" i="3" s="1"/>
  <c r="D5" i="3"/>
  <c r="K112" i="1"/>
  <c r="J112" i="1"/>
  <c r="I112" i="1"/>
  <c r="L111" i="1"/>
  <c r="K111" i="1"/>
  <c r="J111" i="1"/>
  <c r="I111" i="1"/>
  <c r="H111" i="1"/>
  <c r="G111" i="1"/>
  <c r="F111" i="1"/>
  <c r="E111" i="1"/>
  <c r="D111" i="1"/>
  <c r="O110" i="1"/>
  <c r="N110" i="1"/>
  <c r="N72" i="1" s="1"/>
  <c r="J93" i="1"/>
  <c r="K86" i="1"/>
  <c r="K80" i="1"/>
  <c r="P72" i="1"/>
  <c r="O72" i="1"/>
  <c r="M72" i="1"/>
  <c r="J72" i="1"/>
  <c r="I72" i="1"/>
  <c r="Q70" i="1"/>
  <c r="Q69" i="1" s="1"/>
  <c r="Q68" i="1" s="1"/>
  <c r="P70" i="1"/>
  <c r="P69" i="1" s="1"/>
  <c r="P68" i="1" s="1"/>
  <c r="O70" i="1"/>
  <c r="O69" i="1" s="1"/>
  <c r="O68" i="1" s="1"/>
  <c r="N70" i="1"/>
  <c r="M70" i="1"/>
  <c r="L70" i="1"/>
  <c r="K70" i="1"/>
  <c r="J70" i="1"/>
  <c r="I70" i="1"/>
  <c r="H70" i="1"/>
  <c r="H69" i="1" s="1"/>
  <c r="G70" i="1"/>
  <c r="G69" i="1" s="1"/>
  <c r="G68" i="1" s="1"/>
  <c r="F70" i="1"/>
  <c r="E70" i="1"/>
  <c r="E69" i="1" s="1"/>
  <c r="E68" i="1" s="1"/>
  <c r="D70" i="1"/>
  <c r="D69" i="1" s="1"/>
  <c r="L69" i="1"/>
  <c r="L68" i="1" s="1"/>
  <c r="F69" i="1"/>
  <c r="F68" i="1" s="1"/>
  <c r="K66" i="1"/>
  <c r="K63" i="1" s="1"/>
  <c r="K62" i="1" s="1"/>
  <c r="Q63" i="1"/>
  <c r="Q62" i="1" s="1"/>
  <c r="P63" i="1"/>
  <c r="P62" i="1" s="1"/>
  <c r="O63" i="1"/>
  <c r="O62" i="1" s="1"/>
  <c r="N63" i="1"/>
  <c r="N62" i="1" s="1"/>
  <c r="M63" i="1"/>
  <c r="M62" i="1" s="1"/>
  <c r="L63" i="1"/>
  <c r="L62" i="1" s="1"/>
  <c r="J63" i="1"/>
  <c r="J62" i="1" s="1"/>
  <c r="I63" i="1"/>
  <c r="I62" i="1" s="1"/>
  <c r="G62" i="1"/>
  <c r="F62" i="1"/>
  <c r="E62" i="1"/>
  <c r="D62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P57" i="1"/>
  <c r="P45" i="1" s="1"/>
  <c r="K57" i="1"/>
  <c r="J57" i="1"/>
  <c r="J45" i="1" s="1"/>
  <c r="I57" i="1"/>
  <c r="K54" i="1"/>
  <c r="I53" i="1"/>
  <c r="I52" i="1"/>
  <c r="K49" i="1"/>
  <c r="Q45" i="1"/>
  <c r="O45" i="1"/>
  <c r="N45" i="1"/>
  <c r="M45" i="1"/>
  <c r="L45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K38" i="1"/>
  <c r="K32" i="1" s="1"/>
  <c r="Q32" i="1"/>
  <c r="P32" i="1"/>
  <c r="O32" i="1"/>
  <c r="N32" i="1"/>
  <c r="M32" i="1"/>
  <c r="L32" i="1"/>
  <c r="J32" i="1"/>
  <c r="I32" i="1"/>
  <c r="G32" i="1"/>
  <c r="F32" i="1"/>
  <c r="F27" i="1" s="1"/>
  <c r="E32" i="1"/>
  <c r="D32" i="1"/>
  <c r="D27" i="1" s="1"/>
  <c r="Q28" i="1"/>
  <c r="P28" i="1"/>
  <c r="O28" i="1"/>
  <c r="N28" i="1"/>
  <c r="M28" i="1"/>
  <c r="M27" i="1" s="1"/>
  <c r="L28" i="1"/>
  <c r="K28" i="1"/>
  <c r="J28" i="1"/>
  <c r="I28" i="1"/>
  <c r="G27" i="1"/>
  <c r="E27" i="1"/>
  <c r="K24" i="1"/>
  <c r="I24" i="1"/>
  <c r="I18" i="1" s="1"/>
  <c r="I17" i="1" s="1"/>
  <c r="Q18" i="1"/>
  <c r="Q17" i="1" s="1"/>
  <c r="P18" i="1"/>
  <c r="P17" i="1" s="1"/>
  <c r="O18" i="1"/>
  <c r="O17" i="1" s="1"/>
  <c r="N18" i="1"/>
  <c r="N17" i="1" s="1"/>
  <c r="M18" i="1"/>
  <c r="M17" i="1" s="1"/>
  <c r="L18" i="1"/>
  <c r="L17" i="1" s="1"/>
  <c r="K18" i="1"/>
  <c r="K17" i="1" s="1"/>
  <c r="J18" i="1"/>
  <c r="J17" i="1" s="1"/>
  <c r="H18" i="1"/>
  <c r="H17" i="1" s="1"/>
  <c r="G17" i="1"/>
  <c r="F17" i="1"/>
  <c r="E17" i="1"/>
  <c r="D17" i="1"/>
  <c r="Q13" i="1"/>
  <c r="Q12" i="1" s="1"/>
  <c r="P13" i="1"/>
  <c r="P12" i="1" s="1"/>
  <c r="O13" i="1"/>
  <c r="O12" i="1" s="1"/>
  <c r="N13" i="1"/>
  <c r="N12" i="1" s="1"/>
  <c r="M13" i="1"/>
  <c r="M12" i="1" s="1"/>
  <c r="L13" i="1"/>
  <c r="L12" i="1" s="1"/>
  <c r="K13" i="1"/>
  <c r="K12" i="1" s="1"/>
  <c r="J13" i="1"/>
  <c r="J12" i="1" s="1"/>
  <c r="I13" i="1"/>
  <c r="I12" i="1" s="1"/>
  <c r="G12" i="1"/>
  <c r="F12" i="1"/>
  <c r="E12" i="1"/>
  <c r="D12" i="1"/>
  <c r="Q6" i="1"/>
  <c r="P6" i="1"/>
  <c r="O6" i="1"/>
  <c r="N6" i="1"/>
  <c r="M6" i="1"/>
  <c r="L6" i="1"/>
  <c r="K6" i="1"/>
  <c r="J6" i="1"/>
  <c r="I6" i="1"/>
  <c r="H6" i="1"/>
  <c r="G6" i="1"/>
  <c r="F6" i="1"/>
  <c r="E6" i="1"/>
  <c r="E5" i="1" s="1"/>
  <c r="D6" i="1"/>
  <c r="G5" i="1"/>
  <c r="E3" i="9" l="1"/>
  <c r="D13" i="9"/>
  <c r="D5" i="9"/>
  <c r="T5" i="1"/>
  <c r="T26" i="1"/>
  <c r="S6" i="3"/>
  <c r="T6" i="3" s="1"/>
  <c r="T11" i="3"/>
  <c r="S5" i="3"/>
  <c r="T5" i="3" s="1"/>
  <c r="Q5" i="7"/>
  <c r="Q7" i="7" s="1"/>
  <c r="T114" i="1"/>
  <c r="S17" i="3"/>
  <c r="E17" i="3"/>
  <c r="G17" i="3"/>
  <c r="F40" i="1"/>
  <c r="K72" i="1"/>
  <c r="K69" i="1" s="1"/>
  <c r="K68" i="1" s="1"/>
  <c r="K27" i="1"/>
  <c r="J69" i="1"/>
  <c r="J68" i="1" s="1"/>
  <c r="N40" i="1"/>
  <c r="D5" i="1"/>
  <c r="I27" i="1"/>
  <c r="D40" i="1"/>
  <c r="D26" i="1" s="1"/>
  <c r="H40" i="1"/>
  <c r="D68" i="1"/>
  <c r="H68" i="1"/>
  <c r="Q27" i="1"/>
  <c r="Q5" i="1"/>
  <c r="N17" i="3"/>
  <c r="F5" i="1"/>
  <c r="I5" i="1"/>
  <c r="F26" i="1"/>
  <c r="J27" i="1"/>
  <c r="L27" i="1"/>
  <c r="N27" i="1"/>
  <c r="P27" i="1"/>
  <c r="O27" i="1"/>
  <c r="L40" i="1"/>
  <c r="K45" i="1"/>
  <c r="K40" i="1" s="1"/>
  <c r="K26" i="1" s="1"/>
  <c r="R38" i="3"/>
  <c r="R17" i="3" s="1"/>
  <c r="R42" i="3" s="1"/>
  <c r="P9" i="7" s="1"/>
  <c r="M17" i="3"/>
  <c r="M42" i="3" s="1"/>
  <c r="P7" i="7"/>
  <c r="I69" i="1"/>
  <c r="I68" i="1" s="1"/>
  <c r="M69" i="1"/>
  <c r="M68" i="1" s="1"/>
  <c r="M5" i="1"/>
  <c r="H5" i="1"/>
  <c r="H114" i="1" s="1"/>
  <c r="I45" i="1"/>
  <c r="I40" i="1" s="1"/>
  <c r="I26" i="1" s="1"/>
  <c r="L26" i="1"/>
  <c r="K5" i="1"/>
  <c r="O5" i="1"/>
  <c r="Q40" i="1"/>
  <c r="Q26" i="1" s="1"/>
  <c r="J40" i="1"/>
  <c r="P40" i="1"/>
  <c r="P26" i="1" s="1"/>
  <c r="E40" i="1"/>
  <c r="E26" i="1" s="1"/>
  <c r="G40" i="1"/>
  <c r="G26" i="1" s="1"/>
  <c r="G114" i="1" s="1"/>
  <c r="J5" i="1"/>
  <c r="L5" i="1"/>
  <c r="N5" i="1"/>
  <c r="P5" i="1"/>
  <c r="P114" i="1" s="1"/>
  <c r="M40" i="1"/>
  <c r="O40" i="1"/>
  <c r="O26" i="1" s="1"/>
  <c r="O114" i="1" s="1"/>
  <c r="N69" i="1"/>
  <c r="N68" i="1" s="1"/>
  <c r="E114" i="1"/>
  <c r="M26" i="1"/>
  <c r="I17" i="3"/>
  <c r="I42" i="3" s="1"/>
  <c r="D17" i="3"/>
  <c r="D42" i="3" s="1"/>
  <c r="F17" i="3"/>
  <c r="F42" i="3" s="1"/>
  <c r="J17" i="3"/>
  <c r="J42" i="3" s="1"/>
  <c r="O17" i="3"/>
  <c r="K17" i="3"/>
  <c r="K42" i="3" s="1"/>
  <c r="Q42" i="3"/>
  <c r="O42" i="3"/>
  <c r="E42" i="3"/>
  <c r="G42" i="3"/>
  <c r="L42" i="3"/>
  <c r="P42" i="3"/>
  <c r="L153" i="4"/>
  <c r="K153" i="4"/>
  <c r="M153" i="4"/>
  <c r="C7" i="7"/>
  <c r="E7" i="7"/>
  <c r="G7" i="7"/>
  <c r="I7" i="7"/>
  <c r="K7" i="7"/>
  <c r="M7" i="7"/>
  <c r="O7" i="7"/>
  <c r="B15" i="7"/>
  <c r="D15" i="7"/>
  <c r="F15" i="7"/>
  <c r="H15" i="7"/>
  <c r="J15" i="7"/>
  <c r="L15" i="7"/>
  <c r="N15" i="7"/>
  <c r="C11" i="7"/>
  <c r="E11" i="7"/>
  <c r="G11" i="7"/>
  <c r="I11" i="7"/>
  <c r="K11" i="7"/>
  <c r="M11" i="7"/>
  <c r="O11" i="7"/>
  <c r="B11" i="7"/>
  <c r="B19" i="7" s="1"/>
  <c r="D11" i="7"/>
  <c r="D19" i="7" s="1"/>
  <c r="F11" i="7"/>
  <c r="F19" i="7" s="1"/>
  <c r="H11" i="7"/>
  <c r="H19" i="7" s="1"/>
  <c r="J11" i="7"/>
  <c r="J19" i="7" s="1"/>
  <c r="L11" i="7"/>
  <c r="L19" i="7" s="1"/>
  <c r="N11" i="7"/>
  <c r="N19" i="7" s="1"/>
  <c r="C15" i="7"/>
  <c r="C19" i="7" s="1"/>
  <c r="E15" i="7"/>
  <c r="E19" i="7" s="1"/>
  <c r="G15" i="7"/>
  <c r="I15" i="7"/>
  <c r="I19" i="7" s="1"/>
  <c r="K15" i="7"/>
  <c r="M15" i="7"/>
  <c r="M19" i="7" s="1"/>
  <c r="O15" i="7"/>
  <c r="K19" i="7"/>
  <c r="N13" i="6"/>
  <c r="O153" i="4"/>
  <c r="N42" i="3"/>
  <c r="G14" i="5"/>
  <c r="G13" i="5" s="1"/>
  <c r="S13" i="5"/>
  <c r="Q13" i="5"/>
  <c r="P13" i="5"/>
  <c r="O13" i="5"/>
  <c r="N13" i="5"/>
  <c r="M13" i="5"/>
  <c r="L13" i="5"/>
  <c r="K13" i="5"/>
  <c r="J13" i="5"/>
  <c r="I13" i="5"/>
  <c r="H13" i="5"/>
  <c r="D13" i="5"/>
  <c r="Q5" i="5"/>
  <c r="P5" i="5"/>
  <c r="O5" i="5"/>
  <c r="N5" i="5"/>
  <c r="M5" i="5"/>
  <c r="L5" i="5"/>
  <c r="K5" i="5"/>
  <c r="J5" i="5"/>
  <c r="I5" i="5"/>
  <c r="H5" i="5"/>
  <c r="G5" i="5"/>
  <c r="F5" i="5"/>
  <c r="F22" i="5" s="1"/>
  <c r="E5" i="5"/>
  <c r="E22" i="5" s="1"/>
  <c r="D5" i="5"/>
  <c r="Q114" i="1" l="1"/>
  <c r="P11" i="7"/>
  <c r="E13" i="9"/>
  <c r="D15" i="9"/>
  <c r="R5" i="7"/>
  <c r="S22" i="5"/>
  <c r="D18" i="9" s="1"/>
  <c r="T13" i="5"/>
  <c r="S42" i="3"/>
  <c r="T42" i="3" s="1"/>
  <c r="T17" i="3"/>
  <c r="N26" i="1"/>
  <c r="N114" i="1" s="1"/>
  <c r="J26" i="1"/>
  <c r="Q9" i="7"/>
  <c r="Q11" i="7" s="1"/>
  <c r="O19" i="7"/>
  <c r="M114" i="1"/>
  <c r="D114" i="1"/>
  <c r="F114" i="1"/>
  <c r="J114" i="1"/>
  <c r="I114" i="1"/>
  <c r="K114" i="1"/>
  <c r="L114" i="1"/>
  <c r="G22" i="5"/>
  <c r="I22" i="5"/>
  <c r="K22" i="5"/>
  <c r="M22" i="5"/>
  <c r="D22" i="5"/>
  <c r="H22" i="5"/>
  <c r="J22" i="5"/>
  <c r="L22" i="5"/>
  <c r="P22" i="5"/>
  <c r="G19" i="7"/>
  <c r="O22" i="5"/>
  <c r="Q22" i="5"/>
  <c r="R13" i="5"/>
  <c r="R22" i="5" s="1"/>
  <c r="P13" i="7" s="1"/>
  <c r="P15" i="7" s="1"/>
  <c r="N22" i="5"/>
  <c r="P19" i="7" l="1"/>
  <c r="R9" i="7"/>
  <c r="E18" i="9"/>
  <c r="D20" i="9"/>
  <c r="D21" i="9" s="1"/>
  <c r="Q13" i="7"/>
  <c r="T22" i="5"/>
  <c r="Q15" i="7" l="1"/>
  <c r="Q19" i="7" s="1"/>
  <c r="R13" i="7"/>
</calcChain>
</file>

<file path=xl/sharedStrings.xml><?xml version="1.0" encoding="utf-8"?>
<sst xmlns="http://schemas.openxmlformats.org/spreadsheetml/2006/main" count="722" uniqueCount="491">
  <si>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</si>
  <si>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</si>
  <si>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</si>
  <si>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</si>
  <si>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</si>
  <si>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</si>
  <si>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</si>
  <si>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</si>
  <si>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</si>
  <si>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</si>
  <si>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</si>
  <si>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</si>
  <si>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Čerpanie rozpočtu 2015</t>
  </si>
  <si>
    <t>Čerpanie rozpočtu 2016</t>
  </si>
  <si>
    <t>Čerpanie rozpočtu 2017</t>
  </si>
  <si>
    <t>Čerpanie rozpočtu 2018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</si>
  <si>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</si>
  <si>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</si>
  <si>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</si>
  <si>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</si>
  <si>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</si>
  <si>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</si>
  <si>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</si>
  <si>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</si>
  <si>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</si>
  <si>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</si>
  <si>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</si>
  <si>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</si>
  <si>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</si>
  <si>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</si>
  <si>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</si>
  <si>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</si>
  <si>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</si>
  <si>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</si>
  <si>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</si>
  <si>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</si>
  <si>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</si>
  <si>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</si>
  <si>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</si>
  <si>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</si>
  <si>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</si>
  <si>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</si>
  <si>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</si>
  <si>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</si>
  <si>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</si>
  <si>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</si>
  <si>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</si>
  <si>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</si>
  <si>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</si>
  <si>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</si>
  <si>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</si>
  <si>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</si>
  <si>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</si>
  <si>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</si>
  <si>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</si>
  <si>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</si>
  <si>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</si>
  <si>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</si>
  <si>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</si>
  <si>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</si>
  <si>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</si>
  <si>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</si>
  <si>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</si>
  <si>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</si>
  <si>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</si>
  <si>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</si>
  <si>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</si>
  <si>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</si>
  <si>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</si>
  <si>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</si>
  <si>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</si>
  <si>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</si>
  <si>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</si>
  <si>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</si>
  <si>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</si>
  <si>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</si>
  <si>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</si>
  <si>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</si>
  <si>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</si>
  <si>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</si>
  <si>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</si>
  <si>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</si>
  <si>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</si>
  <si>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</si>
  <si>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</si>
  <si>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</si>
  <si>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</si>
  <si>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</si>
  <si>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</si>
  <si>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</si>
  <si>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</si>
  <si>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</si>
  <si>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</si>
  <si>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</si>
  <si>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 xml:space="preserve">Miestna občianska poriadková služba </t>
  </si>
  <si>
    <t>Modernizácia zberného dvora</t>
  </si>
  <si>
    <t>MŠ G. Haina</t>
  </si>
  <si>
    <t>Akčný plán</t>
  </si>
  <si>
    <t xml:space="preserve">Osobitný príjemca </t>
  </si>
  <si>
    <t xml:space="preserve">Karpatské klim. mestečká </t>
  </si>
  <si>
    <t xml:space="preserve">vzdelávanie seniorov </t>
  </si>
  <si>
    <t>ostatné</t>
  </si>
  <si>
    <t>Zahraničné granty</t>
  </si>
  <si>
    <t>Bežné</t>
  </si>
  <si>
    <t>Bežné príjmy celkom</t>
  </si>
  <si>
    <t>Funkčná klasifikácia</t>
  </si>
  <si>
    <t>Ukazovateľ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</si>
  <si>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</si>
  <si>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</si>
  <si>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</si>
  <si>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</si>
  <si>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</si>
  <si>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</si>
  <si>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</si>
  <si>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</si>
  <si>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</si>
  <si>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</si>
  <si>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</si>
  <si>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</si>
  <si>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</si>
  <si>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</si>
  <si>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</si>
  <si>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</si>
  <si>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</si>
  <si>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</si>
  <si>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</si>
  <si>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</si>
  <si>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</si>
  <si>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</si>
  <si>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</si>
  <si>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</si>
  <si>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</si>
  <si>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</si>
  <si>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</si>
  <si>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</si>
  <si>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</si>
  <si>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</si>
  <si>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</si>
  <si>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</si>
  <si>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</si>
  <si>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</si>
  <si>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</si>
  <si>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</si>
  <si>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</si>
  <si>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</si>
  <si>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</si>
  <si>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51</t>
  </si>
  <si>
    <t>04.5.1</t>
  </si>
  <si>
    <t>Doprava</t>
  </si>
  <si>
    <t>Údržba ciest - Technické služby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</si>
  <si>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</si>
  <si>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</si>
  <si>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</si>
  <si>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</si>
  <si>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</si>
  <si>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</si>
  <si>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</si>
  <si>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</si>
  <si>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</si>
  <si>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</si>
  <si>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</si>
  <si>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</si>
  <si>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</si>
  <si>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</si>
  <si>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</si>
  <si>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</si>
  <si>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</si>
  <si>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</si>
  <si>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05.1.0</t>
  </si>
  <si>
    <t>Nakladanie s odpadmi</t>
  </si>
  <si>
    <t>630</t>
  </si>
  <si>
    <t>Uzat.a rek.skládky KO D.Stráže</t>
  </si>
  <si>
    <t>skládka KO D.Stráže</t>
  </si>
  <si>
    <t>Tranfer na Technické služby</t>
  </si>
  <si>
    <t>05.2.0</t>
  </si>
  <si>
    <t>Nakladanie s odpadovými vodami</t>
  </si>
  <si>
    <t>ČOV, parkoviská - stočné</t>
  </si>
  <si>
    <t>0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</si>
  <si>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</si>
  <si>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</si>
  <si>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</si>
  <si>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</si>
  <si>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</si>
  <si>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</si>
  <si>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</si>
  <si>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</si>
  <si>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</si>
  <si>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</si>
  <si>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</si>
  <si>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</si>
  <si>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</si>
  <si>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</si>
  <si>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</si>
  <si>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</si>
  <si>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</si>
  <si>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</si>
  <si>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</si>
  <si>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</si>
  <si>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</si>
  <si>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</si>
  <si>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</si>
  <si>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</si>
  <si>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</si>
  <si>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</si>
  <si>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</si>
  <si>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</si>
  <si>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</si>
  <si>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</si>
  <si>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</si>
  <si>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>08.1.0</t>
  </si>
  <si>
    <t>Transfery pre šport a telovýchovu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</si>
  <si>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</si>
  <si>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</si>
  <si>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</si>
  <si>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</si>
  <si>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</si>
  <si>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</si>
  <si>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</si>
  <si>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</si>
  <si>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</si>
  <si>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</si>
  <si>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</si>
  <si>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</si>
  <si>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</si>
  <si>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</si>
  <si>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</si>
  <si>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</si>
  <si>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</si>
  <si>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</si>
  <si>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</si>
  <si>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</si>
  <si>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</si>
  <si>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</si>
  <si>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</si>
  <si>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</si>
  <si>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</si>
  <si>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</si>
  <si>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</si>
  <si>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</si>
  <si>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</si>
  <si>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</si>
  <si>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</si>
  <si>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</si>
  <si>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</si>
  <si>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</si>
  <si>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</si>
  <si>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</si>
  <si>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</si>
  <si>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</si>
  <si>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</si>
  <si>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</si>
  <si>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</si>
  <si>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</si>
  <si>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</si>
  <si>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</si>
  <si>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</si>
  <si>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</si>
  <si>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</si>
  <si>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</si>
  <si>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</si>
  <si>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</si>
  <si>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</si>
  <si>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</si>
  <si>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</si>
  <si>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</si>
  <si>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</si>
  <si>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</si>
  <si>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</si>
  <si>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</si>
  <si>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</si>
  <si>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</si>
  <si>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</si>
  <si>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</si>
  <si>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</si>
  <si>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</si>
  <si>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</si>
  <si>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</si>
  <si>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</si>
  <si>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</si>
  <si>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</si>
  <si>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</si>
  <si>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parkovisko</t>
  </si>
  <si>
    <t>ZUŠ Fasáda VÚC</t>
  </si>
  <si>
    <t>Kapitálové</t>
  </si>
  <si>
    <t>Karpatské klim. mestečká</t>
  </si>
  <si>
    <t>Kapitalové príjmy celkom</t>
  </si>
  <si>
    <t>Časť 1.2.2. Výdavky kapitálového rozpočtu</t>
  </si>
  <si>
    <t>Rozpočet 2015</t>
  </si>
  <si>
    <t>Verejná správa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</si>
  <si>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</si>
  <si>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</si>
  <si>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</si>
  <si>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</si>
  <si>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</si>
  <si>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</si>
  <si>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</si>
  <si>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</si>
  <si>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</si>
  <si>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Prestavba N.M.P. II. etapa časť B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</si>
  <si>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</si>
  <si>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</si>
  <si>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</si>
  <si>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</si>
  <si>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</si>
  <si>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</si>
  <si>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</si>
  <si>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</si>
  <si>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</si>
  <si>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</si>
  <si>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</si>
  <si>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</si>
  <si>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</si>
  <si>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</si>
  <si>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</si>
  <si>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prechody pre chodcov - Probstnerova cesta</t>
  </si>
  <si>
    <t>Zábradlie Križný potok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</si>
  <si>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</si>
  <si>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</si>
  <si>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</si>
  <si>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</si>
  <si>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</si>
  <si>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</si>
  <si>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Križovatka ul. Slavkovská</t>
  </si>
  <si>
    <t>Nákladanie s odpadmi</t>
  </si>
  <si>
    <t>Prestavba zberných miest</t>
  </si>
  <si>
    <t>Príspevok pre TS</t>
  </si>
  <si>
    <t>Univerzálny vyklápač</t>
  </si>
  <si>
    <t>Rozvoj bývania</t>
  </si>
  <si>
    <t>Ortofomapa</t>
  </si>
  <si>
    <t>územný plán</t>
  </si>
  <si>
    <t>MPV Plantáže</t>
  </si>
  <si>
    <t>VO Probstnerova cesta</t>
  </si>
  <si>
    <t>Kaplnka Levočské Lúky, NN prípojka</t>
  </si>
  <si>
    <t>Vnútrobloky, sídl. Rozvoj</t>
  </si>
  <si>
    <t>Vodná nádrž Levoča</t>
  </si>
  <si>
    <t>cyklochodník</t>
  </si>
  <si>
    <t xml:space="preserve">Nízkouhlíková stratégia </t>
  </si>
  <si>
    <t>Vodozádržné opatrenia</t>
  </si>
  <si>
    <t>NMP 43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</si>
  <si>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</si>
  <si>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</si>
  <si>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</si>
  <si>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</si>
  <si>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</si>
  <si>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</si>
  <si>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 xml:space="preserve">NMP č. 54 - divadlo, výmena okien II. etapa </t>
  </si>
  <si>
    <t>08.4.0.</t>
  </si>
  <si>
    <t>ZŠ G. Haina</t>
  </si>
  <si>
    <t>ZUŠ - fasáda</t>
  </si>
  <si>
    <t xml:space="preserve">Zlepšenie kľúčových kompetencií žiakov ZŠ 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</si>
  <si>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</si>
  <si>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</si>
  <si>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</si>
  <si>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</si>
  <si>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</si>
  <si>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</si>
  <si>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Príjmy z prevodov peňaž. Fondov obcí FRB</t>
  </si>
  <si>
    <t>fond nevyčerpaných dotácií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</si>
  <si>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</si>
  <si>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</si>
  <si>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</si>
  <si>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</si>
  <si>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</si>
  <si>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</si>
  <si>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</si>
  <si>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</si>
  <si>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</si>
  <si>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</si>
  <si>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</si>
  <si>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</si>
  <si>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</si>
  <si>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</si>
  <si>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</si>
  <si>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</si>
  <si>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</si>
  <si>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</si>
  <si>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</si>
  <si>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</si>
  <si>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</si>
  <si>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</si>
  <si>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</si>
  <si>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MPV - ostatné</t>
  </si>
  <si>
    <t>Dlhodobé úvery rok 2019</t>
  </si>
  <si>
    <t>OZ Levočan</t>
  </si>
  <si>
    <t xml:space="preserve">Transfer pre TS </t>
  </si>
  <si>
    <t>Časť 1.1. Bežný rozpočet</t>
  </si>
  <si>
    <t>Časť 1.2. Výdavky bežného rozpočtu</t>
  </si>
  <si>
    <t>Časť 1.2. Kapitálový rozpočet</t>
  </si>
  <si>
    <t>Časť 1.2.1. Príjmy kapitálového rozpočtu</t>
  </si>
  <si>
    <t>Časť 2.1. Príjmové finančné operácie</t>
  </si>
  <si>
    <t>Časť 2. Finančné operácie</t>
  </si>
  <si>
    <t>Osvetlenie športovej haly</t>
  </si>
  <si>
    <t xml:space="preserve">IBV Krupný jarok </t>
  </si>
  <si>
    <t>WEB stránka</t>
  </si>
  <si>
    <t>Dlhodobé úvery rok 2020</t>
  </si>
  <si>
    <t>úver ŠFRB</t>
  </si>
  <si>
    <t>dva bytové domy - 48 b.j.</t>
  </si>
  <si>
    <t>dva bytové domy - technická vybavenosť</t>
  </si>
  <si>
    <t>Dva bytové domy (tech. vybavenosť)</t>
  </si>
  <si>
    <t>Dotácia - dva bytové domy</t>
  </si>
  <si>
    <t xml:space="preserve"> Rozpočet 2020 </t>
  </si>
  <si>
    <t>Rozpočet 2020</t>
  </si>
  <si>
    <t>ZŠ G. Haina - telocvičňa</t>
  </si>
  <si>
    <t>Rezervný fond</t>
  </si>
  <si>
    <t>NN - prípojka Vnútrobloky, sídl. Rozvoj</t>
  </si>
  <si>
    <t>Prestavba N.M.P. II. etapa časť C</t>
  </si>
  <si>
    <t>Krátkodobý úver - prekleňovací</t>
  </si>
  <si>
    <t>Cyklochodník IV. Etapa</t>
  </si>
  <si>
    <t>Krátkodobé úvery - Žabia cesta</t>
  </si>
  <si>
    <t>Terénne práce Vnútrobloky, sídl. Rozvoj</t>
  </si>
  <si>
    <t>Rek. a modernizácia autobusovej</t>
  </si>
  <si>
    <t>Priechody pre chodcov</t>
  </si>
  <si>
    <t>Dotácia MF SR</t>
  </si>
  <si>
    <t>Dotácia MK SR, NMP 47</t>
  </si>
  <si>
    <t>Prestavba N.M.P. II. etapa časť A</t>
  </si>
  <si>
    <t>Meštiansky dom, NMP 43</t>
  </si>
  <si>
    <t>Probstnerova cesta - obrubníky</t>
  </si>
  <si>
    <t>Oplotenie VNsP</t>
  </si>
  <si>
    <t>NMP 47 - PD</t>
  </si>
  <si>
    <t>NMP 47 - strecha</t>
  </si>
  <si>
    <t>mestské opevnenie – architektonická štúdia</t>
  </si>
  <si>
    <t>Dotácia MŠ</t>
  </si>
  <si>
    <t>Prístupová cesta - sídl. Prameň</t>
  </si>
  <si>
    <t>ZŠ Kluberta - vybavenie ŠJ</t>
  </si>
  <si>
    <t>Radnica NMP 2</t>
  </si>
  <si>
    <t>Záchytné parkovisko - parkanový múr</t>
  </si>
  <si>
    <t>Odvodnenie Závada</t>
  </si>
  <si>
    <t>Školy - projekty</t>
  </si>
  <si>
    <t>Potraviny - vrátky za rok 2019</t>
  </si>
  <si>
    <t>Skutočnosť 2019</t>
  </si>
  <si>
    <t>ZŠ Francisciho</t>
  </si>
  <si>
    <t>opatrovateľská služba</t>
  </si>
  <si>
    <t>Dotácia MK SR, NMP 50</t>
  </si>
  <si>
    <t>NMP 50</t>
  </si>
  <si>
    <t>NMP 51</t>
  </si>
  <si>
    <t>ZŠ Kluberta</t>
  </si>
  <si>
    <t>PD - IBV plantáž</t>
  </si>
  <si>
    <t>pozemky - IBV plantáž</t>
  </si>
  <si>
    <t>ZŠ G. Haina - vybavenie ŠJ</t>
  </si>
  <si>
    <t>ZUŠ - hudobné nástroje</t>
  </si>
  <si>
    <t>Plavecký bazén Levoča</t>
  </si>
  <si>
    <t>Dvojkomorový balíkovací lis - TS</t>
  </si>
  <si>
    <t>RFID multi-čipová čítačka - TS</t>
  </si>
  <si>
    <t>projektová dokumentácia  TS</t>
  </si>
  <si>
    <t>úžitkový automobil - TS</t>
  </si>
  <si>
    <t>Pňová fréza s pojazdom - TS</t>
  </si>
  <si>
    <t>Pomôcky -  hmotna núdza</t>
  </si>
  <si>
    <t>Školské potreby - HMNU - mesto</t>
  </si>
  <si>
    <t>Strava 1,20</t>
  </si>
  <si>
    <t>Dotácia covid</t>
  </si>
  <si>
    <t>ÚPSVa R</t>
  </si>
  <si>
    <t>dobrovoľna</t>
  </si>
  <si>
    <t>príspevok pri narodení</t>
  </si>
  <si>
    <t>mš</t>
  </si>
  <si>
    <t>mš mesto</t>
  </si>
  <si>
    <t>fontána</t>
  </si>
  <si>
    <t>Žabia cesta</t>
  </si>
  <si>
    <t>Psk</t>
  </si>
  <si>
    <t>sčítanie obyv.</t>
  </si>
  <si>
    <t>fontana</t>
  </si>
  <si>
    <t>Ihrisko</t>
  </si>
  <si>
    <t>Hlasovací systém</t>
  </si>
  <si>
    <t>Časť 1.1.1. Príjmy bežného rozpočtu</t>
  </si>
  <si>
    <t xml:space="preserve"> Skutočnosť 2020</t>
  </si>
  <si>
    <t>plnenie %</t>
  </si>
  <si>
    <t>ŠnZ</t>
  </si>
  <si>
    <t xml:space="preserve">Kategória </t>
  </si>
  <si>
    <t>Schválený rozpočet</t>
  </si>
  <si>
    <t>Plnenie rozpočtu</t>
  </si>
  <si>
    <t>% plnenia k upravenému rozpočtu</t>
  </si>
  <si>
    <t>Bežný rozpočet (BR)</t>
  </si>
  <si>
    <t>Bežné príjmy (BP)</t>
  </si>
  <si>
    <t>Bežné výdavky (BV)</t>
  </si>
  <si>
    <t>Bežný rozpočet (BP-BV)</t>
  </si>
  <si>
    <t xml:space="preserve">+ prebytok, - schodok </t>
  </si>
  <si>
    <t>Kapitálový rozpočet (KR)</t>
  </si>
  <si>
    <t>Kapitálové príjmy (KP)</t>
  </si>
  <si>
    <t>Kapitálové výdavky (KV)</t>
  </si>
  <si>
    <t>Kapitálový rozpočet (KP-KV)</t>
  </si>
  <si>
    <t>+ prebytok, - schodok</t>
  </si>
  <si>
    <t>Rozpočet spolu</t>
  </si>
  <si>
    <t>Príjem (BP+KP)</t>
  </si>
  <si>
    <t>Výdavky (BV+KV)</t>
  </si>
  <si>
    <t xml:space="preserve">Rozdiel </t>
  </si>
  <si>
    <t>+ prebytok, -  schodok</t>
  </si>
  <si>
    <t>Príjmy celkom</t>
  </si>
  <si>
    <t>Výdavky celkom</t>
  </si>
  <si>
    <t xml:space="preserve">Rozdiel  +, - </t>
  </si>
  <si>
    <t xml:space="preserve">Celkový prebytok </t>
  </si>
  <si>
    <t>(po započítaní FO)</t>
  </si>
  <si>
    <t>Upravený  rozpočet k 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</si>
</sst>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name val="Arial"/>
      <family val="2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0"/>
      <color rgb="FF00B050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color rgb="FFFF0000"/>
      <name val="Arial CE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color rgb="FFFFFFFF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548DD4"/>
        <bgColor indexed="64"/>
      </patternFill>
    </fill>
    <fill>
      <patternFill patternType="solid">
        <fgColor rgb="FFC6D9F1"/>
        <bgColor indexed="64"/>
      </patternFill>
    </fill>
  </fills>
  <borders count="122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ck">
        <color rgb="FFFFFFFF"/>
      </right>
      <top style="double">
        <color indexed="64"/>
      </top>
      <bottom style="double">
        <color indexed="64"/>
      </bottom>
      <diagonal/>
    </border>
    <border>
      <left/>
      <right style="thick">
        <color rgb="FFFFFFFF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rgb="FF000000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thick">
        <color rgb="FFFFFFFF"/>
      </right>
      <top/>
      <bottom/>
      <diagonal/>
    </border>
    <border>
      <left style="thick">
        <color rgb="FFFFFFFF"/>
      </left>
      <right style="thick">
        <color rgb="FFFFFFFF"/>
      </right>
      <top style="dotted">
        <color indexed="64"/>
      </top>
      <bottom/>
      <diagonal/>
    </border>
    <border>
      <left style="thick">
        <color rgb="FFFFFFFF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thick">
        <color rgb="FFFFFFFF"/>
      </right>
      <top/>
      <bottom style="double">
        <color indexed="64"/>
      </bottom>
      <diagonal/>
    </border>
    <border>
      <left style="thick">
        <color rgb="FFFFFFFF"/>
      </left>
      <right style="thick">
        <color rgb="FFFFFFFF"/>
      </right>
      <top/>
      <bottom style="double">
        <color indexed="64"/>
      </bottom>
      <diagonal/>
    </border>
    <border>
      <left style="thick">
        <color rgb="FFFFFFFF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rgb="FF000000"/>
      </right>
      <top/>
      <bottom style="dotted">
        <color indexed="64"/>
      </bottom>
      <diagonal/>
    </border>
    <border>
      <left/>
      <right style="thick">
        <color rgb="FFFFFFFF"/>
      </right>
      <top/>
      <bottom style="double">
        <color indexed="64"/>
      </bottom>
      <diagonal/>
    </border>
    <border>
      <left style="double">
        <color indexed="64"/>
      </left>
      <right style="thick">
        <color rgb="FFFFFFFF"/>
      </right>
      <top style="double">
        <color indexed="64"/>
      </top>
      <bottom/>
      <diagonal/>
    </border>
    <border>
      <left style="thick">
        <color rgb="FFFFFFFF"/>
      </left>
      <right style="thick">
        <color rgb="FFFFFFFF"/>
      </right>
      <top style="double">
        <color indexed="64"/>
      </top>
      <bottom/>
      <diagonal/>
    </border>
    <border>
      <left style="thick">
        <color rgb="FFFFFFFF"/>
      </left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906">
    <xf numFmtId="0" fontId="0" fillId="0" borderId="0" xfId="0"/>
    <xf numFmtId="0" fontId="5" fillId="0" borderId="7" xfId="0" applyFont="1" applyFill="1" applyBorder="1" applyAlignment="1">
      <alignment horizontal="center"/>
    </xf>
    <xf numFmtId="3" fontId="5" fillId="0" borderId="10" xfId="0" applyNumberFormat="1" applyFont="1" applyFill="1" applyBorder="1"/>
    <xf numFmtId="4" fontId="5" fillId="0" borderId="10" xfId="0" applyNumberFormat="1" applyFont="1" applyFill="1" applyBorder="1"/>
    <xf numFmtId="3" fontId="5" fillId="0" borderId="11" xfId="0" applyNumberFormat="1" applyFont="1" applyFill="1" applyBorder="1"/>
    <xf numFmtId="0" fontId="6" fillId="0" borderId="13" xfId="0" applyFont="1" applyFill="1" applyBorder="1" applyAlignment="1">
      <alignment horizontal="center"/>
    </xf>
    <xf numFmtId="3" fontId="6" fillId="0" borderId="12" xfId="0" applyNumberFormat="1" applyFont="1" applyFill="1" applyBorder="1"/>
    <xf numFmtId="4" fontId="6" fillId="0" borderId="12" xfId="0" applyNumberFormat="1" applyFont="1" applyFill="1" applyBorder="1"/>
    <xf numFmtId="3" fontId="6" fillId="0" borderId="16" xfId="0" applyNumberFormat="1" applyFont="1" applyFill="1" applyBorder="1"/>
    <xf numFmtId="4" fontId="7" fillId="0" borderId="17" xfId="0" applyNumberFormat="1" applyFont="1" applyBorder="1"/>
    <xf numFmtId="0" fontId="10" fillId="0" borderId="15" xfId="0" applyFont="1" applyFill="1" applyBorder="1"/>
    <xf numFmtId="0" fontId="10" fillId="0" borderId="17" xfId="0" applyFont="1" applyFill="1" applyBorder="1"/>
    <xf numFmtId="3" fontId="10" fillId="0" borderId="17" xfId="0" applyNumberFormat="1" applyFont="1" applyFill="1" applyBorder="1"/>
    <xf numFmtId="3" fontId="10" fillId="0" borderId="14" xfId="0" applyNumberFormat="1" applyFont="1" applyFill="1" applyBorder="1"/>
    <xf numFmtId="4" fontId="8" fillId="0" borderId="14" xfId="0" applyNumberFormat="1" applyFont="1" applyFill="1" applyBorder="1"/>
    <xf numFmtId="3" fontId="8" fillId="0" borderId="14" xfId="0" applyNumberFormat="1" applyFont="1" applyFill="1" applyBorder="1"/>
    <xf numFmtId="0" fontId="10" fillId="0" borderId="21" xfId="0" applyFont="1" applyFill="1" applyBorder="1"/>
    <xf numFmtId="3" fontId="10" fillId="0" borderId="21" xfId="0" applyNumberFormat="1" applyFont="1" applyFill="1" applyBorder="1"/>
    <xf numFmtId="3" fontId="10" fillId="0" borderId="22" xfId="0" applyNumberFormat="1" applyFont="1" applyFill="1" applyBorder="1"/>
    <xf numFmtId="4" fontId="8" fillId="0" borderId="22" xfId="0" applyNumberFormat="1" applyFont="1" applyFill="1" applyBorder="1"/>
    <xf numFmtId="3" fontId="8" fillId="0" borderId="22" xfId="0" applyNumberFormat="1" applyFont="1" applyFill="1" applyBorder="1"/>
    <xf numFmtId="4" fontId="7" fillId="0" borderId="23" xfId="0" applyNumberFormat="1" applyFont="1" applyBorder="1"/>
    <xf numFmtId="0" fontId="10" fillId="0" borderId="24" xfId="0" applyFont="1" applyFill="1" applyBorder="1"/>
    <xf numFmtId="3" fontId="10" fillId="0" borderId="24" xfId="0" applyNumberFormat="1" applyFont="1" applyFill="1" applyBorder="1"/>
    <xf numFmtId="3" fontId="10" fillId="0" borderId="25" xfId="0" applyNumberFormat="1" applyFont="1" applyFill="1" applyBorder="1"/>
    <xf numFmtId="4" fontId="8" fillId="0" borderId="25" xfId="0" applyNumberFormat="1" applyFont="1" applyFill="1" applyBorder="1"/>
    <xf numFmtId="3" fontId="8" fillId="0" borderId="25" xfId="0" applyNumberFormat="1" applyFont="1" applyFill="1" applyBorder="1"/>
    <xf numFmtId="4" fontId="7" fillId="0" borderId="24" xfId="0" applyNumberFormat="1" applyFont="1" applyBorder="1"/>
    <xf numFmtId="0" fontId="10" fillId="0" borderId="27" xfId="0" applyFont="1" applyFill="1" applyBorder="1"/>
    <xf numFmtId="3" fontId="10" fillId="0" borderId="27" xfId="0" applyNumberFormat="1" applyFont="1" applyFill="1" applyBorder="1"/>
    <xf numFmtId="3" fontId="10" fillId="0" borderId="28" xfId="0" applyNumberFormat="1" applyFont="1" applyFill="1" applyBorder="1"/>
    <xf numFmtId="4" fontId="8" fillId="0" borderId="28" xfId="0" applyNumberFormat="1" applyFont="1" applyFill="1" applyBorder="1"/>
    <xf numFmtId="3" fontId="8" fillId="0" borderId="28" xfId="0" applyNumberFormat="1" applyFont="1" applyFill="1" applyBorder="1"/>
    <xf numFmtId="0" fontId="6" fillId="0" borderId="30" xfId="0" applyFont="1" applyFill="1" applyBorder="1" applyAlignment="1">
      <alignment horizontal="center"/>
    </xf>
    <xf numFmtId="3" fontId="11" fillId="0" borderId="17" xfId="0" applyNumberFormat="1" applyFont="1" applyFill="1" applyBorder="1"/>
    <xf numFmtId="4" fontId="11" fillId="0" borderId="17" xfId="0" applyNumberFormat="1" applyFont="1" applyFill="1" applyBorder="1"/>
    <xf numFmtId="3" fontId="11" fillId="0" borderId="14" xfId="0" applyNumberFormat="1" applyFont="1" applyFill="1" applyBorder="1"/>
    <xf numFmtId="0" fontId="9" fillId="0" borderId="17" xfId="0" applyFont="1" applyFill="1" applyBorder="1"/>
    <xf numFmtId="0" fontId="9" fillId="0" borderId="9" xfId="0" applyFont="1" applyFill="1" applyBorder="1"/>
    <xf numFmtId="3" fontId="2" fillId="0" borderId="26" xfId="0" applyNumberFormat="1" applyFont="1" applyFill="1" applyBorder="1"/>
    <xf numFmtId="4" fontId="2" fillId="0" borderId="26" xfId="0" applyNumberFormat="1" applyFont="1" applyFill="1" applyBorder="1"/>
    <xf numFmtId="3" fontId="2" fillId="0" borderId="8" xfId="0" applyNumberFormat="1" applyFont="1" applyFill="1" applyBorder="1"/>
    <xf numFmtId="0" fontId="10" fillId="0" borderId="31" xfId="0" applyFont="1" applyFill="1" applyBorder="1"/>
    <xf numFmtId="0" fontId="10" fillId="0" borderId="23" xfId="0" applyFont="1" applyFill="1" applyBorder="1"/>
    <xf numFmtId="3" fontId="10" fillId="0" borderId="32" xfId="0" applyNumberFormat="1" applyFont="1" applyFill="1" applyBorder="1"/>
    <xf numFmtId="4" fontId="8" fillId="0" borderId="32" xfId="0" applyNumberFormat="1" applyFont="1" applyFill="1" applyBorder="1"/>
    <xf numFmtId="3" fontId="8" fillId="0" borderId="32" xfId="0" applyNumberFormat="1" applyFont="1" applyFill="1" applyBorder="1"/>
    <xf numFmtId="3" fontId="10" fillId="0" borderId="34" xfId="0" applyNumberFormat="1" applyFont="1" applyFill="1" applyBorder="1"/>
    <xf numFmtId="4" fontId="8" fillId="0" borderId="34" xfId="0" applyNumberFormat="1" applyFont="1" applyFill="1" applyBorder="1"/>
    <xf numFmtId="3" fontId="8" fillId="0" borderId="34" xfId="0" applyNumberFormat="1" applyFont="1" applyFill="1" applyBorder="1"/>
    <xf numFmtId="0" fontId="9" fillId="0" borderId="26" xfId="0" applyFont="1" applyFill="1" applyBorder="1"/>
    <xf numFmtId="0" fontId="9" fillId="0" borderId="35" xfId="0" applyFont="1" applyFill="1" applyBorder="1"/>
    <xf numFmtId="0" fontId="9" fillId="0" borderId="36" xfId="0" applyFont="1" applyFill="1" applyBorder="1"/>
    <xf numFmtId="3" fontId="9" fillId="0" borderId="12" xfId="0" applyNumberFormat="1" applyFont="1" applyFill="1" applyBorder="1"/>
    <xf numFmtId="3" fontId="9" fillId="0" borderId="17" xfId="0" applyNumberFormat="1" applyFont="1" applyFill="1" applyBorder="1"/>
    <xf numFmtId="4" fontId="9" fillId="0" borderId="17" xfId="0" applyNumberFormat="1" applyFont="1" applyFill="1" applyBorder="1"/>
    <xf numFmtId="3" fontId="9" fillId="0" borderId="14" xfId="0" applyNumberFormat="1" applyFont="1" applyFill="1" applyBorder="1"/>
    <xf numFmtId="0" fontId="8" fillId="0" borderId="21" xfId="0" applyFont="1" applyFill="1" applyBorder="1"/>
    <xf numFmtId="3" fontId="8" fillId="0" borderId="21" xfId="0" applyNumberFormat="1" applyFont="1" applyFill="1" applyBorder="1"/>
    <xf numFmtId="0" fontId="8" fillId="0" borderId="24" xfId="0" applyFont="1" applyFill="1" applyBorder="1"/>
    <xf numFmtId="3" fontId="8" fillId="0" borderId="24" xfId="0" applyNumberFormat="1" applyFont="1" applyFill="1" applyBorder="1"/>
    <xf numFmtId="0" fontId="8" fillId="0" borderId="27" xfId="0" applyFont="1" applyFill="1" applyBorder="1"/>
    <xf numFmtId="0" fontId="8" fillId="0" borderId="29" xfId="0" applyFont="1" applyFill="1" applyBorder="1"/>
    <xf numFmtId="0" fontId="5" fillId="0" borderId="30" xfId="0" applyFont="1" applyFill="1" applyBorder="1" applyAlignment="1">
      <alignment horizontal="center"/>
    </xf>
    <xf numFmtId="3" fontId="5" fillId="0" borderId="19" xfId="0" applyNumberFormat="1" applyFont="1" applyFill="1" applyBorder="1"/>
    <xf numFmtId="4" fontId="5" fillId="0" borderId="19" xfId="0" applyNumberFormat="1" applyFont="1" applyFill="1" applyBorder="1"/>
    <xf numFmtId="3" fontId="5" fillId="0" borderId="38" xfId="0" applyNumberFormat="1" applyFont="1" applyFill="1" applyBorder="1"/>
    <xf numFmtId="3" fontId="6" fillId="0" borderId="19" xfId="0" applyNumberFormat="1" applyFont="1" applyFill="1" applyBorder="1"/>
    <xf numFmtId="4" fontId="6" fillId="0" borderId="19" xfId="0" applyNumberFormat="1" applyFont="1" applyFill="1" applyBorder="1"/>
    <xf numFmtId="3" fontId="6" fillId="0" borderId="38" xfId="0" applyNumberFormat="1" applyFont="1" applyFill="1" applyBorder="1"/>
    <xf numFmtId="0" fontId="9" fillId="0" borderId="37" xfId="0" applyFont="1" applyFill="1" applyBorder="1"/>
    <xf numFmtId="0" fontId="8" fillId="0" borderId="22" xfId="0" applyFont="1" applyFill="1" applyBorder="1"/>
    <xf numFmtId="0" fontId="8" fillId="0" borderId="32" xfId="0" applyFont="1" applyFill="1" applyBorder="1"/>
    <xf numFmtId="3" fontId="8" fillId="0" borderId="23" xfId="0" applyNumberFormat="1" applyFont="1" applyFill="1" applyBorder="1"/>
    <xf numFmtId="0" fontId="8" fillId="0" borderId="25" xfId="0" applyFont="1" applyFill="1" applyBorder="1"/>
    <xf numFmtId="0" fontId="8" fillId="0" borderId="28" xfId="0" applyFont="1" applyFill="1" applyBorder="1"/>
    <xf numFmtId="3" fontId="8" fillId="0" borderId="27" xfId="0" applyNumberFormat="1" applyFont="1" applyFill="1" applyBorder="1"/>
    <xf numFmtId="0" fontId="2" fillId="0" borderId="17" xfId="0" applyFont="1" applyFill="1" applyBorder="1"/>
    <xf numFmtId="0" fontId="2" fillId="0" borderId="14" xfId="0" applyFont="1" applyFill="1" applyBorder="1"/>
    <xf numFmtId="3" fontId="2" fillId="0" borderId="19" xfId="0" applyNumberFormat="1" applyFont="1" applyFill="1" applyBorder="1"/>
    <xf numFmtId="3" fontId="2" fillId="0" borderId="17" xfId="0" applyNumberFormat="1" applyFont="1" applyFill="1" applyBorder="1"/>
    <xf numFmtId="4" fontId="2" fillId="0" borderId="17" xfId="0" applyNumberFormat="1" applyFont="1" applyFill="1" applyBorder="1"/>
    <xf numFmtId="3" fontId="2" fillId="0" borderId="14" xfId="0" applyNumberFormat="1" applyFont="1" applyFill="1" applyBorder="1"/>
    <xf numFmtId="0" fontId="8" fillId="0" borderId="34" xfId="0" applyFont="1" applyFill="1" applyBorder="1"/>
    <xf numFmtId="3" fontId="6" fillId="0" borderId="17" xfId="0" applyNumberFormat="1" applyFont="1" applyFill="1" applyBorder="1"/>
    <xf numFmtId="4" fontId="6" fillId="0" borderId="17" xfId="0" applyNumberFormat="1" applyFont="1" applyFill="1" applyBorder="1"/>
    <xf numFmtId="3" fontId="6" fillId="0" borderId="14" xfId="0" applyNumberFormat="1" applyFont="1" applyFill="1" applyBorder="1"/>
    <xf numFmtId="4" fontId="2" fillId="0" borderId="14" xfId="0" applyNumberFormat="1" applyFont="1" applyFill="1" applyBorder="1"/>
    <xf numFmtId="0" fontId="8" fillId="0" borderId="16" xfId="0" applyFont="1" applyFill="1" applyBorder="1"/>
    <xf numFmtId="4" fontId="8" fillId="0" borderId="16" xfId="0" applyNumberFormat="1" applyFont="1" applyFill="1" applyBorder="1"/>
    <xf numFmtId="3" fontId="8" fillId="0" borderId="16" xfId="0" applyNumberFormat="1" applyFont="1" applyFill="1" applyBorder="1"/>
    <xf numFmtId="0" fontId="8" fillId="0" borderId="23" xfId="0" applyFont="1" applyFill="1" applyBorder="1"/>
    <xf numFmtId="4" fontId="8" fillId="0" borderId="23" xfId="0" applyNumberFormat="1" applyFont="1" applyFill="1" applyBorder="1"/>
    <xf numFmtId="3" fontId="8" fillId="0" borderId="29" xfId="0" applyNumberFormat="1" applyFont="1" applyFill="1" applyBorder="1"/>
    <xf numFmtId="0" fontId="8" fillId="0" borderId="17" xfId="0" applyFont="1" applyFill="1" applyBorder="1"/>
    <xf numFmtId="0" fontId="8" fillId="0" borderId="8" xfId="0" applyFont="1" applyFill="1" applyBorder="1"/>
    <xf numFmtId="4" fontId="8" fillId="0" borderId="8" xfId="0" applyNumberFormat="1" applyFont="1" applyFill="1" applyBorder="1"/>
    <xf numFmtId="3" fontId="8" fillId="0" borderId="8" xfId="0" applyNumberFormat="1" applyFont="1" applyFill="1" applyBorder="1"/>
    <xf numFmtId="0" fontId="6" fillId="0" borderId="33" xfId="0" applyFont="1" applyFill="1" applyBorder="1" applyAlignment="1">
      <alignment horizontal="center"/>
    </xf>
    <xf numFmtId="3" fontId="6" fillId="0" borderId="26" xfId="0" applyNumberFormat="1" applyFont="1" applyFill="1" applyBorder="1"/>
    <xf numFmtId="4" fontId="6" fillId="0" borderId="26" xfId="0" applyNumberFormat="1" applyFont="1" applyFill="1" applyBorder="1"/>
    <xf numFmtId="3" fontId="6" fillId="0" borderId="8" xfId="0" applyNumberFormat="1" applyFont="1" applyFill="1" applyBorder="1"/>
    <xf numFmtId="0" fontId="10" fillId="0" borderId="26" xfId="0" applyFont="1" applyFill="1" applyBorder="1"/>
    <xf numFmtId="3" fontId="8" fillId="0" borderId="17" xfId="0" applyNumberFormat="1" applyFont="1" applyFill="1" applyBorder="1"/>
    <xf numFmtId="4" fontId="10" fillId="0" borderId="8" xfId="0" applyNumberFormat="1" applyFont="1" applyFill="1" applyBorder="1"/>
    <xf numFmtId="3" fontId="10" fillId="0" borderId="8" xfId="0" applyNumberFormat="1" applyFont="1" applyFill="1" applyBorder="1"/>
    <xf numFmtId="3" fontId="11" fillId="0" borderId="26" xfId="0" applyNumberFormat="1" applyFont="1" applyFill="1" applyBorder="1"/>
    <xf numFmtId="4" fontId="11" fillId="0" borderId="26" xfId="0" applyNumberFormat="1" applyFont="1" applyFill="1" applyBorder="1"/>
    <xf numFmtId="3" fontId="11" fillId="0" borderId="8" xfId="0" applyNumberFormat="1" applyFont="1" applyFill="1" applyBorder="1"/>
    <xf numFmtId="4" fontId="11" fillId="0" borderId="8" xfId="0" applyNumberFormat="1" applyFont="1" applyFill="1" applyBorder="1"/>
    <xf numFmtId="0" fontId="10" fillId="0" borderId="22" xfId="0" applyFont="1" applyFill="1" applyBorder="1"/>
    <xf numFmtId="0" fontId="10" fillId="0" borderId="32" xfId="0" applyFont="1" applyFill="1" applyBorder="1"/>
    <xf numFmtId="3" fontId="10" fillId="0" borderId="23" xfId="0" applyNumberFormat="1" applyFont="1" applyFill="1" applyBorder="1"/>
    <xf numFmtId="4" fontId="10" fillId="0" borderId="25" xfId="0" applyNumberFormat="1" applyFont="1" applyFill="1" applyBorder="1"/>
    <xf numFmtId="0" fontId="10" fillId="0" borderId="28" xfId="0" applyFont="1" applyFill="1" applyBorder="1"/>
    <xf numFmtId="3" fontId="13" fillId="0" borderId="17" xfId="0" applyNumberFormat="1" applyFont="1" applyFill="1" applyBorder="1"/>
    <xf numFmtId="4" fontId="13" fillId="0" borderId="17" xfId="0" applyNumberFormat="1" applyFont="1" applyFill="1" applyBorder="1"/>
    <xf numFmtId="3" fontId="13" fillId="0" borderId="14" xfId="0" applyNumberFormat="1" applyFont="1" applyFill="1" applyBorder="1"/>
    <xf numFmtId="4" fontId="13" fillId="0" borderId="14" xfId="0" applyNumberFormat="1" applyFont="1" applyFill="1" applyBorder="1"/>
    <xf numFmtId="4" fontId="6" fillId="0" borderId="14" xfId="0" applyNumberFormat="1" applyFont="1" applyFill="1" applyBorder="1"/>
    <xf numFmtId="0" fontId="2" fillId="0" borderId="26" xfId="0" applyFont="1" applyFill="1" applyBorder="1"/>
    <xf numFmtId="3" fontId="2" fillId="0" borderId="12" xfId="0" applyNumberFormat="1" applyFont="1" applyFill="1" applyBorder="1"/>
    <xf numFmtId="4" fontId="2" fillId="0" borderId="8" xfId="0" applyNumberFormat="1" applyFont="1" applyFill="1" applyBorder="1"/>
    <xf numFmtId="4" fontId="9" fillId="0" borderId="14" xfId="0" applyNumberFormat="1" applyFont="1" applyFill="1" applyBorder="1"/>
    <xf numFmtId="4" fontId="8" fillId="0" borderId="21" xfId="0" applyNumberFormat="1" applyFont="1" applyFill="1" applyBorder="1"/>
    <xf numFmtId="4" fontId="8" fillId="0" borderId="24" xfId="0" applyNumberFormat="1" applyFont="1" applyFill="1" applyBorder="1"/>
    <xf numFmtId="3" fontId="12" fillId="0" borderId="24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4" fontId="8" fillId="0" borderId="25" xfId="0" applyNumberFormat="1" applyFont="1" applyFill="1" applyBorder="1" applyAlignment="1"/>
    <xf numFmtId="0" fontId="8" fillId="0" borderId="38" xfId="0" applyFont="1" applyFill="1" applyBorder="1"/>
    <xf numFmtId="3" fontId="8" fillId="0" borderId="19" xfId="0" applyNumberFormat="1" applyFont="1" applyFill="1" applyBorder="1"/>
    <xf numFmtId="4" fontId="7" fillId="0" borderId="19" xfId="0" applyNumberFormat="1" applyFont="1" applyBorder="1"/>
    <xf numFmtId="3" fontId="5" fillId="0" borderId="42" xfId="0" applyNumberFormat="1" applyFont="1" applyFill="1" applyBorder="1"/>
    <xf numFmtId="4" fontId="5" fillId="0" borderId="42" xfId="0" applyNumberFormat="1" applyFont="1" applyFill="1" applyBorder="1"/>
    <xf numFmtId="3" fontId="5" fillId="0" borderId="43" xfId="0" applyNumberFormat="1" applyFont="1" applyFill="1" applyBorder="1"/>
    <xf numFmtId="49" fontId="6" fillId="0" borderId="1" xfId="0" applyNumberFormat="1" applyFont="1" applyFill="1" applyBorder="1" applyAlignment="1">
      <alignment vertical="center" wrapText="1"/>
    </xf>
    <xf numFmtId="3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3" fontId="16" fillId="0" borderId="3" xfId="0" applyNumberFormat="1" applyFont="1" applyFill="1" applyBorder="1" applyAlignment="1">
      <alignment vertical="center" wrapText="1"/>
    </xf>
    <xf numFmtId="4" fontId="16" fillId="0" borderId="3" xfId="0" applyNumberFormat="1" applyFont="1" applyFill="1" applyBorder="1" applyAlignment="1">
      <alignment vertical="center" wrapText="1"/>
    </xf>
    <xf numFmtId="0" fontId="8" fillId="0" borderId="21" xfId="0" applyFont="1" applyFill="1" applyBorder="1" applyAlignment="1">
      <alignment horizontal="center"/>
    </xf>
    <xf numFmtId="3" fontId="17" fillId="0" borderId="22" xfId="0" applyNumberFormat="1" applyFont="1" applyFill="1" applyBorder="1"/>
    <xf numFmtId="0" fontId="8" fillId="0" borderId="24" xfId="0" applyFont="1" applyFill="1" applyBorder="1" applyAlignment="1">
      <alignment horizontal="center"/>
    </xf>
    <xf numFmtId="3" fontId="17" fillId="0" borderId="25" xfId="0" applyNumberFormat="1" applyFont="1" applyFill="1" applyBorder="1"/>
    <xf numFmtId="3" fontId="8" fillId="0" borderId="51" xfId="0" applyNumberFormat="1" applyFont="1" applyFill="1" applyBorder="1"/>
    <xf numFmtId="4" fontId="8" fillId="0" borderId="51" xfId="0" applyNumberFormat="1" applyFont="1" applyFill="1" applyBorder="1"/>
    <xf numFmtId="0" fontId="8" fillId="0" borderId="36" xfId="0" applyFont="1" applyFill="1" applyBorder="1"/>
    <xf numFmtId="4" fontId="8" fillId="0" borderId="36" xfId="0" applyNumberFormat="1" applyFont="1" applyFill="1" applyBorder="1"/>
    <xf numFmtId="3" fontId="8" fillId="0" borderId="26" xfId="0" applyNumberFormat="1" applyFont="1" applyFill="1" applyBorder="1"/>
    <xf numFmtId="3" fontId="17" fillId="0" borderId="8" xfId="0" applyNumberFormat="1" applyFont="1" applyFill="1" applyBorder="1"/>
    <xf numFmtId="49" fontId="6" fillId="0" borderId="30" xfId="0" applyNumberFormat="1" applyFont="1" applyFill="1" applyBorder="1"/>
    <xf numFmtId="3" fontId="6" fillId="0" borderId="15" xfId="0" applyNumberFormat="1" applyFont="1" applyFill="1" applyBorder="1" applyAlignment="1">
      <alignment horizontal="right"/>
    </xf>
    <xf numFmtId="3" fontId="16" fillId="0" borderId="14" xfId="0" applyNumberFormat="1" applyFont="1" applyFill="1" applyBorder="1"/>
    <xf numFmtId="4" fontId="16" fillId="0" borderId="14" xfId="0" applyNumberFormat="1" applyFont="1" applyFill="1" applyBorder="1"/>
    <xf numFmtId="0" fontId="10" fillId="0" borderId="52" xfId="0" applyNumberFormat="1" applyFont="1" applyFill="1" applyBorder="1" applyAlignment="1">
      <alignment horizontal="center"/>
    </xf>
    <xf numFmtId="3" fontId="10" fillId="0" borderId="21" xfId="0" applyNumberFormat="1" applyFont="1" applyFill="1" applyBorder="1" applyAlignment="1">
      <alignment horizontal="right"/>
    </xf>
    <xf numFmtId="4" fontId="10" fillId="0" borderId="21" xfId="0" applyNumberFormat="1" applyFont="1" applyFill="1" applyBorder="1"/>
    <xf numFmtId="4" fontId="10" fillId="0" borderId="22" xfId="0" applyNumberFormat="1" applyFont="1" applyFill="1" applyBorder="1"/>
    <xf numFmtId="3" fontId="18" fillId="0" borderId="22" xfId="0" applyNumberFormat="1" applyFont="1" applyFill="1" applyBorder="1"/>
    <xf numFmtId="0" fontId="10" fillId="0" borderId="51" xfId="0" applyNumberFormat="1" applyFont="1" applyFill="1" applyBorder="1" applyAlignment="1">
      <alignment horizontal="center"/>
    </xf>
    <xf numFmtId="3" fontId="10" fillId="0" borderId="24" xfId="0" applyNumberFormat="1" applyFont="1" applyFill="1" applyBorder="1" applyAlignment="1">
      <alignment horizontal="right"/>
    </xf>
    <xf numFmtId="4" fontId="10" fillId="0" borderId="24" xfId="0" applyNumberFormat="1" applyFont="1" applyFill="1" applyBorder="1"/>
    <xf numFmtId="0" fontId="10" fillId="0" borderId="53" xfId="0" applyNumberFormat="1" applyFont="1" applyFill="1" applyBorder="1" applyAlignment="1">
      <alignment horizontal="center"/>
    </xf>
    <xf numFmtId="0" fontId="10" fillId="0" borderId="53" xfId="0" applyFont="1" applyFill="1" applyBorder="1"/>
    <xf numFmtId="3" fontId="10" fillId="0" borderId="53" xfId="0" applyNumberFormat="1" applyFont="1" applyFill="1" applyBorder="1" applyAlignment="1">
      <alignment horizontal="right"/>
    </xf>
    <xf numFmtId="4" fontId="10" fillId="0" borderId="34" xfId="0" applyNumberFormat="1" applyFont="1" applyFill="1" applyBorder="1"/>
    <xf numFmtId="3" fontId="18" fillId="0" borderId="34" xfId="0" applyNumberFormat="1" applyFont="1" applyFill="1" applyBorder="1"/>
    <xf numFmtId="0" fontId="8" fillId="0" borderId="52" xfId="0" applyFont="1" applyFill="1" applyBorder="1"/>
    <xf numFmtId="3" fontId="8" fillId="0" borderId="52" xfId="0" applyNumberFormat="1" applyFont="1" applyFill="1" applyBorder="1" applyAlignment="1">
      <alignment horizontal="right"/>
    </xf>
    <xf numFmtId="0" fontId="8" fillId="0" borderId="51" xfId="0" applyFont="1" applyFill="1" applyBorder="1"/>
    <xf numFmtId="3" fontId="8" fillId="0" borderId="51" xfId="0" applyNumberFormat="1" applyFont="1" applyFill="1" applyBorder="1" applyAlignment="1">
      <alignment horizontal="right"/>
    </xf>
    <xf numFmtId="3" fontId="8" fillId="0" borderId="36" xfId="0" applyNumberFormat="1" applyFont="1" applyFill="1" applyBorder="1" applyAlignment="1">
      <alignment horizontal="right"/>
    </xf>
    <xf numFmtId="0" fontId="8" fillId="0" borderId="12" xfId="0" applyFont="1" applyFill="1" applyBorder="1"/>
    <xf numFmtId="3" fontId="17" fillId="0" borderId="16" xfId="0" applyNumberFormat="1" applyFont="1" applyFill="1" applyBorder="1"/>
    <xf numFmtId="0" fontId="8" fillId="0" borderId="52" xfId="0" applyFont="1" applyFill="1" applyBorder="1" applyAlignment="1">
      <alignment horizontal="center"/>
    </xf>
    <xf numFmtId="0" fontId="8" fillId="0" borderId="51" xfId="0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3" fontId="8" fillId="0" borderId="36" xfId="0" applyNumberFormat="1" applyFont="1" applyFill="1" applyBorder="1"/>
    <xf numFmtId="3" fontId="6" fillId="0" borderId="17" xfId="0" applyNumberFormat="1" applyFont="1" applyFill="1" applyBorder="1" applyAlignment="1">
      <alignment horizontal="right"/>
    </xf>
    <xf numFmtId="49" fontId="2" fillId="0" borderId="20" xfId="0" applyNumberFormat="1" applyFont="1" applyFill="1" applyBorder="1"/>
    <xf numFmtId="0" fontId="10" fillId="0" borderId="36" xfId="0" applyNumberFormat="1" applyFont="1" applyFill="1" applyBorder="1" applyAlignment="1">
      <alignment horizontal="center"/>
    </xf>
    <xf numFmtId="0" fontId="8" fillId="0" borderId="54" xfId="0" applyFont="1" applyFill="1" applyBorder="1"/>
    <xf numFmtId="3" fontId="8" fillId="0" borderId="12" xfId="0" applyNumberFormat="1" applyFont="1" applyFill="1" applyBorder="1" applyAlignment="1">
      <alignment horizontal="right"/>
    </xf>
    <xf numFmtId="0" fontId="8" fillId="0" borderId="55" xfId="0" applyFont="1" applyFill="1" applyBorder="1"/>
    <xf numFmtId="0" fontId="8" fillId="0" borderId="56" xfId="0" applyFont="1" applyFill="1" applyBorder="1" applyAlignment="1">
      <alignment horizontal="center"/>
    </xf>
    <xf numFmtId="3" fontId="8" fillId="0" borderId="21" xfId="0" applyNumberFormat="1" applyFont="1" applyFill="1" applyBorder="1" applyAlignment="1">
      <alignment horizontal="right"/>
    </xf>
    <xf numFmtId="3" fontId="8" fillId="0" borderId="24" xfId="0" applyNumberFormat="1" applyFont="1" applyFill="1" applyBorder="1" applyAlignment="1">
      <alignment horizontal="right"/>
    </xf>
    <xf numFmtId="3" fontId="8" fillId="0" borderId="12" xfId="0" applyNumberFormat="1" applyFont="1" applyFill="1" applyBorder="1"/>
    <xf numFmtId="3" fontId="0" fillId="0" borderId="0" xfId="0" applyNumberFormat="1"/>
    <xf numFmtId="0" fontId="8" fillId="0" borderId="26" xfId="0" applyFont="1" applyFill="1" applyBorder="1"/>
    <xf numFmtId="4" fontId="8" fillId="0" borderId="17" xfId="0" applyNumberFormat="1" applyFont="1" applyFill="1" applyBorder="1"/>
    <xf numFmtId="3" fontId="17" fillId="0" borderId="14" xfId="0" applyNumberFormat="1" applyFont="1" applyFill="1" applyBorder="1"/>
    <xf numFmtId="14" fontId="6" fillId="0" borderId="30" xfId="0" applyNumberFormat="1" applyFont="1" applyFill="1" applyBorder="1"/>
    <xf numFmtId="3" fontId="20" fillId="0" borderId="14" xfId="0" applyNumberFormat="1" applyFont="1" applyFill="1" applyBorder="1"/>
    <xf numFmtId="4" fontId="20" fillId="0" borderId="14" xfId="0" applyNumberFormat="1" applyFont="1" applyFill="1" applyBorder="1"/>
    <xf numFmtId="0" fontId="8" fillId="0" borderId="20" xfId="0" applyFont="1" applyFill="1" applyBorder="1"/>
    <xf numFmtId="0" fontId="8" fillId="0" borderId="36" xfId="0" applyFont="1" applyFill="1" applyBorder="1" applyAlignment="1">
      <alignment horizontal="center"/>
    </xf>
    <xf numFmtId="2" fontId="8" fillId="0" borderId="12" xfId="0" applyNumberFormat="1" applyFont="1" applyFill="1" applyBorder="1"/>
    <xf numFmtId="0" fontId="8" fillId="0" borderId="29" xfId="0" applyFont="1" applyFill="1" applyBorder="1" applyAlignment="1">
      <alignment horizontal="center"/>
    </xf>
    <xf numFmtId="3" fontId="8" fillId="0" borderId="29" xfId="0" applyNumberFormat="1" applyFont="1" applyFill="1" applyBorder="1" applyAlignment="1">
      <alignment horizontal="right"/>
    </xf>
    <xf numFmtId="4" fontId="8" fillId="0" borderId="29" xfId="0" applyNumberFormat="1" applyFont="1" applyFill="1" applyBorder="1"/>
    <xf numFmtId="3" fontId="17" fillId="0" borderId="34" xfId="0" applyNumberFormat="1" applyFont="1" applyFill="1" applyBorder="1"/>
    <xf numFmtId="0" fontId="8" fillId="0" borderId="27" xfId="0" applyFont="1" applyFill="1" applyBorder="1" applyAlignment="1">
      <alignment horizontal="center"/>
    </xf>
    <xf numFmtId="3" fontId="8" fillId="0" borderId="27" xfId="0" applyNumberFormat="1" applyFont="1" applyFill="1" applyBorder="1" applyAlignment="1">
      <alignment horizontal="right"/>
    </xf>
    <xf numFmtId="4" fontId="8" fillId="0" borderId="27" xfId="0" applyNumberFormat="1" applyFont="1" applyFill="1" applyBorder="1"/>
    <xf numFmtId="3" fontId="17" fillId="0" borderId="28" xfId="0" applyNumberFormat="1" applyFont="1" applyFill="1" applyBorder="1"/>
    <xf numFmtId="0" fontId="10" fillId="0" borderId="57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3" fontId="10" fillId="0" borderId="52" xfId="0" applyNumberFormat="1" applyFont="1" applyFill="1" applyBorder="1" applyAlignment="1">
      <alignment horizontal="right"/>
    </xf>
    <xf numFmtId="0" fontId="10" fillId="0" borderId="52" xfId="0" applyFont="1" applyFill="1" applyBorder="1" applyAlignment="1">
      <alignment horizontal="right"/>
    </xf>
    <xf numFmtId="0" fontId="10" fillId="0" borderId="57" xfId="0" applyFont="1" applyFill="1" applyBorder="1" applyAlignment="1">
      <alignment horizontal="left"/>
    </xf>
    <xf numFmtId="3" fontId="10" fillId="0" borderId="57" xfId="0" applyNumberFormat="1" applyFont="1" applyFill="1" applyBorder="1" applyAlignment="1">
      <alignment horizontal="right"/>
    </xf>
    <xf numFmtId="0" fontId="10" fillId="0" borderId="57" xfId="0" applyFont="1" applyFill="1" applyBorder="1" applyAlignment="1">
      <alignment horizontal="right"/>
    </xf>
    <xf numFmtId="4" fontId="10" fillId="0" borderId="32" xfId="0" applyNumberFormat="1" applyFont="1" applyFill="1" applyBorder="1"/>
    <xf numFmtId="3" fontId="18" fillId="0" borderId="32" xfId="0" applyNumberFormat="1" applyFont="1" applyFill="1" applyBorder="1"/>
    <xf numFmtId="0" fontId="8" fillId="0" borderId="9" xfId="0" applyFont="1" applyFill="1" applyBorder="1"/>
    <xf numFmtId="3" fontId="8" fillId="0" borderId="9" xfId="0" applyNumberFormat="1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3" fontId="18" fillId="0" borderId="8" xfId="0" applyNumberFormat="1" applyFont="1" applyFill="1" applyBorder="1"/>
    <xf numFmtId="49" fontId="6" fillId="0" borderId="7" xfId="0" applyNumberFormat="1" applyFont="1" applyFill="1" applyBorder="1"/>
    <xf numFmtId="3" fontId="6" fillId="0" borderId="9" xfId="0" applyNumberFormat="1" applyFont="1" applyFill="1" applyBorder="1" applyAlignment="1">
      <alignment horizontal="right"/>
    </xf>
    <xf numFmtId="3" fontId="16" fillId="0" borderId="8" xfId="0" applyNumberFormat="1" applyFont="1" applyFill="1" applyBorder="1"/>
    <xf numFmtId="4" fontId="16" fillId="0" borderId="8" xfId="0" applyNumberFormat="1" applyFont="1" applyFill="1" applyBorder="1"/>
    <xf numFmtId="3" fontId="10" fillId="0" borderId="15" xfId="0" applyNumberFormat="1" applyFont="1" applyFill="1" applyBorder="1" applyAlignment="1">
      <alignment horizontal="right"/>
    </xf>
    <xf numFmtId="4" fontId="10" fillId="0" borderId="17" xfId="0" applyNumberFormat="1" applyFont="1" applyFill="1" applyBorder="1"/>
    <xf numFmtId="4" fontId="17" fillId="0" borderId="14" xfId="0" applyNumberFormat="1" applyFont="1" applyFill="1" applyBorder="1"/>
    <xf numFmtId="0" fontId="10" fillId="0" borderId="57" xfId="0" applyNumberFormat="1" applyFont="1" applyFill="1" applyBorder="1" applyAlignment="1">
      <alignment horizontal="center"/>
    </xf>
    <xf numFmtId="3" fontId="17" fillId="0" borderId="32" xfId="0" applyNumberFormat="1" applyFont="1" applyFill="1" applyBorder="1"/>
    <xf numFmtId="0" fontId="10" fillId="0" borderId="9" xfId="0" applyNumberFormat="1" applyFont="1" applyFill="1" applyBorder="1" applyAlignment="1">
      <alignment horizontal="center"/>
    </xf>
    <xf numFmtId="3" fontId="10" fillId="0" borderId="26" xfId="0" applyNumberFormat="1" applyFont="1" applyFill="1" applyBorder="1"/>
    <xf numFmtId="4" fontId="10" fillId="0" borderId="23" xfId="0" applyNumberFormat="1" applyFont="1" applyFill="1" applyBorder="1"/>
    <xf numFmtId="3" fontId="10" fillId="0" borderId="29" xfId="0" applyNumberFormat="1" applyFont="1" applyFill="1" applyBorder="1"/>
    <xf numFmtId="0" fontId="21" fillId="0" borderId="25" xfId="0" applyFont="1" applyFill="1" applyBorder="1"/>
    <xf numFmtId="0" fontId="10" fillId="0" borderId="12" xfId="0" applyFont="1" applyFill="1" applyBorder="1"/>
    <xf numFmtId="0" fontId="10" fillId="0" borderId="0" xfId="0" applyNumberFormat="1" applyFont="1" applyFill="1" applyBorder="1" applyAlignment="1">
      <alignment horizontal="center"/>
    </xf>
    <xf numFmtId="3" fontId="10" fillId="0" borderId="12" xfId="0" applyNumberFormat="1" applyFont="1" applyFill="1" applyBorder="1"/>
    <xf numFmtId="4" fontId="10" fillId="0" borderId="28" xfId="0" applyNumberFormat="1" applyFont="1" applyFill="1" applyBorder="1"/>
    <xf numFmtId="0" fontId="21" fillId="0" borderId="28" xfId="0" applyFont="1" applyFill="1" applyBorder="1"/>
    <xf numFmtId="0" fontId="6" fillId="0" borderId="15" xfId="0" applyFont="1" applyFill="1" applyBorder="1" applyAlignment="1">
      <alignment horizontal="right"/>
    </xf>
    <xf numFmtId="49" fontId="10" fillId="0" borderId="52" xfId="0" applyNumberFormat="1" applyFont="1" applyFill="1" applyBorder="1" applyAlignment="1">
      <alignment horizontal="center"/>
    </xf>
    <xf numFmtId="49" fontId="10" fillId="0" borderId="51" xfId="0" applyNumberFormat="1" applyFont="1" applyFill="1" applyBorder="1" applyAlignment="1">
      <alignment horizontal="center"/>
    </xf>
    <xf numFmtId="3" fontId="18" fillId="0" borderId="25" xfId="0" applyNumberFormat="1" applyFont="1" applyFill="1" applyBorder="1"/>
    <xf numFmtId="4" fontId="18" fillId="0" borderId="25" xfId="0" applyNumberFormat="1" applyFont="1" applyFill="1" applyBorder="1"/>
    <xf numFmtId="0" fontId="8" fillId="0" borderId="53" xfId="0" applyFont="1" applyFill="1" applyBorder="1" applyAlignment="1">
      <alignment horizontal="center"/>
    </xf>
    <xf numFmtId="49" fontId="10" fillId="0" borderId="52" xfId="0" applyNumberFormat="1" applyFont="1" applyFill="1" applyBorder="1" applyAlignment="1">
      <alignment horizontal="left"/>
    </xf>
    <xf numFmtId="3" fontId="10" fillId="0" borderId="52" xfId="0" applyNumberFormat="1" applyFont="1" applyFill="1" applyBorder="1" applyAlignment="1">
      <alignment horizontal="left"/>
    </xf>
    <xf numFmtId="49" fontId="10" fillId="0" borderId="52" xfId="0" applyNumberFormat="1" applyFont="1" applyFill="1" applyBorder="1" applyAlignment="1">
      <alignment horizontal="right"/>
    </xf>
    <xf numFmtId="49" fontId="8" fillId="0" borderId="51" xfId="0" applyNumberFormat="1" applyFont="1" applyFill="1" applyBorder="1" applyAlignment="1">
      <alignment horizontal="left"/>
    </xf>
    <xf numFmtId="3" fontId="8" fillId="0" borderId="51" xfId="0" applyNumberFormat="1" applyFont="1" applyFill="1" applyBorder="1" applyAlignment="1">
      <alignment horizontal="left"/>
    </xf>
    <xf numFmtId="49" fontId="8" fillId="0" borderId="51" xfId="0" applyNumberFormat="1" applyFont="1" applyFill="1" applyBorder="1" applyAlignment="1">
      <alignment horizontal="right"/>
    </xf>
    <xf numFmtId="3" fontId="8" fillId="0" borderId="59" xfId="0" applyNumberFormat="1" applyFont="1" applyFill="1" applyBorder="1" applyAlignment="1">
      <alignment horizontal="right"/>
    </xf>
    <xf numFmtId="4" fontId="8" fillId="0" borderId="23" xfId="0" applyNumberFormat="1" applyFont="1" applyFill="1" applyBorder="1" applyAlignment="1">
      <alignment horizontal="right"/>
    </xf>
    <xf numFmtId="3" fontId="8" fillId="0" borderId="60" xfId="0" applyNumberFormat="1" applyFont="1" applyFill="1" applyBorder="1" applyAlignment="1">
      <alignment horizontal="left"/>
    </xf>
    <xf numFmtId="3" fontId="8" fillId="0" borderId="60" xfId="0" applyNumberFormat="1" applyFont="1" applyFill="1" applyBorder="1" applyAlignment="1">
      <alignment horizontal="right"/>
    </xf>
    <xf numFmtId="49" fontId="8" fillId="0" borderId="60" xfId="0" applyNumberFormat="1" applyFont="1" applyFill="1" applyBorder="1" applyAlignment="1">
      <alignment horizontal="right"/>
    </xf>
    <xf numFmtId="3" fontId="8" fillId="0" borderId="61" xfId="0" applyNumberFormat="1" applyFont="1" applyFill="1" applyBorder="1" applyAlignment="1">
      <alignment horizontal="right"/>
    </xf>
    <xf numFmtId="4" fontId="8" fillId="0" borderId="12" xfId="0" applyNumberFormat="1" applyFont="1" applyFill="1" applyBorder="1" applyAlignment="1">
      <alignment horizontal="right"/>
    </xf>
    <xf numFmtId="49" fontId="8" fillId="0" borderId="27" xfId="0" applyNumberFormat="1" applyFont="1" applyFill="1" applyBorder="1"/>
    <xf numFmtId="49" fontId="8" fillId="0" borderId="27" xfId="0" applyNumberFormat="1" applyFont="1" applyFill="1" applyBorder="1" applyAlignment="1">
      <alignment horizontal="right"/>
    </xf>
    <xf numFmtId="3" fontId="8" fillId="0" borderId="62" xfId="0" applyNumberFormat="1" applyFont="1" applyFill="1" applyBorder="1" applyAlignment="1">
      <alignment horizontal="right"/>
    </xf>
    <xf numFmtId="4" fontId="8" fillId="0" borderId="27" xfId="0" applyNumberFormat="1" applyFont="1" applyFill="1" applyBorder="1" applyAlignment="1">
      <alignment horizontal="right"/>
    </xf>
    <xf numFmtId="3" fontId="18" fillId="0" borderId="28" xfId="0" applyNumberFormat="1" applyFont="1" applyFill="1" applyBorder="1"/>
    <xf numFmtId="49" fontId="6" fillId="0" borderId="7" xfId="0" applyNumberFormat="1" applyFont="1" applyFill="1" applyBorder="1" applyAlignment="1">
      <alignment horizontal="left"/>
    </xf>
    <xf numFmtId="3" fontId="9" fillId="0" borderId="9" xfId="0" applyNumberFormat="1" applyFont="1" applyFill="1" applyBorder="1" applyAlignment="1">
      <alignment horizontal="left"/>
    </xf>
    <xf numFmtId="0" fontId="9" fillId="0" borderId="9" xfId="0" applyNumberFormat="1" applyFont="1" applyFill="1" applyBorder="1" applyAlignment="1">
      <alignment horizontal="right"/>
    </xf>
    <xf numFmtId="3" fontId="9" fillId="0" borderId="26" xfId="0" applyNumberFormat="1" applyFont="1" applyFill="1" applyBorder="1"/>
    <xf numFmtId="4" fontId="9" fillId="0" borderId="26" xfId="0" applyNumberFormat="1" applyFont="1" applyFill="1" applyBorder="1"/>
    <xf numFmtId="3" fontId="9" fillId="0" borderId="8" xfId="0" applyNumberFormat="1" applyFont="1" applyFill="1" applyBorder="1"/>
    <xf numFmtId="3" fontId="22" fillId="0" borderId="8" xfId="0" applyNumberFormat="1" applyFont="1" applyFill="1" applyBorder="1"/>
    <xf numFmtId="49" fontId="8" fillId="0" borderId="9" xfId="0" applyNumberFormat="1" applyFont="1" applyFill="1" applyBorder="1"/>
    <xf numFmtId="3" fontId="8" fillId="0" borderId="9" xfId="0" applyNumberFormat="1" applyFont="1" applyFill="1" applyBorder="1"/>
    <xf numFmtId="49" fontId="8" fillId="0" borderId="9" xfId="0" applyNumberFormat="1" applyFont="1" applyFill="1" applyBorder="1" applyAlignment="1">
      <alignment horizontal="right"/>
    </xf>
    <xf numFmtId="0" fontId="8" fillId="0" borderId="53" xfId="0" applyFont="1" applyFill="1" applyBorder="1"/>
    <xf numFmtId="3" fontId="8" fillId="0" borderId="53" xfId="0" applyNumberFormat="1" applyFont="1" applyFill="1" applyBorder="1" applyAlignment="1">
      <alignment horizontal="right"/>
    </xf>
    <xf numFmtId="3" fontId="8" fillId="0" borderId="53" xfId="0" applyNumberFormat="1" applyFont="1" applyFill="1" applyBorder="1"/>
    <xf numFmtId="49" fontId="6" fillId="0" borderId="17" xfId="0" applyNumberFormat="1" applyFont="1" applyFill="1" applyBorder="1"/>
    <xf numFmtId="0" fontId="8" fillId="0" borderId="60" xfId="0" applyFont="1" applyFill="1" applyBorder="1" applyAlignment="1">
      <alignment horizontal="center"/>
    </xf>
    <xf numFmtId="4" fontId="8" fillId="0" borderId="12" xfId="0" applyNumberFormat="1" applyFont="1" applyFill="1" applyBorder="1"/>
    <xf numFmtId="3" fontId="6" fillId="0" borderId="52" xfId="0" applyNumberFormat="1" applyFont="1" applyFill="1" applyBorder="1" applyAlignment="1">
      <alignment horizontal="right"/>
    </xf>
    <xf numFmtId="3" fontId="6" fillId="0" borderId="21" xfId="0" applyNumberFormat="1" applyFont="1" applyFill="1" applyBorder="1"/>
    <xf numFmtId="3" fontId="16" fillId="0" borderId="22" xfId="0" applyNumberFormat="1" applyFont="1" applyFill="1" applyBorder="1"/>
    <xf numFmtId="3" fontId="6" fillId="0" borderId="57" xfId="0" applyNumberFormat="1" applyFont="1" applyFill="1" applyBorder="1" applyAlignment="1">
      <alignment horizontal="right"/>
    </xf>
    <xf numFmtId="3" fontId="6" fillId="0" borderId="23" xfId="0" applyNumberFormat="1" applyFont="1" applyFill="1" applyBorder="1"/>
    <xf numFmtId="4" fontId="6" fillId="0" borderId="32" xfId="0" applyNumberFormat="1" applyFont="1" applyFill="1" applyBorder="1"/>
    <xf numFmtId="3" fontId="6" fillId="0" borderId="32" xfId="0" applyNumberFormat="1" applyFont="1" applyFill="1" applyBorder="1"/>
    <xf numFmtId="3" fontId="16" fillId="0" borderId="32" xfId="0" applyNumberFormat="1" applyFont="1" applyFill="1" applyBorder="1"/>
    <xf numFmtId="0" fontId="8" fillId="0" borderId="57" xfId="0" applyFont="1" applyFill="1" applyBorder="1" applyAlignment="1">
      <alignment horizontal="center"/>
    </xf>
    <xf numFmtId="0" fontId="8" fillId="0" borderId="30" xfId="0" applyFont="1" applyFill="1" applyBorder="1"/>
    <xf numFmtId="0" fontId="8" fillId="0" borderId="15" xfId="0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3" fontId="6" fillId="0" borderId="22" xfId="0" applyNumberFormat="1" applyFont="1" applyFill="1" applyBorder="1"/>
    <xf numFmtId="4" fontId="17" fillId="0" borderId="22" xfId="0" applyNumberFormat="1" applyFont="1" applyFill="1" applyBorder="1"/>
    <xf numFmtId="0" fontId="19" fillId="0" borderId="0" xfId="0" applyFont="1"/>
    <xf numFmtId="3" fontId="18" fillId="0" borderId="24" xfId="0" applyNumberFormat="1" applyFont="1" applyFill="1" applyBorder="1"/>
    <xf numFmtId="49" fontId="2" fillId="0" borderId="63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52" xfId="0" applyNumberFormat="1" applyFont="1" applyFill="1" applyBorder="1" applyAlignment="1">
      <alignment horizontal="center"/>
    </xf>
    <xf numFmtId="3" fontId="8" fillId="0" borderId="52" xfId="0" applyNumberFormat="1" applyFont="1" applyFill="1" applyBorder="1"/>
    <xf numFmtId="49" fontId="2" fillId="0" borderId="57" xfId="0" applyNumberFormat="1" applyFont="1" applyFill="1" applyBorder="1" applyAlignment="1">
      <alignment horizontal="center"/>
    </xf>
    <xf numFmtId="3" fontId="8" fillId="0" borderId="57" xfId="0" applyNumberFormat="1" applyFont="1" applyFill="1" applyBorder="1"/>
    <xf numFmtId="0" fontId="8" fillId="0" borderId="57" xfId="0" applyFont="1" applyFill="1" applyBorder="1"/>
    <xf numFmtId="4" fontId="0" fillId="0" borderId="0" xfId="0" applyNumberFormat="1"/>
    <xf numFmtId="49" fontId="2" fillId="0" borderId="51" xfId="0" applyNumberFormat="1" applyFont="1" applyFill="1" applyBorder="1" applyAlignment="1">
      <alignment horizontal="center"/>
    </xf>
    <xf numFmtId="49" fontId="2" fillId="0" borderId="24" xfId="0" applyNumberFormat="1" applyFont="1" applyFill="1" applyBorder="1" applyAlignment="1">
      <alignment horizontal="center"/>
    </xf>
    <xf numFmtId="49" fontId="2" fillId="0" borderId="29" xfId="0" applyNumberFormat="1" applyFont="1" applyFill="1" applyBorder="1" applyAlignment="1">
      <alignment horizontal="center"/>
    </xf>
    <xf numFmtId="49" fontId="2" fillId="0" borderId="27" xfId="0" applyNumberFormat="1" applyFont="1" applyFill="1" applyBorder="1" applyAlignment="1">
      <alignment horizontal="center"/>
    </xf>
    <xf numFmtId="3" fontId="3" fillId="0" borderId="14" xfId="0" applyNumberFormat="1" applyFont="1" applyFill="1" applyBorder="1"/>
    <xf numFmtId="4" fontId="3" fillId="0" borderId="14" xfId="0" applyNumberFormat="1" applyFont="1" applyFill="1" applyBorder="1"/>
    <xf numFmtId="4" fontId="12" fillId="0" borderId="12" xfId="0" applyNumberFormat="1" applyFont="1" applyFill="1" applyBorder="1"/>
    <xf numFmtId="3" fontId="12" fillId="0" borderId="16" xfId="0" applyNumberFormat="1" applyFont="1" applyFill="1" applyBorder="1"/>
    <xf numFmtId="4" fontId="12" fillId="0" borderId="16" xfId="0" applyNumberFormat="1" applyFont="1" applyFill="1" applyBorder="1"/>
    <xf numFmtId="3" fontId="21" fillId="0" borderId="16" xfId="0" applyNumberFormat="1" applyFont="1" applyFill="1" applyBorder="1"/>
    <xf numFmtId="4" fontId="12" fillId="0" borderId="24" xfId="0" applyNumberFormat="1" applyFont="1" applyFill="1" applyBorder="1"/>
    <xf numFmtId="3" fontId="21" fillId="0" borderId="25" xfId="0" applyNumberFormat="1" applyFont="1" applyFill="1" applyBorder="1"/>
    <xf numFmtId="3" fontId="22" fillId="0" borderId="14" xfId="0" applyNumberFormat="1" applyFont="1" applyFill="1" applyBorder="1"/>
    <xf numFmtId="4" fontId="22" fillId="0" borderId="14" xfId="0" applyNumberFormat="1" applyFont="1" applyFill="1" applyBorder="1"/>
    <xf numFmtId="16" fontId="6" fillId="0" borderId="30" xfId="0" applyNumberFormat="1" applyFont="1" applyFill="1" applyBorder="1"/>
    <xf numFmtId="0" fontId="8" fillId="0" borderId="23" xfId="0" applyFont="1" applyFill="1" applyBorder="1" applyAlignment="1">
      <alignment horizontal="center"/>
    </xf>
    <xf numFmtId="3" fontId="9" fillId="0" borderId="27" xfId="0" applyNumberFormat="1" applyFont="1" applyFill="1" applyBorder="1"/>
    <xf numFmtId="3" fontId="9" fillId="0" borderId="9" xfId="0" applyNumberFormat="1" applyFont="1" applyFill="1" applyBorder="1" applyAlignment="1">
      <alignment horizontal="right"/>
    </xf>
    <xf numFmtId="4" fontId="9" fillId="0" borderId="27" xfId="0" applyNumberFormat="1" applyFont="1" applyFill="1" applyBorder="1"/>
    <xf numFmtId="3" fontId="22" fillId="0" borderId="28" xfId="0" applyNumberFormat="1" applyFont="1" applyFill="1" applyBorder="1"/>
    <xf numFmtId="0" fontId="12" fillId="0" borderId="53" xfId="0" applyFont="1" applyFill="1" applyBorder="1" applyAlignment="1">
      <alignment horizontal="center"/>
    </xf>
    <xf numFmtId="0" fontId="19" fillId="0" borderId="17" xfId="0" applyFont="1" applyFill="1" applyBorder="1"/>
    <xf numFmtId="4" fontId="8" fillId="0" borderId="26" xfId="0" applyNumberFormat="1" applyFont="1" applyFill="1" applyBorder="1"/>
    <xf numFmtId="0" fontId="6" fillId="0" borderId="30" xfId="0" applyFont="1" applyFill="1" applyBorder="1" applyAlignment="1">
      <alignment vertical="center" wrapText="1"/>
    </xf>
    <xf numFmtId="3" fontId="19" fillId="0" borderId="17" xfId="0" applyNumberFormat="1" applyFont="1" applyFill="1" applyBorder="1" applyAlignment="1">
      <alignment vertical="center" wrapText="1"/>
    </xf>
    <xf numFmtId="4" fontId="19" fillId="0" borderId="17" xfId="0" applyNumberFormat="1" applyFont="1" applyFill="1" applyBorder="1" applyAlignment="1">
      <alignment vertical="center" wrapText="1"/>
    </xf>
    <xf numFmtId="3" fontId="23" fillId="0" borderId="14" xfId="0" applyNumberFormat="1" applyFont="1" applyFill="1" applyBorder="1" applyAlignment="1">
      <alignment vertical="center" wrapText="1"/>
    </xf>
    <xf numFmtId="4" fontId="23" fillId="0" borderId="14" xfId="0" applyNumberFormat="1" applyFont="1" applyFill="1" applyBorder="1" applyAlignment="1">
      <alignment vertical="center" wrapText="1"/>
    </xf>
    <xf numFmtId="3" fontId="2" fillId="0" borderId="15" xfId="0" applyNumberFormat="1" applyFont="1" applyFill="1" applyBorder="1" applyAlignment="1">
      <alignment horizontal="right" vertical="center" wrapText="1"/>
    </xf>
    <xf numFmtId="3" fontId="4" fillId="0" borderId="17" xfId="0" applyNumberFormat="1" applyFont="1" applyFill="1" applyBorder="1" applyAlignment="1">
      <alignment vertical="center" wrapText="1"/>
    </xf>
    <xf numFmtId="4" fontId="4" fillId="0" borderId="17" xfId="0" applyNumberFormat="1" applyFont="1" applyFill="1" applyBorder="1" applyAlignment="1">
      <alignment vertical="center" wrapText="1"/>
    </xf>
    <xf numFmtId="3" fontId="12" fillId="0" borderId="21" xfId="0" applyNumberFormat="1" applyFont="1" applyFill="1" applyBorder="1" applyAlignment="1">
      <alignment vertical="center" wrapText="1"/>
    </xf>
    <xf numFmtId="4" fontId="12" fillId="0" borderId="21" xfId="0" applyNumberFormat="1" applyFont="1" applyFill="1" applyBorder="1" applyAlignment="1">
      <alignment vertical="center" wrapText="1"/>
    </xf>
    <xf numFmtId="3" fontId="12" fillId="0" borderId="22" xfId="0" applyNumberFormat="1" applyFont="1" applyFill="1" applyBorder="1" applyAlignment="1">
      <alignment vertical="center" wrapText="1"/>
    </xf>
    <xf numFmtId="4" fontId="12" fillId="0" borderId="22" xfId="0" applyNumberFormat="1" applyFont="1" applyFill="1" applyBorder="1" applyAlignment="1">
      <alignment vertical="center" wrapText="1"/>
    </xf>
    <xf numFmtId="3" fontId="12" fillId="0" borderId="24" xfId="0" applyNumberFormat="1" applyFont="1" applyFill="1" applyBorder="1" applyAlignment="1">
      <alignment vertical="center" wrapText="1"/>
    </xf>
    <xf numFmtId="4" fontId="12" fillId="0" borderId="25" xfId="0" applyNumberFormat="1" applyFont="1" applyFill="1" applyBorder="1" applyAlignment="1">
      <alignment vertical="center" wrapText="1"/>
    </xf>
    <xf numFmtId="3" fontId="12" fillId="0" borderId="25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4" fontId="12" fillId="0" borderId="28" xfId="0" applyNumberFormat="1" applyFont="1" applyFill="1" applyBorder="1" applyAlignment="1">
      <alignment vertical="center" wrapText="1"/>
    </xf>
    <xf numFmtId="3" fontId="12" fillId="0" borderId="28" xfId="0" applyNumberFormat="1" applyFont="1" applyFill="1" applyBorder="1" applyAlignment="1">
      <alignment vertical="center" wrapText="1"/>
    </xf>
    <xf numFmtId="3" fontId="21" fillId="0" borderId="28" xfId="0" applyNumberFormat="1" applyFont="1" applyFill="1" applyBorder="1" applyAlignment="1">
      <alignment vertical="center" wrapText="1"/>
    </xf>
    <xf numFmtId="0" fontId="12" fillId="0" borderId="23" xfId="0" applyFont="1" applyFill="1" applyBorder="1" applyAlignment="1">
      <alignment horizontal="center"/>
    </xf>
    <xf numFmtId="0" fontId="12" fillId="0" borderId="24" xfId="0" applyFont="1" applyFill="1" applyBorder="1" applyAlignment="1">
      <alignment horizontal="center"/>
    </xf>
    <xf numFmtId="0" fontId="12" fillId="0" borderId="29" xfId="0" applyFont="1" applyFill="1" applyBorder="1" applyAlignment="1">
      <alignment horizontal="center"/>
    </xf>
    <xf numFmtId="3" fontId="8" fillId="0" borderId="60" xfId="0" applyNumberFormat="1" applyFont="1" applyFill="1" applyBorder="1"/>
    <xf numFmtId="0" fontId="8" fillId="0" borderId="60" xfId="0" applyFont="1" applyFill="1" applyBorder="1"/>
    <xf numFmtId="0" fontId="12" fillId="0" borderId="65" xfId="0" applyFont="1" applyFill="1" applyBorder="1" applyAlignment="1">
      <alignment horizontal="center"/>
    </xf>
    <xf numFmtId="0" fontId="8" fillId="0" borderId="66" xfId="0" applyFont="1" applyFill="1" applyBorder="1"/>
    <xf numFmtId="3" fontId="8" fillId="0" borderId="66" xfId="0" applyNumberFormat="1" applyFont="1" applyFill="1" applyBorder="1"/>
    <xf numFmtId="3" fontId="8" fillId="0" borderId="67" xfId="0" applyNumberFormat="1" applyFont="1" applyFill="1" applyBorder="1"/>
    <xf numFmtId="4" fontId="8" fillId="0" borderId="67" xfId="0" applyNumberFormat="1" applyFont="1" applyFill="1" applyBorder="1"/>
    <xf numFmtId="3" fontId="17" fillId="0" borderId="67" xfId="0" applyNumberFormat="1" applyFont="1" applyFill="1" applyBorder="1"/>
    <xf numFmtId="0" fontId="5" fillId="0" borderId="68" xfId="0" applyFont="1" applyFill="1" applyBorder="1"/>
    <xf numFmtId="0" fontId="5" fillId="0" borderId="41" xfId="0" applyFont="1" applyFill="1" applyBorder="1" applyAlignment="1">
      <alignment horizontal="center"/>
    </xf>
    <xf numFmtId="0" fontId="5" fillId="0" borderId="42" xfId="0" applyFont="1" applyFill="1" applyBorder="1"/>
    <xf numFmtId="3" fontId="24" fillId="0" borderId="43" xfId="0" applyNumberFormat="1" applyFont="1" applyFill="1" applyBorder="1"/>
    <xf numFmtId="0" fontId="5" fillId="0" borderId="70" xfId="0" applyFont="1" applyFill="1" applyBorder="1"/>
    <xf numFmtId="3" fontId="5" fillId="0" borderId="26" xfId="0" applyNumberFormat="1" applyFont="1" applyFill="1" applyBorder="1" applyAlignment="1">
      <alignment horizontal="right"/>
    </xf>
    <xf numFmtId="4" fontId="5" fillId="0" borderId="26" xfId="0" applyNumberFormat="1" applyFont="1" applyFill="1" applyBorder="1" applyAlignment="1">
      <alignment horizontal="right"/>
    </xf>
    <xf numFmtId="0" fontId="6" fillId="0" borderId="71" xfId="0" applyFont="1" applyFill="1" applyBorder="1"/>
    <xf numFmtId="0" fontId="2" fillId="0" borderId="38" xfId="0" applyFont="1" applyFill="1" applyBorder="1" applyAlignment="1">
      <alignment horizontal="center"/>
    </xf>
    <xf numFmtId="0" fontId="2" fillId="0" borderId="23" xfId="0" applyFont="1" applyFill="1" applyBorder="1"/>
    <xf numFmtId="0" fontId="2" fillId="0" borderId="32" xfId="0" applyFont="1" applyFill="1" applyBorder="1"/>
    <xf numFmtId="0" fontId="2" fillId="0" borderId="16" xfId="0" applyFont="1" applyFill="1" applyBorder="1"/>
    <xf numFmtId="0" fontId="10" fillId="0" borderId="16" xfId="0" applyFont="1" applyFill="1" applyBorder="1"/>
    <xf numFmtId="3" fontId="10" fillId="0" borderId="16" xfId="0" applyNumberFormat="1" applyFont="1" applyFill="1" applyBorder="1"/>
    <xf numFmtId="0" fontId="2" fillId="0" borderId="17" xfId="0" applyFont="1" applyFill="1" applyBorder="1" applyAlignment="1">
      <alignment horizontal="center"/>
    </xf>
    <xf numFmtId="0" fontId="8" fillId="0" borderId="32" xfId="0" applyFont="1" applyBorder="1"/>
    <xf numFmtId="3" fontId="8" fillId="0" borderId="32" xfId="0" applyNumberFormat="1" applyFont="1" applyBorder="1"/>
    <xf numFmtId="4" fontId="8" fillId="0" borderId="32" xfId="0" applyNumberFormat="1" applyFont="1" applyBorder="1"/>
    <xf numFmtId="0" fontId="12" fillId="0" borderId="24" xfId="0" applyFont="1" applyFill="1" applyBorder="1"/>
    <xf numFmtId="0" fontId="12" fillId="0" borderId="25" xfId="0" applyFont="1" applyFill="1" applyBorder="1"/>
    <xf numFmtId="3" fontId="12" fillId="0" borderId="32" xfId="0" applyNumberFormat="1" applyFont="1" applyFill="1" applyBorder="1"/>
    <xf numFmtId="4" fontId="12" fillId="0" borderId="32" xfId="0" applyNumberFormat="1" applyFont="1" applyFill="1" applyBorder="1"/>
    <xf numFmtId="3" fontId="12" fillId="0" borderId="23" xfId="0" applyNumberFormat="1" applyFont="1" applyFill="1" applyBorder="1"/>
    <xf numFmtId="0" fontId="8" fillId="0" borderId="27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center"/>
    </xf>
    <xf numFmtId="3" fontId="5" fillId="0" borderId="14" xfId="0" applyNumberFormat="1" applyFont="1" applyFill="1" applyBorder="1"/>
    <xf numFmtId="4" fontId="5" fillId="0" borderId="14" xfId="0" applyNumberFormat="1" applyFont="1" applyFill="1" applyBorder="1"/>
    <xf numFmtId="3" fontId="5" fillId="0" borderId="17" xfId="0" applyNumberFormat="1" applyFont="1" applyFill="1" applyBorder="1"/>
    <xf numFmtId="3" fontId="11" fillId="0" borderId="38" xfId="0" applyNumberFormat="1" applyFont="1" applyFill="1" applyBorder="1"/>
    <xf numFmtId="4" fontId="11" fillId="0" borderId="38" xfId="0" applyNumberFormat="1" applyFont="1" applyFill="1" applyBorder="1"/>
    <xf numFmtId="3" fontId="11" fillId="0" borderId="19" xfId="0" applyNumberFormat="1" applyFont="1" applyFill="1" applyBorder="1"/>
    <xf numFmtId="4" fontId="11" fillId="0" borderId="19" xfId="0" applyNumberFormat="1" applyFont="1" applyFill="1" applyBorder="1"/>
    <xf numFmtId="0" fontId="12" fillId="0" borderId="12" xfId="0" applyFont="1" applyFill="1" applyBorder="1"/>
    <xf numFmtId="0" fontId="12" fillId="0" borderId="16" xfId="0" applyFont="1" applyFill="1" applyBorder="1"/>
    <xf numFmtId="0" fontId="6" fillId="0" borderId="30" xfId="0" applyFont="1" applyFill="1" applyBorder="1"/>
    <xf numFmtId="0" fontId="6" fillId="0" borderId="17" xfId="0" applyFont="1" applyFill="1" applyBorder="1" applyAlignment="1">
      <alignment horizontal="right"/>
    </xf>
    <xf numFmtId="3" fontId="6" fillId="0" borderId="37" xfId="0" applyNumberFormat="1" applyFont="1" applyFill="1" applyBorder="1" applyAlignment="1">
      <alignment horizontal="right"/>
    </xf>
    <xf numFmtId="4" fontId="6" fillId="0" borderId="17" xfId="0" applyNumberFormat="1" applyFont="1" applyFill="1" applyBorder="1" applyAlignment="1">
      <alignment horizontal="right"/>
    </xf>
    <xf numFmtId="3" fontId="19" fillId="0" borderId="17" xfId="0" applyNumberFormat="1" applyFont="1" applyFill="1" applyBorder="1"/>
    <xf numFmtId="0" fontId="5" fillId="0" borderId="73" xfId="0" applyFont="1" applyFill="1" applyBorder="1"/>
    <xf numFmtId="0" fontId="5" fillId="0" borderId="43" xfId="0" applyFont="1" applyFill="1" applyBorder="1" applyAlignment="1">
      <alignment horizontal="center"/>
    </xf>
    <xf numFmtId="4" fontId="0" fillId="0" borderId="0" xfId="0" applyNumberFormat="1" applyAlignment="1"/>
    <xf numFmtId="3" fontId="6" fillId="0" borderId="26" xfId="0" applyNumberFormat="1" applyFont="1" applyFill="1" applyBorder="1" applyAlignment="1">
      <alignment horizontal="right"/>
    </xf>
    <xf numFmtId="0" fontId="6" fillId="0" borderId="8" xfId="0" applyFont="1" applyFill="1" applyBorder="1" applyAlignment="1">
      <alignment horizontal="right"/>
    </xf>
    <xf numFmtId="49" fontId="2" fillId="0" borderId="20" xfId="0" applyNumberFormat="1" applyFont="1" applyFill="1" applyBorder="1" applyAlignment="1"/>
    <xf numFmtId="3" fontId="25" fillId="0" borderId="23" xfId="0" applyNumberFormat="1" applyFont="1" applyFill="1" applyBorder="1"/>
    <xf numFmtId="3" fontId="25" fillId="0" borderId="25" xfId="0" applyNumberFormat="1" applyFont="1" applyFill="1" applyBorder="1"/>
    <xf numFmtId="49" fontId="6" fillId="0" borderId="30" xfId="0" applyNumberFormat="1" applyFont="1" applyFill="1" applyBorder="1" applyAlignment="1"/>
    <xf numFmtId="49" fontId="2" fillId="0" borderId="12" xfId="0" applyNumberFormat="1" applyFont="1" applyFill="1" applyBorder="1" applyAlignment="1"/>
    <xf numFmtId="0" fontId="8" fillId="0" borderId="25" xfId="0" applyFont="1" applyFill="1" applyBorder="1" applyAlignment="1">
      <alignment horizontal="right"/>
    </xf>
    <xf numFmtId="3" fontId="8" fillId="0" borderId="25" xfId="0" applyNumberFormat="1" applyFont="1" applyFill="1" applyBorder="1" applyAlignment="1">
      <alignment horizontal="right"/>
    </xf>
    <xf numFmtId="0" fontId="8" fillId="0" borderId="34" xfId="0" applyFont="1" applyFill="1" applyBorder="1" applyAlignment="1">
      <alignment horizontal="right"/>
    </xf>
    <xf numFmtId="3" fontId="8" fillId="0" borderId="34" xfId="0" applyNumberFormat="1" applyFont="1" applyFill="1" applyBorder="1" applyAlignment="1">
      <alignment horizontal="right"/>
    </xf>
    <xf numFmtId="49" fontId="11" fillId="0" borderId="30" xfId="0" applyNumberFormat="1" applyFont="1" applyFill="1" applyBorder="1" applyAlignment="1"/>
    <xf numFmtId="3" fontId="19" fillId="0" borderId="14" xfId="0" applyNumberFormat="1" applyFont="1" applyFill="1" applyBorder="1" applyAlignment="1">
      <alignment horizontal="right"/>
    </xf>
    <xf numFmtId="49" fontId="2" fillId="0" borderId="18" xfId="0" applyNumberFormat="1" applyFont="1" applyFill="1" applyBorder="1" applyAlignment="1"/>
    <xf numFmtId="49" fontId="2" fillId="0" borderId="19" xfId="0" applyNumberFormat="1" applyFont="1" applyFill="1" applyBorder="1" applyAlignment="1"/>
    <xf numFmtId="0" fontId="8" fillId="0" borderId="22" xfId="0" applyFont="1" applyFill="1" applyBorder="1" applyAlignment="1">
      <alignment horizontal="right"/>
    </xf>
    <xf numFmtId="3" fontId="8" fillId="0" borderId="22" xfId="0" applyNumberFormat="1" applyFont="1" applyFill="1" applyBorder="1" applyAlignment="1">
      <alignment horizontal="right"/>
    </xf>
    <xf numFmtId="0" fontId="8" fillId="0" borderId="32" xfId="0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49" fontId="2" fillId="0" borderId="7" xfId="0" applyNumberFormat="1" applyFont="1" applyFill="1" applyBorder="1" applyAlignment="1"/>
    <xf numFmtId="49" fontId="2" fillId="0" borderId="26" xfId="0" applyNumberFormat="1" applyFont="1" applyFill="1" applyBorder="1" applyAlignment="1"/>
    <xf numFmtId="0" fontId="8" fillId="0" borderId="16" xfId="0" applyFont="1" applyFill="1" applyBorder="1" applyAlignment="1">
      <alignment horizontal="right"/>
    </xf>
    <xf numFmtId="3" fontId="8" fillId="0" borderId="16" xfId="0" applyNumberFormat="1" applyFont="1" applyFill="1" applyBorder="1" applyAlignment="1">
      <alignment horizontal="right"/>
    </xf>
    <xf numFmtId="49" fontId="6" fillId="0" borderId="7" xfId="0" applyNumberFormat="1" applyFont="1" applyFill="1" applyBorder="1" applyAlignment="1"/>
    <xf numFmtId="3" fontId="6" fillId="0" borderId="14" xfId="0" applyNumberFormat="1" applyFont="1" applyFill="1" applyBorder="1" applyAlignment="1">
      <alignment horizontal="left"/>
    </xf>
    <xf numFmtId="0" fontId="6" fillId="0" borderId="14" xfId="0" applyFont="1" applyFill="1" applyBorder="1" applyAlignment="1">
      <alignment horizontal="right"/>
    </xf>
    <xf numFmtId="3" fontId="6" fillId="0" borderId="14" xfId="0" applyNumberFormat="1" applyFont="1" applyFill="1" applyBorder="1" applyAlignment="1">
      <alignment horizontal="right"/>
    </xf>
    <xf numFmtId="0" fontId="10" fillId="0" borderId="21" xfId="0" applyFont="1" applyFill="1" applyBorder="1" applyAlignment="1">
      <alignment horizontal="left"/>
    </xf>
    <xf numFmtId="3" fontId="10" fillId="0" borderId="21" xfId="0" applyNumberFormat="1" applyFont="1" applyFill="1" applyBorder="1" applyAlignment="1">
      <alignment horizontal="left"/>
    </xf>
    <xf numFmtId="0" fontId="6" fillId="0" borderId="21" xfId="0" applyFont="1" applyFill="1" applyBorder="1" applyAlignment="1">
      <alignment horizontal="right"/>
    </xf>
    <xf numFmtId="3" fontId="6" fillId="0" borderId="21" xfId="0" applyNumberFormat="1" applyFont="1" applyFill="1" applyBorder="1" applyAlignment="1">
      <alignment horizontal="right"/>
    </xf>
    <xf numFmtId="0" fontId="10" fillId="0" borderId="23" xfId="0" applyFont="1" applyFill="1" applyBorder="1" applyAlignment="1">
      <alignment horizontal="left"/>
    </xf>
    <xf numFmtId="3" fontId="10" fillId="0" borderId="23" xfId="0" applyNumberFormat="1" applyFont="1" applyFill="1" applyBorder="1" applyAlignment="1">
      <alignment horizontal="left"/>
    </xf>
    <xf numFmtId="0" fontId="6" fillId="0" borderId="23" xfId="0" applyFont="1" applyFill="1" applyBorder="1" applyAlignment="1">
      <alignment horizontal="right"/>
    </xf>
    <xf numFmtId="3" fontId="6" fillId="0" borderId="23" xfId="0" applyNumberFormat="1" applyFont="1" applyFill="1" applyBorder="1" applyAlignment="1">
      <alignment horizontal="right"/>
    </xf>
    <xf numFmtId="3" fontId="26" fillId="0" borderId="23" xfId="0" applyNumberFormat="1" applyFont="1" applyFill="1" applyBorder="1"/>
    <xf numFmtId="3" fontId="27" fillId="0" borderId="23" xfId="0" applyNumberFormat="1" applyFont="1" applyFill="1" applyBorder="1"/>
    <xf numFmtId="0" fontId="10" fillId="0" borderId="24" xfId="0" applyFont="1" applyFill="1" applyBorder="1" applyAlignment="1">
      <alignment horizontal="left"/>
    </xf>
    <xf numFmtId="3" fontId="10" fillId="0" borderId="24" xfId="0" applyNumberFormat="1" applyFont="1" applyFill="1" applyBorder="1" applyAlignment="1">
      <alignment horizontal="left"/>
    </xf>
    <xf numFmtId="0" fontId="6" fillId="0" borderId="24" xfId="0" applyFont="1" applyFill="1" applyBorder="1" applyAlignment="1">
      <alignment horizontal="right"/>
    </xf>
    <xf numFmtId="3" fontId="6" fillId="0" borderId="24" xfId="0" applyNumberFormat="1" applyFont="1" applyFill="1" applyBorder="1" applyAlignment="1">
      <alignment horizontal="right"/>
    </xf>
    <xf numFmtId="3" fontId="6" fillId="0" borderId="24" xfId="0" applyNumberFormat="1" applyFont="1" applyFill="1" applyBorder="1"/>
    <xf numFmtId="3" fontId="9" fillId="0" borderId="24" xfId="0" applyNumberFormat="1" applyFont="1" applyFill="1" applyBorder="1"/>
    <xf numFmtId="0" fontId="8" fillId="0" borderId="28" xfId="0" applyFont="1" applyFill="1" applyBorder="1" applyAlignment="1">
      <alignment horizontal="right"/>
    </xf>
    <xf numFmtId="3" fontId="8" fillId="0" borderId="28" xfId="0" applyNumberFormat="1" applyFont="1" applyFill="1" applyBorder="1" applyAlignment="1">
      <alignment horizontal="right"/>
    </xf>
    <xf numFmtId="3" fontId="28" fillId="0" borderId="22" xfId="0" applyNumberFormat="1" applyFont="1" applyFill="1" applyBorder="1"/>
    <xf numFmtId="4" fontId="28" fillId="0" borderId="22" xfId="0" applyNumberFormat="1" applyFont="1" applyFill="1" applyBorder="1"/>
    <xf numFmtId="3" fontId="28" fillId="0" borderId="16" xfId="0" applyNumberFormat="1" applyFont="1" applyFill="1" applyBorder="1"/>
    <xf numFmtId="3" fontId="28" fillId="0" borderId="25" xfId="0" applyNumberFormat="1" applyFont="1" applyFill="1" applyBorder="1"/>
    <xf numFmtId="4" fontId="28" fillId="0" borderId="25" xfId="0" applyNumberFormat="1" applyFont="1" applyFill="1" applyBorder="1"/>
    <xf numFmtId="3" fontId="28" fillId="0" borderId="24" xfId="0" applyNumberFormat="1" applyFont="1" applyFill="1" applyBorder="1"/>
    <xf numFmtId="0" fontId="8" fillId="0" borderId="64" xfId="0" applyFont="1" applyFill="1" applyBorder="1"/>
    <xf numFmtId="3" fontId="8" fillId="0" borderId="75" xfId="0" applyNumberFormat="1" applyFont="1" applyFill="1" applyBorder="1"/>
    <xf numFmtId="0" fontId="8" fillId="0" borderId="75" xfId="0" applyFont="1" applyFill="1" applyBorder="1"/>
    <xf numFmtId="0" fontId="8" fillId="0" borderId="75" xfId="0" applyFont="1" applyFill="1" applyBorder="1" applyAlignment="1">
      <alignment horizontal="right"/>
    </xf>
    <xf numFmtId="3" fontId="8" fillId="0" borderId="75" xfId="0" applyNumberFormat="1" applyFont="1" applyFill="1" applyBorder="1" applyAlignment="1">
      <alignment horizontal="right"/>
    </xf>
    <xf numFmtId="3" fontId="8" fillId="0" borderId="59" xfId="0" applyNumberFormat="1" applyFont="1" applyFill="1" applyBorder="1"/>
    <xf numFmtId="0" fontId="8" fillId="0" borderId="59" xfId="0" applyFont="1" applyFill="1" applyBorder="1"/>
    <xf numFmtId="0" fontId="8" fillId="0" borderId="59" xfId="0" applyFont="1" applyFill="1" applyBorder="1" applyAlignment="1">
      <alignment horizontal="right"/>
    </xf>
    <xf numFmtId="0" fontId="12" fillId="0" borderId="51" xfId="0" applyFont="1" applyFill="1" applyBorder="1"/>
    <xf numFmtId="3" fontId="12" fillId="0" borderId="61" xfId="0" applyNumberFormat="1" applyFont="1" applyFill="1" applyBorder="1"/>
    <xf numFmtId="0" fontId="12" fillId="0" borderId="61" xfId="0" applyFont="1" applyFill="1" applyBorder="1"/>
    <xf numFmtId="0" fontId="12" fillId="0" borderId="61" xfId="0" applyFont="1" applyFill="1" applyBorder="1" applyAlignment="1">
      <alignment horizontal="right"/>
    </xf>
    <xf numFmtId="3" fontId="12" fillId="0" borderId="61" xfId="0" applyNumberFormat="1" applyFont="1" applyFill="1" applyBorder="1" applyAlignment="1">
      <alignment horizontal="right"/>
    </xf>
    <xf numFmtId="3" fontId="8" fillId="0" borderId="61" xfId="0" applyNumberFormat="1" applyFont="1" applyFill="1" applyBorder="1"/>
    <xf numFmtId="0" fontId="8" fillId="0" borderId="61" xfId="0" applyFont="1" applyFill="1" applyBorder="1"/>
    <xf numFmtId="0" fontId="8" fillId="0" borderId="61" xfId="0" applyFont="1" applyFill="1" applyBorder="1" applyAlignment="1">
      <alignment horizontal="right"/>
    </xf>
    <xf numFmtId="3" fontId="6" fillId="0" borderId="34" xfId="0" applyNumberFormat="1" applyFont="1" applyFill="1" applyBorder="1"/>
    <xf numFmtId="0" fontId="6" fillId="0" borderId="34" xfId="0" applyFont="1" applyFill="1" applyBorder="1"/>
    <xf numFmtId="0" fontId="6" fillId="0" borderId="34" xfId="0" applyFont="1" applyFill="1" applyBorder="1" applyAlignment="1">
      <alignment horizontal="right"/>
    </xf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/>
    <xf numFmtId="0" fontId="29" fillId="0" borderId="0" xfId="0" applyFont="1"/>
    <xf numFmtId="3" fontId="6" fillId="0" borderId="58" xfId="0" applyNumberFormat="1" applyFont="1" applyFill="1" applyBorder="1" applyAlignment="1">
      <alignment horizontal="left"/>
    </xf>
    <xf numFmtId="0" fontId="6" fillId="0" borderId="58" xfId="0" applyFont="1" applyFill="1" applyBorder="1" applyAlignment="1">
      <alignment horizontal="right"/>
    </xf>
    <xf numFmtId="3" fontId="6" fillId="0" borderId="58" xfId="0" applyNumberFormat="1" applyFont="1" applyFill="1" applyBorder="1" applyAlignment="1">
      <alignment horizontal="right"/>
    </xf>
    <xf numFmtId="3" fontId="10" fillId="0" borderId="22" xfId="0" applyNumberFormat="1" applyFont="1" applyFill="1" applyBorder="1" applyAlignment="1">
      <alignment horizontal="left"/>
    </xf>
    <xf numFmtId="0" fontId="10" fillId="0" borderId="22" xfId="0" applyFont="1" applyFill="1" applyBorder="1" applyAlignment="1">
      <alignment horizontal="left"/>
    </xf>
    <xf numFmtId="0" fontId="10" fillId="0" borderId="22" xfId="0" applyFont="1" applyFill="1" applyBorder="1" applyAlignment="1">
      <alignment horizontal="right"/>
    </xf>
    <xf numFmtId="3" fontId="10" fillId="0" borderId="22" xfId="0" applyNumberFormat="1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left"/>
    </xf>
    <xf numFmtId="0" fontId="10" fillId="0" borderId="32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3" fontId="8" fillId="0" borderId="8" xfId="0" applyNumberFormat="1" applyFont="1" applyFill="1" applyBorder="1" applyAlignment="1">
      <alignment horizontal="right"/>
    </xf>
    <xf numFmtId="4" fontId="6" fillId="0" borderId="8" xfId="0" applyNumberFormat="1" applyFont="1" applyFill="1" applyBorder="1"/>
    <xf numFmtId="0" fontId="19" fillId="0" borderId="30" xfId="0" applyFont="1" applyFill="1" applyBorder="1"/>
    <xf numFmtId="49" fontId="6" fillId="0" borderId="17" xfId="0" applyNumberFormat="1" applyFont="1" applyFill="1" applyBorder="1" applyAlignment="1">
      <alignment horizontal="right"/>
    </xf>
    <xf numFmtId="0" fontId="12" fillId="0" borderId="13" xfId="0" applyFont="1" applyFill="1" applyBorder="1"/>
    <xf numFmtId="0" fontId="12" fillId="0" borderId="17" xfId="0" applyFont="1" applyFill="1" applyBorder="1"/>
    <xf numFmtId="0" fontId="12" fillId="0" borderId="0" xfId="0" applyFont="1" applyFill="1" applyBorder="1"/>
    <xf numFmtId="3" fontId="12" fillId="0" borderId="14" xfId="0" applyNumberFormat="1" applyFont="1" applyFill="1" applyBorder="1"/>
    <xf numFmtId="0" fontId="12" fillId="0" borderId="37" xfId="0" applyFont="1" applyFill="1" applyBorder="1"/>
    <xf numFmtId="0" fontId="12" fillId="0" borderId="19" xfId="0" applyFont="1" applyFill="1" applyBorder="1"/>
    <xf numFmtId="49" fontId="2" fillId="0" borderId="30" xfId="0" applyNumberFormat="1" applyFont="1" applyFill="1" applyBorder="1" applyAlignment="1"/>
    <xf numFmtId="49" fontId="2" fillId="0" borderId="17" xfId="0" applyNumberFormat="1" applyFont="1" applyFill="1" applyBorder="1" applyAlignment="1">
      <alignment horizontal="left"/>
    </xf>
    <xf numFmtId="1" fontId="9" fillId="0" borderId="17" xfId="0" applyNumberFormat="1" applyFont="1" applyFill="1" applyBorder="1"/>
    <xf numFmtId="0" fontId="2" fillId="0" borderId="21" xfId="0" applyFont="1" applyFill="1" applyBorder="1" applyAlignment="1"/>
    <xf numFmtId="0" fontId="2" fillId="0" borderId="27" xfId="0" applyFont="1" applyFill="1" applyBorder="1" applyAlignment="1"/>
    <xf numFmtId="0" fontId="8" fillId="0" borderId="22" xfId="0" applyFont="1" applyFill="1" applyBorder="1" applyAlignment="1"/>
    <xf numFmtId="3" fontId="8" fillId="0" borderId="22" xfId="0" applyNumberFormat="1" applyFont="1" applyFill="1" applyBorder="1" applyAlignment="1"/>
    <xf numFmtId="4" fontId="8" fillId="0" borderId="21" xfId="0" applyNumberFormat="1" applyFont="1" applyFill="1" applyBorder="1" applyAlignment="1">
      <alignment horizontal="right"/>
    </xf>
    <xf numFmtId="0" fontId="2" fillId="0" borderId="23" xfId="0" applyFont="1" applyFill="1" applyBorder="1" applyAlignment="1"/>
    <xf numFmtId="0" fontId="8" fillId="0" borderId="32" xfId="0" applyFont="1" applyFill="1" applyBorder="1" applyAlignment="1"/>
    <xf numFmtId="3" fontId="8" fillId="0" borderId="32" xfId="0" applyNumberFormat="1" applyFont="1" applyFill="1" applyBorder="1" applyAlignment="1"/>
    <xf numFmtId="3" fontId="8" fillId="0" borderId="23" xfId="0" applyNumberFormat="1" applyFont="1" applyFill="1" applyBorder="1" applyAlignment="1">
      <alignment horizontal="right"/>
    </xf>
    <xf numFmtId="0" fontId="2" fillId="0" borderId="24" xfId="0" applyFont="1" applyFill="1" applyBorder="1" applyAlignment="1"/>
    <xf numFmtId="0" fontId="8" fillId="0" borderId="25" xfId="0" applyFont="1" applyFill="1" applyBorder="1" applyAlignment="1"/>
    <xf numFmtId="3" fontId="2" fillId="0" borderId="42" xfId="0" applyNumberFormat="1" applyFont="1" applyFill="1" applyBorder="1"/>
    <xf numFmtId="4" fontId="2" fillId="0" borderId="42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7" xfId="0" applyNumberFormat="1" applyFont="1" applyFill="1" applyBorder="1"/>
    <xf numFmtId="3" fontId="0" fillId="0" borderId="26" xfId="0" applyNumberFormat="1" applyFill="1" applyBorder="1"/>
    <xf numFmtId="4" fontId="0" fillId="0" borderId="26" xfId="0" applyNumberFormat="1" applyFill="1" applyBorder="1"/>
    <xf numFmtId="4" fontId="0" fillId="0" borderId="10" xfId="0" applyNumberFormat="1" applyFill="1" applyBorder="1"/>
    <xf numFmtId="3" fontId="0" fillId="0" borderId="10" xfId="0" applyNumberFormat="1" applyFill="1" applyBorder="1"/>
    <xf numFmtId="0" fontId="0" fillId="0" borderId="21" xfId="0" applyFill="1" applyBorder="1"/>
    <xf numFmtId="3" fontId="0" fillId="0" borderId="21" xfId="0" applyNumberFormat="1" applyFill="1" applyBorder="1"/>
    <xf numFmtId="3" fontId="12" fillId="0" borderId="21" xfId="0" applyNumberFormat="1" applyFont="1" applyFill="1" applyBorder="1" applyAlignment="1">
      <alignment horizontal="right"/>
    </xf>
    <xf numFmtId="4" fontId="12" fillId="0" borderId="21" xfId="0" applyNumberFormat="1" applyFont="1" applyFill="1" applyBorder="1" applyAlignment="1">
      <alignment horizontal="right"/>
    </xf>
    <xf numFmtId="4" fontId="12" fillId="0" borderId="22" xfId="0" applyNumberFormat="1" applyFont="1" applyFill="1" applyBorder="1" applyAlignment="1">
      <alignment horizontal="right"/>
    </xf>
    <xf numFmtId="3" fontId="12" fillId="0" borderId="21" xfId="0" applyNumberFormat="1" applyFont="1" applyFill="1" applyBorder="1"/>
    <xf numFmtId="0" fontId="0" fillId="0" borderId="23" xfId="0" applyFill="1" applyBorder="1"/>
    <xf numFmtId="0" fontId="12" fillId="0" borderId="23" xfId="0" applyFont="1" applyFill="1" applyBorder="1"/>
    <xf numFmtId="3" fontId="12" fillId="0" borderId="24" xfId="0" applyNumberFormat="1" applyFont="1" applyFill="1" applyBorder="1" applyAlignment="1">
      <alignment horizontal="right"/>
    </xf>
    <xf numFmtId="4" fontId="12" fillId="0" borderId="24" xfId="0" applyNumberFormat="1" applyFont="1" applyFill="1" applyBorder="1" applyAlignment="1">
      <alignment horizontal="right"/>
    </xf>
    <xf numFmtId="4" fontId="12" fillId="0" borderId="25" xfId="0" applyNumberFormat="1" applyFont="1" applyFill="1" applyBorder="1" applyAlignment="1">
      <alignment horizontal="right"/>
    </xf>
    <xf numFmtId="0" fontId="0" fillId="0" borderId="24" xfId="0" applyFill="1" applyBorder="1"/>
    <xf numFmtId="0" fontId="30" fillId="0" borderId="24" xfId="0" applyFont="1" applyFill="1" applyBorder="1"/>
    <xf numFmtId="0" fontId="0" fillId="0" borderId="24" xfId="0" applyFont="1" applyFill="1" applyBorder="1"/>
    <xf numFmtId="0" fontId="7" fillId="0" borderId="24" xfId="0" applyFont="1" applyFill="1" applyBorder="1"/>
    <xf numFmtId="3" fontId="7" fillId="0" borderId="24" xfId="0" applyNumberFormat="1" applyFont="1" applyFill="1" applyBorder="1"/>
    <xf numFmtId="3" fontId="0" fillId="0" borderId="24" xfId="0" applyNumberFormat="1" applyFill="1" applyBorder="1"/>
    <xf numFmtId="4" fontId="0" fillId="0" borderId="24" xfId="0" applyNumberFormat="1" applyFill="1" applyBorder="1"/>
    <xf numFmtId="4" fontId="0" fillId="0" borderId="25" xfId="0" applyNumberFormat="1" applyFill="1" applyBorder="1"/>
    <xf numFmtId="0" fontId="0" fillId="0" borderId="29" xfId="0" applyFill="1" applyBorder="1"/>
    <xf numFmtId="3" fontId="0" fillId="0" borderId="29" xfId="0" applyNumberFormat="1" applyFill="1" applyBorder="1"/>
    <xf numFmtId="4" fontId="0" fillId="0" borderId="29" xfId="0" applyNumberFormat="1" applyFill="1" applyBorder="1"/>
    <xf numFmtId="4" fontId="0" fillId="0" borderId="34" xfId="0" applyNumberFormat="1" applyFill="1" applyBorder="1"/>
    <xf numFmtId="4" fontId="2" fillId="0" borderId="43" xfId="0" applyNumberFormat="1" applyFont="1" applyFill="1" applyBorder="1"/>
    <xf numFmtId="3" fontId="2" fillId="0" borderId="40" xfId="0" applyNumberFormat="1" applyFont="1" applyFill="1" applyBorder="1"/>
    <xf numFmtId="3" fontId="0" fillId="0" borderId="77" xfId="0" applyNumberFormat="1" applyFill="1" applyBorder="1"/>
    <xf numFmtId="4" fontId="0" fillId="0" borderId="77" xfId="0" applyNumberFormat="1" applyFill="1" applyBorder="1"/>
    <xf numFmtId="3" fontId="19" fillId="0" borderId="78" xfId="0" applyNumberFormat="1" applyFont="1" applyFill="1" applyBorder="1" applyAlignment="1">
      <alignment vertical="center"/>
    </xf>
    <xf numFmtId="4" fontId="19" fillId="0" borderId="78" xfId="0" applyNumberFormat="1" applyFont="1" applyFill="1" applyBorder="1" applyAlignment="1">
      <alignment vertical="center"/>
    </xf>
    <xf numFmtId="3" fontId="19" fillId="0" borderId="78" xfId="0" applyNumberFormat="1" applyFont="1" applyFill="1" applyBorder="1"/>
    <xf numFmtId="4" fontId="19" fillId="0" borderId="78" xfId="0" applyNumberFormat="1" applyFont="1" applyFill="1" applyBorder="1"/>
    <xf numFmtId="0" fontId="2" fillId="0" borderId="2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6" fillId="0" borderId="15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center"/>
    </xf>
    <xf numFmtId="0" fontId="6" fillId="0" borderId="58" xfId="0" applyFont="1" applyFill="1" applyBorder="1" applyAlignment="1">
      <alignment horizontal="left"/>
    </xf>
    <xf numFmtId="0" fontId="6" fillId="0" borderId="7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7" fillId="0" borderId="0" xfId="0" applyFont="1"/>
    <xf numFmtId="3" fontId="7" fillId="0" borderId="0" xfId="0" applyNumberFormat="1" applyFont="1"/>
    <xf numFmtId="0" fontId="0" fillId="0" borderId="0" xfId="0" applyFont="1"/>
    <xf numFmtId="4" fontId="7" fillId="0" borderId="49" xfId="0" applyNumberFormat="1" applyFont="1" applyBorder="1"/>
    <xf numFmtId="4" fontId="7" fillId="0" borderId="50" xfId="0" applyNumberFormat="1" applyFont="1" applyBorder="1"/>
    <xf numFmtId="4" fontId="7" fillId="0" borderId="82" xfId="0" applyNumberFormat="1" applyFont="1" applyBorder="1"/>
    <xf numFmtId="4" fontId="7" fillId="0" borderId="83" xfId="0" applyNumberFormat="1" applyFont="1" applyBorder="1"/>
    <xf numFmtId="4" fontId="7" fillId="0" borderId="85" xfId="0" applyNumberFormat="1" applyFont="1" applyBorder="1"/>
    <xf numFmtId="4" fontId="0" fillId="0" borderId="50" xfId="0" applyNumberFormat="1" applyFont="1" applyBorder="1"/>
    <xf numFmtId="4" fontId="0" fillId="0" borderId="83" xfId="0" applyNumberFormat="1" applyFont="1" applyBorder="1"/>
    <xf numFmtId="4" fontId="0" fillId="0" borderId="49" xfId="0" applyNumberFormat="1" applyFont="1" applyBorder="1"/>
    <xf numFmtId="4" fontId="0" fillId="0" borderId="82" xfId="0" applyNumberFormat="1" applyFont="1" applyBorder="1"/>
    <xf numFmtId="4" fontId="0" fillId="0" borderId="86" xfId="0" applyNumberFormat="1" applyFont="1" applyBorder="1"/>
    <xf numFmtId="4" fontId="0" fillId="0" borderId="27" xfId="0" applyNumberFormat="1" applyFont="1" applyBorder="1"/>
    <xf numFmtId="4" fontId="0" fillId="0" borderId="87" xfId="0" applyNumberFormat="1" applyFont="1" applyBorder="1"/>
    <xf numFmtId="3" fontId="0" fillId="0" borderId="0" xfId="0" applyNumberFormat="1" applyFont="1"/>
    <xf numFmtId="4" fontId="8" fillId="0" borderId="50" xfId="0" applyNumberFormat="1" applyFont="1" applyFill="1" applyBorder="1"/>
    <xf numFmtId="4" fontId="8" fillId="0" borderId="49" xfId="0" applyNumberFormat="1" applyFont="1" applyFill="1" applyBorder="1"/>
    <xf numFmtId="0" fontId="0" fillId="0" borderId="74" xfId="0" applyFill="1" applyBorder="1" applyAlignment="1"/>
    <xf numFmtId="0" fontId="0" fillId="0" borderId="89" xfId="0" applyFill="1" applyBorder="1"/>
    <xf numFmtId="0" fontId="0" fillId="0" borderId="91" xfId="0" applyFill="1" applyBorder="1"/>
    <xf numFmtId="0" fontId="19" fillId="0" borderId="92" xfId="0" applyFont="1" applyFill="1" applyBorder="1" applyAlignment="1">
      <alignment vertical="center"/>
    </xf>
    <xf numFmtId="3" fontId="19" fillId="0" borderId="79" xfId="0" applyNumberFormat="1" applyFont="1" applyFill="1" applyBorder="1" applyAlignment="1">
      <alignment vertical="center"/>
    </xf>
    <xf numFmtId="0" fontId="19" fillId="0" borderId="92" xfId="0" applyFont="1" applyFill="1" applyBorder="1"/>
    <xf numFmtId="3" fontId="19" fillId="0" borderId="79" xfId="0" applyNumberFormat="1" applyFont="1" applyFill="1" applyBorder="1"/>
    <xf numFmtId="3" fontId="14" fillId="0" borderId="0" xfId="0" applyNumberFormat="1" applyFont="1"/>
    <xf numFmtId="0" fontId="32" fillId="0" borderId="0" xfId="0" applyFont="1"/>
    <xf numFmtId="0" fontId="8" fillId="0" borderId="26" xfId="0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0" fontId="19" fillId="0" borderId="7" xfId="0" applyFont="1" applyFill="1" applyBorder="1" applyAlignment="1">
      <alignment horizontal="left"/>
    </xf>
    <xf numFmtId="0" fontId="8" fillId="0" borderId="26" xfId="0" applyFont="1" applyFill="1" applyBorder="1" applyAlignment="1">
      <alignment horizontal="center"/>
    </xf>
    <xf numFmtId="3" fontId="8" fillId="0" borderId="17" xfId="0" applyNumberFormat="1" applyFont="1" applyFill="1" applyBorder="1" applyAlignment="1">
      <alignment horizontal="right"/>
    </xf>
    <xf numFmtId="4" fontId="16" fillId="0" borderId="43" xfId="0" applyNumberFormat="1" applyFont="1" applyFill="1" applyBorder="1"/>
    <xf numFmtId="4" fontId="18" fillId="0" borderId="22" xfId="0" applyNumberFormat="1" applyFont="1" applyFill="1" applyBorder="1"/>
    <xf numFmtId="4" fontId="17" fillId="0" borderId="28" xfId="0" applyNumberFormat="1" applyFont="1" applyFill="1" applyBorder="1"/>
    <xf numFmtId="0" fontId="12" fillId="0" borderId="15" xfId="0" applyFont="1" applyFill="1" applyBorder="1"/>
    <xf numFmtId="49" fontId="2" fillId="0" borderId="17" xfId="0" applyNumberFormat="1" applyFont="1" applyFill="1" applyBorder="1" applyAlignment="1"/>
    <xf numFmtId="0" fontId="8" fillId="0" borderId="14" xfId="0" applyFont="1" applyFill="1" applyBorder="1"/>
    <xf numFmtId="0" fontId="8" fillId="0" borderId="14" xfId="0" applyFont="1" applyFill="1" applyBorder="1" applyAlignment="1">
      <alignment horizontal="right"/>
    </xf>
    <xf numFmtId="3" fontId="8" fillId="0" borderId="14" xfId="0" applyNumberFormat="1" applyFont="1" applyFill="1" applyBorder="1" applyAlignment="1">
      <alignment horizontal="right"/>
    </xf>
    <xf numFmtId="0" fontId="14" fillId="0" borderId="4" xfId="0" applyFont="1" applyFill="1" applyBorder="1"/>
    <xf numFmtId="3" fontId="14" fillId="0" borderId="5" xfId="0" applyNumberFormat="1" applyFont="1" applyFill="1" applyBorder="1"/>
    <xf numFmtId="4" fontId="14" fillId="0" borderId="5" xfId="0" applyNumberFormat="1" applyFont="1" applyFill="1" applyBorder="1"/>
    <xf numFmtId="3" fontId="14" fillId="0" borderId="74" xfId="0" applyNumberFormat="1" applyFont="1" applyFill="1" applyBorder="1"/>
    <xf numFmtId="3" fontId="34" fillId="0" borderId="69" xfId="0" applyNumberFormat="1" applyFont="1" applyBorder="1"/>
    <xf numFmtId="0" fontId="10" fillId="0" borderId="52" xfId="0" applyFont="1" applyFill="1" applyBorder="1" applyAlignment="1">
      <alignment horizontal="center"/>
    </xf>
    <xf numFmtId="3" fontId="6" fillId="0" borderId="15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 applyAlignment="1"/>
    <xf numFmtId="0" fontId="10" fillId="0" borderId="57" xfId="0" applyFont="1" applyFill="1" applyBorder="1" applyAlignment="1">
      <alignment horizontal="left" wrapText="1"/>
    </xf>
    <xf numFmtId="49" fontId="6" fillId="0" borderId="20" xfId="0" applyNumberFormat="1" applyFont="1" applyFill="1" applyBorder="1"/>
    <xf numFmtId="0" fontId="6" fillId="0" borderId="12" xfId="0" applyFont="1" applyFill="1" applyBorder="1" applyAlignment="1">
      <alignment horizontal="left"/>
    </xf>
    <xf numFmtId="3" fontId="6" fillId="0" borderId="16" xfId="0" applyNumberFormat="1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4" fontId="6" fillId="0" borderId="16" xfId="0" applyNumberFormat="1" applyFont="1" applyFill="1" applyBorder="1"/>
    <xf numFmtId="3" fontId="6" fillId="0" borderId="32" xfId="0" applyNumberFormat="1" applyFont="1" applyFill="1" applyBorder="1" applyAlignment="1">
      <alignment horizontal="right"/>
    </xf>
    <xf numFmtId="0" fontId="6" fillId="0" borderId="32" xfId="0" applyFont="1" applyFill="1" applyBorder="1" applyAlignment="1">
      <alignment horizontal="right"/>
    </xf>
    <xf numFmtId="3" fontId="7" fillId="0" borderId="32" xfId="0" applyNumberFormat="1" applyFont="1" applyBorder="1"/>
    <xf numFmtId="4" fontId="11" fillId="0" borderId="14" xfId="0" applyNumberFormat="1" applyFont="1" applyFill="1" applyBorder="1"/>
    <xf numFmtId="4" fontId="9" fillId="0" borderId="8" xfId="0" applyNumberFormat="1" applyFont="1" applyFill="1" applyBorder="1"/>
    <xf numFmtId="4" fontId="22" fillId="0" borderId="28" xfId="0" applyNumberFormat="1" applyFont="1" applyFill="1" applyBorder="1"/>
    <xf numFmtId="2" fontId="8" fillId="0" borderId="32" xfId="0" applyNumberFormat="1" applyFont="1" applyFill="1" applyBorder="1"/>
    <xf numFmtId="2" fontId="8" fillId="0" borderId="25" xfId="0" applyNumberFormat="1" applyFont="1" applyFill="1" applyBorder="1"/>
    <xf numFmtId="2" fontId="8" fillId="0" borderId="34" xfId="0" applyNumberFormat="1" applyFont="1" applyFill="1" applyBorder="1"/>
    <xf numFmtId="0" fontId="4" fillId="0" borderId="0" xfId="0" applyFont="1"/>
    <xf numFmtId="2" fontId="8" fillId="0" borderId="28" xfId="0" applyNumberFormat="1" applyFont="1" applyFill="1" applyBorder="1"/>
    <xf numFmtId="4" fontId="3" fillId="0" borderId="43" xfId="0" applyNumberFormat="1" applyFont="1" applyFill="1" applyBorder="1"/>
    <xf numFmtId="4" fontId="6" fillId="0" borderId="42" xfId="0" applyNumberFormat="1" applyFont="1" applyFill="1" applyBorder="1"/>
    <xf numFmtId="3" fontId="8" fillId="0" borderId="0" xfId="0" applyNumberFormat="1" applyFont="1" applyFill="1" applyBorder="1"/>
    <xf numFmtId="0" fontId="0" fillId="0" borderId="0" xfId="0"/>
    <xf numFmtId="4" fontId="7" fillId="0" borderId="0" xfId="0" applyNumberFormat="1" applyFont="1"/>
    <xf numFmtId="4" fontId="5" fillId="0" borderId="11" xfId="0" applyNumberFormat="1" applyFont="1" applyFill="1" applyBorder="1"/>
    <xf numFmtId="4" fontId="7" fillId="0" borderId="29" xfId="0" applyNumberFormat="1" applyFont="1" applyBorder="1"/>
    <xf numFmtId="4" fontId="5" fillId="0" borderId="38" xfId="0" applyNumberFormat="1" applyFont="1" applyFill="1" applyBorder="1"/>
    <xf numFmtId="4" fontId="6" fillId="0" borderId="38" xfId="0" applyNumberFormat="1" applyFont="1" applyFill="1" applyBorder="1"/>
    <xf numFmtId="4" fontId="14" fillId="0" borderId="42" xfId="0" applyNumberFormat="1" applyFont="1" applyBorder="1"/>
    <xf numFmtId="4" fontId="5" fillId="0" borderId="48" xfId="0" applyNumberFormat="1" applyFont="1" applyFill="1" applyBorder="1"/>
    <xf numFmtId="4" fontId="19" fillId="0" borderId="82" xfId="0" applyNumberFormat="1" applyFont="1" applyBorder="1"/>
    <xf numFmtId="4" fontId="11" fillId="0" borderId="82" xfId="0" applyNumberFormat="1" applyFont="1" applyFill="1" applyBorder="1"/>
    <xf numFmtId="4" fontId="2" fillId="0" borderId="84" xfId="0" applyNumberFormat="1" applyFont="1" applyFill="1" applyBorder="1"/>
    <xf numFmtId="4" fontId="9" fillId="0" borderId="82" xfId="0" applyNumberFormat="1" applyFont="1" applyFill="1" applyBorder="1"/>
    <xf numFmtId="4" fontId="5" fillId="0" borderId="85" xfId="0" applyNumberFormat="1" applyFont="1" applyFill="1" applyBorder="1"/>
    <xf numFmtId="4" fontId="6" fillId="0" borderId="85" xfId="0" applyNumberFormat="1" applyFont="1" applyFill="1" applyBorder="1"/>
    <xf numFmtId="4" fontId="2" fillId="0" borderId="82" xfId="0" applyNumberFormat="1" applyFont="1" applyFill="1" applyBorder="1"/>
    <xf numFmtId="4" fontId="8" fillId="0" borderId="83" xfId="0" applyNumberFormat="1" applyFont="1" applyFill="1" applyBorder="1"/>
    <xf numFmtId="4" fontId="6" fillId="0" borderId="82" xfId="0" applyNumberFormat="1" applyFont="1" applyFill="1" applyBorder="1"/>
    <xf numFmtId="4" fontId="8" fillId="0" borderId="86" xfId="0" applyNumberFormat="1" applyFont="1" applyFill="1" applyBorder="1"/>
    <xf numFmtId="4" fontId="8" fillId="0" borderId="88" xfId="0" applyNumberFormat="1" applyFont="1" applyFill="1" applyBorder="1"/>
    <xf numFmtId="4" fontId="8" fillId="0" borderId="87" xfId="0" applyNumberFormat="1" applyFont="1" applyFill="1" applyBorder="1"/>
    <xf numFmtId="4" fontId="7" fillId="0" borderId="86" xfId="0" applyNumberFormat="1" applyFont="1" applyBorder="1"/>
    <xf numFmtId="4" fontId="11" fillId="0" borderId="84" xfId="0" applyNumberFormat="1" applyFont="1" applyFill="1" applyBorder="1"/>
    <xf numFmtId="4" fontId="10" fillId="0" borderId="87" xfId="0" applyNumberFormat="1" applyFont="1" applyFill="1" applyBorder="1"/>
    <xf numFmtId="4" fontId="13" fillId="0" borderId="82" xfId="0" applyNumberFormat="1" applyFont="1" applyFill="1" applyBorder="1"/>
    <xf numFmtId="4" fontId="14" fillId="0" borderId="69" xfId="0" applyNumberFormat="1" applyFont="1" applyBorder="1"/>
    <xf numFmtId="4" fontId="6" fillId="0" borderId="48" xfId="0" applyNumberFormat="1" applyFont="1" applyFill="1" applyBorder="1" applyAlignment="1">
      <alignment vertical="center"/>
    </xf>
    <xf numFmtId="4" fontId="4" fillId="0" borderId="82" xfId="0" applyNumberFormat="1" applyFont="1" applyBorder="1"/>
    <xf numFmtId="4" fontId="0" fillId="0" borderId="88" xfId="0" applyNumberFormat="1" applyFont="1" applyBorder="1"/>
    <xf numFmtId="4" fontId="0" fillId="0" borderId="84" xfId="0" applyNumberFormat="1" applyFont="1" applyBorder="1"/>
    <xf numFmtId="4" fontId="12" fillId="0" borderId="88" xfId="0" applyNumberFormat="1" applyFont="1" applyBorder="1"/>
    <xf numFmtId="4" fontId="19" fillId="0" borderId="82" xfId="0" applyNumberFormat="1" applyFont="1" applyBorder="1" applyAlignment="1">
      <alignment vertical="center"/>
    </xf>
    <xf numFmtId="4" fontId="5" fillId="0" borderId="84" xfId="0" applyNumberFormat="1" applyFont="1" applyFill="1" applyBorder="1" applyAlignment="1">
      <alignment horizontal="right"/>
    </xf>
    <xf numFmtId="4" fontId="12" fillId="0" borderId="49" xfId="0" applyNumberFormat="1" applyFont="1" applyFill="1" applyBorder="1"/>
    <xf numFmtId="4" fontId="5" fillId="0" borderId="82" xfId="0" applyNumberFormat="1" applyFont="1" applyFill="1" applyBorder="1"/>
    <xf numFmtId="4" fontId="11" fillId="0" borderId="85" xfId="0" applyNumberFormat="1" applyFont="1" applyFill="1" applyBorder="1"/>
    <xf numFmtId="4" fontId="19" fillId="0" borderId="82" xfId="0" applyNumberFormat="1" applyFont="1" applyFill="1" applyBorder="1"/>
    <xf numFmtId="4" fontId="5" fillId="0" borderId="69" xfId="0" applyNumberFormat="1" applyFont="1" applyFill="1" applyBorder="1"/>
    <xf numFmtId="4" fontId="6" fillId="0" borderId="84" xfId="0" applyNumberFormat="1" applyFont="1" applyFill="1" applyBorder="1" applyAlignment="1">
      <alignment horizontal="right"/>
    </xf>
    <xf numFmtId="4" fontId="6" fillId="0" borderId="86" xfId="0" applyNumberFormat="1" applyFont="1" applyFill="1" applyBorder="1"/>
    <xf numFmtId="4" fontId="10" fillId="0" borderId="49" xfId="0" applyNumberFormat="1" applyFont="1" applyFill="1" applyBorder="1"/>
    <xf numFmtId="4" fontId="10" fillId="0" borderId="88" xfId="0" applyNumberFormat="1" applyFont="1" applyFill="1" applyBorder="1"/>
    <xf numFmtId="4" fontId="27" fillId="0" borderId="49" xfId="0" applyNumberFormat="1" applyFont="1" applyFill="1" applyBorder="1"/>
    <xf numFmtId="4" fontId="26" fillId="0" borderId="49" xfId="0" applyNumberFormat="1" applyFont="1" applyFill="1" applyBorder="1"/>
    <xf numFmtId="4" fontId="6" fillId="0" borderId="50" xfId="0" applyNumberFormat="1" applyFont="1" applyFill="1" applyBorder="1"/>
    <xf numFmtId="4" fontId="8" fillId="0" borderId="84" xfId="0" applyNumberFormat="1" applyFont="1" applyFill="1" applyBorder="1"/>
    <xf numFmtId="4" fontId="8" fillId="0" borderId="82" xfId="0" applyNumberFormat="1" applyFont="1" applyFill="1" applyBorder="1"/>
    <xf numFmtId="4" fontId="12" fillId="0" borderId="82" xfId="0" applyNumberFormat="1" applyFont="1" applyFill="1" applyBorder="1"/>
    <xf numFmtId="4" fontId="12" fillId="0" borderId="86" xfId="0" applyNumberFormat="1" applyFont="1" applyFill="1" applyBorder="1"/>
    <xf numFmtId="4" fontId="2" fillId="0" borderId="69" xfId="0" applyNumberFormat="1" applyFont="1" applyFill="1" applyBorder="1"/>
    <xf numFmtId="4" fontId="0" fillId="0" borderId="84" xfId="0" applyNumberFormat="1" applyFill="1" applyBorder="1"/>
    <xf numFmtId="4" fontId="12" fillId="0" borderId="88" xfId="0" applyNumberFormat="1" applyFont="1" applyFill="1" applyBorder="1"/>
    <xf numFmtId="4" fontId="12" fillId="0" borderId="50" xfId="0" applyNumberFormat="1" applyFont="1" applyFill="1" applyBorder="1"/>
    <xf numFmtId="4" fontId="12" fillId="0" borderId="50" xfId="0" applyNumberFormat="1" applyFont="1" applyFill="1" applyBorder="1" applyAlignment="1">
      <alignment horizontal="right"/>
    </xf>
    <xf numFmtId="4" fontId="0" fillId="0" borderId="50" xfId="0" applyNumberFormat="1" applyFill="1" applyBorder="1"/>
    <xf numFmtId="4" fontId="0" fillId="0" borderId="83" xfId="0" applyNumberFormat="1" applyFill="1" applyBorder="1"/>
    <xf numFmtId="4" fontId="12" fillId="0" borderId="23" xfId="0" applyNumberFormat="1" applyFont="1" applyFill="1" applyBorder="1"/>
    <xf numFmtId="4" fontId="5" fillId="0" borderId="17" xfId="0" applyNumberFormat="1" applyFont="1" applyFill="1" applyBorder="1"/>
    <xf numFmtId="4" fontId="19" fillId="0" borderId="17" xfId="0" applyNumberFormat="1" applyFont="1" applyFill="1" applyBorder="1"/>
    <xf numFmtId="4" fontId="5" fillId="0" borderId="26" xfId="0" applyNumberFormat="1" applyFont="1" applyFill="1" applyBorder="1" applyAlignment="1">
      <alignment vertical="center"/>
    </xf>
    <xf numFmtId="4" fontId="0" fillId="0" borderId="23" xfId="0" applyNumberFormat="1" applyBorder="1"/>
    <xf numFmtId="4" fontId="0" fillId="0" borderId="24" xfId="0" applyNumberFormat="1" applyBorder="1"/>
    <xf numFmtId="4" fontId="0" fillId="0" borderId="29" xfId="0" applyNumberFormat="1" applyBorder="1"/>
    <xf numFmtId="4" fontId="0" fillId="0" borderId="17" xfId="0" applyNumberFormat="1" applyBorder="1"/>
    <xf numFmtId="4" fontId="4" fillId="0" borderId="17" xfId="0" applyNumberFormat="1" applyFont="1" applyBorder="1"/>
    <xf numFmtId="4" fontId="0" fillId="0" borderId="12" xfId="0" applyNumberFormat="1" applyBorder="1"/>
    <xf numFmtId="4" fontId="0" fillId="0" borderId="21" xfId="0" applyNumberFormat="1" applyBorder="1"/>
    <xf numFmtId="4" fontId="0" fillId="0" borderId="27" xfId="0" applyNumberFormat="1" applyBorder="1"/>
    <xf numFmtId="4" fontId="12" fillId="0" borderId="26" xfId="0" applyNumberFormat="1" applyFont="1" applyBorder="1"/>
    <xf numFmtId="4" fontId="0" fillId="0" borderId="21" xfId="0" applyNumberFormat="1" applyFont="1" applyBorder="1"/>
    <xf numFmtId="4" fontId="4" fillId="0" borderId="17" xfId="0" applyNumberFormat="1" applyFont="1" applyBorder="1" applyAlignment="1">
      <alignment vertical="center"/>
    </xf>
    <xf numFmtId="4" fontId="33" fillId="0" borderId="17" xfId="0" applyNumberFormat="1" applyFont="1" applyBorder="1"/>
    <xf numFmtId="4" fontId="6" fillId="0" borderId="26" xfId="0" applyNumberFormat="1" applyFont="1" applyFill="1" applyBorder="1" applyAlignment="1">
      <alignment horizontal="right"/>
    </xf>
    <xf numFmtId="4" fontId="6" fillId="0" borderId="23" xfId="0" applyNumberFormat="1" applyFont="1" applyFill="1" applyBorder="1"/>
    <xf numFmtId="4" fontId="35" fillId="0" borderId="23" xfId="0" applyNumberFormat="1" applyFont="1" applyFill="1" applyBorder="1"/>
    <xf numFmtId="4" fontId="27" fillId="0" borderId="23" xfId="0" applyNumberFormat="1" applyFont="1" applyFill="1" applyBorder="1"/>
    <xf numFmtId="4" fontId="35" fillId="0" borderId="24" xfId="0" applyNumberFormat="1" applyFont="1" applyFill="1" applyBorder="1"/>
    <xf numFmtId="4" fontId="10" fillId="0" borderId="27" xfId="0" applyNumberFormat="1" applyFont="1" applyFill="1" applyBorder="1"/>
    <xf numFmtId="4" fontId="12" fillId="0" borderId="17" xfId="0" applyNumberFormat="1" applyFont="1" applyFill="1" applyBorder="1"/>
    <xf numFmtId="4" fontId="0" fillId="0" borderId="9" xfId="0" applyNumberFormat="1" applyFill="1" applyBorder="1"/>
    <xf numFmtId="4" fontId="12" fillId="0" borderId="52" xfId="0" applyNumberFormat="1" applyFont="1" applyFill="1" applyBorder="1"/>
    <xf numFmtId="4" fontId="12" fillId="0" borderId="51" xfId="0" applyNumberFormat="1" applyFont="1" applyFill="1" applyBorder="1"/>
    <xf numFmtId="4" fontId="12" fillId="0" borderId="51" xfId="0" applyNumberFormat="1" applyFont="1" applyFill="1" applyBorder="1" applyAlignment="1">
      <alignment horizontal="right"/>
    </xf>
    <xf numFmtId="4" fontId="0" fillId="0" borderId="60" xfId="0" applyNumberFormat="1" applyFill="1" applyBorder="1"/>
    <xf numFmtId="4" fontId="2" fillId="0" borderId="41" xfId="0" applyNumberFormat="1" applyFont="1" applyFill="1" applyBorder="1"/>
    <xf numFmtId="4" fontId="0" fillId="0" borderId="99" xfId="0" applyNumberFormat="1" applyFill="1" applyBorder="1" applyAlignment="1">
      <alignment horizontal="right"/>
    </xf>
    <xf numFmtId="4" fontId="0" fillId="0" borderId="29" xfId="0" applyNumberFormat="1" applyFill="1" applyBorder="1" applyAlignment="1">
      <alignment horizontal="right"/>
    </xf>
    <xf numFmtId="4" fontId="19" fillId="0" borderId="100" xfId="0" applyNumberFormat="1" applyFont="1" applyFill="1" applyBorder="1" applyAlignment="1">
      <alignment horizontal="right" vertical="center"/>
    </xf>
    <xf numFmtId="4" fontId="19" fillId="0" borderId="100" xfId="0" applyNumberFormat="1" applyFont="1" applyFill="1" applyBorder="1" applyAlignment="1">
      <alignment horizontal="right"/>
    </xf>
    <xf numFmtId="4" fontId="14" fillId="0" borderId="43" xfId="0" applyNumberFormat="1" applyFont="1" applyFill="1" applyBorder="1" applyAlignment="1">
      <alignment horizontal="right"/>
    </xf>
    <xf numFmtId="4" fontId="0" fillId="0" borderId="90" xfId="0" applyNumberFormat="1" applyFill="1" applyBorder="1"/>
    <xf numFmtId="4" fontId="0" fillId="0" borderId="87" xfId="0" applyNumberFormat="1" applyFill="1" applyBorder="1"/>
    <xf numFmtId="0" fontId="37" fillId="2" borderId="101" xfId="0" applyFont="1" applyFill="1" applyBorder="1" applyAlignment="1">
      <alignment vertical="center" wrapText="1"/>
    </xf>
    <xf numFmtId="0" fontId="37" fillId="2" borderId="102" xfId="0" applyFont="1" applyFill="1" applyBorder="1" applyAlignment="1">
      <alignment horizontal="center" vertical="center" wrapText="1"/>
    </xf>
    <xf numFmtId="0" fontId="37" fillId="2" borderId="93" xfId="0" applyFont="1" applyFill="1" applyBorder="1" applyAlignment="1">
      <alignment horizontal="center" vertical="center" wrapText="1"/>
    </xf>
    <xf numFmtId="0" fontId="39" fillId="0" borderId="106" xfId="0" applyFont="1" applyBorder="1" applyAlignment="1">
      <alignment vertical="center" wrapText="1"/>
    </xf>
    <xf numFmtId="0" fontId="39" fillId="0" borderId="107" xfId="0" applyFont="1" applyBorder="1" applyAlignment="1">
      <alignment horizontal="center" vertical="center" wrapText="1"/>
    </xf>
    <xf numFmtId="3" fontId="39" fillId="0" borderId="107" xfId="0" applyNumberFormat="1" applyFont="1" applyBorder="1" applyAlignment="1">
      <alignment horizontal="center" vertical="center" wrapText="1"/>
    </xf>
    <xf numFmtId="4" fontId="39" fillId="0" borderId="107" xfId="0" applyNumberFormat="1" applyFont="1" applyBorder="1" applyAlignment="1">
      <alignment horizontal="center" vertical="center" wrapText="1"/>
    </xf>
    <xf numFmtId="4" fontId="39" fillId="0" borderId="108" xfId="0" applyNumberFormat="1" applyFont="1" applyBorder="1" applyAlignment="1">
      <alignment horizontal="center" vertical="center" wrapText="1"/>
    </xf>
    <xf numFmtId="0" fontId="39" fillId="3" borderId="109" xfId="0" applyFont="1" applyFill="1" applyBorder="1" applyAlignment="1">
      <alignment vertical="center" wrapText="1"/>
    </xf>
    <xf numFmtId="0" fontId="39" fillId="3" borderId="112" xfId="0" applyFont="1" applyFill="1" applyBorder="1" applyAlignment="1">
      <alignment vertical="center" wrapText="1"/>
    </xf>
    <xf numFmtId="3" fontId="38" fillId="3" borderId="118" xfId="0" applyNumberFormat="1" applyFont="1" applyFill="1" applyBorder="1" applyAlignment="1">
      <alignment horizontal="center" vertical="center" wrapText="1"/>
    </xf>
    <xf numFmtId="4" fontId="38" fillId="3" borderId="118" xfId="0" applyNumberFormat="1" applyFont="1" applyFill="1" applyBorder="1" applyAlignment="1">
      <alignment horizontal="center" vertical="center" wrapText="1"/>
    </xf>
    <xf numFmtId="4" fontId="39" fillId="3" borderId="97" xfId="0" applyNumberFormat="1" applyFont="1" applyFill="1" applyBorder="1" applyAlignment="1">
      <alignment horizontal="center" vertical="center" wrapText="1"/>
    </xf>
    <xf numFmtId="0" fontId="37" fillId="2" borderId="119" xfId="0" applyFont="1" applyFill="1" applyBorder="1" applyAlignment="1">
      <alignment vertical="center" wrapText="1"/>
    </xf>
    <xf numFmtId="0" fontId="37" fillId="2" borderId="112" xfId="0" applyFont="1" applyFill="1" applyBorder="1" applyAlignment="1">
      <alignment vertical="center" wrapText="1"/>
    </xf>
    <xf numFmtId="0" fontId="0" fillId="0" borderId="0" xfId="0"/>
    <xf numFmtId="4" fontId="41" fillId="0" borderId="0" xfId="0" applyNumberFormat="1" applyFont="1"/>
    <xf numFmtId="4" fontId="42" fillId="0" borderId="24" xfId="0" applyNumberFormat="1" applyFont="1" applyBorder="1"/>
    <xf numFmtId="4" fontId="36" fillId="0" borderId="51" xfId="0" applyNumberFormat="1" applyFont="1" applyFill="1" applyBorder="1"/>
    <xf numFmtId="0" fontId="3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74" xfId="0" applyFont="1" applyBorder="1" applyAlignment="1">
      <alignment horizontal="left"/>
    </xf>
    <xf numFmtId="0" fontId="2" fillId="0" borderId="80" xfId="0" applyFont="1" applyFill="1" applyBorder="1" applyAlignment="1">
      <alignment horizontal="center" vertical="center" wrapText="1"/>
    </xf>
    <xf numFmtId="0" fontId="2" fillId="0" borderId="81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8" fillId="0" borderId="38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6" fillId="0" borderId="14" xfId="0" applyFont="1" applyFill="1" applyBorder="1" applyAlignment="1">
      <alignment horizontal="left"/>
    </xf>
    <xf numFmtId="0" fontId="6" fillId="0" borderId="15" xfId="0" applyFont="1" applyFill="1" applyBorder="1" applyAlignment="1">
      <alignment horizontal="left"/>
    </xf>
    <xf numFmtId="0" fontId="8" fillId="0" borderId="18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9" fillId="0" borderId="19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left"/>
    </xf>
    <xf numFmtId="0" fontId="11" fillId="0" borderId="15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98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33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8" fillId="0" borderId="19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left"/>
    </xf>
    <xf numFmtId="0" fontId="5" fillId="0" borderId="37" xfId="0" applyFont="1" applyFill="1" applyBorder="1" applyAlignment="1">
      <alignment horizontal="left"/>
    </xf>
    <xf numFmtId="0" fontId="5" fillId="0" borderId="39" xfId="0" applyFont="1" applyFill="1" applyBorder="1" applyAlignment="1">
      <alignment horizontal="left"/>
    </xf>
    <xf numFmtId="0" fontId="5" fillId="0" borderId="40" xfId="0" applyFont="1" applyFill="1" applyBorder="1" applyAlignment="1">
      <alignment horizontal="left"/>
    </xf>
    <xf numFmtId="0" fontId="5" fillId="0" borderId="41" xfId="0" applyFont="1" applyFill="1" applyBorder="1" applyAlignment="1">
      <alignment horizontal="left"/>
    </xf>
    <xf numFmtId="0" fontId="6" fillId="0" borderId="37" xfId="0" applyFont="1" applyFill="1" applyBorder="1" applyAlignment="1">
      <alignment horizontal="left"/>
    </xf>
    <xf numFmtId="0" fontId="12" fillId="0" borderId="20" xfId="0" applyFont="1" applyFill="1" applyBorder="1"/>
    <xf numFmtId="0" fontId="12" fillId="0" borderId="7" xfId="0" applyFont="1" applyFill="1" applyBorder="1"/>
    <xf numFmtId="0" fontId="6" fillId="0" borderId="8" xfId="0" applyFont="1" applyFill="1" applyBorder="1" applyAlignment="1">
      <alignment horizontal="left"/>
    </xf>
    <xf numFmtId="0" fontId="6" fillId="0" borderId="9" xfId="0" applyFont="1" applyFill="1" applyBorder="1" applyAlignment="1">
      <alignment horizontal="left"/>
    </xf>
    <xf numFmtId="0" fontId="13" fillId="0" borderId="14" xfId="0" applyFont="1" applyFill="1" applyBorder="1" applyAlignment="1">
      <alignment horizontal="left"/>
    </xf>
    <xf numFmtId="0" fontId="13" fillId="0" borderId="15" xfId="0" applyFont="1" applyFill="1" applyBorder="1" applyAlignment="1">
      <alignment horizontal="left"/>
    </xf>
    <xf numFmtId="0" fontId="33" fillId="0" borderId="74" xfId="0" applyFont="1" applyBorder="1" applyAlignment="1">
      <alignment horizontal="left"/>
    </xf>
    <xf numFmtId="0" fontId="6" fillId="0" borderId="20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16" fontId="6" fillId="0" borderId="18" xfId="0" applyNumberFormat="1" applyFont="1" applyFill="1" applyBorder="1" applyAlignment="1">
      <alignment horizontal="center"/>
    </xf>
    <xf numFmtId="16" fontId="6" fillId="0" borderId="20" xfId="0" applyNumberFormat="1" applyFont="1" applyFill="1" applyBorder="1" applyAlignment="1">
      <alignment horizontal="center"/>
    </xf>
    <xf numFmtId="16" fontId="6" fillId="0" borderId="7" xfId="0" applyNumberFormat="1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9" fillId="0" borderId="37" xfId="0" applyFont="1" applyFill="1" applyBorder="1" applyAlignment="1">
      <alignment horizontal="left"/>
    </xf>
    <xf numFmtId="0" fontId="9" fillId="0" borderId="15" xfId="0" applyFont="1" applyFill="1" applyBorder="1" applyAlignment="1">
      <alignment horizontal="left"/>
    </xf>
    <xf numFmtId="0" fontId="6" fillId="0" borderId="58" xfId="0" applyFont="1" applyFill="1" applyBorder="1" applyAlignment="1">
      <alignment horizontal="left"/>
    </xf>
    <xf numFmtId="0" fontId="12" fillId="0" borderId="19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0" fontId="12" fillId="0" borderId="26" xfId="0" applyFont="1" applyFill="1" applyBorder="1" applyAlignment="1">
      <alignment horizontal="center"/>
    </xf>
    <xf numFmtId="0" fontId="19" fillId="0" borderId="18" xfId="0" applyFont="1" applyFill="1" applyBorder="1" applyAlignment="1">
      <alignment horizontal="center"/>
    </xf>
    <xf numFmtId="0" fontId="19" fillId="0" borderId="20" xfId="0" applyFont="1" applyFill="1" applyBorder="1" applyAlignment="1">
      <alignment horizontal="center"/>
    </xf>
    <xf numFmtId="0" fontId="19" fillId="0" borderId="7" xfId="0" applyFont="1" applyFill="1" applyBorder="1" applyAlignment="1">
      <alignment horizontal="center"/>
    </xf>
    <xf numFmtId="0" fontId="12" fillId="0" borderId="64" xfId="0" applyFont="1" applyFill="1" applyBorder="1" applyAlignment="1">
      <alignment horizontal="center"/>
    </xf>
    <xf numFmtId="0" fontId="12" fillId="0" borderId="36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49" fontId="2" fillId="0" borderId="18" xfId="0" applyNumberFormat="1" applyFont="1" applyFill="1" applyBorder="1" applyAlignment="1">
      <alignment horizontal="center"/>
    </xf>
    <xf numFmtId="49" fontId="2" fillId="0" borderId="7" xfId="0" applyNumberFormat="1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center"/>
    </xf>
    <xf numFmtId="49" fontId="6" fillId="0" borderId="7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0" fontId="10" fillId="0" borderId="37" xfId="0" applyFont="1" applyFill="1" applyBorder="1" applyAlignment="1">
      <alignment horizontal="left"/>
    </xf>
    <xf numFmtId="0" fontId="10" fillId="0" borderId="15" xfId="0" applyFont="1" applyFill="1" applyBorder="1" applyAlignment="1">
      <alignment horizontal="left"/>
    </xf>
    <xf numFmtId="49" fontId="6" fillId="0" borderId="37" xfId="0" applyNumberFormat="1" applyFont="1" applyFill="1" applyBorder="1" applyAlignment="1">
      <alignment horizontal="left"/>
    </xf>
    <xf numFmtId="49" fontId="6" fillId="0" borderId="15" xfId="0" applyNumberFormat="1" applyFont="1" applyFill="1" applyBorder="1" applyAlignment="1">
      <alignment horizontal="left"/>
    </xf>
    <xf numFmtId="0" fontId="9" fillId="0" borderId="37" xfId="0" applyNumberFormat="1" applyFont="1" applyFill="1" applyBorder="1" applyAlignment="1">
      <alignment horizontal="left"/>
    </xf>
    <xf numFmtId="0" fontId="9" fillId="0" borderId="15" xfId="0" applyNumberFormat="1" applyFont="1" applyFill="1" applyBorder="1" applyAlignment="1">
      <alignment horizontal="left"/>
    </xf>
    <xf numFmtId="49" fontId="6" fillId="0" borderId="58" xfId="0" applyNumberFormat="1" applyFont="1" applyFill="1" applyBorder="1" applyAlignment="1">
      <alignment horizontal="left"/>
    </xf>
    <xf numFmtId="49" fontId="6" fillId="0" borderId="9" xfId="0" applyNumberFormat="1" applyFont="1" applyFill="1" applyBorder="1" applyAlignment="1">
      <alignment horizontal="left"/>
    </xf>
    <xf numFmtId="0" fontId="6" fillId="0" borderId="46" xfId="0" applyFont="1" applyFill="1" applyBorder="1" applyAlignment="1">
      <alignment horizontal="left" vertical="center" wrapText="1"/>
    </xf>
    <xf numFmtId="0" fontId="6" fillId="0" borderId="47" xfId="0" applyFont="1" applyFill="1" applyBorder="1" applyAlignment="1">
      <alignment horizontal="left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4" xfId="0" applyNumberFormat="1" applyFont="1" applyFill="1" applyBorder="1" applyAlignment="1">
      <alignment horizontal="center" vertical="center" wrapText="1"/>
    </xf>
    <xf numFmtId="16" fontId="2" fillId="0" borderId="44" xfId="0" applyNumberFormat="1" applyFont="1" applyFill="1" applyBorder="1" applyAlignment="1">
      <alignment horizontal="center" vertical="center" wrapText="1"/>
    </xf>
    <xf numFmtId="16" fontId="2" fillId="0" borderId="4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2" fillId="0" borderId="1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left"/>
    </xf>
    <xf numFmtId="16" fontId="2" fillId="0" borderId="74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0" fontId="5" fillId="0" borderId="68" xfId="0" applyFont="1" applyFill="1" applyBorder="1" applyAlignment="1">
      <alignment horizontal="left"/>
    </xf>
    <xf numFmtId="0" fontId="5" fillId="0" borderId="42" xfId="0" applyFont="1" applyFill="1" applyBorder="1" applyAlignment="1">
      <alignment horizontal="left"/>
    </xf>
    <xf numFmtId="49" fontId="6" fillId="0" borderId="17" xfId="0" applyNumberFormat="1" applyFont="1" applyFill="1" applyBorder="1" applyAlignment="1">
      <alignment horizontal="left"/>
    </xf>
    <xf numFmtId="49" fontId="2" fillId="0" borderId="14" xfId="0" applyNumberFormat="1" applyFont="1" applyFill="1" applyBorder="1" applyAlignment="1">
      <alignment horizontal="left"/>
    </xf>
    <xf numFmtId="49" fontId="2" fillId="0" borderId="15" xfId="0" applyNumberFormat="1" applyFont="1" applyFill="1" applyBorder="1" applyAlignment="1">
      <alignment horizontal="left"/>
    </xf>
    <xf numFmtId="0" fontId="6" fillId="0" borderId="17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49" fontId="6" fillId="0" borderId="19" xfId="0" applyNumberFormat="1" applyFont="1" applyFill="1" applyBorder="1" applyAlignment="1">
      <alignment horizontal="center"/>
    </xf>
    <xf numFmtId="49" fontId="6" fillId="0" borderId="12" xfId="0" applyNumberFormat="1" applyFont="1" applyFill="1" applyBorder="1" applyAlignment="1">
      <alignment horizontal="center"/>
    </xf>
    <xf numFmtId="49" fontId="6" fillId="0" borderId="26" xfId="0" applyNumberFormat="1" applyFont="1" applyFill="1" applyBorder="1" applyAlignment="1">
      <alignment horizontal="center"/>
    </xf>
    <xf numFmtId="49" fontId="6" fillId="0" borderId="14" xfId="0" applyNumberFormat="1" applyFont="1" applyFill="1" applyBorder="1" applyAlignment="1">
      <alignment horizontal="left"/>
    </xf>
    <xf numFmtId="0" fontId="2" fillId="0" borderId="44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5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/>
    </xf>
    <xf numFmtId="0" fontId="2" fillId="0" borderId="39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0" fillId="0" borderId="76" xfId="0" applyFill="1" applyBorder="1" applyAlignment="1">
      <alignment horizont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0" fillId="0" borderId="18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31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14" fillId="0" borderId="94" xfId="0" applyFont="1" applyFill="1" applyBorder="1" applyAlignment="1">
      <alignment horizontal="left" vertical="center"/>
    </xf>
    <xf numFmtId="0" fontId="14" fillId="0" borderId="76" xfId="0" applyFont="1" applyFill="1" applyBorder="1" applyAlignment="1">
      <alignment horizontal="left" vertical="center"/>
    </xf>
    <xf numFmtId="0" fontId="14" fillId="0" borderId="95" xfId="0" applyFont="1" applyFill="1" applyBorder="1" applyAlignment="1">
      <alignment horizontal="left" vertical="center"/>
    </xf>
    <xf numFmtId="0" fontId="14" fillId="0" borderId="96" xfId="0" applyFont="1" applyFill="1" applyBorder="1" applyAlignment="1">
      <alignment horizontal="left" vertical="center"/>
    </xf>
    <xf numFmtId="0" fontId="14" fillId="0" borderId="74" xfId="0" applyFont="1" applyFill="1" applyBorder="1" applyAlignment="1">
      <alignment horizontal="left" vertical="center"/>
    </xf>
    <xf numFmtId="0" fontId="14" fillId="0" borderId="97" xfId="0" applyFont="1" applyFill="1" applyBorder="1" applyAlignment="1">
      <alignment horizontal="left" vertical="center"/>
    </xf>
    <xf numFmtId="0" fontId="0" fillId="0" borderId="39" xfId="0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3" fontId="38" fillId="3" borderId="110" xfId="0" applyNumberFormat="1" applyFont="1" applyFill="1" applyBorder="1" applyAlignment="1">
      <alignment horizontal="center" vertical="center" wrapText="1"/>
    </xf>
    <xf numFmtId="3" fontId="38" fillId="3" borderId="113" xfId="0" applyNumberFormat="1" applyFont="1" applyFill="1" applyBorder="1" applyAlignment="1">
      <alignment horizontal="center" vertical="center" wrapText="1"/>
    </xf>
    <xf numFmtId="4" fontId="38" fillId="3" borderId="110" xfId="0" applyNumberFormat="1" applyFont="1" applyFill="1" applyBorder="1" applyAlignment="1">
      <alignment horizontal="center" vertical="center" wrapText="1"/>
    </xf>
    <xf numFmtId="4" fontId="38" fillId="3" borderId="113" xfId="0" applyNumberFormat="1" applyFont="1" applyFill="1" applyBorder="1" applyAlignment="1">
      <alignment horizontal="center" vertical="center" wrapText="1"/>
    </xf>
    <xf numFmtId="4" fontId="39" fillId="3" borderId="111" xfId="0" applyNumberFormat="1" applyFont="1" applyFill="1" applyBorder="1" applyAlignment="1">
      <alignment horizontal="center" vertical="center" wrapText="1"/>
    </xf>
    <xf numFmtId="4" fontId="39" fillId="3" borderId="114" xfId="0" applyNumberFormat="1" applyFont="1" applyFill="1" applyBorder="1" applyAlignment="1">
      <alignment horizontal="center" vertical="center" wrapText="1"/>
    </xf>
    <xf numFmtId="0" fontId="38" fillId="0" borderId="103" xfId="0" applyFont="1" applyBorder="1" applyAlignment="1">
      <alignment vertical="center" wrapText="1"/>
    </xf>
    <xf numFmtId="0" fontId="38" fillId="0" borderId="104" xfId="0" applyFont="1" applyBorder="1" applyAlignment="1">
      <alignment vertical="center" wrapText="1"/>
    </xf>
    <xf numFmtId="0" fontId="38" fillId="0" borderId="105" xfId="0" applyFont="1" applyBorder="1" applyAlignment="1">
      <alignment vertical="center" wrapText="1"/>
    </xf>
    <xf numFmtId="0" fontId="38" fillId="0" borderId="115" xfId="0" applyFont="1" applyBorder="1" applyAlignment="1">
      <alignment vertical="center" wrapText="1"/>
    </xf>
    <xf numFmtId="0" fontId="38" fillId="0" borderId="116" xfId="0" applyFont="1" applyBorder="1" applyAlignment="1">
      <alignment vertical="center" wrapText="1"/>
    </xf>
    <xf numFmtId="0" fontId="38" fillId="0" borderId="117" xfId="0" applyFont="1" applyBorder="1" applyAlignment="1">
      <alignment vertical="center" wrapText="1"/>
    </xf>
    <xf numFmtId="3" fontId="37" fillId="2" borderId="120" xfId="0" applyNumberFormat="1" applyFont="1" applyFill="1" applyBorder="1" applyAlignment="1">
      <alignment horizontal="right" vertical="center" wrapText="1"/>
    </xf>
    <xf numFmtId="0" fontId="37" fillId="2" borderId="113" xfId="0" applyFont="1" applyFill="1" applyBorder="1" applyAlignment="1">
      <alignment horizontal="right" vertical="center" wrapText="1"/>
    </xf>
    <xf numFmtId="3" fontId="37" fillId="2" borderId="120" xfId="0" applyNumberFormat="1" applyFont="1" applyFill="1" applyBorder="1" applyAlignment="1">
      <alignment horizontal="center" vertical="center" wrapText="1"/>
    </xf>
    <xf numFmtId="0" fontId="37" fillId="2" borderId="113" xfId="0" applyFont="1" applyFill="1" applyBorder="1" applyAlignment="1">
      <alignment horizontal="center" vertical="center" wrapText="1"/>
    </xf>
    <xf numFmtId="4" fontId="37" fillId="2" borderId="120" xfId="0" applyNumberFormat="1" applyFont="1" applyFill="1" applyBorder="1" applyAlignment="1">
      <alignment horizontal="center" vertical="center" wrapText="1"/>
    </xf>
    <xf numFmtId="4" fontId="37" fillId="2" borderId="113" xfId="0" applyNumberFormat="1" applyFont="1" applyFill="1" applyBorder="1" applyAlignment="1">
      <alignment horizontal="center" vertical="center" wrapText="1"/>
    </xf>
    <xf numFmtId="0" fontId="40" fillId="2" borderId="121" xfId="0" applyFont="1" applyFill="1" applyBorder="1" applyAlignment="1">
      <alignment horizontal="center" vertical="center" wrapText="1"/>
    </xf>
    <xf numFmtId="0" fontId="40" fillId="2" borderId="114" xfId="0" applyFont="1" applyFill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8"/>
  <sheetViews>
    <sheetView workbookViewId="0">
      <selection activeCell="V114" sqref="V114"/>
    </sheetView>
  </sheetViews>
  <sheetFormatPr defaultRowHeight="12.75" x14ac:dyDescent="0.2"/>
  <cols>
    <col min="1" max="2" width="9.140625" style="556"/>
    <col min="3" max="3" width="32.140625" style="556" customWidth="1"/>
    <col min="4" max="11" width="12.7109375" style="556" hidden="1" customWidth="1"/>
    <col min="12" max="12" width="14.42578125" style="556" hidden="1" customWidth="1"/>
    <col min="13" max="13" width="16" style="556" hidden="1" customWidth="1"/>
    <col min="14" max="14" width="16.140625" style="556" hidden="1" customWidth="1"/>
    <col min="15" max="16" width="17" style="556" hidden="1" customWidth="1"/>
    <col min="17" max="17" width="16.42578125" style="556" customWidth="1"/>
    <col min="18" max="18" width="14.28515625" style="556" customWidth="1"/>
    <col min="19" max="19" width="15.5703125" style="556" customWidth="1"/>
    <col min="20" max="20" width="11.7109375" style="556" customWidth="1"/>
    <col min="21" max="21" width="12.140625" style="556" customWidth="1"/>
    <col min="22" max="22" width="13.7109375" style="556" customWidth="1"/>
    <col min="23" max="23" width="12.42578125" style="556" customWidth="1"/>
    <col min="24" max="24" width="10.140625" style="556" bestFit="1" customWidth="1"/>
    <col min="25" max="235" width="9.140625" style="556"/>
    <col min="236" max="236" width="32.140625" style="556" customWidth="1"/>
    <col min="237" max="248" width="0" style="556" hidden="1" customWidth="1"/>
    <col min="249" max="249" width="17" style="556" customWidth="1"/>
    <col min="250" max="250" width="13.7109375" style="556" customWidth="1"/>
    <col min="251" max="251" width="14.28515625" style="556" customWidth="1"/>
    <col min="252" max="252" width="8.28515625" style="556" customWidth="1"/>
    <col min="253" max="253" width="13.7109375" style="556" customWidth="1"/>
    <col min="254" max="254" width="13.85546875" style="556" customWidth="1"/>
    <col min="255" max="258" width="9.140625" style="556"/>
    <col min="259" max="259" width="12.7109375" style="556" customWidth="1"/>
    <col min="260" max="491" width="9.140625" style="556"/>
    <col min="492" max="492" width="32.140625" style="556" customWidth="1"/>
    <col min="493" max="504" width="0" style="556" hidden="1" customWidth="1"/>
    <col min="505" max="505" width="17" style="556" customWidth="1"/>
    <col min="506" max="506" width="13.7109375" style="556" customWidth="1"/>
    <col min="507" max="507" width="14.28515625" style="556" customWidth="1"/>
    <col min="508" max="508" width="8.28515625" style="556" customWidth="1"/>
    <col min="509" max="509" width="13.7109375" style="556" customWidth="1"/>
    <col min="510" max="510" width="13.85546875" style="556" customWidth="1"/>
    <col min="511" max="514" width="9.140625" style="556"/>
    <col min="515" max="515" width="12.7109375" style="556" customWidth="1"/>
    <col min="516" max="747" width="9.140625" style="556"/>
    <col min="748" max="748" width="32.140625" style="556" customWidth="1"/>
    <col min="749" max="760" width="0" style="556" hidden="1" customWidth="1"/>
    <col min="761" max="761" width="17" style="556" customWidth="1"/>
    <col min="762" max="762" width="13.7109375" style="556" customWidth="1"/>
    <col min="763" max="763" width="14.28515625" style="556" customWidth="1"/>
    <col min="764" max="764" width="8.28515625" style="556" customWidth="1"/>
    <col min="765" max="765" width="13.7109375" style="556" customWidth="1"/>
    <col min="766" max="766" width="13.85546875" style="556" customWidth="1"/>
    <col min="767" max="770" width="9.140625" style="556"/>
    <col min="771" max="771" width="12.7109375" style="556" customWidth="1"/>
    <col min="772" max="1003" width="9.140625" style="556"/>
    <col min="1004" max="1004" width="32.140625" style="556" customWidth="1"/>
    <col min="1005" max="1016" width="0" style="556" hidden="1" customWidth="1"/>
    <col min="1017" max="1017" width="17" style="556" customWidth="1"/>
    <col min="1018" max="1018" width="13.7109375" style="556" customWidth="1"/>
    <col min="1019" max="1019" width="14.28515625" style="556" customWidth="1"/>
    <col min="1020" max="1020" width="8.28515625" style="556" customWidth="1"/>
    <col min="1021" max="1021" width="13.7109375" style="556" customWidth="1"/>
    <col min="1022" max="1022" width="13.85546875" style="556" customWidth="1"/>
    <col min="1023" max="1026" width="9.140625" style="556"/>
    <col min="1027" max="1027" width="12.7109375" style="556" customWidth="1"/>
    <col min="1028" max="1259" width="9.140625" style="556"/>
    <col min="1260" max="1260" width="32.140625" style="556" customWidth="1"/>
    <col min="1261" max="1272" width="0" style="556" hidden="1" customWidth="1"/>
    <col min="1273" max="1273" width="17" style="556" customWidth="1"/>
    <col min="1274" max="1274" width="13.7109375" style="556" customWidth="1"/>
    <col min="1275" max="1275" width="14.28515625" style="556" customWidth="1"/>
    <col min="1276" max="1276" width="8.28515625" style="556" customWidth="1"/>
    <col min="1277" max="1277" width="13.7109375" style="556" customWidth="1"/>
    <col min="1278" max="1278" width="13.85546875" style="556" customWidth="1"/>
    <col min="1279" max="1282" width="9.140625" style="556"/>
    <col min="1283" max="1283" width="12.7109375" style="556" customWidth="1"/>
    <col min="1284" max="1515" width="9.140625" style="556"/>
    <col min="1516" max="1516" width="32.140625" style="556" customWidth="1"/>
    <col min="1517" max="1528" width="0" style="556" hidden="1" customWidth="1"/>
    <col min="1529" max="1529" width="17" style="556" customWidth="1"/>
    <col min="1530" max="1530" width="13.7109375" style="556" customWidth="1"/>
    <col min="1531" max="1531" width="14.28515625" style="556" customWidth="1"/>
    <col min="1532" max="1532" width="8.28515625" style="556" customWidth="1"/>
    <col min="1533" max="1533" width="13.7109375" style="556" customWidth="1"/>
    <col min="1534" max="1534" width="13.85546875" style="556" customWidth="1"/>
    <col min="1535" max="1538" width="9.140625" style="556"/>
    <col min="1539" max="1539" width="12.7109375" style="556" customWidth="1"/>
    <col min="1540" max="1771" width="9.140625" style="556"/>
    <col min="1772" max="1772" width="32.140625" style="556" customWidth="1"/>
    <col min="1773" max="1784" width="0" style="556" hidden="1" customWidth="1"/>
    <col min="1785" max="1785" width="17" style="556" customWidth="1"/>
    <col min="1786" max="1786" width="13.7109375" style="556" customWidth="1"/>
    <col min="1787" max="1787" width="14.28515625" style="556" customWidth="1"/>
    <col min="1788" max="1788" width="8.28515625" style="556" customWidth="1"/>
    <col min="1789" max="1789" width="13.7109375" style="556" customWidth="1"/>
    <col min="1790" max="1790" width="13.85546875" style="556" customWidth="1"/>
    <col min="1791" max="1794" width="9.140625" style="556"/>
    <col min="1795" max="1795" width="12.7109375" style="556" customWidth="1"/>
    <col min="1796" max="2027" width="9.140625" style="556"/>
    <col min="2028" max="2028" width="32.140625" style="556" customWidth="1"/>
    <col min="2029" max="2040" width="0" style="556" hidden="1" customWidth="1"/>
    <col min="2041" max="2041" width="17" style="556" customWidth="1"/>
    <col min="2042" max="2042" width="13.7109375" style="556" customWidth="1"/>
    <col min="2043" max="2043" width="14.28515625" style="556" customWidth="1"/>
    <col min="2044" max="2044" width="8.28515625" style="556" customWidth="1"/>
    <col min="2045" max="2045" width="13.7109375" style="556" customWidth="1"/>
    <col min="2046" max="2046" width="13.85546875" style="556" customWidth="1"/>
    <col min="2047" max="2050" width="9.140625" style="556"/>
    <col min="2051" max="2051" width="12.7109375" style="556" customWidth="1"/>
    <col min="2052" max="2283" width="9.140625" style="556"/>
    <col min="2284" max="2284" width="32.140625" style="556" customWidth="1"/>
    <col min="2285" max="2296" width="0" style="556" hidden="1" customWidth="1"/>
    <col min="2297" max="2297" width="17" style="556" customWidth="1"/>
    <col min="2298" max="2298" width="13.7109375" style="556" customWidth="1"/>
    <col min="2299" max="2299" width="14.28515625" style="556" customWidth="1"/>
    <col min="2300" max="2300" width="8.28515625" style="556" customWidth="1"/>
    <col min="2301" max="2301" width="13.7109375" style="556" customWidth="1"/>
    <col min="2302" max="2302" width="13.85546875" style="556" customWidth="1"/>
    <col min="2303" max="2306" width="9.140625" style="556"/>
    <col min="2307" max="2307" width="12.7109375" style="556" customWidth="1"/>
    <col min="2308" max="2539" width="9.140625" style="556"/>
    <col min="2540" max="2540" width="32.140625" style="556" customWidth="1"/>
    <col min="2541" max="2552" width="0" style="556" hidden="1" customWidth="1"/>
    <col min="2553" max="2553" width="17" style="556" customWidth="1"/>
    <col min="2554" max="2554" width="13.7109375" style="556" customWidth="1"/>
    <col min="2555" max="2555" width="14.28515625" style="556" customWidth="1"/>
    <col min="2556" max="2556" width="8.28515625" style="556" customWidth="1"/>
    <col min="2557" max="2557" width="13.7109375" style="556" customWidth="1"/>
    <col min="2558" max="2558" width="13.85546875" style="556" customWidth="1"/>
    <col min="2559" max="2562" width="9.140625" style="556"/>
    <col min="2563" max="2563" width="12.7109375" style="556" customWidth="1"/>
    <col min="2564" max="2795" width="9.140625" style="556"/>
    <col min="2796" max="2796" width="32.140625" style="556" customWidth="1"/>
    <col min="2797" max="2808" width="0" style="556" hidden="1" customWidth="1"/>
    <col min="2809" max="2809" width="17" style="556" customWidth="1"/>
    <col min="2810" max="2810" width="13.7109375" style="556" customWidth="1"/>
    <col min="2811" max="2811" width="14.28515625" style="556" customWidth="1"/>
    <col min="2812" max="2812" width="8.28515625" style="556" customWidth="1"/>
    <col min="2813" max="2813" width="13.7109375" style="556" customWidth="1"/>
    <col min="2814" max="2814" width="13.85546875" style="556" customWidth="1"/>
    <col min="2815" max="2818" width="9.140625" style="556"/>
    <col min="2819" max="2819" width="12.7109375" style="556" customWidth="1"/>
    <col min="2820" max="3051" width="9.140625" style="556"/>
    <col min="3052" max="3052" width="32.140625" style="556" customWidth="1"/>
    <col min="3053" max="3064" width="0" style="556" hidden="1" customWidth="1"/>
    <col min="3065" max="3065" width="17" style="556" customWidth="1"/>
    <col min="3066" max="3066" width="13.7109375" style="556" customWidth="1"/>
    <col min="3067" max="3067" width="14.28515625" style="556" customWidth="1"/>
    <col min="3068" max="3068" width="8.28515625" style="556" customWidth="1"/>
    <col min="3069" max="3069" width="13.7109375" style="556" customWidth="1"/>
    <col min="3070" max="3070" width="13.85546875" style="556" customWidth="1"/>
    <col min="3071" max="3074" width="9.140625" style="556"/>
    <col min="3075" max="3075" width="12.7109375" style="556" customWidth="1"/>
    <col min="3076" max="3307" width="9.140625" style="556"/>
    <col min="3308" max="3308" width="32.140625" style="556" customWidth="1"/>
    <col min="3309" max="3320" width="0" style="556" hidden="1" customWidth="1"/>
    <col min="3321" max="3321" width="17" style="556" customWidth="1"/>
    <col min="3322" max="3322" width="13.7109375" style="556" customWidth="1"/>
    <col min="3323" max="3323" width="14.28515625" style="556" customWidth="1"/>
    <col min="3324" max="3324" width="8.28515625" style="556" customWidth="1"/>
    <col min="3325" max="3325" width="13.7109375" style="556" customWidth="1"/>
    <col min="3326" max="3326" width="13.85546875" style="556" customWidth="1"/>
    <col min="3327" max="3330" width="9.140625" style="556"/>
    <col min="3331" max="3331" width="12.7109375" style="556" customWidth="1"/>
    <col min="3332" max="3563" width="9.140625" style="556"/>
    <col min="3564" max="3564" width="32.140625" style="556" customWidth="1"/>
    <col min="3565" max="3576" width="0" style="556" hidden="1" customWidth="1"/>
    <col min="3577" max="3577" width="17" style="556" customWidth="1"/>
    <col min="3578" max="3578" width="13.7109375" style="556" customWidth="1"/>
    <col min="3579" max="3579" width="14.28515625" style="556" customWidth="1"/>
    <col min="3580" max="3580" width="8.28515625" style="556" customWidth="1"/>
    <col min="3581" max="3581" width="13.7109375" style="556" customWidth="1"/>
    <col min="3582" max="3582" width="13.85546875" style="556" customWidth="1"/>
    <col min="3583" max="3586" width="9.140625" style="556"/>
    <col min="3587" max="3587" width="12.7109375" style="556" customWidth="1"/>
    <col min="3588" max="3819" width="9.140625" style="556"/>
    <col min="3820" max="3820" width="32.140625" style="556" customWidth="1"/>
    <col min="3821" max="3832" width="0" style="556" hidden="1" customWidth="1"/>
    <col min="3833" max="3833" width="17" style="556" customWidth="1"/>
    <col min="3834" max="3834" width="13.7109375" style="556" customWidth="1"/>
    <col min="3835" max="3835" width="14.28515625" style="556" customWidth="1"/>
    <col min="3836" max="3836" width="8.28515625" style="556" customWidth="1"/>
    <col min="3837" max="3837" width="13.7109375" style="556" customWidth="1"/>
    <col min="3838" max="3838" width="13.85546875" style="556" customWidth="1"/>
    <col min="3839" max="3842" width="9.140625" style="556"/>
    <col min="3843" max="3843" width="12.7109375" style="556" customWidth="1"/>
    <col min="3844" max="4075" width="9.140625" style="556"/>
    <col min="4076" max="4076" width="32.140625" style="556" customWidth="1"/>
    <col min="4077" max="4088" width="0" style="556" hidden="1" customWidth="1"/>
    <col min="4089" max="4089" width="17" style="556" customWidth="1"/>
    <col min="4090" max="4090" width="13.7109375" style="556" customWidth="1"/>
    <col min="4091" max="4091" width="14.28515625" style="556" customWidth="1"/>
    <col min="4092" max="4092" width="8.28515625" style="556" customWidth="1"/>
    <col min="4093" max="4093" width="13.7109375" style="556" customWidth="1"/>
    <col min="4094" max="4094" width="13.85546875" style="556" customWidth="1"/>
    <col min="4095" max="4098" width="9.140625" style="556"/>
    <col min="4099" max="4099" width="12.7109375" style="556" customWidth="1"/>
    <col min="4100" max="4331" width="9.140625" style="556"/>
    <col min="4332" max="4332" width="32.140625" style="556" customWidth="1"/>
    <col min="4333" max="4344" width="0" style="556" hidden="1" customWidth="1"/>
    <col min="4345" max="4345" width="17" style="556" customWidth="1"/>
    <col min="4346" max="4346" width="13.7109375" style="556" customWidth="1"/>
    <col min="4347" max="4347" width="14.28515625" style="556" customWidth="1"/>
    <col min="4348" max="4348" width="8.28515625" style="556" customWidth="1"/>
    <col min="4349" max="4349" width="13.7109375" style="556" customWidth="1"/>
    <col min="4350" max="4350" width="13.85546875" style="556" customWidth="1"/>
    <col min="4351" max="4354" width="9.140625" style="556"/>
    <col min="4355" max="4355" width="12.7109375" style="556" customWidth="1"/>
    <col min="4356" max="4587" width="9.140625" style="556"/>
    <col min="4588" max="4588" width="32.140625" style="556" customWidth="1"/>
    <col min="4589" max="4600" width="0" style="556" hidden="1" customWidth="1"/>
    <col min="4601" max="4601" width="17" style="556" customWidth="1"/>
    <col min="4602" max="4602" width="13.7109375" style="556" customWidth="1"/>
    <col min="4603" max="4603" width="14.28515625" style="556" customWidth="1"/>
    <col min="4604" max="4604" width="8.28515625" style="556" customWidth="1"/>
    <col min="4605" max="4605" width="13.7109375" style="556" customWidth="1"/>
    <col min="4606" max="4606" width="13.85546875" style="556" customWidth="1"/>
    <col min="4607" max="4610" width="9.140625" style="556"/>
    <col min="4611" max="4611" width="12.7109375" style="556" customWidth="1"/>
    <col min="4612" max="4843" width="9.140625" style="556"/>
    <col min="4844" max="4844" width="32.140625" style="556" customWidth="1"/>
    <col min="4845" max="4856" width="0" style="556" hidden="1" customWidth="1"/>
    <col min="4857" max="4857" width="17" style="556" customWidth="1"/>
    <col min="4858" max="4858" width="13.7109375" style="556" customWidth="1"/>
    <col min="4859" max="4859" width="14.28515625" style="556" customWidth="1"/>
    <col min="4860" max="4860" width="8.28515625" style="556" customWidth="1"/>
    <col min="4861" max="4861" width="13.7109375" style="556" customWidth="1"/>
    <col min="4862" max="4862" width="13.85546875" style="556" customWidth="1"/>
    <col min="4863" max="4866" width="9.140625" style="556"/>
    <col min="4867" max="4867" width="12.7109375" style="556" customWidth="1"/>
    <col min="4868" max="5099" width="9.140625" style="556"/>
    <col min="5100" max="5100" width="32.140625" style="556" customWidth="1"/>
    <col min="5101" max="5112" width="0" style="556" hidden="1" customWidth="1"/>
    <col min="5113" max="5113" width="17" style="556" customWidth="1"/>
    <col min="5114" max="5114" width="13.7109375" style="556" customWidth="1"/>
    <col min="5115" max="5115" width="14.28515625" style="556" customWidth="1"/>
    <col min="5116" max="5116" width="8.28515625" style="556" customWidth="1"/>
    <col min="5117" max="5117" width="13.7109375" style="556" customWidth="1"/>
    <col min="5118" max="5118" width="13.85546875" style="556" customWidth="1"/>
    <col min="5119" max="5122" width="9.140625" style="556"/>
    <col min="5123" max="5123" width="12.7109375" style="556" customWidth="1"/>
    <col min="5124" max="5355" width="9.140625" style="556"/>
    <col min="5356" max="5356" width="32.140625" style="556" customWidth="1"/>
    <col min="5357" max="5368" width="0" style="556" hidden="1" customWidth="1"/>
    <col min="5369" max="5369" width="17" style="556" customWidth="1"/>
    <col min="5370" max="5370" width="13.7109375" style="556" customWidth="1"/>
    <col min="5371" max="5371" width="14.28515625" style="556" customWidth="1"/>
    <col min="5372" max="5372" width="8.28515625" style="556" customWidth="1"/>
    <col min="5373" max="5373" width="13.7109375" style="556" customWidth="1"/>
    <col min="5374" max="5374" width="13.85546875" style="556" customWidth="1"/>
    <col min="5375" max="5378" width="9.140625" style="556"/>
    <col min="5379" max="5379" width="12.7109375" style="556" customWidth="1"/>
    <col min="5380" max="5611" width="9.140625" style="556"/>
    <col min="5612" max="5612" width="32.140625" style="556" customWidth="1"/>
    <col min="5613" max="5624" width="0" style="556" hidden="1" customWidth="1"/>
    <col min="5625" max="5625" width="17" style="556" customWidth="1"/>
    <col min="5626" max="5626" width="13.7109375" style="556" customWidth="1"/>
    <col min="5627" max="5627" width="14.28515625" style="556" customWidth="1"/>
    <col min="5628" max="5628" width="8.28515625" style="556" customWidth="1"/>
    <col min="5629" max="5629" width="13.7109375" style="556" customWidth="1"/>
    <col min="5630" max="5630" width="13.85546875" style="556" customWidth="1"/>
    <col min="5631" max="5634" width="9.140625" style="556"/>
    <col min="5635" max="5635" width="12.7109375" style="556" customWidth="1"/>
    <col min="5636" max="5867" width="9.140625" style="556"/>
    <col min="5868" max="5868" width="32.140625" style="556" customWidth="1"/>
    <col min="5869" max="5880" width="0" style="556" hidden="1" customWidth="1"/>
    <col min="5881" max="5881" width="17" style="556" customWidth="1"/>
    <col min="5882" max="5882" width="13.7109375" style="556" customWidth="1"/>
    <col min="5883" max="5883" width="14.28515625" style="556" customWidth="1"/>
    <col min="5884" max="5884" width="8.28515625" style="556" customWidth="1"/>
    <col min="5885" max="5885" width="13.7109375" style="556" customWidth="1"/>
    <col min="5886" max="5886" width="13.85546875" style="556" customWidth="1"/>
    <col min="5887" max="5890" width="9.140625" style="556"/>
    <col min="5891" max="5891" width="12.7109375" style="556" customWidth="1"/>
    <col min="5892" max="6123" width="9.140625" style="556"/>
    <col min="6124" max="6124" width="32.140625" style="556" customWidth="1"/>
    <col min="6125" max="6136" width="0" style="556" hidden="1" customWidth="1"/>
    <col min="6137" max="6137" width="17" style="556" customWidth="1"/>
    <col min="6138" max="6138" width="13.7109375" style="556" customWidth="1"/>
    <col min="6139" max="6139" width="14.28515625" style="556" customWidth="1"/>
    <col min="6140" max="6140" width="8.28515625" style="556" customWidth="1"/>
    <col min="6141" max="6141" width="13.7109375" style="556" customWidth="1"/>
    <col min="6142" max="6142" width="13.85546875" style="556" customWidth="1"/>
    <col min="6143" max="6146" width="9.140625" style="556"/>
    <col min="6147" max="6147" width="12.7109375" style="556" customWidth="1"/>
    <col min="6148" max="6379" width="9.140625" style="556"/>
    <col min="6380" max="6380" width="32.140625" style="556" customWidth="1"/>
    <col min="6381" max="6392" width="0" style="556" hidden="1" customWidth="1"/>
    <col min="6393" max="6393" width="17" style="556" customWidth="1"/>
    <col min="6394" max="6394" width="13.7109375" style="556" customWidth="1"/>
    <col min="6395" max="6395" width="14.28515625" style="556" customWidth="1"/>
    <col min="6396" max="6396" width="8.28515625" style="556" customWidth="1"/>
    <col min="6397" max="6397" width="13.7109375" style="556" customWidth="1"/>
    <col min="6398" max="6398" width="13.85546875" style="556" customWidth="1"/>
    <col min="6399" max="6402" width="9.140625" style="556"/>
    <col min="6403" max="6403" width="12.7109375" style="556" customWidth="1"/>
    <col min="6404" max="6635" width="9.140625" style="556"/>
    <col min="6636" max="6636" width="32.140625" style="556" customWidth="1"/>
    <col min="6637" max="6648" width="0" style="556" hidden="1" customWidth="1"/>
    <col min="6649" max="6649" width="17" style="556" customWidth="1"/>
    <col min="6650" max="6650" width="13.7109375" style="556" customWidth="1"/>
    <col min="6651" max="6651" width="14.28515625" style="556" customWidth="1"/>
    <col min="6652" max="6652" width="8.28515625" style="556" customWidth="1"/>
    <col min="6653" max="6653" width="13.7109375" style="556" customWidth="1"/>
    <col min="6654" max="6654" width="13.85546875" style="556" customWidth="1"/>
    <col min="6655" max="6658" width="9.140625" style="556"/>
    <col min="6659" max="6659" width="12.7109375" style="556" customWidth="1"/>
    <col min="6660" max="6891" width="9.140625" style="556"/>
    <col min="6892" max="6892" width="32.140625" style="556" customWidth="1"/>
    <col min="6893" max="6904" width="0" style="556" hidden="1" customWidth="1"/>
    <col min="6905" max="6905" width="17" style="556" customWidth="1"/>
    <col min="6906" max="6906" width="13.7109375" style="556" customWidth="1"/>
    <col min="6907" max="6907" width="14.28515625" style="556" customWidth="1"/>
    <col min="6908" max="6908" width="8.28515625" style="556" customWidth="1"/>
    <col min="6909" max="6909" width="13.7109375" style="556" customWidth="1"/>
    <col min="6910" max="6910" width="13.85546875" style="556" customWidth="1"/>
    <col min="6911" max="6914" width="9.140625" style="556"/>
    <col min="6915" max="6915" width="12.7109375" style="556" customWidth="1"/>
    <col min="6916" max="7147" width="9.140625" style="556"/>
    <col min="7148" max="7148" width="32.140625" style="556" customWidth="1"/>
    <col min="7149" max="7160" width="0" style="556" hidden="1" customWidth="1"/>
    <col min="7161" max="7161" width="17" style="556" customWidth="1"/>
    <col min="7162" max="7162" width="13.7109375" style="556" customWidth="1"/>
    <col min="7163" max="7163" width="14.28515625" style="556" customWidth="1"/>
    <col min="7164" max="7164" width="8.28515625" style="556" customWidth="1"/>
    <col min="7165" max="7165" width="13.7109375" style="556" customWidth="1"/>
    <col min="7166" max="7166" width="13.85546875" style="556" customWidth="1"/>
    <col min="7167" max="7170" width="9.140625" style="556"/>
    <col min="7171" max="7171" width="12.7109375" style="556" customWidth="1"/>
    <col min="7172" max="7403" width="9.140625" style="556"/>
    <col min="7404" max="7404" width="32.140625" style="556" customWidth="1"/>
    <col min="7405" max="7416" width="0" style="556" hidden="1" customWidth="1"/>
    <col min="7417" max="7417" width="17" style="556" customWidth="1"/>
    <col min="7418" max="7418" width="13.7109375" style="556" customWidth="1"/>
    <col min="7419" max="7419" width="14.28515625" style="556" customWidth="1"/>
    <col min="7420" max="7420" width="8.28515625" style="556" customWidth="1"/>
    <col min="7421" max="7421" width="13.7109375" style="556" customWidth="1"/>
    <col min="7422" max="7422" width="13.85546875" style="556" customWidth="1"/>
    <col min="7423" max="7426" width="9.140625" style="556"/>
    <col min="7427" max="7427" width="12.7109375" style="556" customWidth="1"/>
    <col min="7428" max="7659" width="9.140625" style="556"/>
    <col min="7660" max="7660" width="32.140625" style="556" customWidth="1"/>
    <col min="7661" max="7672" width="0" style="556" hidden="1" customWidth="1"/>
    <col min="7673" max="7673" width="17" style="556" customWidth="1"/>
    <col min="7674" max="7674" width="13.7109375" style="556" customWidth="1"/>
    <col min="7675" max="7675" width="14.28515625" style="556" customWidth="1"/>
    <col min="7676" max="7676" width="8.28515625" style="556" customWidth="1"/>
    <col min="7677" max="7677" width="13.7109375" style="556" customWidth="1"/>
    <col min="7678" max="7678" width="13.85546875" style="556" customWidth="1"/>
    <col min="7679" max="7682" width="9.140625" style="556"/>
    <col min="7683" max="7683" width="12.7109375" style="556" customWidth="1"/>
    <col min="7684" max="7915" width="9.140625" style="556"/>
    <col min="7916" max="7916" width="32.140625" style="556" customWidth="1"/>
    <col min="7917" max="7928" width="0" style="556" hidden="1" customWidth="1"/>
    <col min="7929" max="7929" width="17" style="556" customWidth="1"/>
    <col min="7930" max="7930" width="13.7109375" style="556" customWidth="1"/>
    <col min="7931" max="7931" width="14.28515625" style="556" customWidth="1"/>
    <col min="7932" max="7932" width="8.28515625" style="556" customWidth="1"/>
    <col min="7933" max="7933" width="13.7109375" style="556" customWidth="1"/>
    <col min="7934" max="7934" width="13.85546875" style="556" customWidth="1"/>
    <col min="7935" max="7938" width="9.140625" style="556"/>
    <col min="7939" max="7939" width="12.7109375" style="556" customWidth="1"/>
    <col min="7940" max="8171" width="9.140625" style="556"/>
    <col min="8172" max="8172" width="32.140625" style="556" customWidth="1"/>
    <col min="8173" max="8184" width="0" style="556" hidden="1" customWidth="1"/>
    <col min="8185" max="8185" width="17" style="556" customWidth="1"/>
    <col min="8186" max="8186" width="13.7109375" style="556" customWidth="1"/>
    <col min="8187" max="8187" width="14.28515625" style="556" customWidth="1"/>
    <col min="8188" max="8188" width="8.28515625" style="556" customWidth="1"/>
    <col min="8189" max="8189" width="13.7109375" style="556" customWidth="1"/>
    <col min="8190" max="8190" width="13.85546875" style="556" customWidth="1"/>
    <col min="8191" max="8194" width="9.140625" style="556"/>
    <col min="8195" max="8195" width="12.7109375" style="556" customWidth="1"/>
    <col min="8196" max="8427" width="9.140625" style="556"/>
    <col min="8428" max="8428" width="32.140625" style="556" customWidth="1"/>
    <col min="8429" max="8440" width="0" style="556" hidden="1" customWidth="1"/>
    <col min="8441" max="8441" width="17" style="556" customWidth="1"/>
    <col min="8442" max="8442" width="13.7109375" style="556" customWidth="1"/>
    <col min="8443" max="8443" width="14.28515625" style="556" customWidth="1"/>
    <col min="8444" max="8444" width="8.28515625" style="556" customWidth="1"/>
    <col min="8445" max="8445" width="13.7109375" style="556" customWidth="1"/>
    <col min="8446" max="8446" width="13.85546875" style="556" customWidth="1"/>
    <col min="8447" max="8450" width="9.140625" style="556"/>
    <col min="8451" max="8451" width="12.7109375" style="556" customWidth="1"/>
    <col min="8452" max="8683" width="9.140625" style="556"/>
    <col min="8684" max="8684" width="32.140625" style="556" customWidth="1"/>
    <col min="8685" max="8696" width="0" style="556" hidden="1" customWidth="1"/>
    <col min="8697" max="8697" width="17" style="556" customWidth="1"/>
    <col min="8698" max="8698" width="13.7109375" style="556" customWidth="1"/>
    <col min="8699" max="8699" width="14.28515625" style="556" customWidth="1"/>
    <col min="8700" max="8700" width="8.28515625" style="556" customWidth="1"/>
    <col min="8701" max="8701" width="13.7109375" style="556" customWidth="1"/>
    <col min="8702" max="8702" width="13.85546875" style="556" customWidth="1"/>
    <col min="8703" max="8706" width="9.140625" style="556"/>
    <col min="8707" max="8707" width="12.7109375" style="556" customWidth="1"/>
    <col min="8708" max="8939" width="9.140625" style="556"/>
    <col min="8940" max="8940" width="32.140625" style="556" customWidth="1"/>
    <col min="8941" max="8952" width="0" style="556" hidden="1" customWidth="1"/>
    <col min="8953" max="8953" width="17" style="556" customWidth="1"/>
    <col min="8954" max="8954" width="13.7109375" style="556" customWidth="1"/>
    <col min="8955" max="8955" width="14.28515625" style="556" customWidth="1"/>
    <col min="8956" max="8956" width="8.28515625" style="556" customWidth="1"/>
    <col min="8957" max="8957" width="13.7109375" style="556" customWidth="1"/>
    <col min="8958" max="8958" width="13.85546875" style="556" customWidth="1"/>
    <col min="8959" max="8962" width="9.140625" style="556"/>
    <col min="8963" max="8963" width="12.7109375" style="556" customWidth="1"/>
    <col min="8964" max="9195" width="9.140625" style="556"/>
    <col min="9196" max="9196" width="32.140625" style="556" customWidth="1"/>
    <col min="9197" max="9208" width="0" style="556" hidden="1" customWidth="1"/>
    <col min="9209" max="9209" width="17" style="556" customWidth="1"/>
    <col min="9210" max="9210" width="13.7109375" style="556" customWidth="1"/>
    <col min="9211" max="9211" width="14.28515625" style="556" customWidth="1"/>
    <col min="9212" max="9212" width="8.28515625" style="556" customWidth="1"/>
    <col min="9213" max="9213" width="13.7109375" style="556" customWidth="1"/>
    <col min="9214" max="9214" width="13.85546875" style="556" customWidth="1"/>
    <col min="9215" max="9218" width="9.140625" style="556"/>
    <col min="9219" max="9219" width="12.7109375" style="556" customWidth="1"/>
    <col min="9220" max="9451" width="9.140625" style="556"/>
    <col min="9452" max="9452" width="32.140625" style="556" customWidth="1"/>
    <col min="9453" max="9464" width="0" style="556" hidden="1" customWidth="1"/>
    <col min="9465" max="9465" width="17" style="556" customWidth="1"/>
    <col min="9466" max="9466" width="13.7109375" style="556" customWidth="1"/>
    <col min="9467" max="9467" width="14.28515625" style="556" customWidth="1"/>
    <col min="9468" max="9468" width="8.28515625" style="556" customWidth="1"/>
    <col min="9469" max="9469" width="13.7109375" style="556" customWidth="1"/>
    <col min="9470" max="9470" width="13.85546875" style="556" customWidth="1"/>
    <col min="9471" max="9474" width="9.140625" style="556"/>
    <col min="9475" max="9475" width="12.7109375" style="556" customWidth="1"/>
    <col min="9476" max="9707" width="9.140625" style="556"/>
    <col min="9708" max="9708" width="32.140625" style="556" customWidth="1"/>
    <col min="9709" max="9720" width="0" style="556" hidden="1" customWidth="1"/>
    <col min="9721" max="9721" width="17" style="556" customWidth="1"/>
    <col min="9722" max="9722" width="13.7109375" style="556" customWidth="1"/>
    <col min="9723" max="9723" width="14.28515625" style="556" customWidth="1"/>
    <col min="9724" max="9724" width="8.28515625" style="556" customWidth="1"/>
    <col min="9725" max="9725" width="13.7109375" style="556" customWidth="1"/>
    <col min="9726" max="9726" width="13.85546875" style="556" customWidth="1"/>
    <col min="9727" max="9730" width="9.140625" style="556"/>
    <col min="9731" max="9731" width="12.7109375" style="556" customWidth="1"/>
    <col min="9732" max="9963" width="9.140625" style="556"/>
    <col min="9964" max="9964" width="32.140625" style="556" customWidth="1"/>
    <col min="9965" max="9976" width="0" style="556" hidden="1" customWidth="1"/>
    <col min="9977" max="9977" width="17" style="556" customWidth="1"/>
    <col min="9978" max="9978" width="13.7109375" style="556" customWidth="1"/>
    <col min="9979" max="9979" width="14.28515625" style="556" customWidth="1"/>
    <col min="9980" max="9980" width="8.28515625" style="556" customWidth="1"/>
    <col min="9981" max="9981" width="13.7109375" style="556" customWidth="1"/>
    <col min="9982" max="9982" width="13.85546875" style="556" customWidth="1"/>
    <col min="9983" max="9986" width="9.140625" style="556"/>
    <col min="9987" max="9987" width="12.7109375" style="556" customWidth="1"/>
    <col min="9988" max="10219" width="9.140625" style="556"/>
    <col min="10220" max="10220" width="32.140625" style="556" customWidth="1"/>
    <col min="10221" max="10232" width="0" style="556" hidden="1" customWidth="1"/>
    <col min="10233" max="10233" width="17" style="556" customWidth="1"/>
    <col min="10234" max="10234" width="13.7109375" style="556" customWidth="1"/>
    <col min="10235" max="10235" width="14.28515625" style="556" customWidth="1"/>
    <col min="10236" max="10236" width="8.28515625" style="556" customWidth="1"/>
    <col min="10237" max="10237" width="13.7109375" style="556" customWidth="1"/>
    <col min="10238" max="10238" width="13.85546875" style="556" customWidth="1"/>
    <col min="10239" max="10242" width="9.140625" style="556"/>
    <col min="10243" max="10243" width="12.7109375" style="556" customWidth="1"/>
    <col min="10244" max="10475" width="9.140625" style="556"/>
    <col min="10476" max="10476" width="32.140625" style="556" customWidth="1"/>
    <col min="10477" max="10488" width="0" style="556" hidden="1" customWidth="1"/>
    <col min="10489" max="10489" width="17" style="556" customWidth="1"/>
    <col min="10490" max="10490" width="13.7109375" style="556" customWidth="1"/>
    <col min="10491" max="10491" width="14.28515625" style="556" customWidth="1"/>
    <col min="10492" max="10492" width="8.28515625" style="556" customWidth="1"/>
    <col min="10493" max="10493" width="13.7109375" style="556" customWidth="1"/>
    <col min="10494" max="10494" width="13.85546875" style="556" customWidth="1"/>
    <col min="10495" max="10498" width="9.140625" style="556"/>
    <col min="10499" max="10499" width="12.7109375" style="556" customWidth="1"/>
    <col min="10500" max="10731" width="9.140625" style="556"/>
    <col min="10732" max="10732" width="32.140625" style="556" customWidth="1"/>
    <col min="10733" max="10744" width="0" style="556" hidden="1" customWidth="1"/>
    <col min="10745" max="10745" width="17" style="556" customWidth="1"/>
    <col min="10746" max="10746" width="13.7109375" style="556" customWidth="1"/>
    <col min="10747" max="10747" width="14.28515625" style="556" customWidth="1"/>
    <col min="10748" max="10748" width="8.28515625" style="556" customWidth="1"/>
    <col min="10749" max="10749" width="13.7109375" style="556" customWidth="1"/>
    <col min="10750" max="10750" width="13.85546875" style="556" customWidth="1"/>
    <col min="10751" max="10754" width="9.140625" style="556"/>
    <col min="10755" max="10755" width="12.7109375" style="556" customWidth="1"/>
    <col min="10756" max="10987" width="9.140625" style="556"/>
    <col min="10988" max="10988" width="32.140625" style="556" customWidth="1"/>
    <col min="10989" max="11000" width="0" style="556" hidden="1" customWidth="1"/>
    <col min="11001" max="11001" width="17" style="556" customWidth="1"/>
    <col min="11002" max="11002" width="13.7109375" style="556" customWidth="1"/>
    <col min="11003" max="11003" width="14.28515625" style="556" customWidth="1"/>
    <col min="11004" max="11004" width="8.28515625" style="556" customWidth="1"/>
    <col min="11005" max="11005" width="13.7109375" style="556" customWidth="1"/>
    <col min="11006" max="11006" width="13.85546875" style="556" customWidth="1"/>
    <col min="11007" max="11010" width="9.140625" style="556"/>
    <col min="11011" max="11011" width="12.7109375" style="556" customWidth="1"/>
    <col min="11012" max="11243" width="9.140625" style="556"/>
    <col min="11244" max="11244" width="32.140625" style="556" customWidth="1"/>
    <col min="11245" max="11256" width="0" style="556" hidden="1" customWidth="1"/>
    <col min="11257" max="11257" width="17" style="556" customWidth="1"/>
    <col min="11258" max="11258" width="13.7109375" style="556" customWidth="1"/>
    <col min="11259" max="11259" width="14.28515625" style="556" customWidth="1"/>
    <col min="11260" max="11260" width="8.28515625" style="556" customWidth="1"/>
    <col min="11261" max="11261" width="13.7109375" style="556" customWidth="1"/>
    <col min="11262" max="11262" width="13.85546875" style="556" customWidth="1"/>
    <col min="11263" max="11266" width="9.140625" style="556"/>
    <col min="11267" max="11267" width="12.7109375" style="556" customWidth="1"/>
    <col min="11268" max="11499" width="9.140625" style="556"/>
    <col min="11500" max="11500" width="32.140625" style="556" customWidth="1"/>
    <col min="11501" max="11512" width="0" style="556" hidden="1" customWidth="1"/>
    <col min="11513" max="11513" width="17" style="556" customWidth="1"/>
    <col min="11514" max="11514" width="13.7109375" style="556" customWidth="1"/>
    <col min="11515" max="11515" width="14.28515625" style="556" customWidth="1"/>
    <col min="11516" max="11516" width="8.28515625" style="556" customWidth="1"/>
    <col min="11517" max="11517" width="13.7109375" style="556" customWidth="1"/>
    <col min="11518" max="11518" width="13.85546875" style="556" customWidth="1"/>
    <col min="11519" max="11522" width="9.140625" style="556"/>
    <col min="11523" max="11523" width="12.7109375" style="556" customWidth="1"/>
    <col min="11524" max="11755" width="9.140625" style="556"/>
    <col min="11756" max="11756" width="32.140625" style="556" customWidth="1"/>
    <col min="11757" max="11768" width="0" style="556" hidden="1" customWidth="1"/>
    <col min="11769" max="11769" width="17" style="556" customWidth="1"/>
    <col min="11770" max="11770" width="13.7109375" style="556" customWidth="1"/>
    <col min="11771" max="11771" width="14.28515625" style="556" customWidth="1"/>
    <col min="11772" max="11772" width="8.28515625" style="556" customWidth="1"/>
    <col min="11773" max="11773" width="13.7109375" style="556" customWidth="1"/>
    <col min="11774" max="11774" width="13.85546875" style="556" customWidth="1"/>
    <col min="11775" max="11778" width="9.140625" style="556"/>
    <col min="11779" max="11779" width="12.7109375" style="556" customWidth="1"/>
    <col min="11780" max="12011" width="9.140625" style="556"/>
    <col min="12012" max="12012" width="32.140625" style="556" customWidth="1"/>
    <col min="12013" max="12024" width="0" style="556" hidden="1" customWidth="1"/>
    <col min="12025" max="12025" width="17" style="556" customWidth="1"/>
    <col min="12026" max="12026" width="13.7109375" style="556" customWidth="1"/>
    <col min="12027" max="12027" width="14.28515625" style="556" customWidth="1"/>
    <col min="12028" max="12028" width="8.28515625" style="556" customWidth="1"/>
    <col min="12029" max="12029" width="13.7109375" style="556" customWidth="1"/>
    <col min="12030" max="12030" width="13.85546875" style="556" customWidth="1"/>
    <col min="12031" max="12034" width="9.140625" style="556"/>
    <col min="12035" max="12035" width="12.7109375" style="556" customWidth="1"/>
    <col min="12036" max="12267" width="9.140625" style="556"/>
    <col min="12268" max="12268" width="32.140625" style="556" customWidth="1"/>
    <col min="12269" max="12280" width="0" style="556" hidden="1" customWidth="1"/>
    <col min="12281" max="12281" width="17" style="556" customWidth="1"/>
    <col min="12282" max="12282" width="13.7109375" style="556" customWidth="1"/>
    <col min="12283" max="12283" width="14.28515625" style="556" customWidth="1"/>
    <col min="12284" max="12284" width="8.28515625" style="556" customWidth="1"/>
    <col min="12285" max="12285" width="13.7109375" style="556" customWidth="1"/>
    <col min="12286" max="12286" width="13.85546875" style="556" customWidth="1"/>
    <col min="12287" max="12290" width="9.140625" style="556"/>
    <col min="12291" max="12291" width="12.7109375" style="556" customWidth="1"/>
    <col min="12292" max="12523" width="9.140625" style="556"/>
    <col min="12524" max="12524" width="32.140625" style="556" customWidth="1"/>
    <col min="12525" max="12536" width="0" style="556" hidden="1" customWidth="1"/>
    <col min="12537" max="12537" width="17" style="556" customWidth="1"/>
    <col min="12538" max="12538" width="13.7109375" style="556" customWidth="1"/>
    <col min="12539" max="12539" width="14.28515625" style="556" customWidth="1"/>
    <col min="12540" max="12540" width="8.28515625" style="556" customWidth="1"/>
    <col min="12541" max="12541" width="13.7109375" style="556" customWidth="1"/>
    <col min="12542" max="12542" width="13.85546875" style="556" customWidth="1"/>
    <col min="12543" max="12546" width="9.140625" style="556"/>
    <col min="12547" max="12547" width="12.7109375" style="556" customWidth="1"/>
    <col min="12548" max="12779" width="9.140625" style="556"/>
    <col min="12780" max="12780" width="32.140625" style="556" customWidth="1"/>
    <col min="12781" max="12792" width="0" style="556" hidden="1" customWidth="1"/>
    <col min="12793" max="12793" width="17" style="556" customWidth="1"/>
    <col min="12794" max="12794" width="13.7109375" style="556" customWidth="1"/>
    <col min="12795" max="12795" width="14.28515625" style="556" customWidth="1"/>
    <col min="12796" max="12796" width="8.28515625" style="556" customWidth="1"/>
    <col min="12797" max="12797" width="13.7109375" style="556" customWidth="1"/>
    <col min="12798" max="12798" width="13.85546875" style="556" customWidth="1"/>
    <col min="12799" max="12802" width="9.140625" style="556"/>
    <col min="12803" max="12803" width="12.7109375" style="556" customWidth="1"/>
    <col min="12804" max="13035" width="9.140625" style="556"/>
    <col min="13036" max="13036" width="32.140625" style="556" customWidth="1"/>
    <col min="13037" max="13048" width="0" style="556" hidden="1" customWidth="1"/>
    <col min="13049" max="13049" width="17" style="556" customWidth="1"/>
    <col min="13050" max="13050" width="13.7109375" style="556" customWidth="1"/>
    <col min="13051" max="13051" width="14.28515625" style="556" customWidth="1"/>
    <col min="13052" max="13052" width="8.28515625" style="556" customWidth="1"/>
    <col min="13053" max="13053" width="13.7109375" style="556" customWidth="1"/>
    <col min="13054" max="13054" width="13.85546875" style="556" customWidth="1"/>
    <col min="13055" max="13058" width="9.140625" style="556"/>
    <col min="13059" max="13059" width="12.7109375" style="556" customWidth="1"/>
    <col min="13060" max="13291" width="9.140625" style="556"/>
    <col min="13292" max="13292" width="32.140625" style="556" customWidth="1"/>
    <col min="13293" max="13304" width="0" style="556" hidden="1" customWidth="1"/>
    <col min="13305" max="13305" width="17" style="556" customWidth="1"/>
    <col min="13306" max="13306" width="13.7109375" style="556" customWidth="1"/>
    <col min="13307" max="13307" width="14.28515625" style="556" customWidth="1"/>
    <col min="13308" max="13308" width="8.28515625" style="556" customWidth="1"/>
    <col min="13309" max="13309" width="13.7109375" style="556" customWidth="1"/>
    <col min="13310" max="13310" width="13.85546875" style="556" customWidth="1"/>
    <col min="13311" max="13314" width="9.140625" style="556"/>
    <col min="13315" max="13315" width="12.7109375" style="556" customWidth="1"/>
    <col min="13316" max="13547" width="9.140625" style="556"/>
    <col min="13548" max="13548" width="32.140625" style="556" customWidth="1"/>
    <col min="13549" max="13560" width="0" style="556" hidden="1" customWidth="1"/>
    <col min="13561" max="13561" width="17" style="556" customWidth="1"/>
    <col min="13562" max="13562" width="13.7109375" style="556" customWidth="1"/>
    <col min="13563" max="13563" width="14.28515625" style="556" customWidth="1"/>
    <col min="13564" max="13564" width="8.28515625" style="556" customWidth="1"/>
    <col min="13565" max="13565" width="13.7109375" style="556" customWidth="1"/>
    <col min="13566" max="13566" width="13.85546875" style="556" customWidth="1"/>
    <col min="13567" max="13570" width="9.140625" style="556"/>
    <col min="13571" max="13571" width="12.7109375" style="556" customWidth="1"/>
    <col min="13572" max="13803" width="9.140625" style="556"/>
    <col min="13804" max="13804" width="32.140625" style="556" customWidth="1"/>
    <col min="13805" max="13816" width="0" style="556" hidden="1" customWidth="1"/>
    <col min="13817" max="13817" width="17" style="556" customWidth="1"/>
    <col min="13818" max="13818" width="13.7109375" style="556" customWidth="1"/>
    <col min="13819" max="13819" width="14.28515625" style="556" customWidth="1"/>
    <col min="13820" max="13820" width="8.28515625" style="556" customWidth="1"/>
    <col min="13821" max="13821" width="13.7109375" style="556" customWidth="1"/>
    <col min="13822" max="13822" width="13.85546875" style="556" customWidth="1"/>
    <col min="13823" max="13826" width="9.140625" style="556"/>
    <col min="13827" max="13827" width="12.7109375" style="556" customWidth="1"/>
    <col min="13828" max="14059" width="9.140625" style="556"/>
    <col min="14060" max="14060" width="32.140625" style="556" customWidth="1"/>
    <col min="14061" max="14072" width="0" style="556" hidden="1" customWidth="1"/>
    <col min="14073" max="14073" width="17" style="556" customWidth="1"/>
    <col min="14074" max="14074" width="13.7109375" style="556" customWidth="1"/>
    <col min="14075" max="14075" width="14.28515625" style="556" customWidth="1"/>
    <col min="14076" max="14076" width="8.28515625" style="556" customWidth="1"/>
    <col min="14077" max="14077" width="13.7109375" style="556" customWidth="1"/>
    <col min="14078" max="14078" width="13.85546875" style="556" customWidth="1"/>
    <col min="14079" max="14082" width="9.140625" style="556"/>
    <col min="14083" max="14083" width="12.7109375" style="556" customWidth="1"/>
    <col min="14084" max="14315" width="9.140625" style="556"/>
    <col min="14316" max="14316" width="32.140625" style="556" customWidth="1"/>
    <col min="14317" max="14328" width="0" style="556" hidden="1" customWidth="1"/>
    <col min="14329" max="14329" width="17" style="556" customWidth="1"/>
    <col min="14330" max="14330" width="13.7109375" style="556" customWidth="1"/>
    <col min="14331" max="14331" width="14.28515625" style="556" customWidth="1"/>
    <col min="14332" max="14332" width="8.28515625" style="556" customWidth="1"/>
    <col min="14333" max="14333" width="13.7109375" style="556" customWidth="1"/>
    <col min="14334" max="14334" width="13.85546875" style="556" customWidth="1"/>
    <col min="14335" max="14338" width="9.140625" style="556"/>
    <col min="14339" max="14339" width="12.7109375" style="556" customWidth="1"/>
    <col min="14340" max="14571" width="9.140625" style="556"/>
    <col min="14572" max="14572" width="32.140625" style="556" customWidth="1"/>
    <col min="14573" max="14584" width="0" style="556" hidden="1" customWidth="1"/>
    <col min="14585" max="14585" width="17" style="556" customWidth="1"/>
    <col min="14586" max="14586" width="13.7109375" style="556" customWidth="1"/>
    <col min="14587" max="14587" width="14.28515625" style="556" customWidth="1"/>
    <col min="14588" max="14588" width="8.28515625" style="556" customWidth="1"/>
    <col min="14589" max="14589" width="13.7109375" style="556" customWidth="1"/>
    <col min="14590" max="14590" width="13.85546875" style="556" customWidth="1"/>
    <col min="14591" max="14594" width="9.140625" style="556"/>
    <col min="14595" max="14595" width="12.7109375" style="556" customWidth="1"/>
    <col min="14596" max="14827" width="9.140625" style="556"/>
    <col min="14828" max="14828" width="32.140625" style="556" customWidth="1"/>
    <col min="14829" max="14840" width="0" style="556" hidden="1" customWidth="1"/>
    <col min="14841" max="14841" width="17" style="556" customWidth="1"/>
    <col min="14842" max="14842" width="13.7109375" style="556" customWidth="1"/>
    <col min="14843" max="14843" width="14.28515625" style="556" customWidth="1"/>
    <col min="14844" max="14844" width="8.28515625" style="556" customWidth="1"/>
    <col min="14845" max="14845" width="13.7109375" style="556" customWidth="1"/>
    <col min="14846" max="14846" width="13.85546875" style="556" customWidth="1"/>
    <col min="14847" max="14850" width="9.140625" style="556"/>
    <col min="14851" max="14851" width="12.7109375" style="556" customWidth="1"/>
    <col min="14852" max="15083" width="9.140625" style="556"/>
    <col min="15084" max="15084" width="32.140625" style="556" customWidth="1"/>
    <col min="15085" max="15096" width="0" style="556" hidden="1" customWidth="1"/>
    <col min="15097" max="15097" width="17" style="556" customWidth="1"/>
    <col min="15098" max="15098" width="13.7109375" style="556" customWidth="1"/>
    <col min="15099" max="15099" width="14.28515625" style="556" customWidth="1"/>
    <col min="15100" max="15100" width="8.28515625" style="556" customWidth="1"/>
    <col min="15101" max="15101" width="13.7109375" style="556" customWidth="1"/>
    <col min="15102" max="15102" width="13.85546875" style="556" customWidth="1"/>
    <col min="15103" max="15106" width="9.140625" style="556"/>
    <col min="15107" max="15107" width="12.7109375" style="556" customWidth="1"/>
    <col min="15108" max="15339" width="9.140625" style="556"/>
    <col min="15340" max="15340" width="32.140625" style="556" customWidth="1"/>
    <col min="15341" max="15352" width="0" style="556" hidden="1" customWidth="1"/>
    <col min="15353" max="15353" width="17" style="556" customWidth="1"/>
    <col min="15354" max="15354" width="13.7109375" style="556" customWidth="1"/>
    <col min="15355" max="15355" width="14.28515625" style="556" customWidth="1"/>
    <col min="15356" max="15356" width="8.28515625" style="556" customWidth="1"/>
    <col min="15357" max="15357" width="13.7109375" style="556" customWidth="1"/>
    <col min="15358" max="15358" width="13.85546875" style="556" customWidth="1"/>
    <col min="15359" max="15362" width="9.140625" style="556"/>
    <col min="15363" max="15363" width="12.7109375" style="556" customWidth="1"/>
    <col min="15364" max="15595" width="9.140625" style="556"/>
    <col min="15596" max="15596" width="32.140625" style="556" customWidth="1"/>
    <col min="15597" max="15608" width="0" style="556" hidden="1" customWidth="1"/>
    <col min="15609" max="15609" width="17" style="556" customWidth="1"/>
    <col min="15610" max="15610" width="13.7109375" style="556" customWidth="1"/>
    <col min="15611" max="15611" width="14.28515625" style="556" customWidth="1"/>
    <col min="15612" max="15612" width="8.28515625" style="556" customWidth="1"/>
    <col min="15613" max="15613" width="13.7109375" style="556" customWidth="1"/>
    <col min="15614" max="15614" width="13.85546875" style="556" customWidth="1"/>
    <col min="15615" max="15618" width="9.140625" style="556"/>
    <col min="15619" max="15619" width="12.7109375" style="556" customWidth="1"/>
    <col min="15620" max="15851" width="9.140625" style="556"/>
    <col min="15852" max="15852" width="32.140625" style="556" customWidth="1"/>
    <col min="15853" max="15864" width="0" style="556" hidden="1" customWidth="1"/>
    <col min="15865" max="15865" width="17" style="556" customWidth="1"/>
    <col min="15866" max="15866" width="13.7109375" style="556" customWidth="1"/>
    <col min="15867" max="15867" width="14.28515625" style="556" customWidth="1"/>
    <col min="15868" max="15868" width="8.28515625" style="556" customWidth="1"/>
    <col min="15869" max="15869" width="13.7109375" style="556" customWidth="1"/>
    <col min="15870" max="15870" width="13.85546875" style="556" customWidth="1"/>
    <col min="15871" max="15874" width="9.140625" style="556"/>
    <col min="15875" max="15875" width="12.7109375" style="556" customWidth="1"/>
    <col min="15876" max="16107" width="9.140625" style="556"/>
    <col min="16108" max="16108" width="32.140625" style="556" customWidth="1"/>
    <col min="16109" max="16120" width="0" style="556" hidden="1" customWidth="1"/>
    <col min="16121" max="16121" width="17" style="556" customWidth="1"/>
    <col min="16122" max="16122" width="13.7109375" style="556" customWidth="1"/>
    <col min="16123" max="16123" width="14.28515625" style="556" customWidth="1"/>
    <col min="16124" max="16124" width="8.28515625" style="556" customWidth="1"/>
    <col min="16125" max="16125" width="13.7109375" style="556" customWidth="1"/>
    <col min="16126" max="16126" width="13.85546875" style="556" customWidth="1"/>
    <col min="16127" max="16130" width="9.140625" style="556"/>
    <col min="16131" max="16131" width="12.7109375" style="556" customWidth="1"/>
    <col min="16132" max="16384" width="9.140625" style="556"/>
  </cols>
  <sheetData>
    <row r="1" spans="1:22" x14ac:dyDescent="0.2">
      <c r="A1" s="736" t="s">
        <v>385</v>
      </c>
      <c r="B1" s="736"/>
      <c r="C1" s="736"/>
    </row>
    <row r="2" spans="1:22" ht="13.5" thickBot="1" x14ac:dyDescent="0.25">
      <c r="A2" s="737" t="s">
        <v>462</v>
      </c>
      <c r="B2" s="737"/>
      <c r="C2" s="737"/>
    </row>
    <row r="3" spans="1:22" ht="16.5" customHeight="1" thickTop="1" x14ac:dyDescent="0.2">
      <c r="A3" s="758" t="s">
        <v>0</v>
      </c>
      <c r="B3" s="760" t="s">
        <v>1</v>
      </c>
      <c r="C3" s="756" t="s">
        <v>2</v>
      </c>
      <c r="D3" s="756" t="s">
        <v>3</v>
      </c>
      <c r="E3" s="756" t="s">
        <v>4</v>
      </c>
      <c r="F3" s="756" t="s">
        <v>5</v>
      </c>
      <c r="G3" s="756" t="s">
        <v>6</v>
      </c>
      <c r="H3" s="756" t="s">
        <v>7</v>
      </c>
      <c r="I3" s="756" t="s">
        <v>8</v>
      </c>
      <c r="J3" s="756" t="s">
        <v>9</v>
      </c>
      <c r="K3" s="756" t="s">
        <v>10</v>
      </c>
      <c r="L3" s="756" t="s">
        <v>11</v>
      </c>
      <c r="M3" s="756" t="s">
        <v>12</v>
      </c>
      <c r="N3" s="756" t="s">
        <v>13</v>
      </c>
      <c r="O3" s="756" t="s">
        <v>14</v>
      </c>
      <c r="P3" s="756" t="s">
        <v>15</v>
      </c>
      <c r="Q3" s="756" t="s">
        <v>429</v>
      </c>
      <c r="R3" s="734" t="s">
        <v>400</v>
      </c>
      <c r="S3" s="734" t="s">
        <v>463</v>
      </c>
      <c r="T3" s="738" t="s">
        <v>464</v>
      </c>
    </row>
    <row r="4" spans="1:22" ht="26.25" customHeight="1" thickBot="1" x14ac:dyDescent="0.25">
      <c r="A4" s="759"/>
      <c r="B4" s="761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35"/>
      <c r="S4" s="735"/>
      <c r="T4" s="739"/>
    </row>
    <row r="5" spans="1:22" ht="17.25" thickTop="1" thickBot="1" x14ac:dyDescent="0.3">
      <c r="A5" s="1">
        <v>100</v>
      </c>
      <c r="B5" s="744" t="s">
        <v>16</v>
      </c>
      <c r="C5" s="745"/>
      <c r="D5" s="2">
        <f t="shared" ref="D5:S5" si="0">D6+D12+D17</f>
        <v>4005975</v>
      </c>
      <c r="E5" s="2">
        <f t="shared" si="0"/>
        <v>4409049</v>
      </c>
      <c r="F5" s="2">
        <f t="shared" si="0"/>
        <v>5183529</v>
      </c>
      <c r="G5" s="2">
        <f t="shared" si="0"/>
        <v>5169506</v>
      </c>
      <c r="H5" s="2">
        <f t="shared" si="0"/>
        <v>4342169</v>
      </c>
      <c r="I5" s="2">
        <f t="shared" si="0"/>
        <v>4854565</v>
      </c>
      <c r="J5" s="2">
        <f t="shared" si="0"/>
        <v>5209041</v>
      </c>
      <c r="K5" s="2">
        <f t="shared" si="0"/>
        <v>4997011</v>
      </c>
      <c r="L5" s="2">
        <f t="shared" si="0"/>
        <v>5140983.68</v>
      </c>
      <c r="M5" s="3">
        <f t="shared" si="0"/>
        <v>5807550.21</v>
      </c>
      <c r="N5" s="2">
        <f>N6+N12+N17</f>
        <v>6453363.5500000007</v>
      </c>
      <c r="O5" s="3">
        <f>O6+O12+O17</f>
        <v>6809462.0100000007</v>
      </c>
      <c r="P5" s="3">
        <f>P6+P12+P17</f>
        <v>7281076.1700000009</v>
      </c>
      <c r="Q5" s="3">
        <f>Q6+Q12+Q17</f>
        <v>7988329.25</v>
      </c>
      <c r="R5" s="4">
        <f>R6+R12+R17</f>
        <v>7503116</v>
      </c>
      <c r="S5" s="626">
        <f t="shared" si="0"/>
        <v>8043385.96</v>
      </c>
      <c r="T5" s="631">
        <f>IF(R5=0,0,ROUND(S5/R5*100,2))</f>
        <v>107.2</v>
      </c>
    </row>
    <row r="6" spans="1:22" ht="15.75" thickBot="1" x14ac:dyDescent="0.3">
      <c r="A6" s="5">
        <v>110</v>
      </c>
      <c r="B6" s="746" t="s">
        <v>17</v>
      </c>
      <c r="C6" s="747"/>
      <c r="D6" s="6">
        <f>D7</f>
        <v>3340935</v>
      </c>
      <c r="E6" s="6">
        <f>E7</f>
        <v>3718815</v>
      </c>
      <c r="F6" s="6">
        <f>F7</f>
        <v>4552845</v>
      </c>
      <c r="G6" s="6">
        <f>G7</f>
        <v>4537123</v>
      </c>
      <c r="H6" s="6">
        <f>H7</f>
        <v>3726916</v>
      </c>
      <c r="I6" s="6">
        <f t="shared" ref="I6:S6" si="1">I7</f>
        <v>4195159</v>
      </c>
      <c r="J6" s="6">
        <f t="shared" si="1"/>
        <v>4432132</v>
      </c>
      <c r="K6" s="6">
        <f t="shared" si="1"/>
        <v>4175784</v>
      </c>
      <c r="L6" s="6">
        <f t="shared" si="1"/>
        <v>4401458.42</v>
      </c>
      <c r="M6" s="7">
        <f t="shared" si="1"/>
        <v>5016805.0999999996</v>
      </c>
      <c r="N6" s="6">
        <f t="shared" si="1"/>
        <v>5542925.6600000001</v>
      </c>
      <c r="O6" s="7">
        <f t="shared" si="1"/>
        <v>5877883.0300000003</v>
      </c>
      <c r="P6" s="7">
        <f t="shared" si="1"/>
        <v>6368965.2300000004</v>
      </c>
      <c r="Q6" s="7">
        <f t="shared" si="1"/>
        <v>7093467.6699999999</v>
      </c>
      <c r="R6" s="8">
        <f>R7</f>
        <v>6491666</v>
      </c>
      <c r="S6" s="609">
        <f t="shared" si="1"/>
        <v>7044253.25</v>
      </c>
      <c r="T6" s="632">
        <f t="shared" ref="T6:T69" si="2">IF(R6=0,0,ROUND(S6/R6*100,2))</f>
        <v>108.51</v>
      </c>
    </row>
    <row r="7" spans="1:22" ht="15.75" thickBot="1" x14ac:dyDescent="0.3">
      <c r="A7" s="748"/>
      <c r="B7" s="751"/>
      <c r="C7" s="10" t="s">
        <v>18</v>
      </c>
      <c r="D7" s="11">
        <v>3340935</v>
      </c>
      <c r="E7" s="11">
        <v>3718815</v>
      </c>
      <c r="F7" s="11">
        <v>4552845</v>
      </c>
      <c r="G7" s="11">
        <v>4537123</v>
      </c>
      <c r="H7" s="11">
        <v>3726916</v>
      </c>
      <c r="I7" s="12">
        <v>4195159</v>
      </c>
      <c r="J7" s="12">
        <v>4432132</v>
      </c>
      <c r="K7" s="13">
        <v>4175784</v>
      </c>
      <c r="L7" s="13">
        <v>4401458.42</v>
      </c>
      <c r="M7" s="14">
        <v>5016805.0999999996</v>
      </c>
      <c r="N7" s="15">
        <v>5542925.6600000001</v>
      </c>
      <c r="O7" s="14">
        <v>5877883.0300000003</v>
      </c>
      <c r="P7" s="14">
        <v>6368965.2300000004</v>
      </c>
      <c r="Q7" s="14">
        <v>7093467.6699999999</v>
      </c>
      <c r="R7" s="15">
        <v>6491666</v>
      </c>
      <c r="S7" s="9">
        <v>7044253.25</v>
      </c>
      <c r="T7" s="567">
        <f t="shared" si="2"/>
        <v>108.51</v>
      </c>
    </row>
    <row r="8" spans="1:22" ht="13.5" hidden="1" thickBot="1" x14ac:dyDescent="0.25">
      <c r="A8" s="749"/>
      <c r="B8" s="752"/>
      <c r="C8" s="16" t="s">
        <v>19</v>
      </c>
      <c r="D8" s="16"/>
      <c r="E8" s="16"/>
      <c r="F8" s="16"/>
      <c r="G8" s="16"/>
      <c r="H8" s="16"/>
      <c r="I8" s="17"/>
      <c r="J8" s="17"/>
      <c r="K8" s="18"/>
      <c r="L8" s="18"/>
      <c r="M8" s="19"/>
      <c r="N8" s="20"/>
      <c r="O8" s="20"/>
      <c r="P8" s="20"/>
      <c r="Q8" s="19"/>
      <c r="R8" s="20"/>
      <c r="S8" s="21"/>
      <c r="T8" s="559">
        <f t="shared" si="2"/>
        <v>0</v>
      </c>
    </row>
    <row r="9" spans="1:22" ht="13.5" hidden="1" thickBot="1" x14ac:dyDescent="0.25">
      <c r="A9" s="749"/>
      <c r="B9" s="752"/>
      <c r="C9" s="22" t="s">
        <v>20</v>
      </c>
      <c r="D9" s="22"/>
      <c r="E9" s="22"/>
      <c r="F9" s="22"/>
      <c r="G9" s="22"/>
      <c r="H9" s="22"/>
      <c r="I9" s="23"/>
      <c r="J9" s="23"/>
      <c r="K9" s="24"/>
      <c r="L9" s="24"/>
      <c r="M9" s="25"/>
      <c r="N9" s="26"/>
      <c r="O9" s="26"/>
      <c r="P9" s="26"/>
      <c r="Q9" s="25"/>
      <c r="R9" s="26"/>
      <c r="S9" s="27"/>
      <c r="T9" s="560">
        <f t="shared" si="2"/>
        <v>0</v>
      </c>
      <c r="U9" s="557"/>
    </row>
    <row r="10" spans="1:22" ht="13.5" hidden="1" thickBot="1" x14ac:dyDescent="0.25">
      <c r="A10" s="749"/>
      <c r="B10" s="752"/>
      <c r="C10" s="22" t="s">
        <v>21</v>
      </c>
      <c r="D10" s="22"/>
      <c r="E10" s="22"/>
      <c r="F10" s="22"/>
      <c r="G10" s="22"/>
      <c r="H10" s="22"/>
      <c r="I10" s="23"/>
      <c r="J10" s="23"/>
      <c r="K10" s="24"/>
      <c r="L10" s="24"/>
      <c r="M10" s="25"/>
      <c r="N10" s="26"/>
      <c r="O10" s="26"/>
      <c r="P10" s="26"/>
      <c r="Q10" s="25"/>
      <c r="R10" s="26"/>
      <c r="S10" s="27"/>
      <c r="T10" s="560">
        <f t="shared" si="2"/>
        <v>0</v>
      </c>
    </row>
    <row r="11" spans="1:22" ht="13.5" hidden="1" thickBot="1" x14ac:dyDescent="0.25">
      <c r="A11" s="750"/>
      <c r="B11" s="753"/>
      <c r="C11" s="28" t="s">
        <v>22</v>
      </c>
      <c r="D11" s="28"/>
      <c r="E11" s="28"/>
      <c r="F11" s="28"/>
      <c r="G11" s="28"/>
      <c r="H11" s="28"/>
      <c r="I11" s="29"/>
      <c r="J11" s="29"/>
      <c r="K11" s="30"/>
      <c r="L11" s="30"/>
      <c r="M11" s="31"/>
      <c r="N11" s="32"/>
      <c r="O11" s="32"/>
      <c r="P11" s="32"/>
      <c r="Q11" s="31"/>
      <c r="R11" s="32"/>
      <c r="S11" s="627"/>
      <c r="T11" s="562">
        <f t="shared" si="2"/>
        <v>0</v>
      </c>
    </row>
    <row r="12" spans="1:22" ht="15.75" thickBot="1" x14ac:dyDescent="0.3">
      <c r="A12" s="33">
        <v>120</v>
      </c>
      <c r="B12" s="754" t="s">
        <v>23</v>
      </c>
      <c r="C12" s="755"/>
      <c r="D12" s="34">
        <f>D13</f>
        <v>295824</v>
      </c>
      <c r="E12" s="34">
        <f>E13</f>
        <v>311093</v>
      </c>
      <c r="F12" s="34">
        <f>F13</f>
        <v>361216</v>
      </c>
      <c r="G12" s="34">
        <f>G13</f>
        <v>341843</v>
      </c>
      <c r="H12" s="34">
        <v>316587</v>
      </c>
      <c r="I12" s="34">
        <f t="shared" ref="I12:S12" si="3">I13</f>
        <v>360438</v>
      </c>
      <c r="J12" s="34">
        <f t="shared" si="3"/>
        <v>460690</v>
      </c>
      <c r="K12" s="34">
        <f t="shared" si="3"/>
        <v>388905</v>
      </c>
      <c r="L12" s="34">
        <f t="shared" si="3"/>
        <v>335641.24</v>
      </c>
      <c r="M12" s="35">
        <f t="shared" si="3"/>
        <v>396789.44</v>
      </c>
      <c r="N12" s="34">
        <f t="shared" si="3"/>
        <v>470206.4</v>
      </c>
      <c r="O12" s="35">
        <f t="shared" si="3"/>
        <v>490398.24</v>
      </c>
      <c r="P12" s="35">
        <f t="shared" si="3"/>
        <v>477910.94</v>
      </c>
      <c r="Q12" s="613">
        <f t="shared" si="3"/>
        <v>461578.98000000004</v>
      </c>
      <c r="R12" s="36">
        <f t="shared" si="3"/>
        <v>545000</v>
      </c>
      <c r="S12" s="613">
        <f t="shared" si="3"/>
        <v>534837.91</v>
      </c>
      <c r="T12" s="633">
        <f t="shared" si="2"/>
        <v>98.14</v>
      </c>
    </row>
    <row r="13" spans="1:22" ht="13.5" thickBot="1" x14ac:dyDescent="0.25">
      <c r="A13" s="762"/>
      <c r="B13" s="37">
        <v>121</v>
      </c>
      <c r="C13" s="38" t="s">
        <v>24</v>
      </c>
      <c r="D13" s="38">
        <v>295824</v>
      </c>
      <c r="E13" s="38">
        <v>311093</v>
      </c>
      <c r="F13" s="38">
        <v>361216</v>
      </c>
      <c r="G13" s="38">
        <v>341843</v>
      </c>
      <c r="H13" s="38">
        <v>316587</v>
      </c>
      <c r="I13" s="39">
        <f t="shared" ref="I13:R13" si="4">SUM(I14:I16)</f>
        <v>360438</v>
      </c>
      <c r="J13" s="39">
        <f t="shared" si="4"/>
        <v>460690</v>
      </c>
      <c r="K13" s="39">
        <f t="shared" si="4"/>
        <v>388905</v>
      </c>
      <c r="L13" s="39">
        <f t="shared" si="4"/>
        <v>335641.24</v>
      </c>
      <c r="M13" s="40">
        <f t="shared" si="4"/>
        <v>396789.44</v>
      </c>
      <c r="N13" s="39">
        <f>SUM(N14:N16)</f>
        <v>470206.4</v>
      </c>
      <c r="O13" s="40">
        <f>SUM(O14:O16)</f>
        <v>490398.24</v>
      </c>
      <c r="P13" s="40">
        <f>SUM(P14:P16)</f>
        <v>477910.94</v>
      </c>
      <c r="Q13" s="122">
        <f>SUM(Q14:Q16)</f>
        <v>461578.98000000004</v>
      </c>
      <c r="R13" s="41">
        <f t="shared" si="4"/>
        <v>545000</v>
      </c>
      <c r="S13" s="122">
        <f>SUM(S14:S16)</f>
        <v>534837.91</v>
      </c>
      <c r="T13" s="634">
        <f t="shared" si="2"/>
        <v>98.14</v>
      </c>
      <c r="V13" s="625"/>
    </row>
    <row r="14" spans="1:22" x14ac:dyDescent="0.2">
      <c r="A14" s="763"/>
      <c r="B14" s="765"/>
      <c r="C14" s="42" t="s">
        <v>25</v>
      </c>
      <c r="D14" s="43"/>
      <c r="E14" s="43"/>
      <c r="F14" s="43"/>
      <c r="G14" s="43"/>
      <c r="H14" s="43">
        <v>51780</v>
      </c>
      <c r="I14" s="43">
        <v>67186</v>
      </c>
      <c r="J14" s="44">
        <v>71840</v>
      </c>
      <c r="K14" s="44">
        <v>90890</v>
      </c>
      <c r="L14" s="44">
        <v>64647.11</v>
      </c>
      <c r="M14" s="45">
        <v>92446.080000000002</v>
      </c>
      <c r="N14" s="46">
        <v>110741.25</v>
      </c>
      <c r="O14" s="45">
        <v>490398.24</v>
      </c>
      <c r="P14" s="45">
        <v>113964.55</v>
      </c>
      <c r="Q14" s="45">
        <v>99072.71</v>
      </c>
      <c r="R14" s="46">
        <v>140000</v>
      </c>
      <c r="S14" s="21">
        <v>130151.65</v>
      </c>
      <c r="T14" s="559">
        <f t="shared" si="2"/>
        <v>92.97</v>
      </c>
      <c r="V14" s="625"/>
    </row>
    <row r="15" spans="1:22" x14ac:dyDescent="0.2">
      <c r="A15" s="763"/>
      <c r="B15" s="766"/>
      <c r="C15" s="22" t="s">
        <v>26</v>
      </c>
      <c r="D15" s="22"/>
      <c r="E15" s="22"/>
      <c r="F15" s="22"/>
      <c r="G15" s="22"/>
      <c r="H15" s="22">
        <v>234536</v>
      </c>
      <c r="I15" s="22">
        <v>264067</v>
      </c>
      <c r="J15" s="24">
        <v>359760</v>
      </c>
      <c r="K15" s="24">
        <v>267120</v>
      </c>
      <c r="L15" s="24">
        <v>239509.09</v>
      </c>
      <c r="M15" s="25">
        <v>271513.31</v>
      </c>
      <c r="N15" s="26">
        <v>321276.38</v>
      </c>
      <c r="O15" s="26"/>
      <c r="P15" s="26">
        <v>324799.75</v>
      </c>
      <c r="Q15" s="25">
        <v>324936.88</v>
      </c>
      <c r="R15" s="26">
        <v>360000</v>
      </c>
      <c r="S15" s="27">
        <v>360134.97</v>
      </c>
      <c r="T15" s="560">
        <f t="shared" si="2"/>
        <v>100.04</v>
      </c>
      <c r="V15" s="625"/>
    </row>
    <row r="16" spans="1:22" ht="13.5" thickBot="1" x14ac:dyDescent="0.25">
      <c r="A16" s="764"/>
      <c r="B16" s="767"/>
      <c r="C16" s="28" t="s">
        <v>27</v>
      </c>
      <c r="D16" s="28"/>
      <c r="E16" s="28"/>
      <c r="F16" s="28"/>
      <c r="G16" s="28"/>
      <c r="H16" s="28">
        <v>30271</v>
      </c>
      <c r="I16" s="28">
        <v>29185</v>
      </c>
      <c r="J16" s="47">
        <v>29090</v>
      </c>
      <c r="K16" s="47">
        <v>30895</v>
      </c>
      <c r="L16" s="47">
        <v>31485.040000000001</v>
      </c>
      <c r="M16" s="48">
        <v>32830.050000000003</v>
      </c>
      <c r="N16" s="49">
        <v>38188.769999999997</v>
      </c>
      <c r="O16" s="49"/>
      <c r="P16" s="49">
        <v>39146.639999999999</v>
      </c>
      <c r="Q16" s="48">
        <v>37569.39</v>
      </c>
      <c r="R16" s="49">
        <v>45000</v>
      </c>
      <c r="S16" s="627">
        <v>44551.29</v>
      </c>
      <c r="T16" s="562">
        <f t="shared" si="2"/>
        <v>99</v>
      </c>
      <c r="V16" s="625"/>
    </row>
    <row r="17" spans="1:23" ht="15.75" thickBot="1" x14ac:dyDescent="0.3">
      <c r="A17" s="33">
        <v>130</v>
      </c>
      <c r="B17" s="754" t="s">
        <v>28</v>
      </c>
      <c r="C17" s="755"/>
      <c r="D17" s="34">
        <f>D18</f>
        <v>369216</v>
      </c>
      <c r="E17" s="34">
        <f>E18</f>
        <v>379141</v>
      </c>
      <c r="F17" s="34">
        <f>F18</f>
        <v>269468</v>
      </c>
      <c r="G17" s="34">
        <f>G18</f>
        <v>290540</v>
      </c>
      <c r="H17" s="34">
        <f>H18</f>
        <v>298666</v>
      </c>
      <c r="I17" s="34">
        <f t="shared" ref="I17:S17" si="5">I18</f>
        <v>298968</v>
      </c>
      <c r="J17" s="34">
        <f t="shared" si="5"/>
        <v>316219</v>
      </c>
      <c r="K17" s="34">
        <f t="shared" si="5"/>
        <v>432322</v>
      </c>
      <c r="L17" s="34">
        <f t="shared" si="5"/>
        <v>403884.02</v>
      </c>
      <c r="M17" s="35">
        <f t="shared" si="5"/>
        <v>393955.67</v>
      </c>
      <c r="N17" s="34">
        <f t="shared" si="5"/>
        <v>440231.49</v>
      </c>
      <c r="O17" s="35">
        <f t="shared" si="5"/>
        <v>441180.74</v>
      </c>
      <c r="P17" s="36">
        <f t="shared" si="5"/>
        <v>434200</v>
      </c>
      <c r="Q17" s="613">
        <f t="shared" si="5"/>
        <v>433282.6</v>
      </c>
      <c r="R17" s="36">
        <f t="shared" si="5"/>
        <v>466450</v>
      </c>
      <c r="S17" s="613">
        <f t="shared" si="5"/>
        <v>464294.8</v>
      </c>
      <c r="T17" s="633">
        <f t="shared" si="2"/>
        <v>99.54</v>
      </c>
      <c r="V17" s="625"/>
    </row>
    <row r="18" spans="1:23" ht="13.5" thickBot="1" x14ac:dyDescent="0.25">
      <c r="A18" s="740"/>
      <c r="B18" s="50">
        <v>133</v>
      </c>
      <c r="C18" s="51" t="s">
        <v>29</v>
      </c>
      <c r="D18" s="52">
        <v>369216</v>
      </c>
      <c r="E18" s="52">
        <v>379141</v>
      </c>
      <c r="F18" s="52">
        <v>269468</v>
      </c>
      <c r="G18" s="52">
        <v>290540</v>
      </c>
      <c r="H18" s="53">
        <f t="shared" ref="H18:M18" si="6">SUM(H19:H25)</f>
        <v>298666</v>
      </c>
      <c r="I18" s="53">
        <f t="shared" si="6"/>
        <v>298968</v>
      </c>
      <c r="J18" s="54">
        <f t="shared" si="6"/>
        <v>316219</v>
      </c>
      <c r="K18" s="54">
        <f t="shared" si="6"/>
        <v>432322</v>
      </c>
      <c r="L18" s="54">
        <f>SUM(L19:L25)</f>
        <v>403884.02</v>
      </c>
      <c r="M18" s="55">
        <f t="shared" si="6"/>
        <v>393955.67</v>
      </c>
      <c r="N18" s="54">
        <f t="shared" ref="N18:S18" si="7">SUM(N19:N25)</f>
        <v>440231.49</v>
      </c>
      <c r="O18" s="55">
        <f t="shared" si="7"/>
        <v>441180.74</v>
      </c>
      <c r="P18" s="56">
        <f t="shared" si="7"/>
        <v>434200</v>
      </c>
      <c r="Q18" s="123">
        <f t="shared" si="7"/>
        <v>433282.6</v>
      </c>
      <c r="R18" s="56">
        <f t="shared" si="7"/>
        <v>466450</v>
      </c>
      <c r="S18" s="123">
        <f t="shared" si="7"/>
        <v>464294.8</v>
      </c>
      <c r="T18" s="635">
        <f t="shared" si="2"/>
        <v>99.54</v>
      </c>
    </row>
    <row r="19" spans="1:23" x14ac:dyDescent="0.2">
      <c r="A19" s="741"/>
      <c r="B19" s="769"/>
      <c r="C19" s="57" t="s">
        <v>30</v>
      </c>
      <c r="D19" s="57"/>
      <c r="E19" s="57"/>
      <c r="F19" s="57"/>
      <c r="G19" s="57"/>
      <c r="H19" s="57">
        <v>7752</v>
      </c>
      <c r="I19" s="58">
        <v>7713</v>
      </c>
      <c r="J19" s="46">
        <v>7990</v>
      </c>
      <c r="K19" s="46">
        <v>9276</v>
      </c>
      <c r="L19" s="46">
        <v>9178.11</v>
      </c>
      <c r="M19" s="45">
        <v>9228.06</v>
      </c>
      <c r="N19" s="46">
        <v>12166.42</v>
      </c>
      <c r="O19" s="45">
        <v>11448.4</v>
      </c>
      <c r="P19" s="45">
        <v>11685.91</v>
      </c>
      <c r="Q19" s="45">
        <v>11344.54</v>
      </c>
      <c r="R19" s="46">
        <v>11000</v>
      </c>
      <c r="S19" s="21">
        <v>11359.16</v>
      </c>
      <c r="T19" s="559">
        <f t="shared" si="2"/>
        <v>103.27</v>
      </c>
      <c r="U19" s="557"/>
    </row>
    <row r="20" spans="1:23" x14ac:dyDescent="0.2">
      <c r="A20" s="741"/>
      <c r="B20" s="770"/>
      <c r="C20" s="59" t="s">
        <v>31</v>
      </c>
      <c r="D20" s="59"/>
      <c r="E20" s="59"/>
      <c r="F20" s="59"/>
      <c r="G20" s="59"/>
      <c r="H20" s="59">
        <v>532</v>
      </c>
      <c r="I20" s="60">
        <v>732</v>
      </c>
      <c r="J20" s="26">
        <v>732</v>
      </c>
      <c r="K20" s="26">
        <v>749</v>
      </c>
      <c r="L20" s="26">
        <v>300</v>
      </c>
      <c r="M20" s="25">
        <v>300</v>
      </c>
      <c r="N20" s="26">
        <v>632</v>
      </c>
      <c r="O20" s="25">
        <v>398.66</v>
      </c>
      <c r="P20" s="25">
        <v>332</v>
      </c>
      <c r="Q20" s="25">
        <v>332</v>
      </c>
      <c r="R20" s="26">
        <v>300</v>
      </c>
      <c r="S20" s="27">
        <v>332</v>
      </c>
      <c r="T20" s="560">
        <f t="shared" si="2"/>
        <v>110.67</v>
      </c>
    </row>
    <row r="21" spans="1:23" x14ac:dyDescent="0.2">
      <c r="A21" s="741"/>
      <c r="B21" s="770"/>
      <c r="C21" s="59" t="s">
        <v>32</v>
      </c>
      <c r="D21" s="59"/>
      <c r="E21" s="59"/>
      <c r="F21" s="59"/>
      <c r="G21" s="59"/>
      <c r="H21" s="59">
        <v>700</v>
      </c>
      <c r="I21" s="60">
        <v>750</v>
      </c>
      <c r="J21" s="26">
        <v>750</v>
      </c>
      <c r="K21" s="26">
        <v>725</v>
      </c>
      <c r="L21" s="26">
        <v>650</v>
      </c>
      <c r="M21" s="25">
        <v>679.15</v>
      </c>
      <c r="N21" s="26">
        <v>691.66</v>
      </c>
      <c r="O21" s="25">
        <v>875</v>
      </c>
      <c r="P21" s="25">
        <v>1190</v>
      </c>
      <c r="Q21" s="25">
        <v>1148.33</v>
      </c>
      <c r="R21" s="26">
        <v>650</v>
      </c>
      <c r="S21" s="27">
        <v>1090</v>
      </c>
      <c r="T21" s="560">
        <f t="shared" si="2"/>
        <v>167.69</v>
      </c>
    </row>
    <row r="22" spans="1:23" x14ac:dyDescent="0.2">
      <c r="A22" s="741"/>
      <c r="B22" s="770"/>
      <c r="C22" s="59" t="s">
        <v>33</v>
      </c>
      <c r="D22" s="59"/>
      <c r="E22" s="59"/>
      <c r="F22" s="59"/>
      <c r="G22" s="59"/>
      <c r="H22" s="59">
        <v>12441</v>
      </c>
      <c r="I22" s="60">
        <v>12101</v>
      </c>
      <c r="J22" s="26">
        <v>14430</v>
      </c>
      <c r="K22" s="26">
        <v>12793</v>
      </c>
      <c r="L22" s="26">
        <v>13503.5</v>
      </c>
      <c r="M22" s="25">
        <v>13052</v>
      </c>
      <c r="N22" s="26">
        <v>12555.5</v>
      </c>
      <c r="O22" s="25">
        <v>12857.5</v>
      </c>
      <c r="P22" s="25">
        <v>13737</v>
      </c>
      <c r="Q22" s="25">
        <v>16975</v>
      </c>
      <c r="R22" s="26">
        <v>2500</v>
      </c>
      <c r="S22" s="27">
        <v>9612</v>
      </c>
      <c r="T22" s="560">
        <f t="shared" si="2"/>
        <v>384.48</v>
      </c>
    </row>
    <row r="23" spans="1:23" x14ac:dyDescent="0.2">
      <c r="A23" s="741"/>
      <c r="B23" s="770"/>
      <c r="C23" s="59" t="s">
        <v>34</v>
      </c>
      <c r="D23" s="59"/>
      <c r="E23" s="59"/>
      <c r="F23" s="59"/>
      <c r="G23" s="59"/>
      <c r="H23" s="59">
        <v>28263</v>
      </c>
      <c r="I23" s="60">
        <v>29878</v>
      </c>
      <c r="J23" s="26">
        <v>31474</v>
      </c>
      <c r="K23" s="26">
        <v>37978</v>
      </c>
      <c r="L23" s="26">
        <v>32751.27</v>
      </c>
      <c r="M23" s="25">
        <v>29179.68</v>
      </c>
      <c r="N23" s="26">
        <v>32177.919999999998</v>
      </c>
      <c r="O23" s="25">
        <v>25859.559999999998</v>
      </c>
      <c r="P23" s="25">
        <v>30880.28</v>
      </c>
      <c r="Q23" s="25">
        <v>32198.11</v>
      </c>
      <c r="R23" s="26">
        <v>12000</v>
      </c>
      <c r="S23" s="27">
        <v>7144.4</v>
      </c>
      <c r="T23" s="560">
        <f t="shared" si="2"/>
        <v>59.54</v>
      </c>
    </row>
    <row r="24" spans="1:23" x14ac:dyDescent="0.2">
      <c r="A24" s="741"/>
      <c r="B24" s="770"/>
      <c r="C24" s="59" t="s">
        <v>35</v>
      </c>
      <c r="D24" s="59"/>
      <c r="E24" s="59"/>
      <c r="F24" s="59"/>
      <c r="G24" s="59"/>
      <c r="H24" s="59">
        <v>162034</v>
      </c>
      <c r="I24" s="60">
        <f>159378+2395</f>
        <v>161773</v>
      </c>
      <c r="J24" s="26">
        <v>174176</v>
      </c>
      <c r="K24" s="26">
        <f>265321+3376</f>
        <v>268697</v>
      </c>
      <c r="L24" s="26">
        <v>243006.26</v>
      </c>
      <c r="M24" s="25">
        <v>240323.78</v>
      </c>
      <c r="N24" s="26">
        <v>255051.03999999998</v>
      </c>
      <c r="O24" s="25">
        <v>252038.01</v>
      </c>
      <c r="P24" s="25">
        <v>235688.58</v>
      </c>
      <c r="Q24" s="25">
        <v>223667.02000000002</v>
      </c>
      <c r="R24" s="26">
        <v>290000</v>
      </c>
      <c r="S24" s="27">
        <f>4783.42+4580.9+252108.97</f>
        <v>261473.29</v>
      </c>
      <c r="T24" s="560">
        <f t="shared" si="2"/>
        <v>90.16</v>
      </c>
    </row>
    <row r="25" spans="1:23" ht="13.5" thickBot="1" x14ac:dyDescent="0.25">
      <c r="A25" s="768"/>
      <c r="B25" s="771"/>
      <c r="C25" s="61" t="s">
        <v>36</v>
      </c>
      <c r="D25" s="62"/>
      <c r="E25" s="62"/>
      <c r="F25" s="62"/>
      <c r="G25" s="62"/>
      <c r="H25" s="62">
        <v>86944</v>
      </c>
      <c r="I25" s="60">
        <v>86021</v>
      </c>
      <c r="J25" s="32">
        <v>86667</v>
      </c>
      <c r="K25" s="32">
        <v>102104</v>
      </c>
      <c r="L25" s="32">
        <v>104494.88</v>
      </c>
      <c r="M25" s="31">
        <v>101193</v>
      </c>
      <c r="N25" s="32">
        <v>126956.95</v>
      </c>
      <c r="O25" s="31">
        <v>137703.60999999999</v>
      </c>
      <c r="P25" s="31">
        <v>140686.23000000001</v>
      </c>
      <c r="Q25" s="31">
        <v>147617.60000000001</v>
      </c>
      <c r="R25" s="32">
        <v>150000</v>
      </c>
      <c r="S25" s="627">
        <v>173283.95</v>
      </c>
      <c r="T25" s="562">
        <f t="shared" si="2"/>
        <v>115.52</v>
      </c>
    </row>
    <row r="26" spans="1:23" ht="16.5" thickBot="1" x14ac:dyDescent="0.3">
      <c r="A26" s="63">
        <v>200</v>
      </c>
      <c r="B26" s="772" t="s">
        <v>37</v>
      </c>
      <c r="C26" s="773"/>
      <c r="D26" s="64">
        <f>D27+D40+D60+D62</f>
        <v>1277767</v>
      </c>
      <c r="E26" s="64">
        <f>E27+E40+E60+E62</f>
        <v>1153090</v>
      </c>
      <c r="F26" s="64">
        <f>F27+F40+F60+F62</f>
        <v>1821583</v>
      </c>
      <c r="G26" s="64">
        <f>G27+G40+G60+G62</f>
        <v>1266222</v>
      </c>
      <c r="H26" s="64">
        <v>1215651</v>
      </c>
      <c r="I26" s="64">
        <f t="shared" ref="I26:R26" si="8">I27+I40+I60+I62</f>
        <v>1492638</v>
      </c>
      <c r="J26" s="64">
        <f t="shared" si="8"/>
        <v>1090799</v>
      </c>
      <c r="K26" s="64">
        <f t="shared" si="8"/>
        <v>1258962</v>
      </c>
      <c r="L26" s="64">
        <f t="shared" si="8"/>
        <v>1049268.01</v>
      </c>
      <c r="M26" s="65">
        <f t="shared" si="8"/>
        <v>1119583.28</v>
      </c>
      <c r="N26" s="64">
        <f t="shared" si="8"/>
        <v>1113252.3600000001</v>
      </c>
      <c r="O26" s="64">
        <f t="shared" si="8"/>
        <v>1054445.69</v>
      </c>
      <c r="P26" s="64">
        <f>P27+P40+P60+P62</f>
        <v>1433521.3099999998</v>
      </c>
      <c r="Q26" s="65">
        <f>Q27+Q40+Q60+Q62</f>
        <v>1469960.26</v>
      </c>
      <c r="R26" s="66">
        <f t="shared" si="8"/>
        <v>1238953</v>
      </c>
      <c r="S26" s="628">
        <f>S27+S40+S60+S62</f>
        <v>1173186.5599999998</v>
      </c>
      <c r="T26" s="636">
        <f t="shared" si="2"/>
        <v>94.69</v>
      </c>
      <c r="V26" s="625"/>
      <c r="W26" s="625"/>
    </row>
    <row r="27" spans="1:23" ht="15.75" thickBot="1" x14ac:dyDescent="0.3">
      <c r="A27" s="554">
        <v>210</v>
      </c>
      <c r="B27" s="746" t="s">
        <v>38</v>
      </c>
      <c r="C27" s="777"/>
      <c r="D27" s="67">
        <f>D28+D32</f>
        <v>873233</v>
      </c>
      <c r="E27" s="67">
        <f>E28+E32</f>
        <v>794430</v>
      </c>
      <c r="F27" s="67">
        <f>F28+F32</f>
        <v>1059517</v>
      </c>
      <c r="G27" s="67">
        <f>G28+G32</f>
        <v>810580</v>
      </c>
      <c r="H27" s="67">
        <v>598394</v>
      </c>
      <c r="I27" s="67">
        <f t="shared" ref="I27:S27" si="9">I28+I32</f>
        <v>741364</v>
      </c>
      <c r="J27" s="67">
        <f t="shared" si="9"/>
        <v>560834</v>
      </c>
      <c r="K27" s="67">
        <f t="shared" si="9"/>
        <v>650004</v>
      </c>
      <c r="L27" s="67">
        <f>L28+L32</f>
        <v>379467.55</v>
      </c>
      <c r="M27" s="68">
        <f t="shared" si="9"/>
        <v>418308.61</v>
      </c>
      <c r="N27" s="67">
        <f>N28+N32</f>
        <v>461210.13</v>
      </c>
      <c r="O27" s="68">
        <f>O28+O32</f>
        <v>442510.63</v>
      </c>
      <c r="P27" s="67">
        <f>P28+P32</f>
        <v>507429.88</v>
      </c>
      <c r="Q27" s="68">
        <f>Q28+Q32</f>
        <v>529407.6</v>
      </c>
      <c r="R27" s="69">
        <f t="shared" si="9"/>
        <v>520935</v>
      </c>
      <c r="S27" s="629">
        <f t="shared" si="9"/>
        <v>467813.66</v>
      </c>
      <c r="T27" s="637">
        <f t="shared" si="2"/>
        <v>89.8</v>
      </c>
      <c r="W27" s="625"/>
    </row>
    <row r="28" spans="1:23" ht="13.5" thickBot="1" x14ac:dyDescent="0.25">
      <c r="A28" s="740" t="s">
        <v>39</v>
      </c>
      <c r="B28" s="37">
        <v>211</v>
      </c>
      <c r="C28" s="70" t="s">
        <v>38</v>
      </c>
      <c r="D28" s="37">
        <v>93242</v>
      </c>
      <c r="E28" s="37">
        <v>23701</v>
      </c>
      <c r="F28" s="37">
        <v>51351</v>
      </c>
      <c r="G28" s="37">
        <v>38822</v>
      </c>
      <c r="H28" s="37">
        <v>66052</v>
      </c>
      <c r="I28" s="54">
        <f t="shared" ref="I28:S28" si="10">SUM(I29:I31)</f>
        <v>29084</v>
      </c>
      <c r="J28" s="54">
        <f t="shared" si="10"/>
        <v>47000</v>
      </c>
      <c r="K28" s="54">
        <f t="shared" si="10"/>
        <v>58181</v>
      </c>
      <c r="L28" s="54">
        <f>SUM(L29:L31)</f>
        <v>20000</v>
      </c>
      <c r="M28" s="54">
        <f t="shared" si="10"/>
        <v>15000</v>
      </c>
      <c r="N28" s="54">
        <f t="shared" si="10"/>
        <v>24000</v>
      </c>
      <c r="O28" s="55">
        <f>SUM(O29:O31)</f>
        <v>11000</v>
      </c>
      <c r="P28" s="54">
        <f>SUM(P29:P31)</f>
        <v>12500</v>
      </c>
      <c r="Q28" s="55">
        <f>SUM(Q29:Q31)</f>
        <v>14371.43</v>
      </c>
      <c r="R28" s="56">
        <f t="shared" si="10"/>
        <v>15000</v>
      </c>
      <c r="S28" s="123">
        <f t="shared" si="10"/>
        <v>13122.45</v>
      </c>
      <c r="T28" s="635">
        <f t="shared" si="2"/>
        <v>87.48</v>
      </c>
    </row>
    <row r="29" spans="1:23" hidden="1" x14ac:dyDescent="0.2">
      <c r="A29" s="741"/>
      <c r="B29" s="765"/>
      <c r="C29" s="71" t="s">
        <v>40</v>
      </c>
      <c r="D29" s="72"/>
      <c r="E29" s="72"/>
      <c r="F29" s="72"/>
      <c r="G29" s="72"/>
      <c r="H29" s="72"/>
      <c r="I29" s="72"/>
      <c r="J29" s="72"/>
      <c r="K29" s="73"/>
      <c r="L29" s="46"/>
      <c r="M29" s="46"/>
      <c r="N29" s="46"/>
      <c r="O29" s="45"/>
      <c r="P29" s="46"/>
      <c r="Q29" s="45"/>
      <c r="R29" s="46"/>
      <c r="S29" s="21"/>
      <c r="T29" s="559">
        <f t="shared" si="2"/>
        <v>0</v>
      </c>
    </row>
    <row r="30" spans="1:23" hidden="1" x14ac:dyDescent="0.2">
      <c r="A30" s="741"/>
      <c r="B30" s="766"/>
      <c r="C30" s="74" t="s">
        <v>41</v>
      </c>
      <c r="D30" s="74"/>
      <c r="E30" s="74"/>
      <c r="F30" s="74"/>
      <c r="G30" s="74"/>
      <c r="H30" s="74"/>
      <c r="I30" s="74"/>
      <c r="J30" s="74"/>
      <c r="K30" s="60"/>
      <c r="L30" s="26"/>
      <c r="M30" s="26"/>
      <c r="N30" s="26"/>
      <c r="O30" s="25"/>
      <c r="P30" s="26"/>
      <c r="Q30" s="25"/>
      <c r="R30" s="26"/>
      <c r="S30" s="27"/>
      <c r="T30" s="560">
        <f t="shared" si="2"/>
        <v>0</v>
      </c>
    </row>
    <row r="31" spans="1:23" ht="13.5" thickBot="1" x14ac:dyDescent="0.25">
      <c r="A31" s="741"/>
      <c r="B31" s="767"/>
      <c r="C31" s="75" t="s">
        <v>42</v>
      </c>
      <c r="D31" s="75"/>
      <c r="E31" s="75"/>
      <c r="F31" s="75"/>
      <c r="G31" s="75"/>
      <c r="H31" s="75"/>
      <c r="I31" s="75">
        <v>29084</v>
      </c>
      <c r="J31" s="75">
        <v>47000</v>
      </c>
      <c r="K31" s="76">
        <v>58181</v>
      </c>
      <c r="L31" s="49">
        <v>20000</v>
      </c>
      <c r="M31" s="49">
        <v>15000</v>
      </c>
      <c r="N31" s="49">
        <v>24000</v>
      </c>
      <c r="O31" s="48">
        <v>11000</v>
      </c>
      <c r="P31" s="49">
        <v>12500</v>
      </c>
      <c r="Q31" s="48">
        <v>14371.43</v>
      </c>
      <c r="R31" s="49">
        <v>15000</v>
      </c>
      <c r="S31" s="627">
        <v>13122.45</v>
      </c>
      <c r="T31" s="562">
        <f t="shared" si="2"/>
        <v>87.48</v>
      </c>
    </row>
    <row r="32" spans="1:23" ht="13.5" thickBot="1" x14ac:dyDescent="0.25">
      <c r="A32" s="741"/>
      <c r="B32" s="77">
        <v>212</v>
      </c>
      <c r="C32" s="78" t="s">
        <v>43</v>
      </c>
      <c r="D32" s="79">
        <f>SUM(D33:D39)</f>
        <v>779991</v>
      </c>
      <c r="E32" s="79">
        <f>SUM(E33:E39)</f>
        <v>770729</v>
      </c>
      <c r="F32" s="79">
        <f>SUM(F33:F39)</f>
        <v>1008166</v>
      </c>
      <c r="G32" s="79">
        <f>SUM(G33:G39)</f>
        <v>771758</v>
      </c>
      <c r="H32" s="79">
        <v>532342</v>
      </c>
      <c r="I32" s="79">
        <f t="shared" ref="I32:S32" si="11">SUM(I33:I39)</f>
        <v>712280</v>
      </c>
      <c r="J32" s="79">
        <f t="shared" si="11"/>
        <v>513834</v>
      </c>
      <c r="K32" s="80">
        <f t="shared" si="11"/>
        <v>591823</v>
      </c>
      <c r="L32" s="80">
        <f t="shared" si="11"/>
        <v>359467.55</v>
      </c>
      <c r="M32" s="81">
        <f t="shared" si="11"/>
        <v>403308.61</v>
      </c>
      <c r="N32" s="80">
        <f t="shared" si="11"/>
        <v>437210.13</v>
      </c>
      <c r="O32" s="81">
        <f t="shared" si="11"/>
        <v>431510.63</v>
      </c>
      <c r="P32" s="80">
        <f>SUM(P33:P39)</f>
        <v>494929.88</v>
      </c>
      <c r="Q32" s="81">
        <f t="shared" si="11"/>
        <v>515036.17</v>
      </c>
      <c r="R32" s="82">
        <f t="shared" si="11"/>
        <v>505935</v>
      </c>
      <c r="S32" s="87">
        <f t="shared" si="11"/>
        <v>454691.20999999996</v>
      </c>
      <c r="T32" s="638">
        <f t="shared" si="2"/>
        <v>89.87</v>
      </c>
    </row>
    <row r="33" spans="1:22" x14ac:dyDescent="0.2">
      <c r="A33" s="741"/>
      <c r="B33" s="769"/>
      <c r="C33" s="71" t="s">
        <v>44</v>
      </c>
      <c r="D33" s="71">
        <v>751610</v>
      </c>
      <c r="E33" s="71">
        <v>750249</v>
      </c>
      <c r="F33" s="71">
        <v>649539</v>
      </c>
      <c r="G33" s="71">
        <v>427233</v>
      </c>
      <c r="H33" s="71">
        <v>348791</v>
      </c>
      <c r="I33" s="71">
        <v>510884</v>
      </c>
      <c r="J33" s="71">
        <v>324320</v>
      </c>
      <c r="K33" s="46">
        <v>401050</v>
      </c>
      <c r="L33" s="46">
        <v>135673.06</v>
      </c>
      <c r="M33" s="45">
        <v>134183.87</v>
      </c>
      <c r="N33" s="46">
        <v>87968.33</v>
      </c>
      <c r="O33" s="45">
        <v>71077.13</v>
      </c>
      <c r="P33" s="45">
        <v>118150.37</v>
      </c>
      <c r="Q33" s="45">
        <v>136782.65</v>
      </c>
      <c r="R33" s="46">
        <v>110000</v>
      </c>
      <c r="S33" s="45">
        <f>76522.04+638.85+18322.63+1974</f>
        <v>97457.52</v>
      </c>
      <c r="T33" s="573">
        <f t="shared" si="2"/>
        <v>88.6</v>
      </c>
    </row>
    <row r="34" spans="1:22" x14ac:dyDescent="0.2">
      <c r="A34" s="741"/>
      <c r="B34" s="770"/>
      <c r="C34" s="74" t="s">
        <v>45</v>
      </c>
      <c r="D34" s="74">
        <v>6108</v>
      </c>
      <c r="E34" s="74">
        <v>5709</v>
      </c>
      <c r="F34" s="74">
        <v>5809</v>
      </c>
      <c r="G34" s="74">
        <v>7235</v>
      </c>
      <c r="H34" s="74">
        <v>7034</v>
      </c>
      <c r="I34" s="74">
        <v>6012</v>
      </c>
      <c r="J34" s="74">
        <v>5150</v>
      </c>
      <c r="K34" s="26">
        <v>5043</v>
      </c>
      <c r="L34" s="26">
        <v>6242.35</v>
      </c>
      <c r="M34" s="25">
        <v>8075.84</v>
      </c>
      <c r="N34" s="26">
        <v>8856.86</v>
      </c>
      <c r="O34" s="25">
        <v>10889.6</v>
      </c>
      <c r="P34" s="25">
        <v>15581.52</v>
      </c>
      <c r="Q34" s="25">
        <v>12642.68</v>
      </c>
      <c r="R34" s="26">
        <v>11000</v>
      </c>
      <c r="S34" s="25">
        <v>14524.55</v>
      </c>
      <c r="T34" s="572">
        <f t="shared" si="2"/>
        <v>132.04</v>
      </c>
    </row>
    <row r="35" spans="1:22" x14ac:dyDescent="0.2">
      <c r="A35" s="741"/>
      <c r="B35" s="770"/>
      <c r="C35" s="83" t="s">
        <v>46</v>
      </c>
      <c r="D35" s="83"/>
      <c r="E35" s="83"/>
      <c r="F35" s="83"/>
      <c r="G35" s="83"/>
      <c r="H35" s="83"/>
      <c r="I35" s="83"/>
      <c r="J35" s="83"/>
      <c r="K35" s="49">
        <v>0</v>
      </c>
      <c r="L35" s="49">
        <v>41494.18</v>
      </c>
      <c r="M35" s="48">
        <v>46671.58</v>
      </c>
      <c r="N35" s="49">
        <v>82406.399999999994</v>
      </c>
      <c r="O35" s="48">
        <v>98976.09</v>
      </c>
      <c r="P35" s="48">
        <v>127041.24</v>
      </c>
      <c r="Q35" s="48">
        <v>128092.23</v>
      </c>
      <c r="R35" s="49">
        <v>127000</v>
      </c>
      <c r="S35" s="48">
        <v>119686.05</v>
      </c>
      <c r="T35" s="639">
        <f t="shared" si="2"/>
        <v>94.24</v>
      </c>
    </row>
    <row r="36" spans="1:22" x14ac:dyDescent="0.2">
      <c r="A36" s="741"/>
      <c r="B36" s="770"/>
      <c r="C36" s="83" t="s">
        <v>47</v>
      </c>
      <c r="D36" s="83"/>
      <c r="E36" s="83"/>
      <c r="F36" s="83"/>
      <c r="G36" s="83"/>
      <c r="H36" s="83"/>
      <c r="I36" s="83"/>
      <c r="J36" s="83"/>
      <c r="K36" s="49"/>
      <c r="L36" s="49"/>
      <c r="M36" s="48"/>
      <c r="N36" s="49">
        <v>19383.830000000002</v>
      </c>
      <c r="O36" s="48">
        <v>32459.84</v>
      </c>
      <c r="P36" s="48">
        <v>37761.699999999997</v>
      </c>
      <c r="Q36" s="48">
        <v>19905.54</v>
      </c>
      <c r="R36" s="49">
        <v>45977</v>
      </c>
      <c r="S36" s="48">
        <v>32052.66</v>
      </c>
      <c r="T36" s="639">
        <f t="shared" si="2"/>
        <v>69.709999999999994</v>
      </c>
      <c r="V36" s="625"/>
    </row>
    <row r="37" spans="1:22" hidden="1" x14ac:dyDescent="0.2">
      <c r="A37" s="741"/>
      <c r="B37" s="770"/>
      <c r="C37" s="83"/>
      <c r="D37" s="83"/>
      <c r="E37" s="83"/>
      <c r="F37" s="83"/>
      <c r="G37" s="83"/>
      <c r="H37" s="83"/>
      <c r="I37" s="83"/>
      <c r="J37" s="83"/>
      <c r="K37" s="49"/>
      <c r="L37" s="49"/>
      <c r="M37" s="48"/>
      <c r="N37" s="49">
        <v>10094.75</v>
      </c>
      <c r="O37" s="48">
        <v>3927.1</v>
      </c>
      <c r="P37" s="48"/>
      <c r="Q37" s="48">
        <v>1302</v>
      </c>
      <c r="R37" s="49"/>
      <c r="S37" s="48"/>
      <c r="T37" s="639">
        <f t="shared" si="2"/>
        <v>0</v>
      </c>
    </row>
    <row r="38" spans="1:22" x14ac:dyDescent="0.2">
      <c r="A38" s="741"/>
      <c r="B38" s="770"/>
      <c r="C38" s="83" t="s">
        <v>48</v>
      </c>
      <c r="D38" s="83"/>
      <c r="E38" s="83">
        <v>0</v>
      </c>
      <c r="F38" s="83">
        <v>339806</v>
      </c>
      <c r="G38" s="83">
        <v>322656</v>
      </c>
      <c r="H38" s="83">
        <v>92953</v>
      </c>
      <c r="I38" s="83">
        <v>100909</v>
      </c>
      <c r="J38" s="83">
        <v>83511</v>
      </c>
      <c r="K38" s="49">
        <f>77287+178+128</f>
        <v>77593</v>
      </c>
      <c r="L38" s="49">
        <v>80654.7</v>
      </c>
      <c r="M38" s="48">
        <v>77194.39</v>
      </c>
      <c r="N38" s="49">
        <v>75486.59</v>
      </c>
      <c r="O38" s="48">
        <v>75089.34</v>
      </c>
      <c r="P38" s="48">
        <v>58412.39</v>
      </c>
      <c r="Q38" s="48">
        <v>63233.32</v>
      </c>
      <c r="R38" s="49">
        <v>76958</v>
      </c>
      <c r="S38" s="48">
        <f>51267.54+14.35+20.65</f>
        <v>51302.54</v>
      </c>
      <c r="T38" s="639">
        <f t="shared" si="2"/>
        <v>66.66</v>
      </c>
      <c r="V38" s="625"/>
    </row>
    <row r="39" spans="1:22" ht="13.5" thickBot="1" x14ac:dyDescent="0.25">
      <c r="A39" s="768"/>
      <c r="B39" s="771"/>
      <c r="C39" s="75" t="s">
        <v>49</v>
      </c>
      <c r="D39" s="75">
        <v>22273</v>
      </c>
      <c r="E39" s="75">
        <v>14771</v>
      </c>
      <c r="F39" s="75">
        <v>13012</v>
      </c>
      <c r="G39" s="75">
        <v>14634</v>
      </c>
      <c r="H39" s="75">
        <v>83564</v>
      </c>
      <c r="I39" s="75">
        <v>94475</v>
      </c>
      <c r="J39" s="75">
        <v>100853</v>
      </c>
      <c r="K39" s="49">
        <v>108137</v>
      </c>
      <c r="L39" s="49">
        <v>95403.26</v>
      </c>
      <c r="M39" s="48">
        <v>137182.93</v>
      </c>
      <c r="N39" s="49">
        <v>153013.37000000002</v>
      </c>
      <c r="O39" s="48">
        <v>139091.53</v>
      </c>
      <c r="P39" s="48">
        <v>137982.66</v>
      </c>
      <c r="Q39" s="48">
        <v>153077.75</v>
      </c>
      <c r="R39" s="49">
        <v>135000</v>
      </c>
      <c r="S39" s="48">
        <v>139667.89000000001</v>
      </c>
      <c r="T39" s="639">
        <f t="shared" si="2"/>
        <v>103.46</v>
      </c>
    </row>
    <row r="40" spans="1:22" ht="15.75" thickBot="1" x14ac:dyDescent="0.3">
      <c r="A40" s="33">
        <v>220</v>
      </c>
      <c r="B40" s="746" t="s">
        <v>50</v>
      </c>
      <c r="C40" s="777"/>
      <c r="D40" s="84">
        <f t="shared" ref="D40:R40" si="12">D41+D45+D58</f>
        <v>320786</v>
      </c>
      <c r="E40" s="84">
        <f t="shared" si="12"/>
        <v>327192</v>
      </c>
      <c r="F40" s="84">
        <f t="shared" si="12"/>
        <v>429297</v>
      </c>
      <c r="G40" s="84">
        <f t="shared" si="12"/>
        <v>326610</v>
      </c>
      <c r="H40" s="84">
        <f t="shared" si="12"/>
        <v>550895</v>
      </c>
      <c r="I40" s="84">
        <f t="shared" si="12"/>
        <v>581281</v>
      </c>
      <c r="J40" s="84">
        <f t="shared" si="12"/>
        <v>471458</v>
      </c>
      <c r="K40" s="84">
        <f t="shared" si="12"/>
        <v>514547</v>
      </c>
      <c r="L40" s="84">
        <f t="shared" si="12"/>
        <v>595361.41999999993</v>
      </c>
      <c r="M40" s="85">
        <f t="shared" si="12"/>
        <v>603358.30999999994</v>
      </c>
      <c r="N40" s="86">
        <f t="shared" si="12"/>
        <v>575655.29</v>
      </c>
      <c r="O40" s="86">
        <f t="shared" si="12"/>
        <v>565224.04999999993</v>
      </c>
      <c r="P40" s="86">
        <f>P41+P45+P58</f>
        <v>868065.2699999999</v>
      </c>
      <c r="Q40" s="119">
        <f>Q41+Q45+Q58</f>
        <v>885296.95000000007</v>
      </c>
      <c r="R40" s="86">
        <f t="shared" si="12"/>
        <v>691018</v>
      </c>
      <c r="S40" s="119">
        <f>S41+S45+S58</f>
        <v>680941.51</v>
      </c>
      <c r="T40" s="640">
        <f t="shared" si="2"/>
        <v>98.54</v>
      </c>
    </row>
    <row r="41" spans="1:22" ht="13.5" thickBot="1" x14ac:dyDescent="0.25">
      <c r="A41" s="740"/>
      <c r="B41" s="77">
        <v>221</v>
      </c>
      <c r="C41" s="78" t="s">
        <v>51</v>
      </c>
      <c r="D41" s="80">
        <f t="shared" ref="D41:R41" si="13">SUM(D42:D44)</f>
        <v>108312</v>
      </c>
      <c r="E41" s="80">
        <f t="shared" si="13"/>
        <v>99747</v>
      </c>
      <c r="F41" s="80">
        <f t="shared" si="13"/>
        <v>156211</v>
      </c>
      <c r="G41" s="80">
        <f t="shared" si="13"/>
        <v>110441</v>
      </c>
      <c r="H41" s="80">
        <f t="shared" si="13"/>
        <v>116883</v>
      </c>
      <c r="I41" s="80">
        <f t="shared" si="13"/>
        <v>93914</v>
      </c>
      <c r="J41" s="80">
        <f t="shared" si="13"/>
        <v>69092</v>
      </c>
      <c r="K41" s="80">
        <f t="shared" si="13"/>
        <v>77127</v>
      </c>
      <c r="L41" s="80">
        <f>SUM(L42:L44)</f>
        <v>85540.68</v>
      </c>
      <c r="M41" s="81">
        <f t="shared" si="13"/>
        <v>81456.3</v>
      </c>
      <c r="N41" s="82">
        <f>SUM(N42:N44)</f>
        <v>65885.95</v>
      </c>
      <c r="O41" s="87">
        <f>SUM(O42:O44)</f>
        <v>60850.59</v>
      </c>
      <c r="P41" s="82">
        <f>SUM(P42:P44)</f>
        <v>136156.94</v>
      </c>
      <c r="Q41" s="87">
        <f>SUM(Q42:Q44)</f>
        <v>137781.35</v>
      </c>
      <c r="R41" s="82">
        <f t="shared" si="13"/>
        <v>85000</v>
      </c>
      <c r="S41" s="87">
        <f>SUM(S42:S44)</f>
        <v>109704.02</v>
      </c>
      <c r="T41" s="638">
        <f t="shared" si="2"/>
        <v>129.06</v>
      </c>
    </row>
    <row r="42" spans="1:22" x14ac:dyDescent="0.2">
      <c r="A42" s="778"/>
      <c r="B42" s="769"/>
      <c r="C42" s="91" t="s">
        <v>52</v>
      </c>
      <c r="D42" s="72">
        <v>103532</v>
      </c>
      <c r="E42" s="72">
        <v>91482</v>
      </c>
      <c r="F42" s="72">
        <v>143896</v>
      </c>
      <c r="G42" s="72">
        <v>103964</v>
      </c>
      <c r="H42" s="72">
        <v>97289</v>
      </c>
      <c r="I42" s="72">
        <v>69567</v>
      </c>
      <c r="J42" s="72">
        <v>48641</v>
      </c>
      <c r="K42" s="46">
        <v>58713</v>
      </c>
      <c r="L42" s="46">
        <v>65956.11</v>
      </c>
      <c r="M42" s="45">
        <v>53025.13</v>
      </c>
      <c r="N42" s="46">
        <v>35320.42</v>
      </c>
      <c r="O42" s="45">
        <v>33711.949999999997</v>
      </c>
      <c r="P42" s="45">
        <v>102428.79</v>
      </c>
      <c r="Q42" s="45">
        <v>113739.53</v>
      </c>
      <c r="R42" s="46">
        <v>70000</v>
      </c>
      <c r="S42" s="45">
        <f>84588.08-728.49</f>
        <v>83859.59</v>
      </c>
      <c r="T42" s="573">
        <f t="shared" si="2"/>
        <v>119.8</v>
      </c>
    </row>
    <row r="43" spans="1:22" x14ac:dyDescent="0.2">
      <c r="A43" s="778"/>
      <c r="B43" s="770"/>
      <c r="C43" s="74" t="s">
        <v>53</v>
      </c>
      <c r="D43" s="74"/>
      <c r="E43" s="74"/>
      <c r="F43" s="74"/>
      <c r="G43" s="74"/>
      <c r="H43" s="74"/>
      <c r="I43" s="74"/>
      <c r="J43" s="74"/>
      <c r="K43" s="26"/>
      <c r="L43" s="26">
        <v>768.56</v>
      </c>
      <c r="M43" s="25">
        <v>1339.48</v>
      </c>
      <c r="N43" s="26">
        <v>1870.76</v>
      </c>
      <c r="O43" s="25"/>
      <c r="P43" s="25">
        <v>1404.5</v>
      </c>
      <c r="Q43" s="25"/>
      <c r="R43" s="26"/>
      <c r="S43" s="25">
        <v>728.49</v>
      </c>
      <c r="T43" s="572">
        <f t="shared" si="2"/>
        <v>0</v>
      </c>
    </row>
    <row r="44" spans="1:22" ht="13.5" thickBot="1" x14ac:dyDescent="0.25">
      <c r="A44" s="778"/>
      <c r="B44" s="771"/>
      <c r="C44" s="95" t="s">
        <v>54</v>
      </c>
      <c r="D44" s="95">
        <v>4780</v>
      </c>
      <c r="E44" s="95">
        <v>8265</v>
      </c>
      <c r="F44" s="95">
        <v>12315</v>
      </c>
      <c r="G44" s="95">
        <v>6477</v>
      </c>
      <c r="H44" s="95">
        <v>19594</v>
      </c>
      <c r="I44" s="95">
        <v>24347</v>
      </c>
      <c r="J44" s="95">
        <v>20451</v>
      </c>
      <c r="K44" s="46">
        <v>18414</v>
      </c>
      <c r="L44" s="46">
        <v>18816.009999999998</v>
      </c>
      <c r="M44" s="89">
        <v>27091.69</v>
      </c>
      <c r="N44" s="90">
        <v>28694.77</v>
      </c>
      <c r="O44" s="89">
        <v>27138.639999999999</v>
      </c>
      <c r="P44" s="89">
        <v>32323.65</v>
      </c>
      <c r="Q44" s="89">
        <v>24041.82</v>
      </c>
      <c r="R44" s="90">
        <v>15000</v>
      </c>
      <c r="S44" s="89">
        <v>25115.94</v>
      </c>
      <c r="T44" s="641">
        <f t="shared" si="2"/>
        <v>167.44</v>
      </c>
    </row>
    <row r="45" spans="1:22" ht="13.5" thickBot="1" x14ac:dyDescent="0.25">
      <c r="A45" s="778"/>
      <c r="B45" s="77">
        <v>223</v>
      </c>
      <c r="C45" s="77" t="s">
        <v>55</v>
      </c>
      <c r="D45" s="77">
        <v>209420</v>
      </c>
      <c r="E45" s="77">
        <v>224723</v>
      </c>
      <c r="F45" s="77">
        <v>270165</v>
      </c>
      <c r="G45" s="77">
        <v>213694</v>
      </c>
      <c r="H45" s="77">
        <v>431444</v>
      </c>
      <c r="I45" s="80">
        <f t="shared" ref="I45:Q45" si="14">SUM(I46:I57)</f>
        <v>484992</v>
      </c>
      <c r="J45" s="80">
        <f t="shared" si="14"/>
        <v>400298</v>
      </c>
      <c r="K45" s="80">
        <f t="shared" si="14"/>
        <v>434944</v>
      </c>
      <c r="L45" s="80">
        <f t="shared" si="14"/>
        <v>507780.69999999995</v>
      </c>
      <c r="M45" s="81">
        <f t="shared" si="14"/>
        <v>519757.41999999993</v>
      </c>
      <c r="N45" s="82">
        <f t="shared" si="14"/>
        <v>507767.17</v>
      </c>
      <c r="O45" s="87">
        <f t="shared" si="14"/>
        <v>502305.62</v>
      </c>
      <c r="P45" s="82">
        <f t="shared" si="14"/>
        <v>730285.49</v>
      </c>
      <c r="Q45" s="87">
        <f t="shared" si="14"/>
        <v>745927.60000000009</v>
      </c>
      <c r="R45" s="82">
        <f>SUM(R46:R57)</f>
        <v>606018</v>
      </c>
      <c r="S45" s="87">
        <f>SUM(S46:S57)</f>
        <v>569937.49</v>
      </c>
      <c r="T45" s="638">
        <f t="shared" si="2"/>
        <v>94.05</v>
      </c>
    </row>
    <row r="46" spans="1:22" x14ac:dyDescent="0.2">
      <c r="A46" s="778"/>
      <c r="B46" s="769"/>
      <c r="C46" s="71" t="s">
        <v>56</v>
      </c>
      <c r="D46" s="71"/>
      <c r="E46" s="71"/>
      <c r="F46" s="71"/>
      <c r="G46" s="71"/>
      <c r="H46" s="71"/>
      <c r="I46" s="71">
        <v>19602</v>
      </c>
      <c r="J46" s="71">
        <v>19573</v>
      </c>
      <c r="K46" s="20">
        <v>20641</v>
      </c>
      <c r="L46" s="20">
        <v>20552.5</v>
      </c>
      <c r="M46" s="19">
        <v>20532.330000000002</v>
      </c>
      <c r="N46" s="20">
        <v>37975.43</v>
      </c>
      <c r="O46" s="19">
        <v>42651.54</v>
      </c>
      <c r="P46" s="19">
        <v>57271.199999999997</v>
      </c>
      <c r="Q46" s="19">
        <v>57023.05</v>
      </c>
      <c r="R46" s="20">
        <v>55000</v>
      </c>
      <c r="S46" s="19">
        <f>60354.27</f>
        <v>60354.27</v>
      </c>
      <c r="T46" s="642">
        <f t="shared" si="2"/>
        <v>109.74</v>
      </c>
    </row>
    <row r="47" spans="1:22" x14ac:dyDescent="0.2">
      <c r="A47" s="778"/>
      <c r="B47" s="770"/>
      <c r="C47" s="72" t="s">
        <v>57</v>
      </c>
      <c r="D47" s="72"/>
      <c r="E47" s="72"/>
      <c r="F47" s="72"/>
      <c r="G47" s="72"/>
      <c r="H47" s="72"/>
      <c r="I47" s="72">
        <v>20170</v>
      </c>
      <c r="J47" s="72">
        <v>3900</v>
      </c>
      <c r="K47" s="26">
        <v>8400</v>
      </c>
      <c r="L47" s="26">
        <v>4100</v>
      </c>
      <c r="M47" s="45">
        <v>15650</v>
      </c>
      <c r="N47" s="46">
        <v>19753</v>
      </c>
      <c r="O47" s="45">
        <v>8510</v>
      </c>
      <c r="P47" s="45">
        <v>8950</v>
      </c>
      <c r="Q47" s="45">
        <v>8118.5</v>
      </c>
      <c r="R47" s="46"/>
      <c r="S47" s="45"/>
      <c r="T47" s="573">
        <f t="shared" si="2"/>
        <v>0</v>
      </c>
    </row>
    <row r="48" spans="1:22" x14ac:dyDescent="0.2">
      <c r="A48" s="778"/>
      <c r="B48" s="770"/>
      <c r="C48" s="72" t="s">
        <v>58</v>
      </c>
      <c r="D48" s="72"/>
      <c r="E48" s="72"/>
      <c r="F48" s="72"/>
      <c r="G48" s="72"/>
      <c r="H48" s="72"/>
      <c r="I48" s="91">
        <v>1309</v>
      </c>
      <c r="J48" s="92"/>
      <c r="K48" s="26"/>
      <c r="L48" s="26"/>
      <c r="M48" s="45"/>
      <c r="N48" s="46"/>
      <c r="O48" s="45"/>
      <c r="P48" s="45"/>
      <c r="Q48" s="45"/>
      <c r="R48" s="46"/>
      <c r="S48" s="45"/>
      <c r="T48" s="573">
        <f t="shared" si="2"/>
        <v>0</v>
      </c>
    </row>
    <row r="49" spans="1:27" x14ac:dyDescent="0.2">
      <c r="A49" s="778"/>
      <c r="B49" s="770"/>
      <c r="C49" s="74" t="s">
        <v>59</v>
      </c>
      <c r="D49" s="74"/>
      <c r="E49" s="74"/>
      <c r="F49" s="74"/>
      <c r="G49" s="74"/>
      <c r="H49" s="74"/>
      <c r="I49" s="60">
        <v>23291</v>
      </c>
      <c r="J49" s="60">
        <v>27058</v>
      </c>
      <c r="K49" s="26">
        <f>18432+1749</f>
        <v>20181</v>
      </c>
      <c r="L49" s="26">
        <v>31759</v>
      </c>
      <c r="M49" s="25">
        <v>31403.35</v>
      </c>
      <c r="N49" s="26">
        <v>35343</v>
      </c>
      <c r="O49" s="25">
        <v>34322.050000000003</v>
      </c>
      <c r="P49" s="25">
        <v>45533.120000000003</v>
      </c>
      <c r="Q49" s="25">
        <v>43614.7</v>
      </c>
      <c r="R49" s="26">
        <v>34200</v>
      </c>
      <c r="S49" s="25">
        <f>8494+36488.3</f>
        <v>44982.3</v>
      </c>
      <c r="T49" s="572">
        <f t="shared" si="2"/>
        <v>131.53</v>
      </c>
    </row>
    <row r="50" spans="1:27" x14ac:dyDescent="0.2">
      <c r="A50" s="778"/>
      <c r="B50" s="770"/>
      <c r="C50" s="74" t="s">
        <v>60</v>
      </c>
      <c r="D50" s="74"/>
      <c r="E50" s="74"/>
      <c r="F50" s="74"/>
      <c r="G50" s="74"/>
      <c r="H50" s="74"/>
      <c r="I50" s="60"/>
      <c r="J50" s="60"/>
      <c r="K50" s="26"/>
      <c r="L50" s="26"/>
      <c r="M50" s="25"/>
      <c r="N50" s="26"/>
      <c r="O50" s="25"/>
      <c r="P50" s="25">
        <v>34986.25</v>
      </c>
      <c r="Q50" s="25">
        <v>40439.35</v>
      </c>
      <c r="R50" s="26">
        <v>32000</v>
      </c>
      <c r="S50" s="25">
        <f>10+44724.7</f>
        <v>44734.7</v>
      </c>
      <c r="T50" s="572">
        <f t="shared" si="2"/>
        <v>139.80000000000001</v>
      </c>
    </row>
    <row r="51" spans="1:27" x14ac:dyDescent="0.2">
      <c r="A51" s="778"/>
      <c r="B51" s="770"/>
      <c r="C51" s="74" t="s">
        <v>61</v>
      </c>
      <c r="D51" s="74"/>
      <c r="E51" s="74"/>
      <c r="F51" s="74"/>
      <c r="G51" s="74"/>
      <c r="H51" s="74"/>
      <c r="I51" s="60"/>
      <c r="J51" s="60"/>
      <c r="K51" s="26"/>
      <c r="L51" s="26"/>
      <c r="M51" s="25"/>
      <c r="N51" s="26"/>
      <c r="O51" s="25">
        <v>2410.4</v>
      </c>
      <c r="P51" s="25">
        <v>202930</v>
      </c>
      <c r="Q51" s="25"/>
      <c r="R51" s="26">
        <v>126911</v>
      </c>
      <c r="S51" s="25">
        <v>72958.350000000006</v>
      </c>
      <c r="T51" s="572">
        <f t="shared" si="2"/>
        <v>57.49</v>
      </c>
      <c r="W51" s="557"/>
      <c r="AA51" s="557"/>
    </row>
    <row r="52" spans="1:27" hidden="1" x14ac:dyDescent="0.2">
      <c r="A52" s="778"/>
      <c r="B52" s="770"/>
      <c r="C52" s="74" t="s">
        <v>62</v>
      </c>
      <c r="D52" s="74"/>
      <c r="E52" s="74"/>
      <c r="F52" s="74"/>
      <c r="G52" s="74"/>
      <c r="H52" s="74"/>
      <c r="I52" s="60">
        <f>25266+1975-2735</f>
        <v>24506</v>
      </c>
      <c r="J52" s="60">
        <v>29035</v>
      </c>
      <c r="K52" s="26">
        <v>28418</v>
      </c>
      <c r="L52" s="26">
        <v>20267.02</v>
      </c>
      <c r="M52" s="25">
        <v>19677.18</v>
      </c>
      <c r="N52" s="26">
        <v>14953.06</v>
      </c>
      <c r="O52" s="25">
        <v>28154.6</v>
      </c>
      <c r="P52" s="25"/>
      <c r="Q52" s="25"/>
      <c r="R52" s="26"/>
      <c r="S52" s="25"/>
      <c r="T52" s="572">
        <f t="shared" si="2"/>
        <v>0</v>
      </c>
    </row>
    <row r="53" spans="1:27" x14ac:dyDescent="0.2">
      <c r="A53" s="778"/>
      <c r="B53" s="770"/>
      <c r="C53" s="74" t="s">
        <v>63</v>
      </c>
      <c r="D53" s="74"/>
      <c r="E53" s="74"/>
      <c r="F53" s="74"/>
      <c r="G53" s="74"/>
      <c r="H53" s="74"/>
      <c r="I53" s="60">
        <f>19469+134+18</f>
        <v>19621</v>
      </c>
      <c r="J53" s="60">
        <v>15462</v>
      </c>
      <c r="K53" s="26">
        <v>15205</v>
      </c>
      <c r="L53" s="26">
        <v>17827.7</v>
      </c>
      <c r="M53" s="25">
        <v>16873.900000000001</v>
      </c>
      <c r="N53" s="26">
        <v>18524.400000000001</v>
      </c>
      <c r="O53" s="25">
        <v>107327.38</v>
      </c>
      <c r="P53" s="25">
        <v>20421</v>
      </c>
      <c r="Q53" s="25">
        <v>18800</v>
      </c>
      <c r="R53" s="26">
        <v>20000</v>
      </c>
      <c r="S53" s="25">
        <f>8500+10</f>
        <v>8510</v>
      </c>
      <c r="T53" s="572">
        <f t="shared" si="2"/>
        <v>42.55</v>
      </c>
    </row>
    <row r="54" spans="1:27" x14ac:dyDescent="0.2">
      <c r="A54" s="778"/>
      <c r="B54" s="770"/>
      <c r="C54" s="83" t="s">
        <v>64</v>
      </c>
      <c r="D54" s="83"/>
      <c r="E54" s="83"/>
      <c r="F54" s="83"/>
      <c r="G54" s="83"/>
      <c r="H54" s="83"/>
      <c r="I54" s="93">
        <v>136368</v>
      </c>
      <c r="J54" s="60">
        <v>127040</v>
      </c>
      <c r="K54" s="26">
        <f>149434+40</f>
        <v>149474</v>
      </c>
      <c r="L54" s="26">
        <v>154903.56</v>
      </c>
      <c r="M54" s="48">
        <v>163189.57</v>
      </c>
      <c r="N54" s="49">
        <v>121087.25</v>
      </c>
      <c r="O54" s="48">
        <v>49349.66</v>
      </c>
      <c r="P54" s="48">
        <v>100448.22</v>
      </c>
      <c r="Q54" s="48">
        <v>102354.74</v>
      </c>
      <c r="R54" s="49">
        <v>100500</v>
      </c>
      <c r="S54" s="48">
        <v>106757.63</v>
      </c>
      <c r="T54" s="639">
        <f t="shared" si="2"/>
        <v>106.23</v>
      </c>
    </row>
    <row r="55" spans="1:27" x14ac:dyDescent="0.2">
      <c r="A55" s="778"/>
      <c r="B55" s="770"/>
      <c r="C55" s="83" t="s">
        <v>65</v>
      </c>
      <c r="D55" s="83"/>
      <c r="E55" s="83"/>
      <c r="F55" s="83"/>
      <c r="G55" s="83"/>
      <c r="H55" s="83"/>
      <c r="I55" s="93">
        <v>60412</v>
      </c>
      <c r="J55" s="60">
        <v>44729</v>
      </c>
      <c r="K55" s="26">
        <v>51770</v>
      </c>
      <c r="L55" s="26">
        <v>49600.39</v>
      </c>
      <c r="M55" s="48">
        <v>49002.82</v>
      </c>
      <c r="N55" s="49">
        <v>48758.66</v>
      </c>
      <c r="O55" s="48">
        <v>11897.8</v>
      </c>
      <c r="P55" s="48">
        <v>48198.720000000001</v>
      </c>
      <c r="Q55" s="48">
        <v>41209.339999999997</v>
      </c>
      <c r="R55" s="49">
        <v>48000</v>
      </c>
      <c r="S55" s="48">
        <f>37325.43+8689.48</f>
        <v>46014.91</v>
      </c>
      <c r="T55" s="639">
        <f t="shared" si="2"/>
        <v>95.86</v>
      </c>
      <c r="W55" s="557"/>
    </row>
    <row r="56" spans="1:27" x14ac:dyDescent="0.2">
      <c r="A56" s="778"/>
      <c r="B56" s="770"/>
      <c r="C56" s="83" t="s">
        <v>66</v>
      </c>
      <c r="D56" s="83"/>
      <c r="E56" s="83"/>
      <c r="F56" s="83"/>
      <c r="G56" s="83"/>
      <c r="H56" s="83"/>
      <c r="I56" s="93"/>
      <c r="J56" s="60"/>
      <c r="K56" s="26"/>
      <c r="L56" s="26">
        <v>760.76</v>
      </c>
      <c r="M56" s="48"/>
      <c r="N56" s="49">
        <v>3813</v>
      </c>
      <c r="O56" s="48">
        <v>6856.9</v>
      </c>
      <c r="P56" s="48">
        <v>669.90000000000009</v>
      </c>
      <c r="Q56" s="48">
        <v>38311.520000000004</v>
      </c>
      <c r="R56" s="49">
        <v>15000</v>
      </c>
      <c r="S56" s="48">
        <f>12+12+29967.24</f>
        <v>29991.24</v>
      </c>
      <c r="T56" s="639">
        <f t="shared" si="2"/>
        <v>199.94</v>
      </c>
      <c r="X56" s="625"/>
    </row>
    <row r="57" spans="1:27" ht="13.5" thickBot="1" x14ac:dyDescent="0.25">
      <c r="A57" s="778"/>
      <c r="B57" s="771"/>
      <c r="C57" s="75" t="s">
        <v>67</v>
      </c>
      <c r="D57" s="75"/>
      <c r="E57" s="75"/>
      <c r="F57" s="75"/>
      <c r="G57" s="75"/>
      <c r="H57" s="75"/>
      <c r="I57" s="76">
        <f>111+179602</f>
        <v>179713</v>
      </c>
      <c r="J57" s="76">
        <f>91+133410</f>
        <v>133501</v>
      </c>
      <c r="K57" s="32">
        <f>60+137299+3496</f>
        <v>140855</v>
      </c>
      <c r="L57" s="32">
        <v>208009.77</v>
      </c>
      <c r="M57" s="31">
        <v>203428.27</v>
      </c>
      <c r="N57" s="32">
        <v>207559.37</v>
      </c>
      <c r="O57" s="31">
        <v>210825.28999999998</v>
      </c>
      <c r="P57" s="31">
        <f>413807.08-202930</f>
        <v>210877.08000000002</v>
      </c>
      <c r="Q57" s="31">
        <v>396056.39999999997</v>
      </c>
      <c r="R57" s="32">
        <v>174407</v>
      </c>
      <c r="S57" s="31">
        <v>155634.09</v>
      </c>
      <c r="T57" s="643">
        <f t="shared" si="2"/>
        <v>89.24</v>
      </c>
      <c r="W57" s="557"/>
    </row>
    <row r="58" spans="1:27" ht="13.5" thickBot="1" x14ac:dyDescent="0.25">
      <c r="A58" s="778"/>
      <c r="B58" s="77">
        <v>229</v>
      </c>
      <c r="C58" s="77" t="s">
        <v>68</v>
      </c>
      <c r="D58" s="79">
        <f>D59</f>
        <v>3054</v>
      </c>
      <c r="E58" s="79">
        <f>E59</f>
        <v>2722</v>
      </c>
      <c r="F58" s="79">
        <f>F59</f>
        <v>2921</v>
      </c>
      <c r="G58" s="79">
        <f>G59</f>
        <v>2475</v>
      </c>
      <c r="H58" s="79">
        <f>H59</f>
        <v>2568</v>
      </c>
      <c r="I58" s="79">
        <f t="shared" ref="I58:S58" si="15">I59</f>
        <v>2375</v>
      </c>
      <c r="J58" s="79">
        <f t="shared" si="15"/>
        <v>2068</v>
      </c>
      <c r="K58" s="80">
        <f t="shared" si="15"/>
        <v>2476</v>
      </c>
      <c r="L58" s="80">
        <f t="shared" si="15"/>
        <v>2040.04</v>
      </c>
      <c r="M58" s="80">
        <f t="shared" si="15"/>
        <v>2144.59</v>
      </c>
      <c r="N58" s="82">
        <f t="shared" si="15"/>
        <v>2002.17</v>
      </c>
      <c r="O58" s="82">
        <f t="shared" si="15"/>
        <v>2067.84</v>
      </c>
      <c r="P58" s="82">
        <f t="shared" si="15"/>
        <v>1622.84</v>
      </c>
      <c r="Q58" s="87">
        <f t="shared" si="15"/>
        <v>1588</v>
      </c>
      <c r="R58" s="82">
        <f t="shared" si="15"/>
        <v>0</v>
      </c>
      <c r="S58" s="87">
        <f t="shared" si="15"/>
        <v>1300</v>
      </c>
      <c r="T58" s="638">
        <f t="shared" si="2"/>
        <v>0</v>
      </c>
    </row>
    <row r="59" spans="1:27" ht="13.5" thickBot="1" x14ac:dyDescent="0.25">
      <c r="A59" s="779"/>
      <c r="B59" s="94"/>
      <c r="C59" s="94" t="s">
        <v>69</v>
      </c>
      <c r="D59" s="94">
        <v>3054</v>
      </c>
      <c r="E59" s="94">
        <v>2722</v>
      </c>
      <c r="F59" s="94">
        <v>2921</v>
      </c>
      <c r="G59" s="94">
        <v>2475</v>
      </c>
      <c r="H59" s="94">
        <v>2568</v>
      </c>
      <c r="I59" s="94">
        <v>2375</v>
      </c>
      <c r="J59" s="94">
        <v>2068</v>
      </c>
      <c r="K59" s="95">
        <v>2476</v>
      </c>
      <c r="L59" s="95">
        <v>2040.04</v>
      </c>
      <c r="M59" s="96">
        <v>2144.59</v>
      </c>
      <c r="N59" s="97">
        <v>2002.17</v>
      </c>
      <c r="O59" s="96">
        <v>2067.84</v>
      </c>
      <c r="P59" s="97">
        <v>1622.84</v>
      </c>
      <c r="Q59" s="96">
        <v>1588</v>
      </c>
      <c r="R59" s="97"/>
      <c r="S59" s="96">
        <v>1300</v>
      </c>
      <c r="T59" s="644">
        <f t="shared" si="2"/>
        <v>0</v>
      </c>
    </row>
    <row r="60" spans="1:27" ht="15.75" thickBot="1" x14ac:dyDescent="0.3">
      <c r="A60" s="98">
        <v>240</v>
      </c>
      <c r="B60" s="780" t="s">
        <v>70</v>
      </c>
      <c r="C60" s="781"/>
      <c r="D60" s="99">
        <f t="shared" ref="D60:S60" si="16">SUM(D61:D61)</f>
        <v>27352</v>
      </c>
      <c r="E60" s="99">
        <f t="shared" si="16"/>
        <v>10390</v>
      </c>
      <c r="F60" s="99">
        <f t="shared" si="16"/>
        <v>16730</v>
      </c>
      <c r="G60" s="99">
        <f t="shared" si="16"/>
        <v>5867</v>
      </c>
      <c r="H60" s="99">
        <f t="shared" si="16"/>
        <v>6403</v>
      </c>
      <c r="I60" s="99">
        <f t="shared" si="16"/>
        <v>3943</v>
      </c>
      <c r="J60" s="99">
        <f t="shared" si="16"/>
        <v>3352</v>
      </c>
      <c r="K60" s="99">
        <f t="shared" si="16"/>
        <v>1988</v>
      </c>
      <c r="L60" s="100">
        <f t="shared" si="16"/>
        <v>1226.92</v>
      </c>
      <c r="M60" s="99">
        <f t="shared" si="16"/>
        <v>445.87</v>
      </c>
      <c r="N60" s="101">
        <f t="shared" si="16"/>
        <v>2584.38</v>
      </c>
      <c r="O60" s="101">
        <f t="shared" si="16"/>
        <v>1160.94</v>
      </c>
      <c r="P60" s="101">
        <f t="shared" si="16"/>
        <v>1818.95</v>
      </c>
      <c r="Q60" s="485">
        <f t="shared" si="16"/>
        <v>1244.1500000000001</v>
      </c>
      <c r="R60" s="101">
        <f t="shared" si="16"/>
        <v>0</v>
      </c>
      <c r="S60" s="101">
        <f t="shared" si="16"/>
        <v>36.75</v>
      </c>
      <c r="T60" s="561">
        <f t="shared" si="2"/>
        <v>0</v>
      </c>
    </row>
    <row r="61" spans="1:27" ht="15.75" thickBot="1" x14ac:dyDescent="0.3">
      <c r="A61" s="554"/>
      <c r="B61" s="555"/>
      <c r="C61" s="102" t="s">
        <v>71</v>
      </c>
      <c r="D61" s="102">
        <v>27352</v>
      </c>
      <c r="E61" s="102">
        <v>10390</v>
      </c>
      <c r="F61" s="102">
        <v>16730</v>
      </c>
      <c r="G61" s="102">
        <v>5867</v>
      </c>
      <c r="H61" s="102">
        <v>6403</v>
      </c>
      <c r="I61" s="102">
        <v>3943</v>
      </c>
      <c r="J61" s="102">
        <v>3352</v>
      </c>
      <c r="K61" s="103">
        <v>1988</v>
      </c>
      <c r="L61" s="103">
        <v>1226.92</v>
      </c>
      <c r="M61" s="104">
        <v>445.87</v>
      </c>
      <c r="N61" s="105">
        <v>2584.38</v>
      </c>
      <c r="O61" s="104">
        <v>1160.94</v>
      </c>
      <c r="P61" s="105">
        <v>1818.95</v>
      </c>
      <c r="Q61" s="104">
        <v>1244.1500000000001</v>
      </c>
      <c r="R61" s="105"/>
      <c r="S61" s="9">
        <v>36.75</v>
      </c>
      <c r="T61" s="561">
        <f t="shared" si="2"/>
        <v>0</v>
      </c>
    </row>
    <row r="62" spans="1:27" ht="15.75" thickBot="1" x14ac:dyDescent="0.3">
      <c r="A62" s="98">
        <v>290</v>
      </c>
      <c r="B62" s="754" t="s">
        <v>72</v>
      </c>
      <c r="C62" s="755"/>
      <c r="D62" s="106">
        <f>D63</f>
        <v>56396</v>
      </c>
      <c r="E62" s="106">
        <f>E63</f>
        <v>21078</v>
      </c>
      <c r="F62" s="106">
        <f>F63</f>
        <v>316039</v>
      </c>
      <c r="G62" s="106">
        <f>G63</f>
        <v>123165</v>
      </c>
      <c r="H62" s="106">
        <v>59959</v>
      </c>
      <c r="I62" s="106">
        <f t="shared" ref="I62:R62" si="17">I63</f>
        <v>166050</v>
      </c>
      <c r="J62" s="106">
        <f t="shared" si="17"/>
        <v>55155</v>
      </c>
      <c r="K62" s="106">
        <f t="shared" si="17"/>
        <v>92423</v>
      </c>
      <c r="L62" s="106">
        <f t="shared" si="17"/>
        <v>73212.12000000001</v>
      </c>
      <c r="M62" s="107">
        <f t="shared" si="17"/>
        <v>97470.49</v>
      </c>
      <c r="N62" s="108">
        <f t="shared" si="17"/>
        <v>73802.559999999983</v>
      </c>
      <c r="O62" s="109">
        <f t="shared" si="17"/>
        <v>45550.070000000007</v>
      </c>
      <c r="P62" s="108">
        <f t="shared" si="17"/>
        <v>56207.21</v>
      </c>
      <c r="Q62" s="109">
        <f t="shared" si="17"/>
        <v>54011.56</v>
      </c>
      <c r="R62" s="108">
        <f t="shared" si="17"/>
        <v>27000</v>
      </c>
      <c r="S62" s="109">
        <f>S63</f>
        <v>24394.639999999999</v>
      </c>
      <c r="T62" s="645">
        <f t="shared" si="2"/>
        <v>90.35</v>
      </c>
    </row>
    <row r="63" spans="1:27" ht="13.5" thickBot="1" x14ac:dyDescent="0.25">
      <c r="A63" s="740"/>
      <c r="B63" s="78">
        <v>292</v>
      </c>
      <c r="C63" s="78" t="s">
        <v>72</v>
      </c>
      <c r="D63" s="78">
        <v>56396</v>
      </c>
      <c r="E63" s="78">
        <v>21078</v>
      </c>
      <c r="F63" s="78">
        <v>316039</v>
      </c>
      <c r="G63" s="78">
        <v>123165</v>
      </c>
      <c r="H63" s="78">
        <v>59959</v>
      </c>
      <c r="I63" s="80">
        <f t="shared" ref="I63:S63" si="18">SUM(I64:I67)</f>
        <v>166050</v>
      </c>
      <c r="J63" s="80">
        <f t="shared" si="18"/>
        <v>55155</v>
      </c>
      <c r="K63" s="80">
        <f t="shared" si="18"/>
        <v>92423</v>
      </c>
      <c r="L63" s="80">
        <f t="shared" si="18"/>
        <v>73212.12000000001</v>
      </c>
      <c r="M63" s="81">
        <f t="shared" si="18"/>
        <v>97470.49</v>
      </c>
      <c r="N63" s="82">
        <f t="shared" si="18"/>
        <v>73802.559999999983</v>
      </c>
      <c r="O63" s="87">
        <f t="shared" si="18"/>
        <v>45550.070000000007</v>
      </c>
      <c r="P63" s="87">
        <f t="shared" si="18"/>
        <v>56207.21</v>
      </c>
      <c r="Q63" s="87">
        <f t="shared" si="18"/>
        <v>54011.56</v>
      </c>
      <c r="R63" s="82">
        <f t="shared" si="18"/>
        <v>27000</v>
      </c>
      <c r="S63" s="87">
        <f t="shared" si="18"/>
        <v>24394.639999999999</v>
      </c>
      <c r="T63" s="638">
        <f t="shared" si="2"/>
        <v>90.35</v>
      </c>
    </row>
    <row r="64" spans="1:27" x14ac:dyDescent="0.2">
      <c r="A64" s="741"/>
      <c r="B64" s="765"/>
      <c r="C64" s="110" t="s">
        <v>73</v>
      </c>
      <c r="D64" s="110"/>
      <c r="E64" s="110"/>
      <c r="F64" s="110"/>
      <c r="G64" s="110"/>
      <c r="H64" s="110"/>
      <c r="I64" s="17">
        <v>19700</v>
      </c>
      <c r="J64" s="17">
        <v>19300</v>
      </c>
      <c r="K64" s="26">
        <v>29700</v>
      </c>
      <c r="L64" s="26">
        <v>27700</v>
      </c>
      <c r="M64" s="45">
        <v>46500</v>
      </c>
      <c r="N64" s="46">
        <v>35700</v>
      </c>
      <c r="O64" s="45">
        <v>7205</v>
      </c>
      <c r="P64" s="45"/>
      <c r="Q64" s="46"/>
      <c r="R64" s="46">
        <v>0</v>
      </c>
      <c r="S64" s="45">
        <f>R64</f>
        <v>0</v>
      </c>
      <c r="T64" s="573">
        <f t="shared" si="2"/>
        <v>0</v>
      </c>
      <c r="V64" s="625"/>
    </row>
    <row r="65" spans="1:30" x14ac:dyDescent="0.2">
      <c r="A65" s="741"/>
      <c r="B65" s="766"/>
      <c r="C65" s="111" t="s">
        <v>74</v>
      </c>
      <c r="D65" s="111"/>
      <c r="E65" s="111"/>
      <c r="F65" s="111"/>
      <c r="G65" s="111"/>
      <c r="H65" s="111"/>
      <c r="I65" s="112">
        <v>37534</v>
      </c>
      <c r="J65" s="112">
        <v>14000</v>
      </c>
      <c r="K65" s="26">
        <v>2888</v>
      </c>
      <c r="L65" s="26">
        <v>313.32</v>
      </c>
      <c r="M65" s="45">
        <v>6641.91</v>
      </c>
      <c r="N65" s="46">
        <v>434.45</v>
      </c>
      <c r="O65" s="45">
        <v>5635.97</v>
      </c>
      <c r="P65" s="45"/>
      <c r="Q65" s="45">
        <v>3297.08</v>
      </c>
      <c r="R65" s="46">
        <v>0</v>
      </c>
      <c r="S65" s="45">
        <f>R65</f>
        <v>0</v>
      </c>
      <c r="T65" s="573">
        <f t="shared" si="2"/>
        <v>0</v>
      </c>
    </row>
    <row r="66" spans="1:30" x14ac:dyDescent="0.2">
      <c r="A66" s="741"/>
      <c r="B66" s="766"/>
      <c r="C66" s="111" t="s">
        <v>72</v>
      </c>
      <c r="D66" s="111"/>
      <c r="E66" s="111"/>
      <c r="F66" s="111"/>
      <c r="G66" s="111"/>
      <c r="H66" s="111"/>
      <c r="I66" s="112">
        <v>106407</v>
      </c>
      <c r="J66" s="112">
        <v>19147</v>
      </c>
      <c r="K66" s="26">
        <f>16091+34106+2444+185+641+2733+114-32+43+286+668</f>
        <v>57279</v>
      </c>
      <c r="L66" s="26">
        <v>42730.559999999998</v>
      </c>
      <c r="M66" s="45">
        <v>42300.639999999999</v>
      </c>
      <c r="N66" s="46">
        <v>35668.57</v>
      </c>
      <c r="O66" s="45">
        <v>30698.190000000002</v>
      </c>
      <c r="P66" s="45">
        <v>54103.22</v>
      </c>
      <c r="Q66" s="45">
        <v>47647.969999999994</v>
      </c>
      <c r="R66" s="46">
        <v>25000</v>
      </c>
      <c r="S66" s="45">
        <f>36.75+2411.19+7297.8+10675.18+2392.2-36.75</f>
        <v>22776.37</v>
      </c>
      <c r="T66" s="573">
        <f t="shared" si="2"/>
        <v>91.11</v>
      </c>
    </row>
    <row r="67" spans="1:30" ht="13.5" thickBot="1" x14ac:dyDescent="0.25">
      <c r="A67" s="768"/>
      <c r="B67" s="767"/>
      <c r="C67" s="114" t="s">
        <v>75</v>
      </c>
      <c r="D67" s="114"/>
      <c r="E67" s="114"/>
      <c r="F67" s="114"/>
      <c r="G67" s="114"/>
      <c r="H67" s="114"/>
      <c r="I67" s="29">
        <v>2409</v>
      </c>
      <c r="J67" s="29">
        <v>2708</v>
      </c>
      <c r="K67" s="32">
        <v>2556</v>
      </c>
      <c r="L67" s="32">
        <v>2468.2399999999998</v>
      </c>
      <c r="M67" s="237">
        <v>2027.94</v>
      </c>
      <c r="N67" s="30">
        <v>1999.54</v>
      </c>
      <c r="O67" s="237">
        <v>2010.91</v>
      </c>
      <c r="P67" s="237">
        <v>2103.9899999999998</v>
      </c>
      <c r="Q67" s="237">
        <v>3066.51</v>
      </c>
      <c r="R67" s="30">
        <v>2000</v>
      </c>
      <c r="S67" s="237">
        <v>1618.27</v>
      </c>
      <c r="T67" s="646">
        <f t="shared" si="2"/>
        <v>80.91</v>
      </c>
    </row>
    <row r="68" spans="1:30" ht="16.5" thickBot="1" x14ac:dyDescent="0.3">
      <c r="A68" s="63">
        <v>300</v>
      </c>
      <c r="B68" s="782" t="s">
        <v>76</v>
      </c>
      <c r="C68" s="783"/>
      <c r="D68" s="115">
        <f t="shared" ref="D68:S68" si="19">D69+D111</f>
        <v>1842129</v>
      </c>
      <c r="E68" s="115">
        <f t="shared" si="19"/>
        <v>1999701</v>
      </c>
      <c r="F68" s="115">
        <f t="shared" si="19"/>
        <v>2077242</v>
      </c>
      <c r="G68" s="115">
        <f t="shared" si="19"/>
        <v>2645110</v>
      </c>
      <c r="H68" s="115">
        <f t="shared" si="19"/>
        <v>2979865</v>
      </c>
      <c r="I68" s="115">
        <f t="shared" si="19"/>
        <v>2749519</v>
      </c>
      <c r="J68" s="115">
        <f t="shared" si="19"/>
        <v>2901991</v>
      </c>
      <c r="K68" s="115">
        <f t="shared" si="19"/>
        <v>3466649</v>
      </c>
      <c r="L68" s="115">
        <f t="shared" si="19"/>
        <v>3450076.55</v>
      </c>
      <c r="M68" s="116">
        <f t="shared" si="19"/>
        <v>3251492.52</v>
      </c>
      <c r="N68" s="117">
        <f t="shared" si="19"/>
        <v>3212564.5300000007</v>
      </c>
      <c r="O68" s="117">
        <f t="shared" si="19"/>
        <v>3077721.5600000005</v>
      </c>
      <c r="P68" s="118">
        <f t="shared" si="19"/>
        <v>3114875.2399999998</v>
      </c>
      <c r="Q68" s="118">
        <f t="shared" si="19"/>
        <v>3412076.459999999</v>
      </c>
      <c r="R68" s="117">
        <f t="shared" si="19"/>
        <v>4385390</v>
      </c>
      <c r="S68" s="118">
        <f t="shared" si="19"/>
        <v>4385392.74</v>
      </c>
      <c r="T68" s="647">
        <f t="shared" si="2"/>
        <v>100</v>
      </c>
      <c r="V68" s="557"/>
      <c r="X68" s="557"/>
    </row>
    <row r="69" spans="1:30" ht="15.75" thickBot="1" x14ac:dyDescent="0.3">
      <c r="A69" s="33">
        <v>310</v>
      </c>
      <c r="B69" s="746" t="s">
        <v>77</v>
      </c>
      <c r="C69" s="747"/>
      <c r="D69" s="84">
        <f t="shared" ref="D69:R69" si="20">D70+D72</f>
        <v>1842129</v>
      </c>
      <c r="E69" s="84">
        <f t="shared" si="20"/>
        <v>1999701</v>
      </c>
      <c r="F69" s="84">
        <f t="shared" si="20"/>
        <v>2077242</v>
      </c>
      <c r="G69" s="84">
        <f t="shared" si="20"/>
        <v>2645110</v>
      </c>
      <c r="H69" s="84">
        <f t="shared" si="20"/>
        <v>2958818</v>
      </c>
      <c r="I69" s="84">
        <f t="shared" si="20"/>
        <v>2721164</v>
      </c>
      <c r="J69" s="84">
        <f t="shared" si="20"/>
        <v>2862933</v>
      </c>
      <c r="K69" s="84">
        <f t="shared" si="20"/>
        <v>3457133</v>
      </c>
      <c r="L69" s="84">
        <f>L70+L72</f>
        <v>3450076.55</v>
      </c>
      <c r="M69" s="85">
        <f t="shared" si="20"/>
        <v>3251492.52</v>
      </c>
      <c r="N69" s="86">
        <f>N70+N72</f>
        <v>3212564.5300000007</v>
      </c>
      <c r="O69" s="86">
        <f>O70+O72</f>
        <v>3077721.5600000005</v>
      </c>
      <c r="P69" s="119">
        <f>P70+P72</f>
        <v>3114875.2399999998</v>
      </c>
      <c r="Q69" s="119">
        <f>Q70+Q72</f>
        <v>3412076.459999999</v>
      </c>
      <c r="R69" s="86">
        <f t="shared" si="20"/>
        <v>4385390</v>
      </c>
      <c r="S69" s="119">
        <f>S70+S72</f>
        <v>4385392.74</v>
      </c>
      <c r="T69" s="640">
        <f t="shared" si="2"/>
        <v>100</v>
      </c>
    </row>
    <row r="70" spans="1:30" ht="13.5" thickBot="1" x14ac:dyDescent="0.25">
      <c r="A70" s="740"/>
      <c r="B70" s="120">
        <v>311</v>
      </c>
      <c r="C70" s="77" t="s">
        <v>78</v>
      </c>
      <c r="D70" s="121">
        <f t="shared" ref="D70:M70" si="21">SUM(D71:D71)</f>
        <v>0</v>
      </c>
      <c r="E70" s="121">
        <f t="shared" si="21"/>
        <v>23003</v>
      </c>
      <c r="F70" s="121">
        <f t="shared" si="21"/>
        <v>14107</v>
      </c>
      <c r="G70" s="121">
        <f t="shared" si="21"/>
        <v>9307</v>
      </c>
      <c r="H70" s="121">
        <f t="shared" si="21"/>
        <v>19495</v>
      </c>
      <c r="I70" s="121">
        <f t="shared" si="21"/>
        <v>11396</v>
      </c>
      <c r="J70" s="121">
        <f t="shared" si="21"/>
        <v>19287</v>
      </c>
      <c r="K70" s="80">
        <f t="shared" si="21"/>
        <v>18260</v>
      </c>
      <c r="L70" s="80">
        <f t="shared" si="21"/>
        <v>700</v>
      </c>
      <c r="M70" s="81">
        <f t="shared" si="21"/>
        <v>4100</v>
      </c>
      <c r="N70" s="41">
        <f t="shared" ref="N70:S70" si="22">N71</f>
        <v>4000</v>
      </c>
      <c r="O70" s="122">
        <f t="shared" si="22"/>
        <v>3010</v>
      </c>
      <c r="P70" s="122">
        <f t="shared" si="22"/>
        <v>5900</v>
      </c>
      <c r="Q70" s="122">
        <f t="shared" si="22"/>
        <v>1900</v>
      </c>
      <c r="R70" s="41">
        <f t="shared" si="22"/>
        <v>0</v>
      </c>
      <c r="S70" s="122">
        <f t="shared" si="22"/>
        <v>0</v>
      </c>
      <c r="T70" s="634">
        <f t="shared" ref="T70:T114" si="23">IF(R70=0,0,ROUND(S70/R70*100,2))</f>
        <v>0</v>
      </c>
    </row>
    <row r="71" spans="1:30" ht="13.5" thickBot="1" x14ac:dyDescent="0.25">
      <c r="A71" s="741"/>
      <c r="B71" s="552"/>
      <c r="C71" s="57" t="s">
        <v>79</v>
      </c>
      <c r="D71" s="57">
        <v>0</v>
      </c>
      <c r="E71" s="57">
        <v>23003</v>
      </c>
      <c r="F71" s="57">
        <v>14107</v>
      </c>
      <c r="G71" s="57">
        <v>9307</v>
      </c>
      <c r="H71" s="57">
        <v>19495</v>
      </c>
      <c r="I71" s="57">
        <v>11396</v>
      </c>
      <c r="J71" s="57">
        <v>19287</v>
      </c>
      <c r="K71" s="72">
        <v>18260</v>
      </c>
      <c r="L71" s="88">
        <v>700</v>
      </c>
      <c r="M71" s="45">
        <v>4100</v>
      </c>
      <c r="N71" s="46">
        <v>4000</v>
      </c>
      <c r="O71" s="45">
        <v>3010</v>
      </c>
      <c r="P71" s="45">
        <v>5900</v>
      </c>
      <c r="Q71" s="45">
        <v>1900</v>
      </c>
      <c r="R71" s="46"/>
      <c r="S71" s="45"/>
      <c r="T71" s="573">
        <f t="shared" si="23"/>
        <v>0</v>
      </c>
      <c r="U71" s="557"/>
      <c r="V71" s="557"/>
      <c r="W71" s="557"/>
    </row>
    <row r="72" spans="1:30" ht="13.5" thickBot="1" x14ac:dyDescent="0.25">
      <c r="A72" s="741"/>
      <c r="B72" s="37">
        <v>312</v>
      </c>
      <c r="C72" s="37" t="s">
        <v>80</v>
      </c>
      <c r="D72" s="37">
        <v>1842129</v>
      </c>
      <c r="E72" s="37">
        <v>1976698</v>
      </c>
      <c r="F72" s="37">
        <v>2063135</v>
      </c>
      <c r="G72" s="37">
        <v>2635803</v>
      </c>
      <c r="H72" s="37">
        <v>2939323</v>
      </c>
      <c r="I72" s="54">
        <f>SUM(I73:I110)</f>
        <v>2709768</v>
      </c>
      <c r="J72" s="54">
        <f>SUM(J73:J110)</f>
        <v>2843646</v>
      </c>
      <c r="K72" s="54">
        <f>SUM(K73:K110)</f>
        <v>3438873</v>
      </c>
      <c r="L72" s="54">
        <v>3449376.55</v>
      </c>
      <c r="M72" s="55">
        <f t="shared" ref="M72:R72" si="24">SUM(M73:M110)</f>
        <v>3247392.52</v>
      </c>
      <c r="N72" s="56">
        <f t="shared" si="24"/>
        <v>3208564.5300000007</v>
      </c>
      <c r="O72" s="123">
        <f t="shared" si="24"/>
        <v>3074711.5600000005</v>
      </c>
      <c r="P72" s="123">
        <f t="shared" si="24"/>
        <v>3108975.2399999998</v>
      </c>
      <c r="Q72" s="123">
        <f t="shared" si="24"/>
        <v>3410176.459999999</v>
      </c>
      <c r="R72" s="56">
        <f t="shared" si="24"/>
        <v>4385390</v>
      </c>
      <c r="S72" s="123">
        <f>SUM(S73:S110)</f>
        <v>4385392.74</v>
      </c>
      <c r="T72" s="635">
        <f t="shared" si="23"/>
        <v>100</v>
      </c>
      <c r="V72" s="557"/>
      <c r="AA72" s="557"/>
      <c r="AD72" s="557"/>
    </row>
    <row r="73" spans="1:30" x14ac:dyDescent="0.2">
      <c r="A73" s="741"/>
      <c r="B73" s="742"/>
      <c r="C73" s="57" t="s">
        <v>81</v>
      </c>
      <c r="D73" s="57"/>
      <c r="E73" s="57"/>
      <c r="F73" s="57"/>
      <c r="G73" s="57"/>
      <c r="H73" s="57"/>
      <c r="I73" s="57">
        <v>23695</v>
      </c>
      <c r="J73" s="57">
        <v>17245</v>
      </c>
      <c r="K73" s="26">
        <v>10901</v>
      </c>
      <c r="L73" s="46">
        <v>11158.85</v>
      </c>
      <c r="M73" s="124">
        <v>11477.1</v>
      </c>
      <c r="N73" s="20">
        <v>11818.38</v>
      </c>
      <c r="O73" s="19">
        <v>12154.95</v>
      </c>
      <c r="P73" s="19">
        <v>13029.32</v>
      </c>
      <c r="Q73" s="19">
        <v>15209.34</v>
      </c>
      <c r="R73" s="20">
        <v>16906</v>
      </c>
      <c r="S73" s="21">
        <v>16905.95</v>
      </c>
      <c r="T73" s="559">
        <f t="shared" si="23"/>
        <v>100</v>
      </c>
      <c r="Y73" s="557"/>
    </row>
    <row r="74" spans="1:30" x14ac:dyDescent="0.2">
      <c r="A74" s="741"/>
      <c r="B74" s="743"/>
      <c r="C74" s="59" t="s">
        <v>82</v>
      </c>
      <c r="D74" s="59"/>
      <c r="E74" s="59"/>
      <c r="F74" s="59"/>
      <c r="G74" s="59"/>
      <c r="H74" s="59"/>
      <c r="I74" s="59">
        <v>2039732</v>
      </c>
      <c r="J74" s="59">
        <v>2219230</v>
      </c>
      <c r="K74" s="26">
        <v>2305975</v>
      </c>
      <c r="L74" s="26">
        <v>2374727</v>
      </c>
      <c r="M74" s="125">
        <v>2385302.7000000002</v>
      </c>
      <c r="N74" s="26">
        <v>2378880.87</v>
      </c>
      <c r="O74" s="25">
        <v>2380478.2000000002</v>
      </c>
      <c r="P74" s="25">
        <v>2366109.5</v>
      </c>
      <c r="Q74" s="25">
        <v>2545153.69</v>
      </c>
      <c r="R74" s="26">
        <v>2781805</v>
      </c>
      <c r="S74" s="21">
        <v>2781805.12</v>
      </c>
      <c r="T74" s="559">
        <f t="shared" si="23"/>
        <v>100</v>
      </c>
      <c r="Y74" s="557"/>
    </row>
    <row r="75" spans="1:30" x14ac:dyDescent="0.2">
      <c r="A75" s="741"/>
      <c r="B75" s="743"/>
      <c r="C75" s="59" t="s">
        <v>83</v>
      </c>
      <c r="D75" s="59"/>
      <c r="E75" s="59"/>
      <c r="F75" s="59"/>
      <c r="G75" s="59"/>
      <c r="H75" s="59"/>
      <c r="I75" s="59">
        <v>18027</v>
      </c>
      <c r="J75" s="59">
        <v>18084</v>
      </c>
      <c r="K75" s="26">
        <v>17994</v>
      </c>
      <c r="L75" s="26">
        <v>18008.52</v>
      </c>
      <c r="M75" s="125">
        <v>18041.07</v>
      </c>
      <c r="N75" s="26">
        <v>17962.95</v>
      </c>
      <c r="O75" s="25">
        <v>17965.740000000002</v>
      </c>
      <c r="P75" s="25">
        <v>21444.09</v>
      </c>
      <c r="Q75" s="25">
        <v>25241.06</v>
      </c>
      <c r="R75" s="26">
        <v>28159</v>
      </c>
      <c r="S75" s="21">
        <v>28158.54</v>
      </c>
      <c r="T75" s="559">
        <f t="shared" si="23"/>
        <v>100</v>
      </c>
      <c r="Y75" s="557"/>
    </row>
    <row r="76" spans="1:30" x14ac:dyDescent="0.2">
      <c r="A76" s="741"/>
      <c r="B76" s="743"/>
      <c r="C76" s="59" t="s">
        <v>84</v>
      </c>
      <c r="D76" s="59"/>
      <c r="E76" s="59"/>
      <c r="F76" s="59"/>
      <c r="G76" s="59"/>
      <c r="H76" s="59"/>
      <c r="I76" s="59">
        <v>24577</v>
      </c>
      <c r="J76" s="59">
        <v>25124</v>
      </c>
      <c r="K76" s="26">
        <v>25564</v>
      </c>
      <c r="L76" s="26">
        <v>26022</v>
      </c>
      <c r="M76" s="125">
        <v>26310</v>
      </c>
      <c r="N76" s="26">
        <v>27303</v>
      </c>
      <c r="O76" s="25">
        <v>28388</v>
      </c>
      <c r="P76" s="25">
        <v>29368</v>
      </c>
      <c r="Q76" s="25">
        <v>32106</v>
      </c>
      <c r="R76" s="26">
        <v>35166</v>
      </c>
      <c r="S76" s="21">
        <v>35166</v>
      </c>
      <c r="T76" s="559">
        <f t="shared" si="23"/>
        <v>100</v>
      </c>
      <c r="Y76" s="557"/>
    </row>
    <row r="77" spans="1:30" x14ac:dyDescent="0.2">
      <c r="A77" s="741"/>
      <c r="B77" s="743"/>
      <c r="C77" s="59" t="s">
        <v>85</v>
      </c>
      <c r="D77" s="59"/>
      <c r="E77" s="59"/>
      <c r="F77" s="59"/>
      <c r="G77" s="59"/>
      <c r="H77" s="59"/>
      <c r="I77" s="59">
        <v>7039</v>
      </c>
      <c r="J77" s="59">
        <v>7075</v>
      </c>
      <c r="K77" s="26">
        <v>7128</v>
      </c>
      <c r="L77" s="26">
        <v>7141.61</v>
      </c>
      <c r="M77" s="125">
        <v>7157.02</v>
      </c>
      <c r="N77" s="26">
        <v>7145.67</v>
      </c>
      <c r="O77" s="25">
        <v>7146.74</v>
      </c>
      <c r="P77" s="25">
        <v>7180.34</v>
      </c>
      <c r="Q77" s="25">
        <v>7204.95</v>
      </c>
      <c r="R77" s="26">
        <v>7211</v>
      </c>
      <c r="S77" s="21">
        <v>7210.94</v>
      </c>
      <c r="T77" s="559">
        <f t="shared" si="23"/>
        <v>100</v>
      </c>
      <c r="Y77" s="557"/>
    </row>
    <row r="78" spans="1:30" x14ac:dyDescent="0.2">
      <c r="A78" s="741"/>
      <c r="B78" s="743"/>
      <c r="C78" s="59" t="s">
        <v>86</v>
      </c>
      <c r="D78" s="59"/>
      <c r="E78" s="59"/>
      <c r="F78" s="59"/>
      <c r="G78" s="59"/>
      <c r="H78" s="59"/>
      <c r="I78" s="59">
        <v>10058</v>
      </c>
      <c r="J78" s="59">
        <v>10551</v>
      </c>
      <c r="K78" s="26">
        <v>6336</v>
      </c>
      <c r="L78" s="26">
        <v>5427.66</v>
      </c>
      <c r="M78" s="125">
        <v>4327.68</v>
      </c>
      <c r="N78" s="26">
        <v>3104.64</v>
      </c>
      <c r="O78" s="25">
        <v>3575.04</v>
      </c>
      <c r="P78" s="25">
        <v>3928.96</v>
      </c>
      <c r="Q78" s="25">
        <v>5163.84</v>
      </c>
      <c r="R78" s="26">
        <v>4480</v>
      </c>
      <c r="S78" s="21">
        <v>4480.0200000000004</v>
      </c>
      <c r="T78" s="559">
        <f t="shared" si="23"/>
        <v>100</v>
      </c>
      <c r="Y78" s="557"/>
    </row>
    <row r="79" spans="1:30" x14ac:dyDescent="0.2">
      <c r="A79" s="741"/>
      <c r="B79" s="743"/>
      <c r="C79" s="59" t="s">
        <v>446</v>
      </c>
      <c r="D79" s="59"/>
      <c r="E79" s="59"/>
      <c r="F79" s="59"/>
      <c r="G79" s="59"/>
      <c r="H79" s="59"/>
      <c r="I79" s="59">
        <v>83191</v>
      </c>
      <c r="J79" s="59">
        <v>97555</v>
      </c>
      <c r="K79" s="26">
        <v>85709</v>
      </c>
      <c r="L79" s="26">
        <v>73418.710000000006</v>
      </c>
      <c r="M79" s="125">
        <v>58497.09</v>
      </c>
      <c r="N79" s="26">
        <v>43283.74</v>
      </c>
      <c r="O79" s="25">
        <v>37015.03</v>
      </c>
      <c r="P79" s="25">
        <v>30847.5</v>
      </c>
      <c r="Q79" s="25">
        <v>180888.6</v>
      </c>
      <c r="R79" s="26">
        <v>3685</v>
      </c>
      <c r="S79" s="21">
        <v>3685.2</v>
      </c>
      <c r="T79" s="559">
        <f t="shared" si="23"/>
        <v>100.01</v>
      </c>
      <c r="Y79" s="557"/>
    </row>
    <row r="80" spans="1:30" x14ac:dyDescent="0.2">
      <c r="A80" s="741"/>
      <c r="B80" s="743"/>
      <c r="C80" s="59" t="s">
        <v>87</v>
      </c>
      <c r="D80" s="59"/>
      <c r="E80" s="59"/>
      <c r="F80" s="59"/>
      <c r="G80" s="59"/>
      <c r="H80" s="59"/>
      <c r="I80" s="59">
        <v>25474</v>
      </c>
      <c r="J80" s="59">
        <v>22043</v>
      </c>
      <c r="K80" s="26">
        <f>1699+18018</f>
        <v>19717</v>
      </c>
      <c r="L80" s="26">
        <v>29033.54</v>
      </c>
      <c r="M80" s="125">
        <v>25989.77</v>
      </c>
      <c r="N80" s="26">
        <v>45874.890000000007</v>
      </c>
      <c r="O80" s="25">
        <v>32060.63</v>
      </c>
      <c r="P80" s="25">
        <v>23435.9</v>
      </c>
      <c r="Q80" s="25">
        <v>11750.66</v>
      </c>
      <c r="R80" s="26">
        <v>13998</v>
      </c>
      <c r="S80" s="21">
        <f>2942.26+1848.92+1456.83+3595.29+1549.06+2226.86+378.7</f>
        <v>13997.92</v>
      </c>
      <c r="T80" s="559">
        <f t="shared" si="23"/>
        <v>100</v>
      </c>
      <c r="Y80" s="557"/>
    </row>
    <row r="81" spans="1:30" x14ac:dyDescent="0.2">
      <c r="A81" s="741"/>
      <c r="B81" s="743"/>
      <c r="C81" s="59" t="s">
        <v>88</v>
      </c>
      <c r="D81" s="59"/>
      <c r="E81" s="59"/>
      <c r="F81" s="59"/>
      <c r="G81" s="59"/>
      <c r="H81" s="59"/>
      <c r="I81" s="59">
        <v>1008</v>
      </c>
      <c r="J81" s="59">
        <v>1008</v>
      </c>
      <c r="K81" s="26">
        <v>995</v>
      </c>
      <c r="L81" s="26">
        <v>836.54</v>
      </c>
      <c r="M81" s="125">
        <v>838.04</v>
      </c>
      <c r="N81" s="26">
        <v>834.41</v>
      </c>
      <c r="O81" s="25">
        <v>834.53</v>
      </c>
      <c r="P81" s="25">
        <v>834.58</v>
      </c>
      <c r="Q81" s="25">
        <v>834.92</v>
      </c>
      <c r="R81" s="26">
        <v>833</v>
      </c>
      <c r="S81" s="21">
        <v>833.25</v>
      </c>
      <c r="T81" s="559">
        <f t="shared" si="23"/>
        <v>100.03</v>
      </c>
      <c r="Y81" s="557"/>
    </row>
    <row r="82" spans="1:30" x14ac:dyDescent="0.2">
      <c r="A82" s="741"/>
      <c r="B82" s="743"/>
      <c r="C82" s="59" t="s">
        <v>89</v>
      </c>
      <c r="D82" s="59"/>
      <c r="E82" s="59"/>
      <c r="F82" s="59"/>
      <c r="G82" s="59"/>
      <c r="H82" s="59"/>
      <c r="I82" s="59">
        <v>1487</v>
      </c>
      <c r="J82" s="59">
        <v>1415</v>
      </c>
      <c r="K82" s="26">
        <v>1362</v>
      </c>
      <c r="L82" s="26">
        <v>1386.9</v>
      </c>
      <c r="M82" s="125">
        <v>1388.19</v>
      </c>
      <c r="N82" s="26">
        <v>1382.72</v>
      </c>
      <c r="O82" s="25">
        <v>1384.09</v>
      </c>
      <c r="P82" s="25">
        <v>1383.83</v>
      </c>
      <c r="Q82" s="25">
        <v>1383.78</v>
      </c>
      <c r="R82" s="26">
        <v>1402</v>
      </c>
      <c r="S82" s="21">
        <v>1401.91</v>
      </c>
      <c r="T82" s="559">
        <f t="shared" si="23"/>
        <v>99.99</v>
      </c>
      <c r="Y82" s="557"/>
    </row>
    <row r="83" spans="1:30" x14ac:dyDescent="0.2">
      <c r="A83" s="741"/>
      <c r="B83" s="743"/>
      <c r="C83" s="59" t="s">
        <v>90</v>
      </c>
      <c r="D83" s="59"/>
      <c r="E83" s="59"/>
      <c r="F83" s="59"/>
      <c r="G83" s="59"/>
      <c r="H83" s="59"/>
      <c r="I83" s="59">
        <v>46640</v>
      </c>
      <c r="J83" s="59">
        <v>26998</v>
      </c>
      <c r="K83" s="26">
        <v>72974</v>
      </c>
      <c r="L83" s="26">
        <v>59711.85</v>
      </c>
      <c r="M83" s="125">
        <v>88644.08</v>
      </c>
      <c r="N83" s="26"/>
      <c r="O83" s="25">
        <v>5319.72</v>
      </c>
      <c r="P83" s="25">
        <v>79960.38</v>
      </c>
      <c r="Q83" s="25">
        <v>117516.28</v>
      </c>
      <c r="R83" s="26">
        <v>102665</v>
      </c>
      <c r="S83" s="21">
        <f>26297.03+76368.41</f>
        <v>102665.44</v>
      </c>
      <c r="T83" s="559">
        <f t="shared" si="23"/>
        <v>100</v>
      </c>
      <c r="Y83" s="557"/>
    </row>
    <row r="84" spans="1:30" x14ac:dyDescent="0.2">
      <c r="A84" s="741"/>
      <c r="B84" s="743"/>
      <c r="C84" s="59" t="s">
        <v>91</v>
      </c>
      <c r="D84" s="59"/>
      <c r="E84" s="59"/>
      <c r="F84" s="59"/>
      <c r="G84" s="59"/>
      <c r="H84" s="59"/>
      <c r="I84" s="59">
        <v>4903</v>
      </c>
      <c r="J84" s="59">
        <v>4921</v>
      </c>
      <c r="K84" s="26">
        <v>4883</v>
      </c>
      <c r="L84" s="26">
        <v>4883.67</v>
      </c>
      <c r="M84" s="125">
        <v>4892.91</v>
      </c>
      <c r="N84" s="26">
        <v>4949.79</v>
      </c>
      <c r="O84" s="25">
        <v>5150.43</v>
      </c>
      <c r="P84" s="25">
        <v>5039.6000000000004</v>
      </c>
      <c r="Q84" s="25">
        <v>4957.3899999999994</v>
      </c>
      <c r="R84" s="26">
        <v>5061</v>
      </c>
      <c r="S84" s="21">
        <f>4869.81+190.8</f>
        <v>5060.6100000000006</v>
      </c>
      <c r="T84" s="559">
        <f t="shared" si="23"/>
        <v>99.99</v>
      </c>
      <c r="Y84" s="557"/>
    </row>
    <row r="85" spans="1:30" ht="12.75" customHeight="1" x14ac:dyDescent="0.2">
      <c r="A85" s="741"/>
      <c r="B85" s="743"/>
      <c r="C85" s="59" t="s">
        <v>92</v>
      </c>
      <c r="D85" s="59"/>
      <c r="E85" s="59"/>
      <c r="F85" s="59"/>
      <c r="G85" s="59"/>
      <c r="H85" s="59"/>
      <c r="I85" s="59">
        <v>4172</v>
      </c>
      <c r="J85" s="59">
        <v>4305</v>
      </c>
      <c r="K85" s="26">
        <v>4445</v>
      </c>
      <c r="L85" s="26">
        <v>4634.95</v>
      </c>
      <c r="M85" s="125">
        <v>5001.3599999999997</v>
      </c>
      <c r="N85" s="26">
        <v>4700</v>
      </c>
      <c r="O85" s="25">
        <v>4000</v>
      </c>
      <c r="P85" s="25">
        <v>6500</v>
      </c>
      <c r="Q85" s="25">
        <v>15040</v>
      </c>
      <c r="R85" s="26">
        <v>11725</v>
      </c>
      <c r="S85" s="21">
        <v>11724.32</v>
      </c>
      <c r="T85" s="559">
        <f t="shared" si="23"/>
        <v>99.99</v>
      </c>
      <c r="Y85" s="557"/>
    </row>
    <row r="86" spans="1:30" x14ac:dyDescent="0.2">
      <c r="A86" s="741"/>
      <c r="B86" s="743"/>
      <c r="C86" s="59" t="s">
        <v>93</v>
      </c>
      <c r="D86" s="59"/>
      <c r="E86" s="59"/>
      <c r="F86" s="59"/>
      <c r="G86" s="59"/>
      <c r="H86" s="59"/>
      <c r="I86" s="59">
        <v>13965</v>
      </c>
      <c r="J86" s="59">
        <v>20215</v>
      </c>
      <c r="K86" s="26">
        <f>2614+9370+2952+12392</f>
        <v>27328</v>
      </c>
      <c r="L86" s="26">
        <v>18845.330000000002</v>
      </c>
      <c r="M86" s="125">
        <v>25120.019999999997</v>
      </c>
      <c r="N86" s="26">
        <v>34933.57</v>
      </c>
      <c r="O86" s="25">
        <v>37751.54</v>
      </c>
      <c r="P86" s="25">
        <v>40983.99</v>
      </c>
      <c r="Q86" s="25">
        <v>46526.26</v>
      </c>
      <c r="R86" s="26">
        <v>47924</v>
      </c>
      <c r="S86" s="21">
        <f>3528.68+7054.4+37338.04+3</f>
        <v>47924.12</v>
      </c>
      <c r="T86" s="559">
        <f t="shared" si="23"/>
        <v>100</v>
      </c>
      <c r="Y86" s="557"/>
    </row>
    <row r="87" spans="1:30" ht="15" customHeight="1" x14ac:dyDescent="0.2">
      <c r="A87" s="741"/>
      <c r="B87" s="743"/>
      <c r="C87" s="59" t="s">
        <v>94</v>
      </c>
      <c r="D87" s="59"/>
      <c r="E87" s="59"/>
      <c r="F87" s="59"/>
      <c r="G87" s="59"/>
      <c r="H87" s="59"/>
      <c r="I87" s="59"/>
      <c r="J87" s="59"/>
      <c r="K87" s="26"/>
      <c r="L87" s="26"/>
      <c r="M87" s="25"/>
      <c r="N87" s="26">
        <v>37805</v>
      </c>
      <c r="O87" s="26"/>
      <c r="P87" s="25"/>
      <c r="Q87" s="25"/>
      <c r="R87" s="26">
        <v>80695</v>
      </c>
      <c r="S87" s="27">
        <v>80695.710000000006</v>
      </c>
      <c r="T87" s="560">
        <f t="shared" si="23"/>
        <v>100</v>
      </c>
      <c r="Y87" s="557"/>
    </row>
    <row r="88" spans="1:30" ht="14.25" customHeight="1" x14ac:dyDescent="0.2">
      <c r="A88" s="741"/>
      <c r="B88" s="743"/>
      <c r="C88" s="59" t="s">
        <v>413</v>
      </c>
      <c r="D88" s="59"/>
      <c r="E88" s="59"/>
      <c r="F88" s="59"/>
      <c r="G88" s="59"/>
      <c r="H88" s="59"/>
      <c r="I88" s="59"/>
      <c r="J88" s="59"/>
      <c r="K88" s="26"/>
      <c r="L88" s="26"/>
      <c r="M88" s="25"/>
      <c r="N88" s="26"/>
      <c r="O88" s="26"/>
      <c r="P88" s="25"/>
      <c r="Q88" s="25"/>
      <c r="R88" s="26">
        <v>70000</v>
      </c>
      <c r="S88" s="27">
        <v>70000</v>
      </c>
      <c r="T88" s="560">
        <f t="shared" si="23"/>
        <v>100</v>
      </c>
      <c r="Y88" s="557"/>
    </row>
    <row r="89" spans="1:30" x14ac:dyDescent="0.2">
      <c r="A89" s="741"/>
      <c r="B89" s="743"/>
      <c r="C89" s="59" t="s">
        <v>427</v>
      </c>
      <c r="D89" s="59"/>
      <c r="E89" s="59"/>
      <c r="F89" s="59"/>
      <c r="G89" s="59"/>
      <c r="H89" s="59"/>
      <c r="I89" s="59"/>
      <c r="J89" s="59">
        <v>100000</v>
      </c>
      <c r="K89" s="26"/>
      <c r="L89" s="26"/>
      <c r="M89" s="25">
        <v>59979.789999999994</v>
      </c>
      <c r="N89" s="26">
        <v>37805</v>
      </c>
      <c r="O89" s="26">
        <v>0</v>
      </c>
      <c r="P89" s="25"/>
      <c r="Q89" s="25">
        <v>117605.85999999999</v>
      </c>
      <c r="R89" s="26">
        <v>124732</v>
      </c>
      <c r="S89" s="27">
        <f>108508.63+1134.32+15089.16</f>
        <v>124732.11000000002</v>
      </c>
      <c r="T89" s="560">
        <f t="shared" si="23"/>
        <v>100</v>
      </c>
      <c r="Y89" s="557"/>
      <c r="AD89" s="557"/>
    </row>
    <row r="90" spans="1:30" ht="13.5" customHeight="1" x14ac:dyDescent="0.2">
      <c r="A90" s="741"/>
      <c r="B90" s="743"/>
      <c r="C90" s="59" t="s">
        <v>415</v>
      </c>
      <c r="D90" s="74"/>
      <c r="E90" s="74"/>
      <c r="F90" s="74"/>
      <c r="G90" s="74"/>
      <c r="H90" s="74"/>
      <c r="I90" s="74"/>
      <c r="J90" s="74"/>
      <c r="K90" s="26">
        <v>11061</v>
      </c>
      <c r="L90" s="26"/>
      <c r="M90" s="25">
        <v>105208.79999999999</v>
      </c>
      <c r="N90" s="26"/>
      <c r="O90" s="26"/>
      <c r="P90" s="25"/>
      <c r="Q90" s="25"/>
      <c r="R90" s="26">
        <v>19000</v>
      </c>
      <c r="S90" s="27">
        <v>19000</v>
      </c>
      <c r="T90" s="560">
        <f t="shared" si="23"/>
        <v>100</v>
      </c>
      <c r="V90" s="557"/>
      <c r="Y90" s="557"/>
      <c r="AD90" s="557"/>
    </row>
    <row r="91" spans="1:30" x14ac:dyDescent="0.2">
      <c r="A91" s="741"/>
      <c r="B91" s="743"/>
      <c r="C91" s="59" t="s">
        <v>146</v>
      </c>
      <c r="D91" s="74"/>
      <c r="E91" s="74"/>
      <c r="F91" s="74"/>
      <c r="G91" s="74"/>
      <c r="H91" s="74"/>
      <c r="I91" s="74"/>
      <c r="J91" s="74"/>
      <c r="K91" s="26"/>
      <c r="L91" s="26">
        <v>35000</v>
      </c>
      <c r="M91" s="25"/>
      <c r="N91" s="26"/>
      <c r="O91" s="26"/>
      <c r="P91" s="25"/>
      <c r="Q91" s="25"/>
      <c r="R91" s="26">
        <v>22000</v>
      </c>
      <c r="S91" s="27">
        <v>22000</v>
      </c>
      <c r="T91" s="560">
        <f t="shared" si="23"/>
        <v>100</v>
      </c>
      <c r="Y91" s="557"/>
    </row>
    <row r="92" spans="1:30" x14ac:dyDescent="0.2">
      <c r="A92" s="741"/>
      <c r="B92" s="743"/>
      <c r="C92" s="74" t="s">
        <v>448</v>
      </c>
      <c r="D92" s="74"/>
      <c r="E92" s="74"/>
      <c r="F92" s="74"/>
      <c r="G92" s="74"/>
      <c r="H92" s="74"/>
      <c r="I92" s="74"/>
      <c r="J92" s="74"/>
      <c r="K92" s="26"/>
      <c r="L92" s="26">
        <v>149100</v>
      </c>
      <c r="M92" s="25"/>
      <c r="N92" s="26"/>
      <c r="O92" s="26">
        <v>15864.95</v>
      </c>
      <c r="P92" s="25"/>
      <c r="Q92" s="25"/>
      <c r="R92" s="26">
        <v>222168</v>
      </c>
      <c r="S92" s="27">
        <v>222168</v>
      </c>
      <c r="T92" s="560">
        <f t="shared" si="23"/>
        <v>100</v>
      </c>
      <c r="U92" s="619"/>
      <c r="Y92" s="557"/>
    </row>
    <row r="93" spans="1:30" ht="13.5" customHeight="1" x14ac:dyDescent="0.2">
      <c r="A93" s="741"/>
      <c r="B93" s="743"/>
      <c r="C93" s="59" t="s">
        <v>97</v>
      </c>
      <c r="D93" s="59"/>
      <c r="E93" s="59"/>
      <c r="F93" s="59"/>
      <c r="G93" s="59"/>
      <c r="H93" s="59"/>
      <c r="I93" s="59">
        <v>119232</v>
      </c>
      <c r="J93" s="59">
        <f>30008+30023</f>
        <v>60031</v>
      </c>
      <c r="K93" s="26"/>
      <c r="L93" s="26"/>
      <c r="M93" s="25">
        <v>108000</v>
      </c>
      <c r="N93" s="26"/>
      <c r="O93" s="26">
        <v>66101.8</v>
      </c>
      <c r="P93" s="25"/>
      <c r="Q93" s="25">
        <v>25815.84</v>
      </c>
      <c r="R93" s="26">
        <v>22363</v>
      </c>
      <c r="S93" s="27">
        <v>22363.49</v>
      </c>
      <c r="T93" s="560">
        <f t="shared" si="23"/>
        <v>100</v>
      </c>
      <c r="Y93" s="557"/>
    </row>
    <row r="94" spans="1:30" ht="13.5" customHeight="1" x14ac:dyDescent="0.2">
      <c r="A94" s="741"/>
      <c r="B94" s="743"/>
      <c r="C94" s="59" t="s">
        <v>421</v>
      </c>
      <c r="D94" s="59"/>
      <c r="E94" s="59"/>
      <c r="F94" s="59"/>
      <c r="G94" s="59"/>
      <c r="H94" s="59"/>
      <c r="I94" s="59"/>
      <c r="J94" s="59">
        <v>40000</v>
      </c>
      <c r="K94" s="26"/>
      <c r="L94" s="26"/>
      <c r="M94" s="26">
        <v>298131.34999999998</v>
      </c>
      <c r="N94" s="26"/>
      <c r="O94" s="26"/>
      <c r="P94" s="25"/>
      <c r="Q94" s="25"/>
      <c r="R94" s="26">
        <v>192536</v>
      </c>
      <c r="S94" s="27">
        <v>192536.44</v>
      </c>
      <c r="T94" s="560">
        <f t="shared" si="23"/>
        <v>100</v>
      </c>
      <c r="Y94" s="557"/>
    </row>
    <row r="95" spans="1:30" x14ac:dyDescent="0.2">
      <c r="A95" s="741"/>
      <c r="B95" s="743"/>
      <c r="C95" s="59" t="s">
        <v>98</v>
      </c>
      <c r="D95" s="59"/>
      <c r="E95" s="59"/>
      <c r="F95" s="59"/>
      <c r="G95" s="59"/>
      <c r="H95" s="59"/>
      <c r="I95" s="59"/>
      <c r="J95" s="59">
        <v>85385</v>
      </c>
      <c r="K95" s="26">
        <v>389162</v>
      </c>
      <c r="L95" s="26"/>
      <c r="M95" s="60"/>
      <c r="N95" s="26">
        <v>274838.90000000002</v>
      </c>
      <c r="O95" s="25">
        <v>190966.83</v>
      </c>
      <c r="P95" s="25">
        <v>164272.02000000002</v>
      </c>
      <c r="Q95" s="25">
        <v>128391.07</v>
      </c>
      <c r="R95" s="26">
        <v>113934</v>
      </c>
      <c r="S95" s="27">
        <f>18630.72+6111.4+87611.14+1581.15</f>
        <v>113934.41</v>
      </c>
      <c r="T95" s="560">
        <f t="shared" si="23"/>
        <v>100</v>
      </c>
      <c r="Y95" s="557"/>
    </row>
    <row r="96" spans="1:30" x14ac:dyDescent="0.2">
      <c r="A96" s="741"/>
      <c r="B96" s="743"/>
      <c r="C96" s="59" t="s">
        <v>456</v>
      </c>
      <c r="D96" s="59"/>
      <c r="E96" s="59"/>
      <c r="F96" s="59"/>
      <c r="G96" s="59"/>
      <c r="H96" s="59"/>
      <c r="I96" s="59"/>
      <c r="J96" s="59"/>
      <c r="K96" s="26"/>
      <c r="L96" s="26"/>
      <c r="M96" s="26"/>
      <c r="N96" s="26"/>
      <c r="O96" s="25"/>
      <c r="P96" s="25"/>
      <c r="Q96" s="25"/>
      <c r="R96" s="26">
        <v>1867</v>
      </c>
      <c r="S96" s="27">
        <v>1867.53</v>
      </c>
      <c r="T96" s="560">
        <f t="shared" si="23"/>
        <v>100.03</v>
      </c>
      <c r="Y96" s="557"/>
    </row>
    <row r="97" spans="1:28" x14ac:dyDescent="0.2">
      <c r="A97" s="741"/>
      <c r="B97" s="743"/>
      <c r="C97" s="59" t="s">
        <v>457</v>
      </c>
      <c r="D97" s="59"/>
      <c r="E97" s="59"/>
      <c r="F97" s="59"/>
      <c r="G97" s="59"/>
      <c r="H97" s="59"/>
      <c r="I97" s="59"/>
      <c r="J97" s="59"/>
      <c r="K97" s="26"/>
      <c r="L97" s="26"/>
      <c r="M97" s="26"/>
      <c r="N97" s="26"/>
      <c r="O97" s="25"/>
      <c r="P97" s="25"/>
      <c r="Q97" s="25"/>
      <c r="R97" s="26">
        <v>1000</v>
      </c>
      <c r="S97" s="27">
        <v>1000</v>
      </c>
      <c r="T97" s="560">
        <f t="shared" si="23"/>
        <v>100</v>
      </c>
      <c r="Y97" s="557"/>
    </row>
    <row r="98" spans="1:28" ht="15.75" customHeight="1" x14ac:dyDescent="0.2">
      <c r="A98" s="741"/>
      <c r="B98" s="743"/>
      <c r="C98" s="59" t="s">
        <v>244</v>
      </c>
      <c r="D98" s="59"/>
      <c r="E98" s="59"/>
      <c r="F98" s="59"/>
      <c r="G98" s="59"/>
      <c r="H98" s="59"/>
      <c r="I98" s="59"/>
      <c r="J98" s="59"/>
      <c r="K98" s="26">
        <v>6226</v>
      </c>
      <c r="L98" s="26"/>
      <c r="M98" s="26"/>
      <c r="N98" s="26"/>
      <c r="O98" s="26"/>
      <c r="P98" s="25">
        <v>2738.17</v>
      </c>
      <c r="Q98" s="25"/>
      <c r="R98" s="26">
        <v>32454</v>
      </c>
      <c r="S98" s="27">
        <v>32454.359999999986</v>
      </c>
      <c r="T98" s="560">
        <f t="shared" si="23"/>
        <v>100</v>
      </c>
      <c r="V98" s="557"/>
      <c r="Y98" s="557"/>
      <c r="AB98" s="557"/>
    </row>
    <row r="99" spans="1:28" ht="15.75" customHeight="1" x14ac:dyDescent="0.2">
      <c r="A99" s="741"/>
      <c r="B99" s="743"/>
      <c r="C99" s="59" t="s">
        <v>449</v>
      </c>
      <c r="D99" s="59"/>
      <c r="E99" s="59"/>
      <c r="F99" s="59"/>
      <c r="G99" s="59"/>
      <c r="H99" s="59"/>
      <c r="I99" s="59">
        <v>3534</v>
      </c>
      <c r="J99" s="59">
        <v>4595</v>
      </c>
      <c r="K99" s="26">
        <v>1120</v>
      </c>
      <c r="L99" s="26"/>
      <c r="M99" s="26"/>
      <c r="N99" s="26"/>
      <c r="O99" s="26"/>
      <c r="P99" s="25"/>
      <c r="Q99" s="25"/>
      <c r="R99" s="26">
        <v>71003</v>
      </c>
      <c r="S99" s="27">
        <v>71002.27</v>
      </c>
      <c r="T99" s="560">
        <f t="shared" si="23"/>
        <v>100</v>
      </c>
      <c r="Y99" s="557"/>
    </row>
    <row r="100" spans="1:28" ht="15.75" customHeight="1" x14ac:dyDescent="0.2">
      <c r="A100" s="741"/>
      <c r="B100" s="743"/>
      <c r="C100" s="59" t="s">
        <v>458</v>
      </c>
      <c r="D100" s="59"/>
      <c r="E100" s="59"/>
      <c r="F100" s="59"/>
      <c r="G100" s="59"/>
      <c r="H100" s="59"/>
      <c r="I100" s="59"/>
      <c r="J100" s="59"/>
      <c r="K100" s="26">
        <v>73802</v>
      </c>
      <c r="L100" s="26"/>
      <c r="M100" s="26"/>
      <c r="N100" s="26"/>
      <c r="O100" s="26"/>
      <c r="P100" s="25"/>
      <c r="Q100" s="25"/>
      <c r="R100" s="26">
        <v>19664</v>
      </c>
      <c r="S100" s="27">
        <v>19664</v>
      </c>
      <c r="T100" s="560">
        <f t="shared" si="23"/>
        <v>100</v>
      </c>
      <c r="Y100" s="557"/>
    </row>
    <row r="101" spans="1:28" ht="15.75" customHeight="1" x14ac:dyDescent="0.2">
      <c r="A101" s="741"/>
      <c r="B101" s="743"/>
      <c r="C101" s="59" t="s">
        <v>450</v>
      </c>
      <c r="D101" s="59"/>
      <c r="E101" s="59"/>
      <c r="F101" s="59"/>
      <c r="G101" s="59"/>
      <c r="H101" s="59"/>
      <c r="I101" s="59"/>
      <c r="J101" s="59">
        <v>18000</v>
      </c>
      <c r="K101" s="26"/>
      <c r="L101" s="26"/>
      <c r="M101" s="26"/>
      <c r="N101" s="26"/>
      <c r="O101" s="26"/>
      <c r="P101" s="25"/>
      <c r="Q101" s="25"/>
      <c r="R101" s="26">
        <v>7638</v>
      </c>
      <c r="S101" s="27">
        <v>7638.44</v>
      </c>
      <c r="T101" s="560">
        <f t="shared" si="23"/>
        <v>100.01</v>
      </c>
      <c r="Y101" s="557"/>
    </row>
    <row r="102" spans="1:28" ht="15.75" customHeight="1" x14ac:dyDescent="0.2">
      <c r="A102" s="741"/>
      <c r="B102" s="743"/>
      <c r="C102" s="59" t="s">
        <v>127</v>
      </c>
      <c r="D102" s="59"/>
      <c r="E102" s="59"/>
      <c r="F102" s="59"/>
      <c r="G102" s="59"/>
      <c r="H102" s="59"/>
      <c r="I102" s="59"/>
      <c r="J102" s="59"/>
      <c r="K102" s="26"/>
      <c r="L102" s="26"/>
      <c r="M102" s="126"/>
      <c r="N102" s="127"/>
      <c r="O102" s="127"/>
      <c r="P102" s="128"/>
      <c r="Q102" s="128"/>
      <c r="R102" s="127">
        <v>14191</v>
      </c>
      <c r="S102" s="27">
        <v>14191.4</v>
      </c>
      <c r="T102" s="560">
        <f t="shared" si="23"/>
        <v>100</v>
      </c>
      <c r="U102" s="625"/>
      <c r="Y102" s="557"/>
    </row>
    <row r="103" spans="1:28" ht="15.75" customHeight="1" x14ac:dyDescent="0.2">
      <c r="A103" s="741"/>
      <c r="B103" s="743"/>
      <c r="C103" s="59" t="s">
        <v>465</v>
      </c>
      <c r="D103" s="59"/>
      <c r="E103" s="59"/>
      <c r="F103" s="59"/>
      <c r="G103" s="59"/>
      <c r="H103" s="59"/>
      <c r="I103" s="59"/>
      <c r="J103" s="59"/>
      <c r="K103" s="26"/>
      <c r="L103" s="26"/>
      <c r="M103" s="127"/>
      <c r="N103" s="127"/>
      <c r="O103" s="127"/>
      <c r="P103" s="128"/>
      <c r="Q103" s="128"/>
      <c r="R103" s="127">
        <v>12233</v>
      </c>
      <c r="S103" s="27">
        <v>12233.16</v>
      </c>
      <c r="T103" s="560">
        <f t="shared" si="23"/>
        <v>100</v>
      </c>
      <c r="U103" s="625"/>
      <c r="Y103" s="557"/>
    </row>
    <row r="104" spans="1:28" ht="15.75" customHeight="1" x14ac:dyDescent="0.2">
      <c r="A104" s="741"/>
      <c r="B104" s="743"/>
      <c r="C104" s="59" t="s">
        <v>451</v>
      </c>
      <c r="D104" s="59"/>
      <c r="E104" s="59"/>
      <c r="F104" s="59"/>
      <c r="G104" s="59"/>
      <c r="H104" s="59"/>
      <c r="I104" s="59"/>
      <c r="J104" s="59"/>
      <c r="K104" s="26"/>
      <c r="L104" s="26"/>
      <c r="M104" s="127"/>
      <c r="N104" s="127"/>
      <c r="O104" s="127"/>
      <c r="P104" s="128"/>
      <c r="Q104" s="128"/>
      <c r="R104" s="127">
        <v>1400</v>
      </c>
      <c r="S104" s="27">
        <v>1400</v>
      </c>
      <c r="T104" s="560">
        <f t="shared" si="23"/>
        <v>100</v>
      </c>
      <c r="Y104" s="557"/>
    </row>
    <row r="105" spans="1:28" ht="15.75" customHeight="1" x14ac:dyDescent="0.2">
      <c r="A105" s="741"/>
      <c r="B105" s="743"/>
      <c r="C105" s="59" t="s">
        <v>452</v>
      </c>
      <c r="D105" s="59"/>
      <c r="E105" s="59"/>
      <c r="F105" s="59"/>
      <c r="G105" s="59"/>
      <c r="H105" s="59"/>
      <c r="I105" s="59"/>
      <c r="J105" s="59"/>
      <c r="K105" s="26"/>
      <c r="L105" s="26"/>
      <c r="M105" s="26"/>
      <c r="N105" s="26"/>
      <c r="O105" s="26"/>
      <c r="P105" s="25"/>
      <c r="Q105" s="25"/>
      <c r="R105" s="26">
        <v>1660</v>
      </c>
      <c r="S105" s="27">
        <v>1659.72</v>
      </c>
      <c r="T105" s="560">
        <f t="shared" si="23"/>
        <v>99.98</v>
      </c>
      <c r="Y105" s="557"/>
    </row>
    <row r="106" spans="1:28" ht="15.75" customHeight="1" x14ac:dyDescent="0.2">
      <c r="A106" s="741"/>
      <c r="B106" s="743"/>
      <c r="C106" s="59" t="s">
        <v>454</v>
      </c>
      <c r="D106" s="59"/>
      <c r="E106" s="59"/>
      <c r="F106" s="59"/>
      <c r="G106" s="59"/>
      <c r="H106" s="59"/>
      <c r="I106" s="59"/>
      <c r="J106" s="59"/>
      <c r="K106" s="26"/>
      <c r="L106" s="26"/>
      <c r="M106" s="26"/>
      <c r="N106" s="26"/>
      <c r="O106" s="26"/>
      <c r="P106" s="25"/>
      <c r="Q106" s="25"/>
      <c r="R106" s="26">
        <v>0</v>
      </c>
      <c r="S106" s="27"/>
      <c r="T106" s="560">
        <f t="shared" si="23"/>
        <v>0</v>
      </c>
      <c r="Y106" s="557"/>
    </row>
    <row r="107" spans="1:28" ht="15.75" customHeight="1" x14ac:dyDescent="0.2">
      <c r="A107" s="741"/>
      <c r="B107" s="743"/>
      <c r="C107" s="59" t="s">
        <v>455</v>
      </c>
      <c r="D107" s="59"/>
      <c r="E107" s="59"/>
      <c r="F107" s="59"/>
      <c r="G107" s="59"/>
      <c r="H107" s="59"/>
      <c r="I107" s="59"/>
      <c r="J107" s="59"/>
      <c r="K107" s="26"/>
      <c r="L107" s="26"/>
      <c r="M107" s="26"/>
      <c r="N107" s="26"/>
      <c r="O107" s="26"/>
      <c r="P107" s="25"/>
      <c r="Q107" s="25"/>
      <c r="R107" s="26">
        <v>0</v>
      </c>
      <c r="S107" s="27"/>
      <c r="T107" s="560">
        <f t="shared" si="23"/>
        <v>0</v>
      </c>
      <c r="Y107" s="557"/>
    </row>
    <row r="108" spans="1:28" ht="15.75" customHeight="1" x14ac:dyDescent="0.2">
      <c r="A108" s="741"/>
      <c r="B108" s="743"/>
      <c r="C108" s="59" t="s">
        <v>453</v>
      </c>
      <c r="D108" s="59"/>
      <c r="E108" s="59"/>
      <c r="F108" s="59"/>
      <c r="G108" s="59"/>
      <c r="H108" s="59"/>
      <c r="I108" s="59">
        <v>165906</v>
      </c>
      <c r="J108" s="59"/>
      <c r="K108" s="26">
        <v>0</v>
      </c>
      <c r="L108" s="26"/>
      <c r="M108" s="26"/>
      <c r="N108" s="26"/>
      <c r="O108" s="26"/>
      <c r="P108" s="25">
        <v>238911.06000000006</v>
      </c>
      <c r="Q108" s="25"/>
      <c r="R108" s="26">
        <v>0</v>
      </c>
      <c r="S108" s="27"/>
      <c r="T108" s="560">
        <f t="shared" si="23"/>
        <v>0</v>
      </c>
      <c r="Y108" s="557"/>
    </row>
    <row r="109" spans="1:28" ht="15.75" customHeight="1" x14ac:dyDescent="0.2">
      <c r="A109" s="741"/>
      <c r="B109" s="743"/>
      <c r="C109" s="43" t="s">
        <v>431</v>
      </c>
      <c r="D109" s="62"/>
      <c r="E109" s="62"/>
      <c r="F109" s="62"/>
      <c r="G109" s="62"/>
      <c r="H109" s="62"/>
      <c r="I109" s="62"/>
      <c r="J109" s="62"/>
      <c r="K109" s="26"/>
      <c r="L109" s="26"/>
      <c r="M109" s="26"/>
      <c r="N109" s="26"/>
      <c r="O109" s="26">
        <v>146016</v>
      </c>
      <c r="P109" s="25">
        <v>73008</v>
      </c>
      <c r="Q109" s="25">
        <v>41077.410000000003</v>
      </c>
      <c r="R109" s="26">
        <v>292748</v>
      </c>
      <c r="S109" s="27">
        <v>292748.58</v>
      </c>
      <c r="T109" s="560">
        <f t="shared" si="23"/>
        <v>100</v>
      </c>
      <c r="Y109" s="557"/>
    </row>
    <row r="110" spans="1:28" ht="15.75" customHeight="1" thickBot="1" x14ac:dyDescent="0.25">
      <c r="A110" s="741"/>
      <c r="B110" s="743"/>
      <c r="C110" s="61" t="s">
        <v>101</v>
      </c>
      <c r="D110" s="62"/>
      <c r="E110" s="62"/>
      <c r="F110" s="62"/>
      <c r="G110" s="62"/>
      <c r="H110" s="62"/>
      <c r="I110" s="62">
        <v>117128</v>
      </c>
      <c r="J110" s="62">
        <v>59866</v>
      </c>
      <c r="K110" s="26">
        <v>366191</v>
      </c>
      <c r="L110" s="26"/>
      <c r="M110" s="129">
        <v>13085.550000000001</v>
      </c>
      <c r="N110" s="26">
        <f>206825+69116</f>
        <v>275941</v>
      </c>
      <c r="O110" s="25">
        <f>82173.59+363.75</f>
        <v>82537.34</v>
      </c>
      <c r="P110" s="25"/>
      <c r="Q110" s="25">
        <v>88309.51</v>
      </c>
      <c r="R110" s="26">
        <v>1084</v>
      </c>
      <c r="S110" s="627">
        <v>1083.78</v>
      </c>
      <c r="T110" s="562">
        <f t="shared" si="23"/>
        <v>99.98</v>
      </c>
      <c r="Y110" s="557"/>
    </row>
    <row r="111" spans="1:28" ht="14.25" customHeight="1" thickBot="1" x14ac:dyDescent="0.3">
      <c r="A111" s="33">
        <v>330</v>
      </c>
      <c r="B111" s="746" t="s">
        <v>102</v>
      </c>
      <c r="C111" s="747"/>
      <c r="D111" s="84">
        <f t="shared" ref="D111:L111" si="25">D112</f>
        <v>0</v>
      </c>
      <c r="E111" s="84">
        <f t="shared" si="25"/>
        <v>0</v>
      </c>
      <c r="F111" s="84">
        <f t="shared" si="25"/>
        <v>0</v>
      </c>
      <c r="G111" s="84">
        <f t="shared" si="25"/>
        <v>0</v>
      </c>
      <c r="H111" s="84">
        <f t="shared" si="25"/>
        <v>21047</v>
      </c>
      <c r="I111" s="84">
        <f t="shared" si="25"/>
        <v>28355</v>
      </c>
      <c r="J111" s="84">
        <f t="shared" si="25"/>
        <v>39058</v>
      </c>
      <c r="K111" s="84">
        <f t="shared" si="25"/>
        <v>9516</v>
      </c>
      <c r="L111" s="84">
        <f t="shared" si="25"/>
        <v>0</v>
      </c>
      <c r="M111" s="84"/>
      <c r="N111" s="86"/>
      <c r="O111" s="86"/>
      <c r="P111" s="119"/>
      <c r="Q111" s="119"/>
      <c r="R111" s="86">
        <f>R112</f>
        <v>0</v>
      </c>
      <c r="S111" s="9"/>
      <c r="T111" s="561">
        <f t="shared" si="23"/>
        <v>0</v>
      </c>
    </row>
    <row r="112" spans="1:28" ht="18.75" hidden="1" customHeight="1" thickBot="1" x14ac:dyDescent="0.25">
      <c r="A112" s="740"/>
      <c r="B112" s="77">
        <v>331</v>
      </c>
      <c r="C112" s="78" t="s">
        <v>103</v>
      </c>
      <c r="D112" s="78"/>
      <c r="E112" s="78">
        <v>0</v>
      </c>
      <c r="F112" s="78">
        <v>0</v>
      </c>
      <c r="G112" s="78">
        <v>0</v>
      </c>
      <c r="H112" s="78">
        <v>21047</v>
      </c>
      <c r="I112" s="80">
        <f>I113</f>
        <v>28355</v>
      </c>
      <c r="J112" s="80">
        <f>J113</f>
        <v>39058</v>
      </c>
      <c r="K112" s="80">
        <f>K113</f>
        <v>9516</v>
      </c>
      <c r="L112" s="82"/>
      <c r="M112" s="82"/>
      <c r="N112" s="82"/>
      <c r="O112" s="82"/>
      <c r="P112" s="87"/>
      <c r="Q112" s="87"/>
      <c r="R112" s="82"/>
      <c r="S112" s="9"/>
      <c r="T112" s="561">
        <f t="shared" si="23"/>
        <v>0</v>
      </c>
    </row>
    <row r="113" spans="1:20" ht="0.75" hidden="1" customHeight="1" thickBot="1" x14ac:dyDescent="0.25">
      <c r="A113" s="741"/>
      <c r="B113" s="552"/>
      <c r="C113" s="130" t="s">
        <v>99</v>
      </c>
      <c r="D113" s="130"/>
      <c r="E113" s="130"/>
      <c r="F113" s="130"/>
      <c r="G113" s="130"/>
      <c r="H113" s="130">
        <v>21047</v>
      </c>
      <c r="I113" s="130">
        <v>28355</v>
      </c>
      <c r="J113" s="130">
        <v>39058</v>
      </c>
      <c r="K113" s="131">
        <v>9516</v>
      </c>
      <c r="L113" s="90"/>
      <c r="M113" s="90"/>
      <c r="N113" s="90"/>
      <c r="O113" s="90"/>
      <c r="P113" s="89"/>
      <c r="Q113" s="89"/>
      <c r="R113" s="90"/>
      <c r="S113" s="132"/>
      <c r="T113" s="563">
        <f t="shared" si="23"/>
        <v>0</v>
      </c>
    </row>
    <row r="114" spans="1:20" ht="17.25" thickTop="1" thickBot="1" x14ac:dyDescent="0.3">
      <c r="A114" s="774" t="s">
        <v>104</v>
      </c>
      <c r="B114" s="775"/>
      <c r="C114" s="776"/>
      <c r="D114" s="133">
        <f t="shared" ref="D114:S114" si="26">D5+D26+D68</f>
        <v>7125871</v>
      </c>
      <c r="E114" s="133">
        <f t="shared" si="26"/>
        <v>7561840</v>
      </c>
      <c r="F114" s="133">
        <f t="shared" si="26"/>
        <v>9082354</v>
      </c>
      <c r="G114" s="133">
        <f t="shared" si="26"/>
        <v>9080838</v>
      </c>
      <c r="H114" s="133">
        <f t="shared" si="26"/>
        <v>8537685</v>
      </c>
      <c r="I114" s="133">
        <f t="shared" si="26"/>
        <v>9096722</v>
      </c>
      <c r="J114" s="133">
        <f t="shared" si="26"/>
        <v>9201831</v>
      </c>
      <c r="K114" s="133">
        <f t="shared" si="26"/>
        <v>9722622</v>
      </c>
      <c r="L114" s="133">
        <f t="shared" si="26"/>
        <v>9640328.2399999984</v>
      </c>
      <c r="M114" s="134">
        <f t="shared" si="26"/>
        <v>10178626.01</v>
      </c>
      <c r="N114" s="133">
        <f t="shared" si="26"/>
        <v>10779180.440000001</v>
      </c>
      <c r="O114" s="134">
        <f t="shared" si="26"/>
        <v>10941629.260000002</v>
      </c>
      <c r="P114" s="134">
        <f t="shared" si="26"/>
        <v>11829472.720000001</v>
      </c>
      <c r="Q114" s="134">
        <f t="shared" si="26"/>
        <v>12870365.969999999</v>
      </c>
      <c r="R114" s="135">
        <f t="shared" si="26"/>
        <v>13127459</v>
      </c>
      <c r="S114" s="630">
        <f t="shared" si="26"/>
        <v>13601965.26</v>
      </c>
      <c r="T114" s="648">
        <f t="shared" si="23"/>
        <v>103.61</v>
      </c>
    </row>
    <row r="115" spans="1:20" ht="13.5" thickTop="1" x14ac:dyDescent="0.2"/>
    <row r="117" spans="1:20" x14ac:dyDescent="0.2">
      <c r="O117" s="557"/>
      <c r="P117" s="557"/>
      <c r="Q117" s="557"/>
      <c r="T117" s="557"/>
    </row>
    <row r="118" spans="1:20" x14ac:dyDescent="0.2">
      <c r="Q118" s="625"/>
      <c r="R118" s="625"/>
      <c r="S118" s="625"/>
    </row>
  </sheetData>
  <mergeCells count="52">
    <mergeCell ref="R3:R4"/>
    <mergeCell ref="G3:G4"/>
    <mergeCell ref="H3:H4"/>
    <mergeCell ref="I3:I4"/>
    <mergeCell ref="J3:J4"/>
    <mergeCell ref="K3:K4"/>
    <mergeCell ref="L3:L4"/>
    <mergeCell ref="Q3:Q4"/>
    <mergeCell ref="A112:A113"/>
    <mergeCell ref="A114:C114"/>
    <mergeCell ref="B69:C69"/>
    <mergeCell ref="B27:C27"/>
    <mergeCell ref="A28:A39"/>
    <mergeCell ref="B29:B31"/>
    <mergeCell ref="B33:B39"/>
    <mergeCell ref="B40:C40"/>
    <mergeCell ref="A41:A59"/>
    <mergeCell ref="B42:B44"/>
    <mergeCell ref="B46:B57"/>
    <mergeCell ref="B60:C60"/>
    <mergeCell ref="B62:C62"/>
    <mergeCell ref="A63:A67"/>
    <mergeCell ref="B64:B67"/>
    <mergeCell ref="B68:C68"/>
    <mergeCell ref="B111:C111"/>
    <mergeCell ref="A13:A16"/>
    <mergeCell ref="B14:B16"/>
    <mergeCell ref="B17:C17"/>
    <mergeCell ref="A18:A25"/>
    <mergeCell ref="B19:B25"/>
    <mergeCell ref="B26:C26"/>
    <mergeCell ref="A3:A4"/>
    <mergeCell ref="B3:B4"/>
    <mergeCell ref="C3:C4"/>
    <mergeCell ref="D3:D4"/>
    <mergeCell ref="E3:E4"/>
    <mergeCell ref="S3:S4"/>
    <mergeCell ref="A1:C1"/>
    <mergeCell ref="A2:C2"/>
    <mergeCell ref="T3:T4"/>
    <mergeCell ref="A70:A110"/>
    <mergeCell ref="B73:B110"/>
    <mergeCell ref="B5:C5"/>
    <mergeCell ref="B6:C6"/>
    <mergeCell ref="A7:A11"/>
    <mergeCell ref="B7:B11"/>
    <mergeCell ref="B12:C12"/>
    <mergeCell ref="M3:M4"/>
    <mergeCell ref="N3:N4"/>
    <mergeCell ref="O3:O4"/>
    <mergeCell ref="P3:P4"/>
    <mergeCell ref="F3:F4"/>
  </mergeCells>
  <pageMargins left="0.19685039370078741" right="0.11811023622047245" top="0.15748031496062992" bottom="0.15748031496062992" header="0" footer="0"/>
  <pageSetup paperSize="9" scale="86" orientation="portrait" r:id="rId1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5"/>
  <sheetViews>
    <sheetView topLeftCell="A170" zoomScaleNormal="100" workbookViewId="0">
      <selection activeCell="Q36" sqref="Q36"/>
    </sheetView>
  </sheetViews>
  <sheetFormatPr defaultRowHeight="15" x14ac:dyDescent="0.25"/>
  <cols>
    <col min="1" max="1" width="10.42578125" customWidth="1"/>
    <col min="2" max="2" width="8.42578125" customWidth="1"/>
    <col min="3" max="3" width="27.28515625" customWidth="1"/>
    <col min="4" max="12" width="14.28515625" hidden="1" customWidth="1"/>
    <col min="13" max="13" width="16.42578125" hidden="1" customWidth="1"/>
    <col min="14" max="14" width="15.140625" hidden="1" customWidth="1"/>
    <col min="15" max="15" width="15.28515625" hidden="1" customWidth="1"/>
    <col min="16" max="16" width="14.140625" hidden="1" customWidth="1"/>
    <col min="17" max="17" width="13.5703125" customWidth="1"/>
    <col min="18" max="18" width="12.7109375" customWidth="1"/>
    <col min="19" max="19" width="16" customWidth="1"/>
    <col min="20" max="20" width="12.5703125" style="558" customWidth="1"/>
    <col min="22" max="22" width="12.7109375" customWidth="1"/>
    <col min="23" max="23" width="13.140625" customWidth="1"/>
    <col min="24" max="24" width="10" bestFit="1" customWidth="1"/>
    <col min="25" max="25" width="14" customWidth="1"/>
    <col min="236" max="236" width="11.5703125" customWidth="1"/>
    <col min="238" max="238" width="30.140625" customWidth="1"/>
    <col min="239" max="250" width="0" hidden="1" customWidth="1"/>
    <col min="251" max="251" width="15.28515625" customWidth="1"/>
    <col min="252" max="252" width="14.85546875" customWidth="1"/>
    <col min="253" max="253" width="14.140625" customWidth="1"/>
    <col min="254" max="254" width="8.28515625" customWidth="1"/>
    <col min="255" max="255" width="14" customWidth="1"/>
    <col min="256" max="256" width="13.28515625" customWidth="1"/>
    <col min="259" max="259" width="10.140625" bestFit="1" customWidth="1"/>
    <col min="260" max="260" width="14.5703125" customWidth="1"/>
    <col min="261" max="261" width="11.42578125" customWidth="1"/>
    <col min="262" max="263" width="10.140625" customWidth="1"/>
    <col min="492" max="492" width="11.5703125" customWidth="1"/>
    <col min="494" max="494" width="30.140625" customWidth="1"/>
    <col min="495" max="506" width="0" hidden="1" customWidth="1"/>
    <col min="507" max="507" width="15.28515625" customWidth="1"/>
    <col min="508" max="508" width="14.85546875" customWidth="1"/>
    <col min="509" max="509" width="14.140625" customWidth="1"/>
    <col min="510" max="510" width="8.28515625" customWidth="1"/>
    <col min="511" max="511" width="14" customWidth="1"/>
    <col min="512" max="512" width="13.28515625" customWidth="1"/>
    <col min="515" max="515" width="10.140625" bestFit="1" customWidth="1"/>
    <col min="516" max="516" width="14.5703125" customWidth="1"/>
    <col min="517" max="517" width="11.42578125" customWidth="1"/>
    <col min="518" max="519" width="10.140625" customWidth="1"/>
    <col min="748" max="748" width="11.5703125" customWidth="1"/>
    <col min="750" max="750" width="30.140625" customWidth="1"/>
    <col min="751" max="762" width="0" hidden="1" customWidth="1"/>
    <col min="763" max="763" width="15.28515625" customWidth="1"/>
    <col min="764" max="764" width="14.85546875" customWidth="1"/>
    <col min="765" max="765" width="14.140625" customWidth="1"/>
    <col min="766" max="766" width="8.28515625" customWidth="1"/>
    <col min="767" max="767" width="14" customWidth="1"/>
    <col min="768" max="768" width="13.28515625" customWidth="1"/>
    <col min="771" max="771" width="10.140625" bestFit="1" customWidth="1"/>
    <col min="772" max="772" width="14.5703125" customWidth="1"/>
    <col min="773" max="773" width="11.42578125" customWidth="1"/>
    <col min="774" max="775" width="10.140625" customWidth="1"/>
    <col min="1004" max="1004" width="11.5703125" customWidth="1"/>
    <col min="1006" max="1006" width="30.140625" customWidth="1"/>
    <col min="1007" max="1018" width="0" hidden="1" customWidth="1"/>
    <col min="1019" max="1019" width="15.28515625" customWidth="1"/>
    <col min="1020" max="1020" width="14.85546875" customWidth="1"/>
    <col min="1021" max="1021" width="14.140625" customWidth="1"/>
    <col min="1022" max="1022" width="8.28515625" customWidth="1"/>
    <col min="1023" max="1023" width="14" customWidth="1"/>
    <col min="1024" max="1024" width="13.28515625" customWidth="1"/>
    <col min="1027" max="1027" width="10.140625" bestFit="1" customWidth="1"/>
    <col min="1028" max="1028" width="14.5703125" customWidth="1"/>
    <col min="1029" max="1029" width="11.42578125" customWidth="1"/>
    <col min="1030" max="1031" width="10.140625" customWidth="1"/>
    <col min="1260" max="1260" width="11.5703125" customWidth="1"/>
    <col min="1262" max="1262" width="30.140625" customWidth="1"/>
    <col min="1263" max="1274" width="0" hidden="1" customWidth="1"/>
    <col min="1275" max="1275" width="15.28515625" customWidth="1"/>
    <col min="1276" max="1276" width="14.85546875" customWidth="1"/>
    <col min="1277" max="1277" width="14.140625" customWidth="1"/>
    <col min="1278" max="1278" width="8.28515625" customWidth="1"/>
    <col min="1279" max="1279" width="14" customWidth="1"/>
    <col min="1280" max="1280" width="13.28515625" customWidth="1"/>
    <col min="1283" max="1283" width="10.140625" bestFit="1" customWidth="1"/>
    <col min="1284" max="1284" width="14.5703125" customWidth="1"/>
    <col min="1285" max="1285" width="11.42578125" customWidth="1"/>
    <col min="1286" max="1287" width="10.140625" customWidth="1"/>
    <col min="1516" max="1516" width="11.5703125" customWidth="1"/>
    <col min="1518" max="1518" width="30.140625" customWidth="1"/>
    <col min="1519" max="1530" width="0" hidden="1" customWidth="1"/>
    <col min="1531" max="1531" width="15.28515625" customWidth="1"/>
    <col min="1532" max="1532" width="14.85546875" customWidth="1"/>
    <col min="1533" max="1533" width="14.140625" customWidth="1"/>
    <col min="1534" max="1534" width="8.28515625" customWidth="1"/>
    <col min="1535" max="1535" width="14" customWidth="1"/>
    <col min="1536" max="1536" width="13.28515625" customWidth="1"/>
    <col min="1539" max="1539" width="10.140625" bestFit="1" customWidth="1"/>
    <col min="1540" max="1540" width="14.5703125" customWidth="1"/>
    <col min="1541" max="1541" width="11.42578125" customWidth="1"/>
    <col min="1542" max="1543" width="10.140625" customWidth="1"/>
    <col min="1772" max="1772" width="11.5703125" customWidth="1"/>
    <col min="1774" max="1774" width="30.140625" customWidth="1"/>
    <col min="1775" max="1786" width="0" hidden="1" customWidth="1"/>
    <col min="1787" max="1787" width="15.28515625" customWidth="1"/>
    <col min="1788" max="1788" width="14.85546875" customWidth="1"/>
    <col min="1789" max="1789" width="14.140625" customWidth="1"/>
    <col min="1790" max="1790" width="8.28515625" customWidth="1"/>
    <col min="1791" max="1791" width="14" customWidth="1"/>
    <col min="1792" max="1792" width="13.28515625" customWidth="1"/>
    <col min="1795" max="1795" width="10.140625" bestFit="1" customWidth="1"/>
    <col min="1796" max="1796" width="14.5703125" customWidth="1"/>
    <col min="1797" max="1797" width="11.42578125" customWidth="1"/>
    <col min="1798" max="1799" width="10.140625" customWidth="1"/>
    <col min="2028" max="2028" width="11.5703125" customWidth="1"/>
    <col min="2030" max="2030" width="30.140625" customWidth="1"/>
    <col min="2031" max="2042" width="0" hidden="1" customWidth="1"/>
    <col min="2043" max="2043" width="15.28515625" customWidth="1"/>
    <col min="2044" max="2044" width="14.85546875" customWidth="1"/>
    <col min="2045" max="2045" width="14.140625" customWidth="1"/>
    <col min="2046" max="2046" width="8.28515625" customWidth="1"/>
    <col min="2047" max="2047" width="14" customWidth="1"/>
    <col min="2048" max="2048" width="13.28515625" customWidth="1"/>
    <col min="2051" max="2051" width="10.140625" bestFit="1" customWidth="1"/>
    <col min="2052" max="2052" width="14.5703125" customWidth="1"/>
    <col min="2053" max="2053" width="11.42578125" customWidth="1"/>
    <col min="2054" max="2055" width="10.140625" customWidth="1"/>
    <col min="2284" max="2284" width="11.5703125" customWidth="1"/>
    <col min="2286" max="2286" width="30.140625" customWidth="1"/>
    <col min="2287" max="2298" width="0" hidden="1" customWidth="1"/>
    <col min="2299" max="2299" width="15.28515625" customWidth="1"/>
    <col min="2300" max="2300" width="14.85546875" customWidth="1"/>
    <col min="2301" max="2301" width="14.140625" customWidth="1"/>
    <col min="2302" max="2302" width="8.28515625" customWidth="1"/>
    <col min="2303" max="2303" width="14" customWidth="1"/>
    <col min="2304" max="2304" width="13.28515625" customWidth="1"/>
    <col min="2307" max="2307" width="10.140625" bestFit="1" customWidth="1"/>
    <col min="2308" max="2308" width="14.5703125" customWidth="1"/>
    <col min="2309" max="2309" width="11.42578125" customWidth="1"/>
    <col min="2310" max="2311" width="10.140625" customWidth="1"/>
    <col min="2540" max="2540" width="11.5703125" customWidth="1"/>
    <col min="2542" max="2542" width="30.140625" customWidth="1"/>
    <col min="2543" max="2554" width="0" hidden="1" customWidth="1"/>
    <col min="2555" max="2555" width="15.28515625" customWidth="1"/>
    <col min="2556" max="2556" width="14.85546875" customWidth="1"/>
    <col min="2557" max="2557" width="14.140625" customWidth="1"/>
    <col min="2558" max="2558" width="8.28515625" customWidth="1"/>
    <col min="2559" max="2559" width="14" customWidth="1"/>
    <col min="2560" max="2560" width="13.28515625" customWidth="1"/>
    <col min="2563" max="2563" width="10.140625" bestFit="1" customWidth="1"/>
    <col min="2564" max="2564" width="14.5703125" customWidth="1"/>
    <col min="2565" max="2565" width="11.42578125" customWidth="1"/>
    <col min="2566" max="2567" width="10.140625" customWidth="1"/>
    <col min="2796" max="2796" width="11.5703125" customWidth="1"/>
    <col min="2798" max="2798" width="30.140625" customWidth="1"/>
    <col min="2799" max="2810" width="0" hidden="1" customWidth="1"/>
    <col min="2811" max="2811" width="15.28515625" customWidth="1"/>
    <col min="2812" max="2812" width="14.85546875" customWidth="1"/>
    <col min="2813" max="2813" width="14.140625" customWidth="1"/>
    <col min="2814" max="2814" width="8.28515625" customWidth="1"/>
    <col min="2815" max="2815" width="14" customWidth="1"/>
    <col min="2816" max="2816" width="13.28515625" customWidth="1"/>
    <col min="2819" max="2819" width="10.140625" bestFit="1" customWidth="1"/>
    <col min="2820" max="2820" width="14.5703125" customWidth="1"/>
    <col min="2821" max="2821" width="11.42578125" customWidth="1"/>
    <col min="2822" max="2823" width="10.140625" customWidth="1"/>
    <col min="3052" max="3052" width="11.5703125" customWidth="1"/>
    <col min="3054" max="3054" width="30.140625" customWidth="1"/>
    <col min="3055" max="3066" width="0" hidden="1" customWidth="1"/>
    <col min="3067" max="3067" width="15.28515625" customWidth="1"/>
    <col min="3068" max="3068" width="14.85546875" customWidth="1"/>
    <col min="3069" max="3069" width="14.140625" customWidth="1"/>
    <col min="3070" max="3070" width="8.28515625" customWidth="1"/>
    <col min="3071" max="3071" width="14" customWidth="1"/>
    <col min="3072" max="3072" width="13.28515625" customWidth="1"/>
    <col min="3075" max="3075" width="10.140625" bestFit="1" customWidth="1"/>
    <col min="3076" max="3076" width="14.5703125" customWidth="1"/>
    <col min="3077" max="3077" width="11.42578125" customWidth="1"/>
    <col min="3078" max="3079" width="10.140625" customWidth="1"/>
    <col min="3308" max="3308" width="11.5703125" customWidth="1"/>
    <col min="3310" max="3310" width="30.140625" customWidth="1"/>
    <col min="3311" max="3322" width="0" hidden="1" customWidth="1"/>
    <col min="3323" max="3323" width="15.28515625" customWidth="1"/>
    <col min="3324" max="3324" width="14.85546875" customWidth="1"/>
    <col min="3325" max="3325" width="14.140625" customWidth="1"/>
    <col min="3326" max="3326" width="8.28515625" customWidth="1"/>
    <col min="3327" max="3327" width="14" customWidth="1"/>
    <col min="3328" max="3328" width="13.28515625" customWidth="1"/>
    <col min="3331" max="3331" width="10.140625" bestFit="1" customWidth="1"/>
    <col min="3332" max="3332" width="14.5703125" customWidth="1"/>
    <col min="3333" max="3333" width="11.42578125" customWidth="1"/>
    <col min="3334" max="3335" width="10.140625" customWidth="1"/>
    <col min="3564" max="3564" width="11.5703125" customWidth="1"/>
    <col min="3566" max="3566" width="30.140625" customWidth="1"/>
    <col min="3567" max="3578" width="0" hidden="1" customWidth="1"/>
    <col min="3579" max="3579" width="15.28515625" customWidth="1"/>
    <col min="3580" max="3580" width="14.85546875" customWidth="1"/>
    <col min="3581" max="3581" width="14.140625" customWidth="1"/>
    <col min="3582" max="3582" width="8.28515625" customWidth="1"/>
    <col min="3583" max="3583" width="14" customWidth="1"/>
    <col min="3584" max="3584" width="13.28515625" customWidth="1"/>
    <col min="3587" max="3587" width="10.140625" bestFit="1" customWidth="1"/>
    <col min="3588" max="3588" width="14.5703125" customWidth="1"/>
    <col min="3589" max="3589" width="11.42578125" customWidth="1"/>
    <col min="3590" max="3591" width="10.140625" customWidth="1"/>
    <col min="3820" max="3820" width="11.5703125" customWidth="1"/>
    <col min="3822" max="3822" width="30.140625" customWidth="1"/>
    <col min="3823" max="3834" width="0" hidden="1" customWidth="1"/>
    <col min="3835" max="3835" width="15.28515625" customWidth="1"/>
    <col min="3836" max="3836" width="14.85546875" customWidth="1"/>
    <col min="3837" max="3837" width="14.140625" customWidth="1"/>
    <col min="3838" max="3838" width="8.28515625" customWidth="1"/>
    <col min="3839" max="3839" width="14" customWidth="1"/>
    <col min="3840" max="3840" width="13.28515625" customWidth="1"/>
    <col min="3843" max="3843" width="10.140625" bestFit="1" customWidth="1"/>
    <col min="3844" max="3844" width="14.5703125" customWidth="1"/>
    <col min="3845" max="3845" width="11.42578125" customWidth="1"/>
    <col min="3846" max="3847" width="10.140625" customWidth="1"/>
    <col min="4076" max="4076" width="11.5703125" customWidth="1"/>
    <col min="4078" max="4078" width="30.140625" customWidth="1"/>
    <col min="4079" max="4090" width="0" hidden="1" customWidth="1"/>
    <col min="4091" max="4091" width="15.28515625" customWidth="1"/>
    <col min="4092" max="4092" width="14.85546875" customWidth="1"/>
    <col min="4093" max="4093" width="14.140625" customWidth="1"/>
    <col min="4094" max="4094" width="8.28515625" customWidth="1"/>
    <col min="4095" max="4095" width="14" customWidth="1"/>
    <col min="4096" max="4096" width="13.28515625" customWidth="1"/>
    <col min="4099" max="4099" width="10.140625" bestFit="1" customWidth="1"/>
    <col min="4100" max="4100" width="14.5703125" customWidth="1"/>
    <col min="4101" max="4101" width="11.42578125" customWidth="1"/>
    <col min="4102" max="4103" width="10.140625" customWidth="1"/>
    <col min="4332" max="4332" width="11.5703125" customWidth="1"/>
    <col min="4334" max="4334" width="30.140625" customWidth="1"/>
    <col min="4335" max="4346" width="0" hidden="1" customWidth="1"/>
    <col min="4347" max="4347" width="15.28515625" customWidth="1"/>
    <col min="4348" max="4348" width="14.85546875" customWidth="1"/>
    <col min="4349" max="4349" width="14.140625" customWidth="1"/>
    <col min="4350" max="4350" width="8.28515625" customWidth="1"/>
    <col min="4351" max="4351" width="14" customWidth="1"/>
    <col min="4352" max="4352" width="13.28515625" customWidth="1"/>
    <col min="4355" max="4355" width="10.140625" bestFit="1" customWidth="1"/>
    <col min="4356" max="4356" width="14.5703125" customWidth="1"/>
    <col min="4357" max="4357" width="11.42578125" customWidth="1"/>
    <col min="4358" max="4359" width="10.140625" customWidth="1"/>
    <col min="4588" max="4588" width="11.5703125" customWidth="1"/>
    <col min="4590" max="4590" width="30.140625" customWidth="1"/>
    <col min="4591" max="4602" width="0" hidden="1" customWidth="1"/>
    <col min="4603" max="4603" width="15.28515625" customWidth="1"/>
    <col min="4604" max="4604" width="14.85546875" customWidth="1"/>
    <col min="4605" max="4605" width="14.140625" customWidth="1"/>
    <col min="4606" max="4606" width="8.28515625" customWidth="1"/>
    <col min="4607" max="4607" width="14" customWidth="1"/>
    <col min="4608" max="4608" width="13.28515625" customWidth="1"/>
    <col min="4611" max="4611" width="10.140625" bestFit="1" customWidth="1"/>
    <col min="4612" max="4612" width="14.5703125" customWidth="1"/>
    <col min="4613" max="4613" width="11.42578125" customWidth="1"/>
    <col min="4614" max="4615" width="10.140625" customWidth="1"/>
    <col min="4844" max="4844" width="11.5703125" customWidth="1"/>
    <col min="4846" max="4846" width="30.140625" customWidth="1"/>
    <col min="4847" max="4858" width="0" hidden="1" customWidth="1"/>
    <col min="4859" max="4859" width="15.28515625" customWidth="1"/>
    <col min="4860" max="4860" width="14.85546875" customWidth="1"/>
    <col min="4861" max="4861" width="14.140625" customWidth="1"/>
    <col min="4862" max="4862" width="8.28515625" customWidth="1"/>
    <col min="4863" max="4863" width="14" customWidth="1"/>
    <col min="4864" max="4864" width="13.28515625" customWidth="1"/>
    <col min="4867" max="4867" width="10.140625" bestFit="1" customWidth="1"/>
    <col min="4868" max="4868" width="14.5703125" customWidth="1"/>
    <col min="4869" max="4869" width="11.42578125" customWidth="1"/>
    <col min="4870" max="4871" width="10.140625" customWidth="1"/>
    <col min="5100" max="5100" width="11.5703125" customWidth="1"/>
    <col min="5102" max="5102" width="30.140625" customWidth="1"/>
    <col min="5103" max="5114" width="0" hidden="1" customWidth="1"/>
    <col min="5115" max="5115" width="15.28515625" customWidth="1"/>
    <col min="5116" max="5116" width="14.85546875" customWidth="1"/>
    <col min="5117" max="5117" width="14.140625" customWidth="1"/>
    <col min="5118" max="5118" width="8.28515625" customWidth="1"/>
    <col min="5119" max="5119" width="14" customWidth="1"/>
    <col min="5120" max="5120" width="13.28515625" customWidth="1"/>
    <col min="5123" max="5123" width="10.140625" bestFit="1" customWidth="1"/>
    <col min="5124" max="5124" width="14.5703125" customWidth="1"/>
    <col min="5125" max="5125" width="11.42578125" customWidth="1"/>
    <col min="5126" max="5127" width="10.140625" customWidth="1"/>
    <col min="5356" max="5356" width="11.5703125" customWidth="1"/>
    <col min="5358" max="5358" width="30.140625" customWidth="1"/>
    <col min="5359" max="5370" width="0" hidden="1" customWidth="1"/>
    <col min="5371" max="5371" width="15.28515625" customWidth="1"/>
    <col min="5372" max="5372" width="14.85546875" customWidth="1"/>
    <col min="5373" max="5373" width="14.140625" customWidth="1"/>
    <col min="5374" max="5374" width="8.28515625" customWidth="1"/>
    <col min="5375" max="5375" width="14" customWidth="1"/>
    <col min="5376" max="5376" width="13.28515625" customWidth="1"/>
    <col min="5379" max="5379" width="10.140625" bestFit="1" customWidth="1"/>
    <col min="5380" max="5380" width="14.5703125" customWidth="1"/>
    <col min="5381" max="5381" width="11.42578125" customWidth="1"/>
    <col min="5382" max="5383" width="10.140625" customWidth="1"/>
    <col min="5612" max="5612" width="11.5703125" customWidth="1"/>
    <col min="5614" max="5614" width="30.140625" customWidth="1"/>
    <col min="5615" max="5626" width="0" hidden="1" customWidth="1"/>
    <col min="5627" max="5627" width="15.28515625" customWidth="1"/>
    <col min="5628" max="5628" width="14.85546875" customWidth="1"/>
    <col min="5629" max="5629" width="14.140625" customWidth="1"/>
    <col min="5630" max="5630" width="8.28515625" customWidth="1"/>
    <col min="5631" max="5631" width="14" customWidth="1"/>
    <col min="5632" max="5632" width="13.28515625" customWidth="1"/>
    <col min="5635" max="5635" width="10.140625" bestFit="1" customWidth="1"/>
    <col min="5636" max="5636" width="14.5703125" customWidth="1"/>
    <col min="5637" max="5637" width="11.42578125" customWidth="1"/>
    <col min="5638" max="5639" width="10.140625" customWidth="1"/>
    <col min="5868" max="5868" width="11.5703125" customWidth="1"/>
    <col min="5870" max="5870" width="30.140625" customWidth="1"/>
    <col min="5871" max="5882" width="0" hidden="1" customWidth="1"/>
    <col min="5883" max="5883" width="15.28515625" customWidth="1"/>
    <col min="5884" max="5884" width="14.85546875" customWidth="1"/>
    <col min="5885" max="5885" width="14.140625" customWidth="1"/>
    <col min="5886" max="5886" width="8.28515625" customWidth="1"/>
    <col min="5887" max="5887" width="14" customWidth="1"/>
    <col min="5888" max="5888" width="13.28515625" customWidth="1"/>
    <col min="5891" max="5891" width="10.140625" bestFit="1" customWidth="1"/>
    <col min="5892" max="5892" width="14.5703125" customWidth="1"/>
    <col min="5893" max="5893" width="11.42578125" customWidth="1"/>
    <col min="5894" max="5895" width="10.140625" customWidth="1"/>
    <col min="6124" max="6124" width="11.5703125" customWidth="1"/>
    <col min="6126" max="6126" width="30.140625" customWidth="1"/>
    <col min="6127" max="6138" width="0" hidden="1" customWidth="1"/>
    <col min="6139" max="6139" width="15.28515625" customWidth="1"/>
    <col min="6140" max="6140" width="14.85546875" customWidth="1"/>
    <col min="6141" max="6141" width="14.140625" customWidth="1"/>
    <col min="6142" max="6142" width="8.28515625" customWidth="1"/>
    <col min="6143" max="6143" width="14" customWidth="1"/>
    <col min="6144" max="6144" width="13.28515625" customWidth="1"/>
    <col min="6147" max="6147" width="10.140625" bestFit="1" customWidth="1"/>
    <col min="6148" max="6148" width="14.5703125" customWidth="1"/>
    <col min="6149" max="6149" width="11.42578125" customWidth="1"/>
    <col min="6150" max="6151" width="10.140625" customWidth="1"/>
    <col min="6380" max="6380" width="11.5703125" customWidth="1"/>
    <col min="6382" max="6382" width="30.140625" customWidth="1"/>
    <col min="6383" max="6394" width="0" hidden="1" customWidth="1"/>
    <col min="6395" max="6395" width="15.28515625" customWidth="1"/>
    <col min="6396" max="6396" width="14.85546875" customWidth="1"/>
    <col min="6397" max="6397" width="14.140625" customWidth="1"/>
    <col min="6398" max="6398" width="8.28515625" customWidth="1"/>
    <col min="6399" max="6399" width="14" customWidth="1"/>
    <col min="6400" max="6400" width="13.28515625" customWidth="1"/>
    <col min="6403" max="6403" width="10.140625" bestFit="1" customWidth="1"/>
    <col min="6404" max="6404" width="14.5703125" customWidth="1"/>
    <col min="6405" max="6405" width="11.42578125" customWidth="1"/>
    <col min="6406" max="6407" width="10.140625" customWidth="1"/>
    <col min="6636" max="6636" width="11.5703125" customWidth="1"/>
    <col min="6638" max="6638" width="30.140625" customWidth="1"/>
    <col min="6639" max="6650" width="0" hidden="1" customWidth="1"/>
    <col min="6651" max="6651" width="15.28515625" customWidth="1"/>
    <col min="6652" max="6652" width="14.85546875" customWidth="1"/>
    <col min="6653" max="6653" width="14.140625" customWidth="1"/>
    <col min="6654" max="6654" width="8.28515625" customWidth="1"/>
    <col min="6655" max="6655" width="14" customWidth="1"/>
    <col min="6656" max="6656" width="13.28515625" customWidth="1"/>
    <col min="6659" max="6659" width="10.140625" bestFit="1" customWidth="1"/>
    <col min="6660" max="6660" width="14.5703125" customWidth="1"/>
    <col min="6661" max="6661" width="11.42578125" customWidth="1"/>
    <col min="6662" max="6663" width="10.140625" customWidth="1"/>
    <col min="6892" max="6892" width="11.5703125" customWidth="1"/>
    <col min="6894" max="6894" width="30.140625" customWidth="1"/>
    <col min="6895" max="6906" width="0" hidden="1" customWidth="1"/>
    <col min="6907" max="6907" width="15.28515625" customWidth="1"/>
    <col min="6908" max="6908" width="14.85546875" customWidth="1"/>
    <col min="6909" max="6909" width="14.140625" customWidth="1"/>
    <col min="6910" max="6910" width="8.28515625" customWidth="1"/>
    <col min="6911" max="6911" width="14" customWidth="1"/>
    <col min="6912" max="6912" width="13.28515625" customWidth="1"/>
    <col min="6915" max="6915" width="10.140625" bestFit="1" customWidth="1"/>
    <col min="6916" max="6916" width="14.5703125" customWidth="1"/>
    <col min="6917" max="6917" width="11.42578125" customWidth="1"/>
    <col min="6918" max="6919" width="10.140625" customWidth="1"/>
    <col min="7148" max="7148" width="11.5703125" customWidth="1"/>
    <col min="7150" max="7150" width="30.140625" customWidth="1"/>
    <col min="7151" max="7162" width="0" hidden="1" customWidth="1"/>
    <col min="7163" max="7163" width="15.28515625" customWidth="1"/>
    <col min="7164" max="7164" width="14.85546875" customWidth="1"/>
    <col min="7165" max="7165" width="14.140625" customWidth="1"/>
    <col min="7166" max="7166" width="8.28515625" customWidth="1"/>
    <col min="7167" max="7167" width="14" customWidth="1"/>
    <col min="7168" max="7168" width="13.28515625" customWidth="1"/>
    <col min="7171" max="7171" width="10.140625" bestFit="1" customWidth="1"/>
    <col min="7172" max="7172" width="14.5703125" customWidth="1"/>
    <col min="7173" max="7173" width="11.42578125" customWidth="1"/>
    <col min="7174" max="7175" width="10.140625" customWidth="1"/>
    <col min="7404" max="7404" width="11.5703125" customWidth="1"/>
    <col min="7406" max="7406" width="30.140625" customWidth="1"/>
    <col min="7407" max="7418" width="0" hidden="1" customWidth="1"/>
    <col min="7419" max="7419" width="15.28515625" customWidth="1"/>
    <col min="7420" max="7420" width="14.85546875" customWidth="1"/>
    <col min="7421" max="7421" width="14.140625" customWidth="1"/>
    <col min="7422" max="7422" width="8.28515625" customWidth="1"/>
    <col min="7423" max="7423" width="14" customWidth="1"/>
    <col min="7424" max="7424" width="13.28515625" customWidth="1"/>
    <col min="7427" max="7427" width="10.140625" bestFit="1" customWidth="1"/>
    <col min="7428" max="7428" width="14.5703125" customWidth="1"/>
    <col min="7429" max="7429" width="11.42578125" customWidth="1"/>
    <col min="7430" max="7431" width="10.140625" customWidth="1"/>
    <col min="7660" max="7660" width="11.5703125" customWidth="1"/>
    <col min="7662" max="7662" width="30.140625" customWidth="1"/>
    <col min="7663" max="7674" width="0" hidden="1" customWidth="1"/>
    <col min="7675" max="7675" width="15.28515625" customWidth="1"/>
    <col min="7676" max="7676" width="14.85546875" customWidth="1"/>
    <col min="7677" max="7677" width="14.140625" customWidth="1"/>
    <col min="7678" max="7678" width="8.28515625" customWidth="1"/>
    <col min="7679" max="7679" width="14" customWidth="1"/>
    <col min="7680" max="7680" width="13.28515625" customWidth="1"/>
    <col min="7683" max="7683" width="10.140625" bestFit="1" customWidth="1"/>
    <col min="7684" max="7684" width="14.5703125" customWidth="1"/>
    <col min="7685" max="7685" width="11.42578125" customWidth="1"/>
    <col min="7686" max="7687" width="10.140625" customWidth="1"/>
    <col min="7916" max="7916" width="11.5703125" customWidth="1"/>
    <col min="7918" max="7918" width="30.140625" customWidth="1"/>
    <col min="7919" max="7930" width="0" hidden="1" customWidth="1"/>
    <col min="7931" max="7931" width="15.28515625" customWidth="1"/>
    <col min="7932" max="7932" width="14.85546875" customWidth="1"/>
    <col min="7933" max="7933" width="14.140625" customWidth="1"/>
    <col min="7934" max="7934" width="8.28515625" customWidth="1"/>
    <col min="7935" max="7935" width="14" customWidth="1"/>
    <col min="7936" max="7936" width="13.28515625" customWidth="1"/>
    <col min="7939" max="7939" width="10.140625" bestFit="1" customWidth="1"/>
    <col min="7940" max="7940" width="14.5703125" customWidth="1"/>
    <col min="7941" max="7941" width="11.42578125" customWidth="1"/>
    <col min="7942" max="7943" width="10.140625" customWidth="1"/>
    <col min="8172" max="8172" width="11.5703125" customWidth="1"/>
    <col min="8174" max="8174" width="30.140625" customWidth="1"/>
    <col min="8175" max="8186" width="0" hidden="1" customWidth="1"/>
    <col min="8187" max="8187" width="15.28515625" customWidth="1"/>
    <col min="8188" max="8188" width="14.85546875" customWidth="1"/>
    <col min="8189" max="8189" width="14.140625" customWidth="1"/>
    <col min="8190" max="8190" width="8.28515625" customWidth="1"/>
    <col min="8191" max="8191" width="14" customWidth="1"/>
    <col min="8192" max="8192" width="13.28515625" customWidth="1"/>
    <col min="8195" max="8195" width="10.140625" bestFit="1" customWidth="1"/>
    <col min="8196" max="8196" width="14.5703125" customWidth="1"/>
    <col min="8197" max="8197" width="11.42578125" customWidth="1"/>
    <col min="8198" max="8199" width="10.140625" customWidth="1"/>
    <col min="8428" max="8428" width="11.5703125" customWidth="1"/>
    <col min="8430" max="8430" width="30.140625" customWidth="1"/>
    <col min="8431" max="8442" width="0" hidden="1" customWidth="1"/>
    <col min="8443" max="8443" width="15.28515625" customWidth="1"/>
    <col min="8444" max="8444" width="14.85546875" customWidth="1"/>
    <col min="8445" max="8445" width="14.140625" customWidth="1"/>
    <col min="8446" max="8446" width="8.28515625" customWidth="1"/>
    <col min="8447" max="8447" width="14" customWidth="1"/>
    <col min="8448" max="8448" width="13.28515625" customWidth="1"/>
    <col min="8451" max="8451" width="10.140625" bestFit="1" customWidth="1"/>
    <col min="8452" max="8452" width="14.5703125" customWidth="1"/>
    <col min="8453" max="8453" width="11.42578125" customWidth="1"/>
    <col min="8454" max="8455" width="10.140625" customWidth="1"/>
    <col min="8684" max="8684" width="11.5703125" customWidth="1"/>
    <col min="8686" max="8686" width="30.140625" customWidth="1"/>
    <col min="8687" max="8698" width="0" hidden="1" customWidth="1"/>
    <col min="8699" max="8699" width="15.28515625" customWidth="1"/>
    <col min="8700" max="8700" width="14.85546875" customWidth="1"/>
    <col min="8701" max="8701" width="14.140625" customWidth="1"/>
    <col min="8702" max="8702" width="8.28515625" customWidth="1"/>
    <col min="8703" max="8703" width="14" customWidth="1"/>
    <col min="8704" max="8704" width="13.28515625" customWidth="1"/>
    <col min="8707" max="8707" width="10.140625" bestFit="1" customWidth="1"/>
    <col min="8708" max="8708" width="14.5703125" customWidth="1"/>
    <col min="8709" max="8709" width="11.42578125" customWidth="1"/>
    <col min="8710" max="8711" width="10.140625" customWidth="1"/>
    <col min="8940" max="8940" width="11.5703125" customWidth="1"/>
    <col min="8942" max="8942" width="30.140625" customWidth="1"/>
    <col min="8943" max="8954" width="0" hidden="1" customWidth="1"/>
    <col min="8955" max="8955" width="15.28515625" customWidth="1"/>
    <col min="8956" max="8956" width="14.85546875" customWidth="1"/>
    <col min="8957" max="8957" width="14.140625" customWidth="1"/>
    <col min="8958" max="8958" width="8.28515625" customWidth="1"/>
    <col min="8959" max="8959" width="14" customWidth="1"/>
    <col min="8960" max="8960" width="13.28515625" customWidth="1"/>
    <col min="8963" max="8963" width="10.140625" bestFit="1" customWidth="1"/>
    <col min="8964" max="8964" width="14.5703125" customWidth="1"/>
    <col min="8965" max="8965" width="11.42578125" customWidth="1"/>
    <col min="8966" max="8967" width="10.140625" customWidth="1"/>
    <col min="9196" max="9196" width="11.5703125" customWidth="1"/>
    <col min="9198" max="9198" width="30.140625" customWidth="1"/>
    <col min="9199" max="9210" width="0" hidden="1" customWidth="1"/>
    <col min="9211" max="9211" width="15.28515625" customWidth="1"/>
    <col min="9212" max="9212" width="14.85546875" customWidth="1"/>
    <col min="9213" max="9213" width="14.140625" customWidth="1"/>
    <col min="9214" max="9214" width="8.28515625" customWidth="1"/>
    <col min="9215" max="9215" width="14" customWidth="1"/>
    <col min="9216" max="9216" width="13.28515625" customWidth="1"/>
    <col min="9219" max="9219" width="10.140625" bestFit="1" customWidth="1"/>
    <col min="9220" max="9220" width="14.5703125" customWidth="1"/>
    <col min="9221" max="9221" width="11.42578125" customWidth="1"/>
    <col min="9222" max="9223" width="10.140625" customWidth="1"/>
    <col min="9452" max="9452" width="11.5703125" customWidth="1"/>
    <col min="9454" max="9454" width="30.140625" customWidth="1"/>
    <col min="9455" max="9466" width="0" hidden="1" customWidth="1"/>
    <col min="9467" max="9467" width="15.28515625" customWidth="1"/>
    <col min="9468" max="9468" width="14.85546875" customWidth="1"/>
    <col min="9469" max="9469" width="14.140625" customWidth="1"/>
    <col min="9470" max="9470" width="8.28515625" customWidth="1"/>
    <col min="9471" max="9471" width="14" customWidth="1"/>
    <col min="9472" max="9472" width="13.28515625" customWidth="1"/>
    <col min="9475" max="9475" width="10.140625" bestFit="1" customWidth="1"/>
    <col min="9476" max="9476" width="14.5703125" customWidth="1"/>
    <col min="9477" max="9477" width="11.42578125" customWidth="1"/>
    <col min="9478" max="9479" width="10.140625" customWidth="1"/>
    <col min="9708" max="9708" width="11.5703125" customWidth="1"/>
    <col min="9710" max="9710" width="30.140625" customWidth="1"/>
    <col min="9711" max="9722" width="0" hidden="1" customWidth="1"/>
    <col min="9723" max="9723" width="15.28515625" customWidth="1"/>
    <col min="9724" max="9724" width="14.85546875" customWidth="1"/>
    <col min="9725" max="9725" width="14.140625" customWidth="1"/>
    <col min="9726" max="9726" width="8.28515625" customWidth="1"/>
    <col min="9727" max="9727" width="14" customWidth="1"/>
    <col min="9728" max="9728" width="13.28515625" customWidth="1"/>
    <col min="9731" max="9731" width="10.140625" bestFit="1" customWidth="1"/>
    <col min="9732" max="9732" width="14.5703125" customWidth="1"/>
    <col min="9733" max="9733" width="11.42578125" customWidth="1"/>
    <col min="9734" max="9735" width="10.140625" customWidth="1"/>
    <col min="9964" max="9964" width="11.5703125" customWidth="1"/>
    <col min="9966" max="9966" width="30.140625" customWidth="1"/>
    <col min="9967" max="9978" width="0" hidden="1" customWidth="1"/>
    <col min="9979" max="9979" width="15.28515625" customWidth="1"/>
    <col min="9980" max="9980" width="14.85546875" customWidth="1"/>
    <col min="9981" max="9981" width="14.140625" customWidth="1"/>
    <col min="9982" max="9982" width="8.28515625" customWidth="1"/>
    <col min="9983" max="9983" width="14" customWidth="1"/>
    <col min="9984" max="9984" width="13.28515625" customWidth="1"/>
    <col min="9987" max="9987" width="10.140625" bestFit="1" customWidth="1"/>
    <col min="9988" max="9988" width="14.5703125" customWidth="1"/>
    <col min="9989" max="9989" width="11.42578125" customWidth="1"/>
    <col min="9990" max="9991" width="10.140625" customWidth="1"/>
    <col min="10220" max="10220" width="11.5703125" customWidth="1"/>
    <col min="10222" max="10222" width="30.140625" customWidth="1"/>
    <col min="10223" max="10234" width="0" hidden="1" customWidth="1"/>
    <col min="10235" max="10235" width="15.28515625" customWidth="1"/>
    <col min="10236" max="10236" width="14.85546875" customWidth="1"/>
    <col min="10237" max="10237" width="14.140625" customWidth="1"/>
    <col min="10238" max="10238" width="8.28515625" customWidth="1"/>
    <col min="10239" max="10239" width="14" customWidth="1"/>
    <col min="10240" max="10240" width="13.28515625" customWidth="1"/>
    <col min="10243" max="10243" width="10.140625" bestFit="1" customWidth="1"/>
    <col min="10244" max="10244" width="14.5703125" customWidth="1"/>
    <col min="10245" max="10245" width="11.42578125" customWidth="1"/>
    <col min="10246" max="10247" width="10.140625" customWidth="1"/>
    <col min="10476" max="10476" width="11.5703125" customWidth="1"/>
    <col min="10478" max="10478" width="30.140625" customWidth="1"/>
    <col min="10479" max="10490" width="0" hidden="1" customWidth="1"/>
    <col min="10491" max="10491" width="15.28515625" customWidth="1"/>
    <col min="10492" max="10492" width="14.85546875" customWidth="1"/>
    <col min="10493" max="10493" width="14.140625" customWidth="1"/>
    <col min="10494" max="10494" width="8.28515625" customWidth="1"/>
    <col min="10495" max="10495" width="14" customWidth="1"/>
    <col min="10496" max="10496" width="13.28515625" customWidth="1"/>
    <col min="10499" max="10499" width="10.140625" bestFit="1" customWidth="1"/>
    <col min="10500" max="10500" width="14.5703125" customWidth="1"/>
    <col min="10501" max="10501" width="11.42578125" customWidth="1"/>
    <col min="10502" max="10503" width="10.140625" customWidth="1"/>
    <col min="10732" max="10732" width="11.5703125" customWidth="1"/>
    <col min="10734" max="10734" width="30.140625" customWidth="1"/>
    <col min="10735" max="10746" width="0" hidden="1" customWidth="1"/>
    <col min="10747" max="10747" width="15.28515625" customWidth="1"/>
    <col min="10748" max="10748" width="14.85546875" customWidth="1"/>
    <col min="10749" max="10749" width="14.140625" customWidth="1"/>
    <col min="10750" max="10750" width="8.28515625" customWidth="1"/>
    <col min="10751" max="10751" width="14" customWidth="1"/>
    <col min="10752" max="10752" width="13.28515625" customWidth="1"/>
    <col min="10755" max="10755" width="10.140625" bestFit="1" customWidth="1"/>
    <col min="10756" max="10756" width="14.5703125" customWidth="1"/>
    <col min="10757" max="10757" width="11.42578125" customWidth="1"/>
    <col min="10758" max="10759" width="10.140625" customWidth="1"/>
    <col min="10988" max="10988" width="11.5703125" customWidth="1"/>
    <col min="10990" max="10990" width="30.140625" customWidth="1"/>
    <col min="10991" max="11002" width="0" hidden="1" customWidth="1"/>
    <col min="11003" max="11003" width="15.28515625" customWidth="1"/>
    <col min="11004" max="11004" width="14.85546875" customWidth="1"/>
    <col min="11005" max="11005" width="14.140625" customWidth="1"/>
    <col min="11006" max="11006" width="8.28515625" customWidth="1"/>
    <col min="11007" max="11007" width="14" customWidth="1"/>
    <col min="11008" max="11008" width="13.28515625" customWidth="1"/>
    <col min="11011" max="11011" width="10.140625" bestFit="1" customWidth="1"/>
    <col min="11012" max="11012" width="14.5703125" customWidth="1"/>
    <col min="11013" max="11013" width="11.42578125" customWidth="1"/>
    <col min="11014" max="11015" width="10.140625" customWidth="1"/>
    <col min="11244" max="11244" width="11.5703125" customWidth="1"/>
    <col min="11246" max="11246" width="30.140625" customWidth="1"/>
    <col min="11247" max="11258" width="0" hidden="1" customWidth="1"/>
    <col min="11259" max="11259" width="15.28515625" customWidth="1"/>
    <col min="11260" max="11260" width="14.85546875" customWidth="1"/>
    <col min="11261" max="11261" width="14.140625" customWidth="1"/>
    <col min="11262" max="11262" width="8.28515625" customWidth="1"/>
    <col min="11263" max="11263" width="14" customWidth="1"/>
    <col min="11264" max="11264" width="13.28515625" customWidth="1"/>
    <col min="11267" max="11267" width="10.140625" bestFit="1" customWidth="1"/>
    <col min="11268" max="11268" width="14.5703125" customWidth="1"/>
    <col min="11269" max="11269" width="11.42578125" customWidth="1"/>
    <col min="11270" max="11271" width="10.140625" customWidth="1"/>
    <col min="11500" max="11500" width="11.5703125" customWidth="1"/>
    <col min="11502" max="11502" width="30.140625" customWidth="1"/>
    <col min="11503" max="11514" width="0" hidden="1" customWidth="1"/>
    <col min="11515" max="11515" width="15.28515625" customWidth="1"/>
    <col min="11516" max="11516" width="14.85546875" customWidth="1"/>
    <col min="11517" max="11517" width="14.140625" customWidth="1"/>
    <col min="11518" max="11518" width="8.28515625" customWidth="1"/>
    <col min="11519" max="11519" width="14" customWidth="1"/>
    <col min="11520" max="11520" width="13.28515625" customWidth="1"/>
    <col min="11523" max="11523" width="10.140625" bestFit="1" customWidth="1"/>
    <col min="11524" max="11524" width="14.5703125" customWidth="1"/>
    <col min="11525" max="11525" width="11.42578125" customWidth="1"/>
    <col min="11526" max="11527" width="10.140625" customWidth="1"/>
    <col min="11756" max="11756" width="11.5703125" customWidth="1"/>
    <col min="11758" max="11758" width="30.140625" customWidth="1"/>
    <col min="11759" max="11770" width="0" hidden="1" customWidth="1"/>
    <col min="11771" max="11771" width="15.28515625" customWidth="1"/>
    <col min="11772" max="11772" width="14.85546875" customWidth="1"/>
    <col min="11773" max="11773" width="14.140625" customWidth="1"/>
    <col min="11774" max="11774" width="8.28515625" customWidth="1"/>
    <col min="11775" max="11775" width="14" customWidth="1"/>
    <col min="11776" max="11776" width="13.28515625" customWidth="1"/>
    <col min="11779" max="11779" width="10.140625" bestFit="1" customWidth="1"/>
    <col min="11780" max="11780" width="14.5703125" customWidth="1"/>
    <col min="11781" max="11781" width="11.42578125" customWidth="1"/>
    <col min="11782" max="11783" width="10.140625" customWidth="1"/>
    <col min="12012" max="12012" width="11.5703125" customWidth="1"/>
    <col min="12014" max="12014" width="30.140625" customWidth="1"/>
    <col min="12015" max="12026" width="0" hidden="1" customWidth="1"/>
    <col min="12027" max="12027" width="15.28515625" customWidth="1"/>
    <col min="12028" max="12028" width="14.85546875" customWidth="1"/>
    <col min="12029" max="12029" width="14.140625" customWidth="1"/>
    <col min="12030" max="12030" width="8.28515625" customWidth="1"/>
    <col min="12031" max="12031" width="14" customWidth="1"/>
    <col min="12032" max="12032" width="13.28515625" customWidth="1"/>
    <col min="12035" max="12035" width="10.140625" bestFit="1" customWidth="1"/>
    <col min="12036" max="12036" width="14.5703125" customWidth="1"/>
    <col min="12037" max="12037" width="11.42578125" customWidth="1"/>
    <col min="12038" max="12039" width="10.140625" customWidth="1"/>
    <col min="12268" max="12268" width="11.5703125" customWidth="1"/>
    <col min="12270" max="12270" width="30.140625" customWidth="1"/>
    <col min="12271" max="12282" width="0" hidden="1" customWidth="1"/>
    <col min="12283" max="12283" width="15.28515625" customWidth="1"/>
    <col min="12284" max="12284" width="14.85546875" customWidth="1"/>
    <col min="12285" max="12285" width="14.140625" customWidth="1"/>
    <col min="12286" max="12286" width="8.28515625" customWidth="1"/>
    <col min="12287" max="12287" width="14" customWidth="1"/>
    <col min="12288" max="12288" width="13.28515625" customWidth="1"/>
    <col min="12291" max="12291" width="10.140625" bestFit="1" customWidth="1"/>
    <col min="12292" max="12292" width="14.5703125" customWidth="1"/>
    <col min="12293" max="12293" width="11.42578125" customWidth="1"/>
    <col min="12294" max="12295" width="10.140625" customWidth="1"/>
    <col min="12524" max="12524" width="11.5703125" customWidth="1"/>
    <col min="12526" max="12526" width="30.140625" customWidth="1"/>
    <col min="12527" max="12538" width="0" hidden="1" customWidth="1"/>
    <col min="12539" max="12539" width="15.28515625" customWidth="1"/>
    <col min="12540" max="12540" width="14.85546875" customWidth="1"/>
    <col min="12541" max="12541" width="14.140625" customWidth="1"/>
    <col min="12542" max="12542" width="8.28515625" customWidth="1"/>
    <col min="12543" max="12543" width="14" customWidth="1"/>
    <col min="12544" max="12544" width="13.28515625" customWidth="1"/>
    <col min="12547" max="12547" width="10.140625" bestFit="1" customWidth="1"/>
    <col min="12548" max="12548" width="14.5703125" customWidth="1"/>
    <col min="12549" max="12549" width="11.42578125" customWidth="1"/>
    <col min="12550" max="12551" width="10.140625" customWidth="1"/>
    <col min="12780" max="12780" width="11.5703125" customWidth="1"/>
    <col min="12782" max="12782" width="30.140625" customWidth="1"/>
    <col min="12783" max="12794" width="0" hidden="1" customWidth="1"/>
    <col min="12795" max="12795" width="15.28515625" customWidth="1"/>
    <col min="12796" max="12796" width="14.85546875" customWidth="1"/>
    <col min="12797" max="12797" width="14.140625" customWidth="1"/>
    <col min="12798" max="12798" width="8.28515625" customWidth="1"/>
    <col min="12799" max="12799" width="14" customWidth="1"/>
    <col min="12800" max="12800" width="13.28515625" customWidth="1"/>
    <col min="12803" max="12803" width="10.140625" bestFit="1" customWidth="1"/>
    <col min="12804" max="12804" width="14.5703125" customWidth="1"/>
    <col min="12805" max="12805" width="11.42578125" customWidth="1"/>
    <col min="12806" max="12807" width="10.140625" customWidth="1"/>
    <col min="13036" max="13036" width="11.5703125" customWidth="1"/>
    <col min="13038" max="13038" width="30.140625" customWidth="1"/>
    <col min="13039" max="13050" width="0" hidden="1" customWidth="1"/>
    <col min="13051" max="13051" width="15.28515625" customWidth="1"/>
    <col min="13052" max="13052" width="14.85546875" customWidth="1"/>
    <col min="13053" max="13053" width="14.140625" customWidth="1"/>
    <col min="13054" max="13054" width="8.28515625" customWidth="1"/>
    <col min="13055" max="13055" width="14" customWidth="1"/>
    <col min="13056" max="13056" width="13.28515625" customWidth="1"/>
    <col min="13059" max="13059" width="10.140625" bestFit="1" customWidth="1"/>
    <col min="13060" max="13060" width="14.5703125" customWidth="1"/>
    <col min="13061" max="13061" width="11.42578125" customWidth="1"/>
    <col min="13062" max="13063" width="10.140625" customWidth="1"/>
    <col min="13292" max="13292" width="11.5703125" customWidth="1"/>
    <col min="13294" max="13294" width="30.140625" customWidth="1"/>
    <col min="13295" max="13306" width="0" hidden="1" customWidth="1"/>
    <col min="13307" max="13307" width="15.28515625" customWidth="1"/>
    <col min="13308" max="13308" width="14.85546875" customWidth="1"/>
    <col min="13309" max="13309" width="14.140625" customWidth="1"/>
    <col min="13310" max="13310" width="8.28515625" customWidth="1"/>
    <col min="13311" max="13311" width="14" customWidth="1"/>
    <col min="13312" max="13312" width="13.28515625" customWidth="1"/>
    <col min="13315" max="13315" width="10.140625" bestFit="1" customWidth="1"/>
    <col min="13316" max="13316" width="14.5703125" customWidth="1"/>
    <col min="13317" max="13317" width="11.42578125" customWidth="1"/>
    <col min="13318" max="13319" width="10.140625" customWidth="1"/>
    <col min="13548" max="13548" width="11.5703125" customWidth="1"/>
    <col min="13550" max="13550" width="30.140625" customWidth="1"/>
    <col min="13551" max="13562" width="0" hidden="1" customWidth="1"/>
    <col min="13563" max="13563" width="15.28515625" customWidth="1"/>
    <col min="13564" max="13564" width="14.85546875" customWidth="1"/>
    <col min="13565" max="13565" width="14.140625" customWidth="1"/>
    <col min="13566" max="13566" width="8.28515625" customWidth="1"/>
    <col min="13567" max="13567" width="14" customWidth="1"/>
    <col min="13568" max="13568" width="13.28515625" customWidth="1"/>
    <col min="13571" max="13571" width="10.140625" bestFit="1" customWidth="1"/>
    <col min="13572" max="13572" width="14.5703125" customWidth="1"/>
    <col min="13573" max="13573" width="11.42578125" customWidth="1"/>
    <col min="13574" max="13575" width="10.140625" customWidth="1"/>
    <col min="13804" max="13804" width="11.5703125" customWidth="1"/>
    <col min="13806" max="13806" width="30.140625" customWidth="1"/>
    <col min="13807" max="13818" width="0" hidden="1" customWidth="1"/>
    <col min="13819" max="13819" width="15.28515625" customWidth="1"/>
    <col min="13820" max="13820" width="14.85546875" customWidth="1"/>
    <col min="13821" max="13821" width="14.140625" customWidth="1"/>
    <col min="13822" max="13822" width="8.28515625" customWidth="1"/>
    <col min="13823" max="13823" width="14" customWidth="1"/>
    <col min="13824" max="13824" width="13.28515625" customWidth="1"/>
    <col min="13827" max="13827" width="10.140625" bestFit="1" customWidth="1"/>
    <col min="13828" max="13828" width="14.5703125" customWidth="1"/>
    <col min="13829" max="13829" width="11.42578125" customWidth="1"/>
    <col min="13830" max="13831" width="10.140625" customWidth="1"/>
    <col min="14060" max="14060" width="11.5703125" customWidth="1"/>
    <col min="14062" max="14062" width="30.140625" customWidth="1"/>
    <col min="14063" max="14074" width="0" hidden="1" customWidth="1"/>
    <col min="14075" max="14075" width="15.28515625" customWidth="1"/>
    <col min="14076" max="14076" width="14.85546875" customWidth="1"/>
    <col min="14077" max="14077" width="14.140625" customWidth="1"/>
    <col min="14078" max="14078" width="8.28515625" customWidth="1"/>
    <col min="14079" max="14079" width="14" customWidth="1"/>
    <col min="14080" max="14080" width="13.28515625" customWidth="1"/>
    <col min="14083" max="14083" width="10.140625" bestFit="1" customWidth="1"/>
    <col min="14084" max="14084" width="14.5703125" customWidth="1"/>
    <col min="14085" max="14085" width="11.42578125" customWidth="1"/>
    <col min="14086" max="14087" width="10.140625" customWidth="1"/>
    <col min="14316" max="14316" width="11.5703125" customWidth="1"/>
    <col min="14318" max="14318" width="30.140625" customWidth="1"/>
    <col min="14319" max="14330" width="0" hidden="1" customWidth="1"/>
    <col min="14331" max="14331" width="15.28515625" customWidth="1"/>
    <col min="14332" max="14332" width="14.85546875" customWidth="1"/>
    <col min="14333" max="14333" width="14.140625" customWidth="1"/>
    <col min="14334" max="14334" width="8.28515625" customWidth="1"/>
    <col min="14335" max="14335" width="14" customWidth="1"/>
    <col min="14336" max="14336" width="13.28515625" customWidth="1"/>
    <col min="14339" max="14339" width="10.140625" bestFit="1" customWidth="1"/>
    <col min="14340" max="14340" width="14.5703125" customWidth="1"/>
    <col min="14341" max="14341" width="11.42578125" customWidth="1"/>
    <col min="14342" max="14343" width="10.140625" customWidth="1"/>
    <col min="14572" max="14572" width="11.5703125" customWidth="1"/>
    <col min="14574" max="14574" width="30.140625" customWidth="1"/>
    <col min="14575" max="14586" width="0" hidden="1" customWidth="1"/>
    <col min="14587" max="14587" width="15.28515625" customWidth="1"/>
    <col min="14588" max="14588" width="14.85546875" customWidth="1"/>
    <col min="14589" max="14589" width="14.140625" customWidth="1"/>
    <col min="14590" max="14590" width="8.28515625" customWidth="1"/>
    <col min="14591" max="14591" width="14" customWidth="1"/>
    <col min="14592" max="14592" width="13.28515625" customWidth="1"/>
    <col min="14595" max="14595" width="10.140625" bestFit="1" customWidth="1"/>
    <col min="14596" max="14596" width="14.5703125" customWidth="1"/>
    <col min="14597" max="14597" width="11.42578125" customWidth="1"/>
    <col min="14598" max="14599" width="10.140625" customWidth="1"/>
    <col min="14828" max="14828" width="11.5703125" customWidth="1"/>
    <col min="14830" max="14830" width="30.140625" customWidth="1"/>
    <col min="14831" max="14842" width="0" hidden="1" customWidth="1"/>
    <col min="14843" max="14843" width="15.28515625" customWidth="1"/>
    <col min="14844" max="14844" width="14.85546875" customWidth="1"/>
    <col min="14845" max="14845" width="14.140625" customWidth="1"/>
    <col min="14846" max="14846" width="8.28515625" customWidth="1"/>
    <col min="14847" max="14847" width="14" customWidth="1"/>
    <col min="14848" max="14848" width="13.28515625" customWidth="1"/>
    <col min="14851" max="14851" width="10.140625" bestFit="1" customWidth="1"/>
    <col min="14852" max="14852" width="14.5703125" customWidth="1"/>
    <col min="14853" max="14853" width="11.42578125" customWidth="1"/>
    <col min="14854" max="14855" width="10.140625" customWidth="1"/>
    <col min="15084" max="15084" width="11.5703125" customWidth="1"/>
    <col min="15086" max="15086" width="30.140625" customWidth="1"/>
    <col min="15087" max="15098" width="0" hidden="1" customWidth="1"/>
    <col min="15099" max="15099" width="15.28515625" customWidth="1"/>
    <col min="15100" max="15100" width="14.85546875" customWidth="1"/>
    <col min="15101" max="15101" width="14.140625" customWidth="1"/>
    <col min="15102" max="15102" width="8.28515625" customWidth="1"/>
    <col min="15103" max="15103" width="14" customWidth="1"/>
    <col min="15104" max="15104" width="13.28515625" customWidth="1"/>
    <col min="15107" max="15107" width="10.140625" bestFit="1" customWidth="1"/>
    <col min="15108" max="15108" width="14.5703125" customWidth="1"/>
    <col min="15109" max="15109" width="11.42578125" customWidth="1"/>
    <col min="15110" max="15111" width="10.140625" customWidth="1"/>
    <col min="15340" max="15340" width="11.5703125" customWidth="1"/>
    <col min="15342" max="15342" width="30.140625" customWidth="1"/>
    <col min="15343" max="15354" width="0" hidden="1" customWidth="1"/>
    <col min="15355" max="15355" width="15.28515625" customWidth="1"/>
    <col min="15356" max="15356" width="14.85546875" customWidth="1"/>
    <col min="15357" max="15357" width="14.140625" customWidth="1"/>
    <col min="15358" max="15358" width="8.28515625" customWidth="1"/>
    <col min="15359" max="15359" width="14" customWidth="1"/>
    <col min="15360" max="15360" width="13.28515625" customWidth="1"/>
    <col min="15363" max="15363" width="10.140625" bestFit="1" customWidth="1"/>
    <col min="15364" max="15364" width="14.5703125" customWidth="1"/>
    <col min="15365" max="15365" width="11.42578125" customWidth="1"/>
    <col min="15366" max="15367" width="10.140625" customWidth="1"/>
    <col min="15596" max="15596" width="11.5703125" customWidth="1"/>
    <col min="15598" max="15598" width="30.140625" customWidth="1"/>
    <col min="15599" max="15610" width="0" hidden="1" customWidth="1"/>
    <col min="15611" max="15611" width="15.28515625" customWidth="1"/>
    <col min="15612" max="15612" width="14.85546875" customWidth="1"/>
    <col min="15613" max="15613" width="14.140625" customWidth="1"/>
    <col min="15614" max="15614" width="8.28515625" customWidth="1"/>
    <col min="15615" max="15615" width="14" customWidth="1"/>
    <col min="15616" max="15616" width="13.28515625" customWidth="1"/>
    <col min="15619" max="15619" width="10.140625" bestFit="1" customWidth="1"/>
    <col min="15620" max="15620" width="14.5703125" customWidth="1"/>
    <col min="15621" max="15621" width="11.42578125" customWidth="1"/>
    <col min="15622" max="15623" width="10.140625" customWidth="1"/>
    <col min="15852" max="15852" width="11.5703125" customWidth="1"/>
    <col min="15854" max="15854" width="30.140625" customWidth="1"/>
    <col min="15855" max="15866" width="0" hidden="1" customWidth="1"/>
    <col min="15867" max="15867" width="15.28515625" customWidth="1"/>
    <col min="15868" max="15868" width="14.85546875" customWidth="1"/>
    <col min="15869" max="15869" width="14.140625" customWidth="1"/>
    <col min="15870" max="15870" width="8.28515625" customWidth="1"/>
    <col min="15871" max="15871" width="14" customWidth="1"/>
    <col min="15872" max="15872" width="13.28515625" customWidth="1"/>
    <col min="15875" max="15875" width="10.140625" bestFit="1" customWidth="1"/>
    <col min="15876" max="15876" width="14.5703125" customWidth="1"/>
    <col min="15877" max="15877" width="11.42578125" customWidth="1"/>
    <col min="15878" max="15879" width="10.140625" customWidth="1"/>
    <col min="16108" max="16108" width="11.5703125" customWidth="1"/>
    <col min="16110" max="16110" width="30.140625" customWidth="1"/>
    <col min="16111" max="16122" width="0" hidden="1" customWidth="1"/>
    <col min="16123" max="16123" width="15.28515625" customWidth="1"/>
    <col min="16124" max="16124" width="14.85546875" customWidth="1"/>
    <col min="16125" max="16125" width="14.140625" customWidth="1"/>
    <col min="16126" max="16126" width="8.28515625" customWidth="1"/>
    <col min="16127" max="16127" width="14" customWidth="1"/>
    <col min="16128" max="16128" width="13.28515625" customWidth="1"/>
    <col min="16131" max="16131" width="10.140625" bestFit="1" customWidth="1"/>
    <col min="16132" max="16132" width="14.5703125" customWidth="1"/>
    <col min="16133" max="16133" width="11.42578125" customWidth="1"/>
    <col min="16134" max="16135" width="10.140625" customWidth="1"/>
  </cols>
  <sheetData>
    <row r="1" spans="1:20" ht="15.75" thickBot="1" x14ac:dyDescent="0.3">
      <c r="A1" s="784" t="s">
        <v>386</v>
      </c>
      <c r="B1" s="784"/>
      <c r="C1" s="784"/>
    </row>
    <row r="2" spans="1:20" ht="14.25" customHeight="1" thickTop="1" x14ac:dyDescent="0.25">
      <c r="A2" s="824" t="s">
        <v>105</v>
      </c>
      <c r="B2" s="826" t="s">
        <v>1</v>
      </c>
      <c r="C2" s="828" t="s">
        <v>106</v>
      </c>
      <c r="D2" s="756" t="s">
        <v>107</v>
      </c>
      <c r="E2" s="756" t="s">
        <v>108</v>
      </c>
      <c r="F2" s="756" t="s">
        <v>109</v>
      </c>
      <c r="G2" s="756" t="s">
        <v>110</v>
      </c>
      <c r="H2" s="756" t="s">
        <v>111</v>
      </c>
      <c r="I2" s="756" t="s">
        <v>8</v>
      </c>
      <c r="J2" s="756" t="s">
        <v>9</v>
      </c>
      <c r="K2" s="756" t="s">
        <v>10</v>
      </c>
      <c r="L2" s="756" t="s">
        <v>11</v>
      </c>
      <c r="M2" s="756" t="s">
        <v>12</v>
      </c>
      <c r="N2" s="756" t="s">
        <v>13</v>
      </c>
      <c r="O2" s="756" t="s">
        <v>14</v>
      </c>
      <c r="P2" s="756" t="s">
        <v>15</v>
      </c>
      <c r="Q2" s="756" t="s">
        <v>429</v>
      </c>
      <c r="R2" s="830" t="s">
        <v>400</v>
      </c>
      <c r="S2" s="734" t="s">
        <v>463</v>
      </c>
      <c r="T2" s="738" t="s">
        <v>464</v>
      </c>
    </row>
    <row r="3" spans="1:20" ht="33" customHeight="1" thickBot="1" x14ac:dyDescent="0.3">
      <c r="A3" s="825"/>
      <c r="B3" s="827"/>
      <c r="C3" s="829"/>
      <c r="D3" s="757"/>
      <c r="E3" s="757"/>
      <c r="F3" s="757"/>
      <c r="G3" s="757"/>
      <c r="H3" s="757"/>
      <c r="I3" s="757"/>
      <c r="J3" s="757"/>
      <c r="K3" s="757"/>
      <c r="L3" s="757"/>
      <c r="M3" s="757"/>
      <c r="N3" s="757"/>
      <c r="O3" s="757"/>
      <c r="P3" s="757"/>
      <c r="Q3" s="757"/>
      <c r="R3" s="831"/>
      <c r="S3" s="735"/>
      <c r="T3" s="739"/>
    </row>
    <row r="4" spans="1:20" ht="33" customHeight="1" thickTop="1" thickBot="1" x14ac:dyDescent="0.3">
      <c r="A4" s="136" t="s">
        <v>112</v>
      </c>
      <c r="B4" s="822" t="s">
        <v>113</v>
      </c>
      <c r="C4" s="823"/>
      <c r="D4" s="137">
        <v>778928</v>
      </c>
      <c r="E4" s="137">
        <v>871108</v>
      </c>
      <c r="F4" s="137">
        <v>1155712</v>
      </c>
      <c r="G4" s="137">
        <v>1166481</v>
      </c>
      <c r="H4" s="137">
        <v>1147628</v>
      </c>
      <c r="I4" s="137">
        <v>985015</v>
      </c>
      <c r="J4" s="137">
        <v>971730</v>
      </c>
      <c r="K4" s="137">
        <v>883614</v>
      </c>
      <c r="L4" s="138">
        <v>976223.29</v>
      </c>
      <c r="M4" s="138">
        <v>957107.49</v>
      </c>
      <c r="N4" s="139">
        <v>918554.61999999988</v>
      </c>
      <c r="O4" s="140">
        <v>1019134.8</v>
      </c>
      <c r="P4" s="140">
        <v>1045488.5499999999</v>
      </c>
      <c r="Q4" s="140">
        <f>SUM(Q5:Q8)</f>
        <v>1307060.76</v>
      </c>
      <c r="R4" s="139">
        <f>SUM(R5:R8)</f>
        <v>1448073</v>
      </c>
      <c r="S4" s="682">
        <f t="shared" ref="S4" si="0">SUM(S5:S8)</f>
        <v>1380342.6999999997</v>
      </c>
      <c r="T4" s="649">
        <f t="shared" ref="T4:T67" si="1">IF(R4=0,0,ROUND(S4/R4*100,2))</f>
        <v>95.32</v>
      </c>
    </row>
    <row r="5" spans="1:20" x14ac:dyDescent="0.25">
      <c r="A5" s="748"/>
      <c r="B5" s="141">
        <v>610</v>
      </c>
      <c r="C5" s="57" t="s">
        <v>114</v>
      </c>
      <c r="D5" s="58">
        <v>363938</v>
      </c>
      <c r="E5" s="58">
        <v>383290</v>
      </c>
      <c r="F5" s="58">
        <v>452765</v>
      </c>
      <c r="G5" s="58">
        <v>532728</v>
      </c>
      <c r="H5" s="58">
        <v>538578</v>
      </c>
      <c r="I5" s="57">
        <v>504967</v>
      </c>
      <c r="J5" s="58">
        <v>465252</v>
      </c>
      <c r="K5" s="58">
        <v>431649</v>
      </c>
      <c r="L5" s="124">
        <v>437364.06</v>
      </c>
      <c r="M5" s="124">
        <v>454979.56</v>
      </c>
      <c r="N5" s="20">
        <v>470394.73</v>
      </c>
      <c r="O5" s="19">
        <v>508902.26</v>
      </c>
      <c r="P5" s="19">
        <v>540360.73</v>
      </c>
      <c r="Q5" s="19">
        <v>702314.57</v>
      </c>
      <c r="R5" s="142">
        <v>749052</v>
      </c>
      <c r="S5" s="683">
        <v>728974.45</v>
      </c>
      <c r="T5" s="566">
        <f t="shared" si="1"/>
        <v>97.32</v>
      </c>
    </row>
    <row r="6" spans="1:20" x14ac:dyDescent="0.25">
      <c r="A6" s="749"/>
      <c r="B6" s="143">
        <v>620</v>
      </c>
      <c r="C6" s="59" t="s">
        <v>115</v>
      </c>
      <c r="D6" s="60">
        <v>111465</v>
      </c>
      <c r="E6" s="60">
        <v>132411</v>
      </c>
      <c r="F6" s="60">
        <v>158202</v>
      </c>
      <c r="G6" s="60">
        <v>187864</v>
      </c>
      <c r="H6" s="60">
        <v>188430</v>
      </c>
      <c r="I6" s="59">
        <v>189093</v>
      </c>
      <c r="J6" s="60">
        <v>179953</v>
      </c>
      <c r="K6" s="60">
        <v>175243</v>
      </c>
      <c r="L6" s="125">
        <v>178000.1</v>
      </c>
      <c r="M6" s="125">
        <v>174131.76</v>
      </c>
      <c r="N6" s="26">
        <v>179809.87</v>
      </c>
      <c r="O6" s="25">
        <v>197673.12</v>
      </c>
      <c r="P6" s="25">
        <v>207010.55</v>
      </c>
      <c r="Q6" s="25">
        <v>266731.95</v>
      </c>
      <c r="R6" s="26">
        <v>277681</v>
      </c>
      <c r="S6" s="683">
        <v>275288.96999999997</v>
      </c>
      <c r="T6" s="564">
        <f t="shared" si="1"/>
        <v>99.14</v>
      </c>
    </row>
    <row r="7" spans="1:20" x14ac:dyDescent="0.25">
      <c r="A7" s="749"/>
      <c r="B7" s="143">
        <v>630</v>
      </c>
      <c r="C7" s="59" t="s">
        <v>116</v>
      </c>
      <c r="D7" s="60">
        <v>303525</v>
      </c>
      <c r="E7" s="60">
        <v>353781</v>
      </c>
      <c r="F7" s="60">
        <v>543916</v>
      </c>
      <c r="G7" s="60">
        <v>395781</v>
      </c>
      <c r="H7" s="60">
        <v>413206</v>
      </c>
      <c r="I7" s="59">
        <v>272860</v>
      </c>
      <c r="J7" s="60">
        <v>302729</v>
      </c>
      <c r="K7" s="60">
        <v>273797</v>
      </c>
      <c r="L7" s="125">
        <v>356359.19</v>
      </c>
      <c r="M7" s="125">
        <v>297179.95</v>
      </c>
      <c r="N7" s="26">
        <v>260734.03999999998</v>
      </c>
      <c r="O7" s="25">
        <v>294411.15000000002</v>
      </c>
      <c r="P7" s="25">
        <v>296326.19</v>
      </c>
      <c r="Q7" s="25">
        <v>334787.77</v>
      </c>
      <c r="R7" s="144">
        <v>408040</v>
      </c>
      <c r="S7" s="683">
        <v>351220.11</v>
      </c>
      <c r="T7" s="564">
        <f t="shared" si="1"/>
        <v>86.07</v>
      </c>
    </row>
    <row r="8" spans="1:20" ht="15.75" thickBot="1" x14ac:dyDescent="0.3">
      <c r="A8" s="749"/>
      <c r="B8" s="143">
        <v>640</v>
      </c>
      <c r="C8" s="59" t="s">
        <v>117</v>
      </c>
      <c r="D8" s="60"/>
      <c r="E8" s="60">
        <v>564</v>
      </c>
      <c r="F8" s="60">
        <v>232</v>
      </c>
      <c r="G8" s="60">
        <v>49367</v>
      </c>
      <c r="H8" s="60">
        <v>7414</v>
      </c>
      <c r="I8" s="59">
        <v>18095</v>
      </c>
      <c r="J8" s="145">
        <v>23796</v>
      </c>
      <c r="K8" s="145">
        <v>2925</v>
      </c>
      <c r="L8" s="146">
        <v>4499.9399999999996</v>
      </c>
      <c r="M8" s="125">
        <v>30816.22</v>
      </c>
      <c r="N8" s="26">
        <v>7615.98</v>
      </c>
      <c r="O8" s="25">
        <v>18148.27</v>
      </c>
      <c r="P8" s="25">
        <v>1791.08</v>
      </c>
      <c r="Q8" s="25">
        <v>3226.47</v>
      </c>
      <c r="R8" s="144">
        <v>13300</v>
      </c>
      <c r="S8" s="684">
        <v>24859.17</v>
      </c>
      <c r="T8" s="564">
        <f t="shared" si="1"/>
        <v>186.91</v>
      </c>
    </row>
    <row r="9" spans="1:20" ht="15.75" hidden="1" thickBot="1" x14ac:dyDescent="0.3">
      <c r="A9" s="750"/>
      <c r="B9" s="143">
        <v>650</v>
      </c>
      <c r="C9" s="59"/>
      <c r="D9" s="60"/>
      <c r="E9" s="60">
        <v>1062</v>
      </c>
      <c r="F9" s="60">
        <v>597</v>
      </c>
      <c r="G9" s="60">
        <v>741</v>
      </c>
      <c r="H9" s="60"/>
      <c r="I9" s="147"/>
      <c r="J9" s="147"/>
      <c r="K9" s="147"/>
      <c r="L9" s="148"/>
      <c r="M9" s="149"/>
      <c r="N9" s="97"/>
      <c r="O9" s="97"/>
      <c r="P9" s="97"/>
      <c r="Q9" s="96"/>
      <c r="R9" s="150"/>
      <c r="S9" s="685"/>
      <c r="T9" s="565">
        <f t="shared" si="1"/>
        <v>0</v>
      </c>
    </row>
    <row r="10" spans="1:20" ht="15.75" thickBot="1" x14ac:dyDescent="0.3">
      <c r="A10" s="151" t="s">
        <v>118</v>
      </c>
      <c r="B10" s="777" t="s">
        <v>119</v>
      </c>
      <c r="C10" s="747"/>
      <c r="D10" s="152">
        <v>7269</v>
      </c>
      <c r="E10" s="152">
        <v>6772</v>
      </c>
      <c r="F10" s="152">
        <v>8265</v>
      </c>
      <c r="G10" s="152">
        <v>13828</v>
      </c>
      <c r="H10" s="84">
        <v>14882</v>
      </c>
      <c r="I10" s="84">
        <v>14051</v>
      </c>
      <c r="J10" s="84">
        <v>82274</v>
      </c>
      <c r="K10" s="84">
        <v>22548</v>
      </c>
      <c r="L10" s="85">
        <v>18623.79</v>
      </c>
      <c r="M10" s="85">
        <v>22356.78</v>
      </c>
      <c r="N10" s="153">
        <v>18604.68</v>
      </c>
      <c r="O10" s="154">
        <v>11492.61</v>
      </c>
      <c r="P10" s="154">
        <v>22020.720000000001</v>
      </c>
      <c r="Q10" s="154">
        <f>SUM(Q11:Q13)</f>
        <v>14191.44</v>
      </c>
      <c r="R10" s="153">
        <f>SUM(R11:R13)</f>
        <v>16500</v>
      </c>
      <c r="S10" s="694">
        <f t="shared" ref="S10" si="2">SUM(S11:S13)</f>
        <v>26202.02</v>
      </c>
      <c r="T10" s="650">
        <f t="shared" si="1"/>
        <v>158.80000000000001</v>
      </c>
    </row>
    <row r="11" spans="1:20" x14ac:dyDescent="0.25">
      <c r="A11" s="808"/>
      <c r="B11" s="155">
        <v>630</v>
      </c>
      <c r="C11" s="16" t="s">
        <v>120</v>
      </c>
      <c r="D11" s="156"/>
      <c r="E11" s="156"/>
      <c r="F11" s="156"/>
      <c r="G11" s="156"/>
      <c r="H11" s="156">
        <v>2345</v>
      </c>
      <c r="I11" s="16">
        <v>2324</v>
      </c>
      <c r="J11" s="58">
        <v>1162</v>
      </c>
      <c r="K11" s="58">
        <v>2324</v>
      </c>
      <c r="L11" s="124">
        <v>3486</v>
      </c>
      <c r="M11" s="157">
        <v>2324</v>
      </c>
      <c r="N11" s="18">
        <v>2324</v>
      </c>
      <c r="O11" s="158">
        <v>1162</v>
      </c>
      <c r="P11" s="158">
        <v>2324</v>
      </c>
      <c r="Q11" s="158">
        <v>3486</v>
      </c>
      <c r="R11" s="159">
        <v>3500</v>
      </c>
      <c r="S11" s="683">
        <v>1162</v>
      </c>
      <c r="T11" s="566">
        <f t="shared" si="1"/>
        <v>33.200000000000003</v>
      </c>
    </row>
    <row r="12" spans="1:20" x14ac:dyDescent="0.25">
      <c r="A12" s="813"/>
      <c r="B12" s="160">
        <v>630</v>
      </c>
      <c r="C12" s="22" t="s">
        <v>121</v>
      </c>
      <c r="D12" s="161"/>
      <c r="E12" s="161"/>
      <c r="F12" s="161"/>
      <c r="G12" s="161"/>
      <c r="H12" s="161">
        <v>12537</v>
      </c>
      <c r="I12" s="22">
        <v>11727</v>
      </c>
      <c r="J12" s="60">
        <v>13096</v>
      </c>
      <c r="K12" s="60">
        <v>9612</v>
      </c>
      <c r="L12" s="125">
        <v>14911.65</v>
      </c>
      <c r="M12" s="162">
        <v>19064.189999999999</v>
      </c>
      <c r="N12" s="24">
        <v>8451.5499999999993</v>
      </c>
      <c r="O12" s="113">
        <v>6786.26</v>
      </c>
      <c r="P12" s="113">
        <v>16482.330000000002</v>
      </c>
      <c r="Q12" s="113">
        <v>9813.93</v>
      </c>
      <c r="R12" s="24">
        <v>13000</v>
      </c>
      <c r="S12" s="684">
        <v>25033.040000000001</v>
      </c>
      <c r="T12" s="564">
        <f t="shared" si="1"/>
        <v>192.56</v>
      </c>
    </row>
    <row r="13" spans="1:20" ht="15.75" thickBot="1" x14ac:dyDescent="0.3">
      <c r="A13" s="809"/>
      <c r="B13" s="163">
        <v>630</v>
      </c>
      <c r="C13" s="164" t="s">
        <v>122</v>
      </c>
      <c r="D13" s="165"/>
      <c r="E13" s="165"/>
      <c r="F13" s="165"/>
      <c r="G13" s="165"/>
      <c r="H13" s="165"/>
      <c r="I13" s="164"/>
      <c r="J13" s="60">
        <v>68016</v>
      </c>
      <c r="K13" s="60">
        <v>10612</v>
      </c>
      <c r="L13" s="48">
        <v>226.14</v>
      </c>
      <c r="M13" s="166">
        <v>968.59</v>
      </c>
      <c r="N13" s="47">
        <v>7829.13</v>
      </c>
      <c r="O13" s="166">
        <v>3544.35</v>
      </c>
      <c r="P13" s="166">
        <v>3214.39</v>
      </c>
      <c r="Q13" s="166">
        <v>891.51</v>
      </c>
      <c r="R13" s="167"/>
      <c r="S13" s="685">
        <v>6.98</v>
      </c>
      <c r="T13" s="565">
        <f t="shared" si="1"/>
        <v>0</v>
      </c>
    </row>
    <row r="14" spans="1:20" ht="15.75" thickBot="1" x14ac:dyDescent="0.3">
      <c r="A14" s="151" t="s">
        <v>123</v>
      </c>
      <c r="B14" s="777" t="s">
        <v>124</v>
      </c>
      <c r="C14" s="747"/>
      <c r="D14" s="152">
        <v>20846</v>
      </c>
      <c r="E14" s="152">
        <v>22240</v>
      </c>
      <c r="F14" s="152">
        <v>25427</v>
      </c>
      <c r="G14" s="152">
        <v>26903</v>
      </c>
      <c r="H14" s="84">
        <v>29798</v>
      </c>
      <c r="I14" s="84">
        <v>28936</v>
      </c>
      <c r="J14" s="84">
        <v>27963</v>
      </c>
      <c r="K14" s="84">
        <v>24050</v>
      </c>
      <c r="L14" s="85">
        <v>25050.219999999998</v>
      </c>
      <c r="M14" s="85">
        <v>28488.050000000003</v>
      </c>
      <c r="N14" s="153">
        <v>30083.289999999997</v>
      </c>
      <c r="O14" s="154">
        <v>33186.080000000002</v>
      </c>
      <c r="P14" s="154">
        <v>29084.07</v>
      </c>
      <c r="Q14" s="154">
        <f>SUM(Q15:Q18)</f>
        <v>51253.97</v>
      </c>
      <c r="R14" s="153">
        <f>SUM(R15:R18)</f>
        <v>41744</v>
      </c>
      <c r="S14" s="694">
        <f t="shared" ref="S14" si="3">SUM(S15:S18)</f>
        <v>39283.65</v>
      </c>
      <c r="T14" s="650">
        <f t="shared" si="1"/>
        <v>94.11</v>
      </c>
    </row>
    <row r="15" spans="1:20" x14ac:dyDescent="0.25">
      <c r="A15" s="808"/>
      <c r="B15" s="141">
        <v>610</v>
      </c>
      <c r="C15" s="168" t="s">
        <v>114</v>
      </c>
      <c r="D15" s="169"/>
      <c r="E15" s="169">
        <v>13875</v>
      </c>
      <c r="F15" s="169">
        <v>15734</v>
      </c>
      <c r="G15" s="169">
        <v>16231</v>
      </c>
      <c r="H15" s="169">
        <v>16787</v>
      </c>
      <c r="I15" s="57">
        <v>17943</v>
      </c>
      <c r="J15" s="58">
        <v>18167</v>
      </c>
      <c r="K15" s="58">
        <v>15592</v>
      </c>
      <c r="L15" s="19">
        <v>15883.66</v>
      </c>
      <c r="M15" s="19">
        <v>19536.88</v>
      </c>
      <c r="N15" s="20">
        <v>20405.939999999999</v>
      </c>
      <c r="O15" s="19">
        <v>22741.57</v>
      </c>
      <c r="P15" s="19">
        <v>20172.560000000001</v>
      </c>
      <c r="Q15" s="19">
        <v>32391.98</v>
      </c>
      <c r="R15" s="142">
        <v>28346</v>
      </c>
      <c r="S15" s="683">
        <v>27813.22</v>
      </c>
      <c r="T15" s="566">
        <f t="shared" si="1"/>
        <v>98.12</v>
      </c>
    </row>
    <row r="16" spans="1:20" x14ac:dyDescent="0.25">
      <c r="A16" s="813"/>
      <c r="B16" s="143">
        <v>620</v>
      </c>
      <c r="C16" s="170" t="s">
        <v>115</v>
      </c>
      <c r="D16" s="171"/>
      <c r="E16" s="171">
        <v>4647</v>
      </c>
      <c r="F16" s="171">
        <v>5411</v>
      </c>
      <c r="G16" s="171">
        <v>5677</v>
      </c>
      <c r="H16" s="171">
        <v>6011</v>
      </c>
      <c r="I16" s="59">
        <v>6464</v>
      </c>
      <c r="J16" s="60">
        <v>6580</v>
      </c>
      <c r="K16" s="60">
        <v>5691</v>
      </c>
      <c r="L16" s="25">
        <v>6220</v>
      </c>
      <c r="M16" s="25">
        <v>6654.3</v>
      </c>
      <c r="N16" s="26">
        <v>7320.69</v>
      </c>
      <c r="O16" s="25">
        <v>8093.18</v>
      </c>
      <c r="P16" s="25">
        <v>6866.62</v>
      </c>
      <c r="Q16" s="25">
        <v>12511.41</v>
      </c>
      <c r="R16" s="144">
        <v>10698</v>
      </c>
      <c r="S16" s="684">
        <v>9656.7199999999993</v>
      </c>
      <c r="T16" s="564">
        <f t="shared" si="1"/>
        <v>90.27</v>
      </c>
    </row>
    <row r="17" spans="1:24" x14ac:dyDescent="0.25">
      <c r="A17" s="813"/>
      <c r="B17" s="143">
        <v>630</v>
      </c>
      <c r="C17" s="170" t="s">
        <v>116</v>
      </c>
      <c r="D17" s="171"/>
      <c r="E17" s="171">
        <v>3718</v>
      </c>
      <c r="F17" s="171">
        <v>4282</v>
      </c>
      <c r="G17" s="171">
        <v>4995</v>
      </c>
      <c r="H17" s="171">
        <v>7000</v>
      </c>
      <c r="I17" s="59">
        <v>4529</v>
      </c>
      <c r="J17" s="60">
        <v>3216</v>
      </c>
      <c r="K17" s="60">
        <v>2533</v>
      </c>
      <c r="L17" s="25">
        <v>2610.08</v>
      </c>
      <c r="M17" s="25">
        <v>2181.04</v>
      </c>
      <c r="N17" s="26">
        <v>2356.66</v>
      </c>
      <c r="O17" s="25">
        <v>2351.33</v>
      </c>
      <c r="P17" s="25">
        <v>1891.13</v>
      </c>
      <c r="Q17" s="25">
        <v>3021.6</v>
      </c>
      <c r="R17" s="144">
        <v>2700</v>
      </c>
      <c r="S17" s="684">
        <v>1813.71</v>
      </c>
      <c r="T17" s="564">
        <f t="shared" si="1"/>
        <v>67.17</v>
      </c>
    </row>
    <row r="18" spans="1:24" ht="15.75" thickBot="1" x14ac:dyDescent="0.3">
      <c r="A18" s="809"/>
      <c r="B18" s="583"/>
      <c r="C18" s="147"/>
      <c r="D18" s="172"/>
      <c r="E18" s="172"/>
      <c r="F18" s="172"/>
      <c r="G18" s="172"/>
      <c r="H18" s="172"/>
      <c r="I18" s="173"/>
      <c r="J18" s="60"/>
      <c r="K18" s="60">
        <v>234</v>
      </c>
      <c r="L18" s="89">
        <v>336.48</v>
      </c>
      <c r="M18" s="89">
        <v>115.83</v>
      </c>
      <c r="N18" s="90"/>
      <c r="O18" s="90"/>
      <c r="P18" s="90">
        <v>153.76</v>
      </c>
      <c r="Q18" s="89">
        <v>3328.98</v>
      </c>
      <c r="R18" s="174"/>
      <c r="S18" s="685"/>
      <c r="T18" s="565">
        <f t="shared" si="1"/>
        <v>0</v>
      </c>
    </row>
    <row r="19" spans="1:24" ht="15.75" thickBot="1" x14ac:dyDescent="0.3">
      <c r="A19" s="151" t="s">
        <v>125</v>
      </c>
      <c r="B19" s="777" t="s">
        <v>126</v>
      </c>
      <c r="C19" s="747"/>
      <c r="D19" s="152">
        <v>13145</v>
      </c>
      <c r="E19" s="152">
        <v>10057</v>
      </c>
      <c r="F19" s="152">
        <v>8498</v>
      </c>
      <c r="G19" s="152">
        <v>54518</v>
      </c>
      <c r="H19" s="84">
        <v>31457</v>
      </c>
      <c r="I19" s="84">
        <v>31963</v>
      </c>
      <c r="J19" s="84">
        <v>33449</v>
      </c>
      <c r="K19" s="84">
        <v>18092</v>
      </c>
      <c r="L19" s="85">
        <v>54586.799999999996</v>
      </c>
      <c r="M19" s="85">
        <v>16584.939999999999</v>
      </c>
      <c r="N19" s="84">
        <v>25483.510000000002</v>
      </c>
      <c r="O19" s="85">
        <v>21980.289999999997</v>
      </c>
      <c r="P19" s="85">
        <v>22643.670000000002</v>
      </c>
      <c r="Q19" s="85">
        <f>SUM(Q20:Q24)</f>
        <v>47845.259999999995</v>
      </c>
      <c r="R19" s="153">
        <f>SUM(R20:R24)</f>
        <v>52581</v>
      </c>
      <c r="S19" s="694">
        <f t="shared" ref="S19" si="4">SUM(S20:S24)</f>
        <v>50768.41</v>
      </c>
      <c r="T19" s="632">
        <f t="shared" si="1"/>
        <v>96.55</v>
      </c>
    </row>
    <row r="20" spans="1:24" x14ac:dyDescent="0.25">
      <c r="A20" s="810"/>
      <c r="B20" s="175">
        <v>610</v>
      </c>
      <c r="C20" s="168" t="s">
        <v>114</v>
      </c>
      <c r="D20" s="169"/>
      <c r="E20" s="169">
        <v>0</v>
      </c>
      <c r="F20" s="169">
        <v>4482</v>
      </c>
      <c r="G20" s="169">
        <v>7787</v>
      </c>
      <c r="H20" s="169">
        <v>7509</v>
      </c>
      <c r="I20" s="168">
        <v>7692</v>
      </c>
      <c r="J20" s="58">
        <v>7969</v>
      </c>
      <c r="K20" s="58">
        <v>7777</v>
      </c>
      <c r="L20" s="19">
        <v>7662.08</v>
      </c>
      <c r="M20" s="19">
        <v>8679.9500000000007</v>
      </c>
      <c r="N20" s="20">
        <v>9877.67</v>
      </c>
      <c r="O20" s="19">
        <v>9786.5300000000007</v>
      </c>
      <c r="P20" s="19">
        <v>11379.37</v>
      </c>
      <c r="Q20" s="19">
        <v>12850.13</v>
      </c>
      <c r="R20" s="142">
        <v>13282</v>
      </c>
      <c r="S20" s="683">
        <v>13704.62</v>
      </c>
      <c r="T20" s="566">
        <f t="shared" si="1"/>
        <v>103.18</v>
      </c>
      <c r="X20" s="303"/>
    </row>
    <row r="21" spans="1:24" x14ac:dyDescent="0.25">
      <c r="A21" s="811"/>
      <c r="B21" s="176">
        <v>620</v>
      </c>
      <c r="C21" s="170" t="s">
        <v>115</v>
      </c>
      <c r="D21" s="145"/>
      <c r="E21" s="145">
        <v>0</v>
      </c>
      <c r="F21" s="145">
        <v>2058</v>
      </c>
      <c r="G21" s="145">
        <v>3864</v>
      </c>
      <c r="H21" s="145">
        <v>2426</v>
      </c>
      <c r="I21" s="170">
        <v>2683</v>
      </c>
      <c r="J21" s="60">
        <v>3469</v>
      </c>
      <c r="K21" s="60">
        <v>3267</v>
      </c>
      <c r="L21" s="25">
        <v>3320.66</v>
      </c>
      <c r="M21" s="25">
        <v>3113.97</v>
      </c>
      <c r="N21" s="26">
        <v>3720.13</v>
      </c>
      <c r="O21" s="25">
        <v>3643.9399999999996</v>
      </c>
      <c r="P21" s="25">
        <v>4236.46</v>
      </c>
      <c r="Q21" s="25">
        <v>4685.3100000000004</v>
      </c>
      <c r="R21" s="144">
        <v>4894</v>
      </c>
      <c r="S21" s="684">
        <v>5063.33</v>
      </c>
      <c r="T21" s="564">
        <f t="shared" si="1"/>
        <v>103.46</v>
      </c>
    </row>
    <row r="22" spans="1:24" x14ac:dyDescent="0.25">
      <c r="A22" s="811"/>
      <c r="B22" s="176">
        <v>630</v>
      </c>
      <c r="C22" s="170" t="s">
        <v>116</v>
      </c>
      <c r="D22" s="145"/>
      <c r="E22" s="145">
        <v>0</v>
      </c>
      <c r="F22" s="145">
        <v>1958</v>
      </c>
      <c r="G22" s="145">
        <v>42867</v>
      </c>
      <c r="H22" s="145">
        <v>1012</v>
      </c>
      <c r="I22" s="170">
        <v>989</v>
      </c>
      <c r="J22" s="60">
        <v>1227</v>
      </c>
      <c r="K22" s="60">
        <v>947</v>
      </c>
      <c r="L22" s="25">
        <v>588.04</v>
      </c>
      <c r="M22" s="25">
        <v>634.67999999999995</v>
      </c>
      <c r="N22" s="26">
        <v>827.63</v>
      </c>
      <c r="O22" s="25">
        <v>828.40000000000055</v>
      </c>
      <c r="P22" s="25">
        <v>675.31999999999971</v>
      </c>
      <c r="Q22" s="25">
        <v>1203.7900000000004</v>
      </c>
      <c r="R22" s="144">
        <v>550</v>
      </c>
      <c r="S22" s="684">
        <v>1203.3900000000001</v>
      </c>
      <c r="T22" s="564">
        <f t="shared" si="1"/>
        <v>218.8</v>
      </c>
    </row>
    <row r="23" spans="1:24" x14ac:dyDescent="0.25">
      <c r="A23" s="811"/>
      <c r="B23" s="176">
        <v>640</v>
      </c>
      <c r="C23" s="59" t="s">
        <v>458</v>
      </c>
      <c r="D23" s="60"/>
      <c r="E23" s="60"/>
      <c r="F23" s="60"/>
      <c r="G23" s="60"/>
      <c r="H23" s="60"/>
      <c r="I23" s="59"/>
      <c r="J23" s="60">
        <v>3100</v>
      </c>
      <c r="K23" s="60"/>
      <c r="L23" s="26"/>
      <c r="M23" s="25">
        <v>113.93</v>
      </c>
      <c r="N23" s="26"/>
      <c r="O23" s="25">
        <v>124.72</v>
      </c>
      <c r="P23" s="25"/>
      <c r="Q23" s="25"/>
      <c r="R23" s="144">
        <v>19664</v>
      </c>
      <c r="S23" s="732">
        <v>16606.070000000003</v>
      </c>
      <c r="T23" s="564">
        <f t="shared" si="1"/>
        <v>84.45</v>
      </c>
      <c r="W23" s="303"/>
    </row>
    <row r="24" spans="1:24" ht="15.75" thickBot="1" x14ac:dyDescent="0.3">
      <c r="A24" s="812"/>
      <c r="B24" s="177">
        <v>600</v>
      </c>
      <c r="C24" s="147" t="s">
        <v>127</v>
      </c>
      <c r="D24" s="178"/>
      <c r="E24" s="178"/>
      <c r="F24" s="178"/>
      <c r="G24" s="178"/>
      <c r="H24" s="60">
        <v>20510</v>
      </c>
      <c r="I24" s="147">
        <v>20599</v>
      </c>
      <c r="J24" s="60">
        <v>17684</v>
      </c>
      <c r="K24" s="60">
        <v>6101</v>
      </c>
      <c r="L24" s="89">
        <v>43016.02</v>
      </c>
      <c r="M24" s="89">
        <v>4042.409999999998</v>
      </c>
      <c r="N24" s="90">
        <v>11058.08</v>
      </c>
      <c r="O24" s="89">
        <v>7596.7</v>
      </c>
      <c r="P24" s="89">
        <v>6352.52</v>
      </c>
      <c r="Q24" s="89">
        <v>29106.03</v>
      </c>
      <c r="R24" s="174">
        <v>14191</v>
      </c>
      <c r="S24" s="685">
        <v>14191</v>
      </c>
      <c r="T24" s="565">
        <f t="shared" si="1"/>
        <v>100</v>
      </c>
    </row>
    <row r="25" spans="1:24" ht="15.75" thickBot="1" x14ac:dyDescent="0.3">
      <c r="A25" s="151" t="s">
        <v>128</v>
      </c>
      <c r="B25" s="777" t="s">
        <v>129</v>
      </c>
      <c r="C25" s="747"/>
      <c r="D25" s="179">
        <v>86802</v>
      </c>
      <c r="E25" s="179">
        <v>77342</v>
      </c>
      <c r="F25" s="179">
        <v>79566</v>
      </c>
      <c r="G25" s="179">
        <v>75201</v>
      </c>
      <c r="H25" s="179">
        <v>66074</v>
      </c>
      <c r="I25" s="84">
        <v>84841</v>
      </c>
      <c r="J25" s="84">
        <v>92558</v>
      </c>
      <c r="K25" s="84">
        <v>89614</v>
      </c>
      <c r="L25" s="85">
        <v>87966.26</v>
      </c>
      <c r="M25" s="85">
        <v>89070.75</v>
      </c>
      <c r="N25" s="153">
        <v>84152.6</v>
      </c>
      <c r="O25" s="154">
        <v>63074.71</v>
      </c>
      <c r="P25" s="154">
        <v>62531</v>
      </c>
      <c r="Q25" s="154">
        <f>SUM(Q26)</f>
        <v>57263.12</v>
      </c>
      <c r="R25" s="153">
        <f>R26</f>
        <v>65000</v>
      </c>
      <c r="S25" s="687">
        <f t="shared" ref="S25" si="5">S26</f>
        <v>56026.7</v>
      </c>
      <c r="T25" s="632">
        <f t="shared" si="1"/>
        <v>86.19</v>
      </c>
      <c r="W25" s="189"/>
    </row>
    <row r="26" spans="1:24" ht="15.75" thickBot="1" x14ac:dyDescent="0.3">
      <c r="A26" s="180"/>
      <c r="B26" s="181">
        <v>630</v>
      </c>
      <c r="C26" s="182" t="s">
        <v>130</v>
      </c>
      <c r="D26" s="183">
        <v>86802</v>
      </c>
      <c r="E26" s="183">
        <v>77342</v>
      </c>
      <c r="F26" s="183">
        <v>79566</v>
      </c>
      <c r="G26" s="183">
        <v>75201</v>
      </c>
      <c r="H26" s="183">
        <v>66074</v>
      </c>
      <c r="I26" s="173">
        <v>84841</v>
      </c>
      <c r="J26" s="173">
        <v>92558</v>
      </c>
      <c r="K26" s="103">
        <v>89614</v>
      </c>
      <c r="L26" s="89">
        <v>87966.26</v>
      </c>
      <c r="M26" s="89">
        <v>89070.75</v>
      </c>
      <c r="N26" s="90">
        <v>84152.6</v>
      </c>
      <c r="O26" s="89">
        <v>63074.71</v>
      </c>
      <c r="P26" s="89">
        <v>62531</v>
      </c>
      <c r="Q26" s="89">
        <v>57263.12</v>
      </c>
      <c r="R26" s="174">
        <v>65000</v>
      </c>
      <c r="S26" s="688">
        <v>56026.7</v>
      </c>
      <c r="T26" s="568">
        <f t="shared" si="1"/>
        <v>86.19</v>
      </c>
    </row>
    <row r="27" spans="1:24" ht="15.75" thickBot="1" x14ac:dyDescent="0.3">
      <c r="A27" s="151" t="s">
        <v>131</v>
      </c>
      <c r="B27" s="777" t="s">
        <v>132</v>
      </c>
      <c r="C27" s="747"/>
      <c r="D27" s="179">
        <v>0</v>
      </c>
      <c r="E27" s="179">
        <v>1826</v>
      </c>
      <c r="F27" s="179">
        <v>66</v>
      </c>
      <c r="G27" s="179">
        <v>770</v>
      </c>
      <c r="H27" s="179">
        <v>2589</v>
      </c>
      <c r="I27" s="84">
        <v>366</v>
      </c>
      <c r="J27" s="84">
        <v>274</v>
      </c>
      <c r="K27" s="84">
        <v>464</v>
      </c>
      <c r="L27" s="84">
        <v>276.29000000000002</v>
      </c>
      <c r="M27" s="85">
        <v>34.4</v>
      </c>
      <c r="N27" s="153">
        <v>81.5</v>
      </c>
      <c r="O27" s="154">
        <v>1.5</v>
      </c>
      <c r="P27" s="154">
        <v>1.5</v>
      </c>
      <c r="Q27" s="154">
        <f>SUM(Q28)</f>
        <v>18.02</v>
      </c>
      <c r="R27" s="153">
        <f>R28</f>
        <v>500</v>
      </c>
      <c r="S27" s="687">
        <f t="shared" ref="S27" si="6">S28</f>
        <v>19</v>
      </c>
      <c r="T27" s="632">
        <f t="shared" si="1"/>
        <v>3.8</v>
      </c>
    </row>
    <row r="28" spans="1:24" ht="15.75" thickBot="1" x14ac:dyDescent="0.3">
      <c r="A28" s="184"/>
      <c r="B28" s="185"/>
      <c r="C28" s="182" t="s">
        <v>133</v>
      </c>
      <c r="D28" s="183">
        <v>0</v>
      </c>
      <c r="E28" s="183">
        <v>1826</v>
      </c>
      <c r="F28" s="183">
        <v>66</v>
      </c>
      <c r="G28" s="183">
        <v>770</v>
      </c>
      <c r="H28" s="183">
        <v>2589</v>
      </c>
      <c r="I28" s="173">
        <v>366</v>
      </c>
      <c r="J28" s="173">
        <v>274</v>
      </c>
      <c r="K28" s="103">
        <v>464</v>
      </c>
      <c r="L28" s="89">
        <v>276.29000000000002</v>
      </c>
      <c r="M28" s="89">
        <v>34.4</v>
      </c>
      <c r="N28" s="90">
        <v>81.5</v>
      </c>
      <c r="O28" s="89">
        <v>1.5</v>
      </c>
      <c r="P28" s="89">
        <v>1.5</v>
      </c>
      <c r="Q28" s="89">
        <v>18.02</v>
      </c>
      <c r="R28" s="174">
        <v>500</v>
      </c>
      <c r="S28" s="686">
        <v>19</v>
      </c>
      <c r="T28" s="567">
        <f t="shared" si="1"/>
        <v>3.8</v>
      </c>
    </row>
    <row r="29" spans="1:24" ht="15.75" thickBot="1" x14ac:dyDescent="0.3">
      <c r="A29" s="151" t="s">
        <v>134</v>
      </c>
      <c r="B29" s="777" t="s">
        <v>135</v>
      </c>
      <c r="C29" s="747"/>
      <c r="D29" s="152">
        <v>80362</v>
      </c>
      <c r="E29" s="152">
        <v>93674</v>
      </c>
      <c r="F29" s="152">
        <v>104461</v>
      </c>
      <c r="G29" s="152">
        <v>126342</v>
      </c>
      <c r="H29" s="84">
        <v>137485</v>
      </c>
      <c r="I29" s="84">
        <v>141454</v>
      </c>
      <c r="J29" s="84">
        <v>150296</v>
      </c>
      <c r="K29" s="84">
        <v>153336</v>
      </c>
      <c r="L29" s="85">
        <v>153063.15</v>
      </c>
      <c r="M29" s="85">
        <v>160199.88999999998</v>
      </c>
      <c r="N29" s="153">
        <v>160815.16</v>
      </c>
      <c r="O29" s="154">
        <v>182466.47</v>
      </c>
      <c r="P29" s="154">
        <v>205874.57</v>
      </c>
      <c r="Q29" s="154">
        <f>SUM(Q30:Q33)</f>
        <v>228019.05</v>
      </c>
      <c r="R29" s="153">
        <f>SUM(R30:R33)</f>
        <v>273044</v>
      </c>
      <c r="S29" s="687">
        <f t="shared" ref="S29" si="7">SUM(S30:S33)</f>
        <v>285169.27999999997</v>
      </c>
      <c r="T29" s="632">
        <f t="shared" si="1"/>
        <v>104.44</v>
      </c>
      <c r="W29" s="189"/>
    </row>
    <row r="30" spans="1:24" x14ac:dyDescent="0.25">
      <c r="A30" s="748"/>
      <c r="B30" s="175">
        <v>610</v>
      </c>
      <c r="C30" s="57" t="s">
        <v>114</v>
      </c>
      <c r="D30" s="186"/>
      <c r="E30" s="186">
        <v>56762</v>
      </c>
      <c r="F30" s="186">
        <v>60944</v>
      </c>
      <c r="G30" s="186">
        <v>75340</v>
      </c>
      <c r="H30" s="186">
        <v>84414</v>
      </c>
      <c r="I30" s="57">
        <v>89012</v>
      </c>
      <c r="J30" s="58">
        <v>92984</v>
      </c>
      <c r="K30" s="58">
        <v>93001</v>
      </c>
      <c r="L30" s="124">
        <v>93672.78</v>
      </c>
      <c r="M30" s="124">
        <v>102320.64</v>
      </c>
      <c r="N30" s="20">
        <v>102319.48</v>
      </c>
      <c r="O30" s="19">
        <v>109786.57</v>
      </c>
      <c r="P30" s="19">
        <v>123486.16</v>
      </c>
      <c r="Q30" s="19">
        <v>129732.70999999999</v>
      </c>
      <c r="R30" s="142">
        <v>126938</v>
      </c>
      <c r="S30" s="683">
        <v>180574.71</v>
      </c>
      <c r="T30" s="566">
        <f t="shared" si="1"/>
        <v>142.25</v>
      </c>
    </row>
    <row r="31" spans="1:24" x14ac:dyDescent="0.25">
      <c r="A31" s="749"/>
      <c r="B31" s="176">
        <v>620</v>
      </c>
      <c r="C31" s="59" t="s">
        <v>115</v>
      </c>
      <c r="D31" s="187"/>
      <c r="E31" s="187">
        <v>20315</v>
      </c>
      <c r="F31" s="187">
        <v>21709</v>
      </c>
      <c r="G31" s="187">
        <v>27650</v>
      </c>
      <c r="H31" s="187">
        <v>30919</v>
      </c>
      <c r="I31" s="59">
        <v>32877</v>
      </c>
      <c r="J31" s="60">
        <v>34488</v>
      </c>
      <c r="K31" s="60">
        <v>34548</v>
      </c>
      <c r="L31" s="125">
        <v>37213.83</v>
      </c>
      <c r="M31" s="125">
        <v>35543.370000000003</v>
      </c>
      <c r="N31" s="26">
        <v>37856.519999999997</v>
      </c>
      <c r="O31" s="25">
        <v>40417.53</v>
      </c>
      <c r="P31" s="25">
        <v>45335.28</v>
      </c>
      <c r="Q31" s="25">
        <v>47330.69</v>
      </c>
      <c r="R31" s="144">
        <v>46411</v>
      </c>
      <c r="S31" s="684">
        <v>64218.21</v>
      </c>
      <c r="T31" s="564">
        <f t="shared" si="1"/>
        <v>138.37</v>
      </c>
    </row>
    <row r="32" spans="1:24" x14ac:dyDescent="0.25">
      <c r="A32" s="749"/>
      <c r="B32" s="176">
        <v>630</v>
      </c>
      <c r="C32" s="59" t="s">
        <v>116</v>
      </c>
      <c r="D32" s="187"/>
      <c r="E32" s="187">
        <v>16597</v>
      </c>
      <c r="F32" s="187">
        <v>21078</v>
      </c>
      <c r="G32" s="187">
        <v>23021</v>
      </c>
      <c r="H32" s="187">
        <v>22152</v>
      </c>
      <c r="I32" s="59">
        <v>19565</v>
      </c>
      <c r="J32" s="60">
        <v>22824</v>
      </c>
      <c r="K32" s="60">
        <v>25787</v>
      </c>
      <c r="L32" s="125">
        <v>22014.74</v>
      </c>
      <c r="M32" s="125">
        <v>22171.17</v>
      </c>
      <c r="N32" s="26">
        <v>20256.810000000001</v>
      </c>
      <c r="O32" s="25">
        <v>29552.34</v>
      </c>
      <c r="P32" s="25">
        <v>36953.129999999997</v>
      </c>
      <c r="Q32" s="25">
        <v>23590.739999999998</v>
      </c>
      <c r="R32" s="144">
        <v>19000</v>
      </c>
      <c r="S32" s="684">
        <v>39993.599999999999</v>
      </c>
      <c r="T32" s="564">
        <f t="shared" si="1"/>
        <v>210.49</v>
      </c>
    </row>
    <row r="33" spans="1:27" ht="15.75" thickBot="1" x14ac:dyDescent="0.3">
      <c r="A33" s="750"/>
      <c r="B33" s="176">
        <v>650</v>
      </c>
      <c r="C33" s="59" t="s">
        <v>94</v>
      </c>
      <c r="D33" s="183"/>
      <c r="E33" s="183"/>
      <c r="F33" s="183"/>
      <c r="G33" s="183"/>
      <c r="H33" s="183"/>
      <c r="I33" s="173"/>
      <c r="J33" s="173"/>
      <c r="K33" s="188"/>
      <c r="L33" s="89">
        <v>161.80000000000001</v>
      </c>
      <c r="M33" s="89">
        <v>164.71</v>
      </c>
      <c r="N33" s="90">
        <v>382.35</v>
      </c>
      <c r="O33" s="89">
        <v>2710.03</v>
      </c>
      <c r="P33" s="89">
        <v>100</v>
      </c>
      <c r="Q33" s="89">
        <v>27364.91</v>
      </c>
      <c r="R33" s="174">
        <v>80695</v>
      </c>
      <c r="S33" s="685">
        <v>382.76</v>
      </c>
      <c r="T33" s="565">
        <f t="shared" si="1"/>
        <v>0.47</v>
      </c>
    </row>
    <row r="34" spans="1:27" ht="15.75" thickBot="1" x14ac:dyDescent="0.3">
      <c r="A34" s="151" t="s">
        <v>136</v>
      </c>
      <c r="B34" s="777" t="s">
        <v>137</v>
      </c>
      <c r="C34" s="747"/>
      <c r="D34" s="179">
        <v>1328</v>
      </c>
      <c r="E34" s="179">
        <v>332</v>
      </c>
      <c r="F34" s="179">
        <v>797</v>
      </c>
      <c r="G34" s="179">
        <v>3524</v>
      </c>
      <c r="H34" s="179">
        <v>112</v>
      </c>
      <c r="I34" s="84">
        <v>600</v>
      </c>
      <c r="J34" s="84">
        <v>1028</v>
      </c>
      <c r="K34" s="84">
        <v>1230</v>
      </c>
      <c r="L34" s="85">
        <v>600</v>
      </c>
      <c r="M34" s="85">
        <v>1048.67</v>
      </c>
      <c r="N34" s="153">
        <v>1510.99</v>
      </c>
      <c r="O34" s="154">
        <v>1870</v>
      </c>
      <c r="P34" s="154">
        <v>2000</v>
      </c>
      <c r="Q34" s="154">
        <f>SUM(Q35)</f>
        <v>2240.37</v>
      </c>
      <c r="R34" s="153">
        <f>R35</f>
        <v>2400</v>
      </c>
      <c r="S34" s="687">
        <f t="shared" ref="S34" si="8">S35</f>
        <v>2288.38</v>
      </c>
      <c r="T34" s="632">
        <f t="shared" si="1"/>
        <v>95.35</v>
      </c>
      <c r="Z34" s="189"/>
    </row>
    <row r="35" spans="1:27" ht="15.75" thickBot="1" x14ac:dyDescent="0.3">
      <c r="A35" s="288"/>
      <c r="B35" s="289"/>
      <c r="C35" s="94" t="s">
        <v>138</v>
      </c>
      <c r="D35" s="587">
        <v>1328</v>
      </c>
      <c r="E35" s="587">
        <v>332</v>
      </c>
      <c r="F35" s="587">
        <v>797</v>
      </c>
      <c r="G35" s="587">
        <v>3524</v>
      </c>
      <c r="H35" s="587">
        <v>112</v>
      </c>
      <c r="I35" s="94">
        <v>600</v>
      </c>
      <c r="J35" s="94">
        <v>1028</v>
      </c>
      <c r="K35" s="103">
        <v>1230</v>
      </c>
      <c r="L35" s="191">
        <v>600</v>
      </c>
      <c r="M35" s="191">
        <v>1048.67</v>
      </c>
      <c r="N35" s="15">
        <v>1510.99</v>
      </c>
      <c r="O35" s="14">
        <v>1870</v>
      </c>
      <c r="P35" s="14">
        <v>2000</v>
      </c>
      <c r="Q35" s="14">
        <v>2240.37</v>
      </c>
      <c r="R35" s="192">
        <v>2400</v>
      </c>
      <c r="S35" s="686">
        <v>2288.38</v>
      </c>
      <c r="T35" s="567">
        <f t="shared" si="1"/>
        <v>95.35</v>
      </c>
      <c r="AA35" s="189"/>
    </row>
    <row r="36" spans="1:27" ht="15.75" thickBot="1" x14ac:dyDescent="0.3">
      <c r="A36" s="193" t="s">
        <v>139</v>
      </c>
      <c r="B36" s="777" t="s">
        <v>140</v>
      </c>
      <c r="C36" s="747"/>
      <c r="D36" s="152">
        <v>64894</v>
      </c>
      <c r="E36" s="152">
        <v>59384</v>
      </c>
      <c r="F36" s="152">
        <v>62471</v>
      </c>
      <c r="G36" s="152">
        <v>47851</v>
      </c>
      <c r="H36" s="34">
        <v>43042</v>
      </c>
      <c r="I36" s="34">
        <v>42993</v>
      </c>
      <c r="J36" s="34">
        <v>45897</v>
      </c>
      <c r="K36" s="34">
        <v>45604</v>
      </c>
      <c r="L36" s="35">
        <v>70768.37</v>
      </c>
      <c r="M36" s="35">
        <v>57765.42</v>
      </c>
      <c r="N36" s="194">
        <v>67218.58</v>
      </c>
      <c r="O36" s="195">
        <v>62580.25</v>
      </c>
      <c r="P36" s="195">
        <v>56923.06</v>
      </c>
      <c r="Q36" s="195">
        <f>SUM(Q37:Q40)</f>
        <v>61855.359999999993</v>
      </c>
      <c r="R36" s="194">
        <f>SUM(R37:R40)</f>
        <v>76963</v>
      </c>
      <c r="S36" s="687">
        <f t="shared" ref="S36" si="9">SUM(S37:S40)</f>
        <v>79092.639999999999</v>
      </c>
      <c r="T36" s="632">
        <f t="shared" si="1"/>
        <v>102.77</v>
      </c>
      <c r="W36" s="189"/>
      <c r="Y36" s="189"/>
      <c r="AA36" s="189"/>
    </row>
    <row r="37" spans="1:27" x14ac:dyDescent="0.25">
      <c r="A37" s="748"/>
      <c r="B37" s="175">
        <v>610</v>
      </c>
      <c r="C37" s="57" t="s">
        <v>114</v>
      </c>
      <c r="D37" s="186"/>
      <c r="E37" s="186"/>
      <c r="F37" s="186"/>
      <c r="G37" s="186"/>
      <c r="H37" s="186">
        <v>19662</v>
      </c>
      <c r="I37" s="57">
        <v>20165</v>
      </c>
      <c r="J37" s="58">
        <v>21683</v>
      </c>
      <c r="K37" s="58">
        <v>23558</v>
      </c>
      <c r="L37" s="19">
        <v>34957.480000000003</v>
      </c>
      <c r="M37" s="19">
        <v>28518.63</v>
      </c>
      <c r="N37" s="20">
        <v>34041.99</v>
      </c>
      <c r="O37" s="19">
        <v>33212</v>
      </c>
      <c r="P37" s="19">
        <v>33912.11</v>
      </c>
      <c r="Q37" s="19">
        <v>39048.269999999997</v>
      </c>
      <c r="R37" s="142">
        <v>47240</v>
      </c>
      <c r="S37" s="683">
        <v>51259.94</v>
      </c>
      <c r="T37" s="566">
        <f t="shared" si="1"/>
        <v>108.51</v>
      </c>
    </row>
    <row r="38" spans="1:27" x14ac:dyDescent="0.25">
      <c r="A38" s="749"/>
      <c r="B38" s="176">
        <v>620</v>
      </c>
      <c r="C38" s="59" t="s">
        <v>115</v>
      </c>
      <c r="D38" s="187"/>
      <c r="E38" s="187"/>
      <c r="F38" s="187"/>
      <c r="G38" s="187"/>
      <c r="H38" s="187">
        <v>6810</v>
      </c>
      <c r="I38" s="59">
        <v>7285</v>
      </c>
      <c r="J38" s="60">
        <v>7713</v>
      </c>
      <c r="K38" s="60">
        <v>8188</v>
      </c>
      <c r="L38" s="25">
        <v>13167.56</v>
      </c>
      <c r="M38" s="25">
        <v>9242.2099999999991</v>
      </c>
      <c r="N38" s="26">
        <v>11670.69</v>
      </c>
      <c r="O38" s="25">
        <v>11626.24</v>
      </c>
      <c r="P38" s="25">
        <v>11789.54</v>
      </c>
      <c r="Q38" s="25">
        <v>13624.06</v>
      </c>
      <c r="R38" s="144">
        <v>16725</v>
      </c>
      <c r="S38" s="684">
        <v>17577.689999999999</v>
      </c>
      <c r="T38" s="564">
        <f t="shared" si="1"/>
        <v>105.1</v>
      </c>
      <c r="U38" s="189"/>
    </row>
    <row r="39" spans="1:27" x14ac:dyDescent="0.25">
      <c r="A39" s="749"/>
      <c r="B39" s="176">
        <v>630</v>
      </c>
      <c r="C39" s="59" t="s">
        <v>116</v>
      </c>
      <c r="D39" s="187"/>
      <c r="E39" s="187"/>
      <c r="F39" s="187"/>
      <c r="G39" s="187"/>
      <c r="H39" s="187">
        <v>16570</v>
      </c>
      <c r="I39" s="59">
        <v>15543</v>
      </c>
      <c r="J39" s="60">
        <v>16501</v>
      </c>
      <c r="K39" s="60">
        <v>13727</v>
      </c>
      <c r="L39" s="25">
        <v>20379.169999999998</v>
      </c>
      <c r="M39" s="25">
        <v>19888.419999999998</v>
      </c>
      <c r="N39" s="26">
        <v>21248.55</v>
      </c>
      <c r="O39" s="25">
        <v>16832.53</v>
      </c>
      <c r="P39" s="25">
        <v>11149.41</v>
      </c>
      <c r="Q39" s="25">
        <v>8952.9599999999991</v>
      </c>
      <c r="R39" s="144">
        <v>12998</v>
      </c>
      <c r="S39" s="684">
        <v>10087.280000000001</v>
      </c>
      <c r="T39" s="564">
        <f t="shared" si="1"/>
        <v>77.61</v>
      </c>
    </row>
    <row r="40" spans="1:27" ht="15.75" thickBot="1" x14ac:dyDescent="0.3">
      <c r="A40" s="750"/>
      <c r="B40" s="176">
        <v>640</v>
      </c>
      <c r="C40" s="147" t="s">
        <v>117</v>
      </c>
      <c r="D40" s="172"/>
      <c r="E40" s="172"/>
      <c r="F40" s="172"/>
      <c r="G40" s="172"/>
      <c r="H40" s="172"/>
      <c r="I40" s="173"/>
      <c r="J40" s="60"/>
      <c r="K40" s="60">
        <v>131</v>
      </c>
      <c r="L40" s="89">
        <v>2264.16</v>
      </c>
      <c r="M40" s="89">
        <v>116.16</v>
      </c>
      <c r="N40" s="90">
        <v>257.35000000000002</v>
      </c>
      <c r="O40" s="89">
        <v>909.48</v>
      </c>
      <c r="P40" s="89">
        <v>72</v>
      </c>
      <c r="Q40" s="89">
        <v>230.07</v>
      </c>
      <c r="R40" s="174"/>
      <c r="S40" s="685">
        <v>167.73</v>
      </c>
      <c r="T40" s="565">
        <f t="shared" si="1"/>
        <v>0</v>
      </c>
    </row>
    <row r="41" spans="1:27" ht="15.75" thickBot="1" x14ac:dyDescent="0.3">
      <c r="A41" s="151" t="s">
        <v>141</v>
      </c>
      <c r="B41" s="777" t="s">
        <v>142</v>
      </c>
      <c r="C41" s="747"/>
      <c r="D41" s="179">
        <v>0</v>
      </c>
      <c r="E41" s="179">
        <v>0</v>
      </c>
      <c r="F41" s="179">
        <v>0</v>
      </c>
      <c r="G41" s="179">
        <v>66</v>
      </c>
      <c r="H41" s="179">
        <v>175</v>
      </c>
      <c r="I41" s="84">
        <v>269</v>
      </c>
      <c r="J41" s="84">
        <v>182</v>
      </c>
      <c r="K41" s="84">
        <v>104</v>
      </c>
      <c r="L41" s="85">
        <v>169.4</v>
      </c>
      <c r="M41" s="85">
        <v>87.6</v>
      </c>
      <c r="N41" s="153">
        <v>40.1</v>
      </c>
      <c r="O41" s="153">
        <v>0</v>
      </c>
      <c r="P41" s="153">
        <v>69.25</v>
      </c>
      <c r="Q41" s="154">
        <f>SUM(Q42)</f>
        <v>440.25</v>
      </c>
      <c r="R41" s="153">
        <f>R42</f>
        <v>200</v>
      </c>
      <c r="S41" s="686">
        <f t="shared" ref="S41" si="10">S42</f>
        <v>53</v>
      </c>
      <c r="T41" s="632">
        <f t="shared" si="1"/>
        <v>26.5</v>
      </c>
    </row>
    <row r="42" spans="1:27" ht="15.75" thickBot="1" x14ac:dyDescent="0.3">
      <c r="A42" s="196"/>
      <c r="B42" s="197">
        <v>640</v>
      </c>
      <c r="C42" s="173" t="s">
        <v>143</v>
      </c>
      <c r="D42" s="183"/>
      <c r="E42" s="183"/>
      <c r="F42" s="183"/>
      <c r="G42" s="183">
        <v>66</v>
      </c>
      <c r="H42" s="183">
        <v>175</v>
      </c>
      <c r="I42" s="173">
        <v>269</v>
      </c>
      <c r="J42" s="173">
        <v>182</v>
      </c>
      <c r="K42" s="173">
        <v>104</v>
      </c>
      <c r="L42" s="198">
        <v>169.4</v>
      </c>
      <c r="M42" s="191">
        <v>87.6</v>
      </c>
      <c r="N42" s="15">
        <v>40.1</v>
      </c>
      <c r="O42" s="15"/>
      <c r="P42" s="15">
        <v>69.25</v>
      </c>
      <c r="Q42" s="14">
        <v>440.25</v>
      </c>
      <c r="R42" s="192">
        <v>200</v>
      </c>
      <c r="S42" s="686">
        <v>53</v>
      </c>
      <c r="T42" s="567">
        <f t="shared" si="1"/>
        <v>26.5</v>
      </c>
    </row>
    <row r="43" spans="1:27" ht="15.75" thickBot="1" x14ac:dyDescent="0.3">
      <c r="A43" s="151" t="s">
        <v>144</v>
      </c>
      <c r="B43" s="777" t="s">
        <v>145</v>
      </c>
      <c r="C43" s="747"/>
      <c r="D43" s="152">
        <v>29310</v>
      </c>
      <c r="E43" s="152">
        <v>30173</v>
      </c>
      <c r="F43" s="152">
        <v>33061</v>
      </c>
      <c r="G43" s="152">
        <v>31215</v>
      </c>
      <c r="H43" s="34">
        <v>30188</v>
      </c>
      <c r="I43" s="34">
        <v>30251</v>
      </c>
      <c r="J43" s="34">
        <v>29902</v>
      </c>
      <c r="K43" s="34">
        <v>27922</v>
      </c>
      <c r="L43" s="34">
        <v>26736.059999999998</v>
      </c>
      <c r="M43" s="35">
        <v>31580.040000000005</v>
      </c>
      <c r="N43" s="194">
        <v>36470.850000000006</v>
      </c>
      <c r="O43" s="195">
        <v>54203.55</v>
      </c>
      <c r="P43" s="195">
        <v>87006.54</v>
      </c>
      <c r="Q43" s="195">
        <f>SUM(Q44:Q49)</f>
        <v>79163.91</v>
      </c>
      <c r="R43" s="194">
        <f>SUM(R44:R49)</f>
        <v>99096</v>
      </c>
      <c r="S43" s="687">
        <f t="shared" ref="S43" si="11">SUM(S44:S49)</f>
        <v>44376.84</v>
      </c>
      <c r="T43" s="632">
        <f t="shared" si="1"/>
        <v>44.78</v>
      </c>
    </row>
    <row r="44" spans="1:27" x14ac:dyDescent="0.25">
      <c r="A44" s="748"/>
      <c r="B44" s="141">
        <v>610</v>
      </c>
      <c r="C44" s="57" t="s">
        <v>114</v>
      </c>
      <c r="D44" s="186"/>
      <c r="E44" s="186">
        <v>17128</v>
      </c>
      <c r="F44" s="186">
        <v>19186</v>
      </c>
      <c r="G44" s="186">
        <v>18647</v>
      </c>
      <c r="H44" s="186">
        <v>19330</v>
      </c>
      <c r="I44" s="57">
        <v>19430</v>
      </c>
      <c r="J44" s="58">
        <v>19249</v>
      </c>
      <c r="K44" s="58">
        <v>18860</v>
      </c>
      <c r="L44" s="124">
        <v>17749.95</v>
      </c>
      <c r="M44" s="124">
        <v>21482.58</v>
      </c>
      <c r="N44" s="20">
        <v>23137.49</v>
      </c>
      <c r="O44" s="19">
        <v>24187.48</v>
      </c>
      <c r="P44" s="19">
        <v>31091.66</v>
      </c>
      <c r="Q44" s="19">
        <v>33641.449999999997</v>
      </c>
      <c r="R44" s="142">
        <v>35240</v>
      </c>
      <c r="S44" s="689">
        <v>32681.3</v>
      </c>
      <c r="T44" s="651">
        <f t="shared" si="1"/>
        <v>92.74</v>
      </c>
      <c r="AA44" s="189"/>
    </row>
    <row r="45" spans="1:27" x14ac:dyDescent="0.25">
      <c r="A45" s="749"/>
      <c r="B45" s="143">
        <v>620</v>
      </c>
      <c r="C45" s="59" t="s">
        <v>115</v>
      </c>
      <c r="D45" s="187"/>
      <c r="E45" s="187">
        <v>6174</v>
      </c>
      <c r="F45" s="187">
        <v>6440</v>
      </c>
      <c r="G45" s="187">
        <v>6250</v>
      </c>
      <c r="H45" s="187">
        <v>6780</v>
      </c>
      <c r="I45" s="59">
        <v>6793</v>
      </c>
      <c r="J45" s="60">
        <v>6741</v>
      </c>
      <c r="K45" s="60">
        <v>6528</v>
      </c>
      <c r="L45" s="125">
        <v>6227.83</v>
      </c>
      <c r="M45" s="125">
        <v>7544.26</v>
      </c>
      <c r="N45" s="26">
        <v>8118.17</v>
      </c>
      <c r="O45" s="25">
        <v>8499.7000000000007</v>
      </c>
      <c r="P45" s="25">
        <v>10918.71</v>
      </c>
      <c r="Q45" s="25">
        <v>11858.77</v>
      </c>
      <c r="R45" s="144">
        <v>12306</v>
      </c>
      <c r="S45" s="684">
        <v>11044.98</v>
      </c>
      <c r="T45" s="564">
        <f t="shared" si="1"/>
        <v>89.75</v>
      </c>
    </row>
    <row r="46" spans="1:27" x14ac:dyDescent="0.25">
      <c r="A46" s="749"/>
      <c r="B46" s="143">
        <v>630</v>
      </c>
      <c r="C46" s="59" t="s">
        <v>116</v>
      </c>
      <c r="D46" s="187"/>
      <c r="E46" s="187">
        <v>6871</v>
      </c>
      <c r="F46" s="187">
        <v>7435</v>
      </c>
      <c r="G46" s="187">
        <v>6318</v>
      </c>
      <c r="H46" s="187">
        <v>4078</v>
      </c>
      <c r="I46" s="59">
        <v>4028</v>
      </c>
      <c r="J46" s="60">
        <v>3912</v>
      </c>
      <c r="K46" s="60">
        <v>2534</v>
      </c>
      <c r="L46" s="125">
        <v>2758.28</v>
      </c>
      <c r="M46" s="125">
        <v>2553.1999999999998</v>
      </c>
      <c r="N46" s="26">
        <v>5215.1899999999996</v>
      </c>
      <c r="O46" s="25">
        <v>7214.1500000000005</v>
      </c>
      <c r="P46" s="25">
        <v>3273.6100000000006</v>
      </c>
      <c r="Q46" s="25">
        <v>2843.350000000004</v>
      </c>
      <c r="R46" s="144">
        <v>2800</v>
      </c>
      <c r="S46" s="684">
        <v>650.55999999999995</v>
      </c>
      <c r="T46" s="564">
        <f t="shared" si="1"/>
        <v>23.23</v>
      </c>
    </row>
    <row r="47" spans="1:27" x14ac:dyDescent="0.25">
      <c r="A47" s="749"/>
      <c r="B47" s="199">
        <v>630</v>
      </c>
      <c r="C47" s="62" t="s">
        <v>415</v>
      </c>
      <c r="D47" s="200"/>
      <c r="E47" s="200"/>
      <c r="F47" s="200"/>
      <c r="G47" s="200"/>
      <c r="H47" s="200"/>
      <c r="I47" s="62"/>
      <c r="J47" s="93"/>
      <c r="K47" s="93"/>
      <c r="L47" s="201"/>
      <c r="M47" s="201"/>
      <c r="N47" s="49"/>
      <c r="O47" s="48"/>
      <c r="P47" s="48"/>
      <c r="Q47" s="48">
        <v>8549.6</v>
      </c>
      <c r="R47" s="202">
        <v>22900</v>
      </c>
      <c r="S47" s="685"/>
      <c r="T47" s="565">
        <f t="shared" si="1"/>
        <v>0</v>
      </c>
    </row>
    <row r="48" spans="1:27" x14ac:dyDescent="0.25">
      <c r="A48" s="749"/>
      <c r="B48" s="199">
        <v>630</v>
      </c>
      <c r="C48" s="62" t="s">
        <v>146</v>
      </c>
      <c r="D48" s="200"/>
      <c r="E48" s="200"/>
      <c r="F48" s="200"/>
      <c r="G48" s="200"/>
      <c r="H48" s="200"/>
      <c r="I48" s="62"/>
      <c r="J48" s="93"/>
      <c r="K48" s="93"/>
      <c r="L48" s="201"/>
      <c r="M48" s="201"/>
      <c r="N48" s="49"/>
      <c r="O48" s="48"/>
      <c r="P48" s="48"/>
      <c r="Q48" s="48">
        <v>22270.739999999998</v>
      </c>
      <c r="R48" s="202">
        <v>25850</v>
      </c>
      <c r="S48" s="685"/>
      <c r="T48" s="565">
        <f t="shared" si="1"/>
        <v>0</v>
      </c>
    </row>
    <row r="49" spans="1:20" ht="15.75" thickBot="1" x14ac:dyDescent="0.3">
      <c r="A49" s="750"/>
      <c r="B49" s="203">
        <v>630</v>
      </c>
      <c r="C49" s="61" t="s">
        <v>101</v>
      </c>
      <c r="D49" s="204"/>
      <c r="E49" s="204"/>
      <c r="F49" s="204"/>
      <c r="G49" s="204"/>
      <c r="H49" s="204"/>
      <c r="I49" s="61"/>
      <c r="J49" s="76"/>
      <c r="K49" s="76"/>
      <c r="L49" s="205"/>
      <c r="M49" s="205"/>
      <c r="N49" s="32"/>
      <c r="O49" s="31">
        <v>14302.22</v>
      </c>
      <c r="P49" s="31">
        <v>41722.559999999998</v>
      </c>
      <c r="Q49" s="31"/>
      <c r="R49" s="206"/>
      <c r="S49" s="690"/>
      <c r="T49" s="570">
        <f t="shared" si="1"/>
        <v>0</v>
      </c>
    </row>
    <row r="50" spans="1:20" ht="15.75" thickBot="1" x14ac:dyDescent="0.3">
      <c r="A50" s="151" t="s">
        <v>147</v>
      </c>
      <c r="B50" s="777" t="s">
        <v>148</v>
      </c>
      <c r="C50" s="747"/>
      <c r="D50" s="179">
        <v>13278</v>
      </c>
      <c r="E50" s="179">
        <v>366029</v>
      </c>
      <c r="F50" s="179">
        <v>277733</v>
      </c>
      <c r="G50" s="179">
        <v>398013</v>
      </c>
      <c r="H50" s="179">
        <v>368170</v>
      </c>
      <c r="I50" s="84">
        <v>294633</v>
      </c>
      <c r="J50" s="84">
        <v>216960</v>
      </c>
      <c r="K50" s="84">
        <v>236599</v>
      </c>
      <c r="L50" s="85">
        <v>216987.18</v>
      </c>
      <c r="M50" s="85">
        <v>226497.02000000002</v>
      </c>
      <c r="N50" s="153">
        <v>249510.29</v>
      </c>
      <c r="O50" s="154">
        <v>263692.45</v>
      </c>
      <c r="P50" s="154">
        <v>362393.4</v>
      </c>
      <c r="Q50" s="154">
        <f>SUM(Q51:Q55)</f>
        <v>432250.81000000006</v>
      </c>
      <c r="R50" s="153">
        <f>SUM(R51:R55)</f>
        <v>444157</v>
      </c>
      <c r="S50" s="687">
        <f t="shared" ref="S50" si="12">SUM(S51:S55)</f>
        <v>428213.61999999994</v>
      </c>
      <c r="T50" s="632">
        <f t="shared" si="1"/>
        <v>96.41</v>
      </c>
    </row>
    <row r="51" spans="1:20" x14ac:dyDescent="0.25">
      <c r="A51" s="810"/>
      <c r="B51" s="601">
        <v>640</v>
      </c>
      <c r="C51" s="208" t="s">
        <v>149</v>
      </c>
      <c r="D51" s="209"/>
      <c r="E51" s="209"/>
      <c r="F51" s="209"/>
      <c r="G51" s="209"/>
      <c r="H51" s="209">
        <v>307476</v>
      </c>
      <c r="I51" s="210">
        <v>234550</v>
      </c>
      <c r="J51" s="58">
        <v>150070</v>
      </c>
      <c r="K51" s="58">
        <v>167336</v>
      </c>
      <c r="L51" s="19">
        <v>148104</v>
      </c>
      <c r="M51" s="158">
        <v>157211</v>
      </c>
      <c r="N51" s="18">
        <v>183945</v>
      </c>
      <c r="O51" s="158">
        <v>167281</v>
      </c>
      <c r="P51" s="158">
        <v>263000</v>
      </c>
      <c r="Q51" s="158">
        <v>334227.87</v>
      </c>
      <c r="R51" s="18">
        <v>346757</v>
      </c>
      <c r="S51" s="689">
        <v>336389.93</v>
      </c>
      <c r="T51" s="651">
        <f t="shared" si="1"/>
        <v>97.01</v>
      </c>
    </row>
    <row r="52" spans="1:20" ht="16.5" customHeight="1" x14ac:dyDescent="0.25">
      <c r="A52" s="811"/>
      <c r="B52" s="207">
        <v>640</v>
      </c>
      <c r="C52" s="604" t="s">
        <v>416</v>
      </c>
      <c r="D52" s="212"/>
      <c r="E52" s="212"/>
      <c r="F52" s="212"/>
      <c r="G52" s="212"/>
      <c r="H52" s="212"/>
      <c r="I52" s="213"/>
      <c r="J52" s="73"/>
      <c r="K52" s="73"/>
      <c r="L52" s="45"/>
      <c r="M52" s="214"/>
      <c r="N52" s="44"/>
      <c r="O52" s="214">
        <v>28183</v>
      </c>
      <c r="P52" s="214"/>
      <c r="Q52" s="214"/>
      <c r="R52" s="44">
        <v>2400</v>
      </c>
      <c r="S52" s="683">
        <v>2399.1</v>
      </c>
      <c r="T52" s="566">
        <f t="shared" si="1"/>
        <v>99.96</v>
      </c>
    </row>
    <row r="53" spans="1:20" x14ac:dyDescent="0.25">
      <c r="A53" s="811"/>
      <c r="B53" s="207">
        <v>630</v>
      </c>
      <c r="C53" s="211" t="s">
        <v>150</v>
      </c>
      <c r="D53" s="212"/>
      <c r="E53" s="212"/>
      <c r="F53" s="212"/>
      <c r="G53" s="212"/>
      <c r="H53" s="212">
        <v>9596</v>
      </c>
      <c r="I53" s="213">
        <v>3094</v>
      </c>
      <c r="J53" s="60">
        <v>2060</v>
      </c>
      <c r="K53" s="60">
        <v>1011</v>
      </c>
      <c r="L53" s="45">
        <v>1770</v>
      </c>
      <c r="M53" s="214">
        <v>1790</v>
      </c>
      <c r="N53" s="44">
        <v>1340</v>
      </c>
      <c r="O53" s="214">
        <v>3846.12</v>
      </c>
      <c r="P53" s="214">
        <v>1800</v>
      </c>
      <c r="Q53" s="214">
        <v>1980</v>
      </c>
      <c r="R53" s="44">
        <v>3100</v>
      </c>
      <c r="S53" s="684">
        <f>251.05+3000</f>
        <v>3251.05</v>
      </c>
      <c r="T53" s="564">
        <f t="shared" si="1"/>
        <v>104.87</v>
      </c>
    </row>
    <row r="54" spans="1:20" x14ac:dyDescent="0.25">
      <c r="A54" s="811"/>
      <c r="B54" s="207">
        <v>630</v>
      </c>
      <c r="C54" s="211" t="s">
        <v>151</v>
      </c>
      <c r="D54" s="212"/>
      <c r="E54" s="212"/>
      <c r="F54" s="212"/>
      <c r="G54" s="212"/>
      <c r="H54" s="212"/>
      <c r="I54" s="213"/>
      <c r="J54" s="60"/>
      <c r="K54" s="60"/>
      <c r="L54" s="45"/>
      <c r="M54" s="214"/>
      <c r="N54" s="44">
        <v>0</v>
      </c>
      <c r="O54" s="214"/>
      <c r="P54" s="214">
        <v>27926.51</v>
      </c>
      <c r="Q54" s="214">
        <v>25015.09</v>
      </c>
      <c r="R54" s="44">
        <v>26900</v>
      </c>
      <c r="S54" s="684">
        <v>16116.5</v>
      </c>
      <c r="T54" s="564">
        <f t="shared" si="1"/>
        <v>59.91</v>
      </c>
    </row>
    <row r="55" spans="1:20" ht="15.75" thickBot="1" x14ac:dyDescent="0.3">
      <c r="A55" s="812"/>
      <c r="B55" s="177">
        <v>640</v>
      </c>
      <c r="C55" s="216" t="s">
        <v>152</v>
      </c>
      <c r="D55" s="217"/>
      <c r="E55" s="217"/>
      <c r="F55" s="217"/>
      <c r="G55" s="217"/>
      <c r="H55" s="217">
        <v>49953</v>
      </c>
      <c r="I55" s="218">
        <v>56989</v>
      </c>
      <c r="J55" s="76">
        <v>64830</v>
      </c>
      <c r="K55" s="76">
        <v>68252</v>
      </c>
      <c r="L55" s="96">
        <v>67113.179999999993</v>
      </c>
      <c r="M55" s="104">
        <v>67496.02</v>
      </c>
      <c r="N55" s="105">
        <v>64225.29</v>
      </c>
      <c r="O55" s="104">
        <v>64382.33</v>
      </c>
      <c r="P55" s="104">
        <v>69666.89</v>
      </c>
      <c r="Q55" s="104">
        <v>71027.850000000006</v>
      </c>
      <c r="R55" s="105">
        <v>65000</v>
      </c>
      <c r="S55" s="690">
        <v>70057.039999999994</v>
      </c>
      <c r="T55" s="570">
        <f t="shared" si="1"/>
        <v>107.78</v>
      </c>
    </row>
    <row r="56" spans="1:20" ht="15.75" thickBot="1" x14ac:dyDescent="0.3">
      <c r="A56" s="151" t="s">
        <v>153</v>
      </c>
      <c r="B56" s="777" t="s">
        <v>154</v>
      </c>
      <c r="C56" s="747"/>
      <c r="D56" s="152">
        <v>33426</v>
      </c>
      <c r="E56" s="152">
        <v>39800</v>
      </c>
      <c r="F56" s="152">
        <v>42953</v>
      </c>
      <c r="G56" s="152">
        <v>66506</v>
      </c>
      <c r="H56" s="152">
        <v>76065</v>
      </c>
      <c r="I56" s="84">
        <v>59613</v>
      </c>
      <c r="J56" s="84">
        <v>58168</v>
      </c>
      <c r="K56" s="84">
        <v>57293</v>
      </c>
      <c r="L56" s="84">
        <v>53359.31</v>
      </c>
      <c r="M56" s="85">
        <v>49261.270000000004</v>
      </c>
      <c r="N56" s="153">
        <v>69492.78</v>
      </c>
      <c r="O56" s="154">
        <v>86003.890000000014</v>
      </c>
      <c r="P56" s="154">
        <v>106730.37000000001</v>
      </c>
      <c r="Q56" s="154">
        <f>Q57+Q61+Q62+Q63+Q64+Q65+Q66</f>
        <v>101186.41</v>
      </c>
      <c r="R56" s="153">
        <f>R57+R61+R62+R63+R64+R65+R66</f>
        <v>95878</v>
      </c>
      <c r="S56" s="687">
        <f t="shared" ref="S56" si="13">S57+S61+S62+S63+S64+S65+S66</f>
        <v>96374.92</v>
      </c>
      <c r="T56" s="632">
        <f t="shared" si="1"/>
        <v>100.52</v>
      </c>
    </row>
    <row r="57" spans="1:20" ht="15.75" thickBot="1" x14ac:dyDescent="0.3">
      <c r="A57" s="808"/>
      <c r="B57" s="814" t="s">
        <v>155</v>
      </c>
      <c r="C57" s="815"/>
      <c r="D57" s="224">
        <v>0</v>
      </c>
      <c r="E57" s="224">
        <v>13477</v>
      </c>
      <c r="F57" s="224">
        <v>15800</v>
      </c>
      <c r="G57" s="224">
        <v>26596</v>
      </c>
      <c r="H57" s="224">
        <v>25323</v>
      </c>
      <c r="I57" s="12">
        <v>25388</v>
      </c>
      <c r="J57" s="12">
        <v>23577</v>
      </c>
      <c r="K57" s="12">
        <v>25508</v>
      </c>
      <c r="L57" s="12">
        <v>26966.809999999998</v>
      </c>
      <c r="M57" s="225">
        <v>26493.65</v>
      </c>
      <c r="N57" s="192">
        <v>11116.460000000001</v>
      </c>
      <c r="O57" s="226">
        <v>18582.04</v>
      </c>
      <c r="P57" s="226">
        <v>14813.99</v>
      </c>
      <c r="Q57" s="226">
        <f>SUM(Q58:Q60)</f>
        <v>26680.239999999994</v>
      </c>
      <c r="R57" s="192">
        <f>SUM(R58:R60)</f>
        <v>28425</v>
      </c>
      <c r="S57" s="687">
        <f t="shared" ref="S57" si="14">SUM(S58:S60)</f>
        <v>30733.109999999997</v>
      </c>
      <c r="T57" s="567">
        <f t="shared" si="1"/>
        <v>108.12</v>
      </c>
    </row>
    <row r="58" spans="1:20" x14ac:dyDescent="0.25">
      <c r="A58" s="813"/>
      <c r="B58" s="227">
        <v>610</v>
      </c>
      <c r="C58" s="43" t="s">
        <v>114</v>
      </c>
      <c r="D58" s="112"/>
      <c r="E58" s="112"/>
      <c r="F58" s="112"/>
      <c r="G58" s="112"/>
      <c r="H58" s="112">
        <v>16865</v>
      </c>
      <c r="I58" s="43">
        <v>17260</v>
      </c>
      <c r="J58" s="58">
        <v>15432</v>
      </c>
      <c r="K58" s="58">
        <v>15427</v>
      </c>
      <c r="L58" s="46">
        <v>14767.98</v>
      </c>
      <c r="M58" s="214">
        <v>15800.44</v>
      </c>
      <c r="N58" s="44">
        <v>9158.7800000000007</v>
      </c>
      <c r="O58" s="214">
        <v>10007.84</v>
      </c>
      <c r="P58" s="214">
        <v>10778.65</v>
      </c>
      <c r="Q58" s="214">
        <v>13605.65</v>
      </c>
      <c r="R58" s="228">
        <v>15292</v>
      </c>
      <c r="S58" s="683">
        <v>13497.82</v>
      </c>
      <c r="T58" s="566">
        <f t="shared" si="1"/>
        <v>88.27</v>
      </c>
    </row>
    <row r="59" spans="1:20" x14ac:dyDescent="0.25">
      <c r="A59" s="813"/>
      <c r="B59" s="227">
        <v>620</v>
      </c>
      <c r="C59" s="43" t="s">
        <v>115</v>
      </c>
      <c r="D59" s="112"/>
      <c r="E59" s="112"/>
      <c r="F59" s="112"/>
      <c r="G59" s="112"/>
      <c r="H59" s="112">
        <v>6017</v>
      </c>
      <c r="I59" s="43">
        <v>6225</v>
      </c>
      <c r="J59" s="60">
        <v>5547</v>
      </c>
      <c r="K59" s="60">
        <v>5746</v>
      </c>
      <c r="L59" s="46">
        <v>5836.68</v>
      </c>
      <c r="M59" s="214">
        <v>5402.44</v>
      </c>
      <c r="N59" s="44">
        <v>1957.68</v>
      </c>
      <c r="O59" s="214">
        <v>3763.52</v>
      </c>
      <c r="P59" s="214">
        <v>4035.34</v>
      </c>
      <c r="Q59" s="214">
        <v>5883.76</v>
      </c>
      <c r="R59" s="228">
        <v>5633</v>
      </c>
      <c r="S59" s="684">
        <v>6228.87</v>
      </c>
      <c r="T59" s="564">
        <f t="shared" si="1"/>
        <v>110.58</v>
      </c>
    </row>
    <row r="60" spans="1:20" ht="15.75" thickBot="1" x14ac:dyDescent="0.3">
      <c r="A60" s="813"/>
      <c r="B60" s="229">
        <v>630</v>
      </c>
      <c r="C60" s="102" t="s">
        <v>116</v>
      </c>
      <c r="D60" s="230"/>
      <c r="E60" s="230"/>
      <c r="F60" s="230"/>
      <c r="G60" s="230"/>
      <c r="H60" s="230">
        <v>2441</v>
      </c>
      <c r="I60" s="102">
        <v>1903</v>
      </c>
      <c r="J60" s="76">
        <v>2598</v>
      </c>
      <c r="K60" s="76">
        <v>4335</v>
      </c>
      <c r="L60" s="97">
        <v>6362.15</v>
      </c>
      <c r="M60" s="104">
        <v>5290.77</v>
      </c>
      <c r="N60" s="105"/>
      <c r="O60" s="104">
        <v>4810.68</v>
      </c>
      <c r="P60" s="104"/>
      <c r="Q60" s="104">
        <v>7190.8299999999945</v>
      </c>
      <c r="R60" s="206">
        <v>7500</v>
      </c>
      <c r="S60" s="691">
        <f>37506.42-15000-4000-4000-3500</f>
        <v>11006.419999999998</v>
      </c>
      <c r="T60" s="652">
        <f t="shared" si="1"/>
        <v>146.75</v>
      </c>
    </row>
    <row r="61" spans="1:20" x14ac:dyDescent="0.25">
      <c r="A61" s="813"/>
      <c r="B61" s="227">
        <v>600</v>
      </c>
      <c r="C61" s="43" t="s">
        <v>156</v>
      </c>
      <c r="D61" s="112"/>
      <c r="E61" s="112"/>
      <c r="F61" s="112"/>
      <c r="G61" s="112"/>
      <c r="H61" s="112"/>
      <c r="I61" s="43">
        <v>9190</v>
      </c>
      <c r="J61" s="112">
        <v>6912</v>
      </c>
      <c r="K61" s="112">
        <v>9446</v>
      </c>
      <c r="L61" s="112">
        <v>4778.18</v>
      </c>
      <c r="M61" s="157">
        <v>8683.39</v>
      </c>
      <c r="N61" s="44">
        <v>34595.32</v>
      </c>
      <c r="O61" s="214">
        <v>40079.160000000003</v>
      </c>
      <c r="P61" s="214">
        <v>63662.49</v>
      </c>
      <c r="Q61" s="214">
        <f>12357.88+4539.77</f>
        <v>16897.650000000001</v>
      </c>
      <c r="R61" s="228">
        <v>16500</v>
      </c>
      <c r="S61" s="683">
        <v>16500</v>
      </c>
      <c r="T61" s="566">
        <f t="shared" si="1"/>
        <v>100</v>
      </c>
    </row>
    <row r="62" spans="1:20" x14ac:dyDescent="0.25">
      <c r="A62" s="813"/>
      <c r="B62" s="227">
        <v>600</v>
      </c>
      <c r="C62" s="43" t="s">
        <v>157</v>
      </c>
      <c r="D62" s="112"/>
      <c r="E62" s="112"/>
      <c r="F62" s="112"/>
      <c r="G62" s="112"/>
      <c r="H62" s="112"/>
      <c r="I62" s="43">
        <v>2000</v>
      </c>
      <c r="J62" s="112"/>
      <c r="K62" s="112"/>
      <c r="L62" s="112"/>
      <c r="M62" s="231"/>
      <c r="N62" s="44">
        <v>0</v>
      </c>
      <c r="O62" s="214"/>
      <c r="P62" s="214"/>
      <c r="Q62" s="214">
        <f>10671.51+10944.36</f>
        <v>21615.870000000003</v>
      </c>
      <c r="R62" s="144">
        <v>0</v>
      </c>
      <c r="S62" s="684"/>
      <c r="T62" s="564">
        <f t="shared" si="1"/>
        <v>0</v>
      </c>
    </row>
    <row r="63" spans="1:20" x14ac:dyDescent="0.25">
      <c r="A63" s="813"/>
      <c r="B63" s="227">
        <v>600</v>
      </c>
      <c r="C63" s="22" t="s">
        <v>158</v>
      </c>
      <c r="D63" s="23"/>
      <c r="E63" s="23"/>
      <c r="F63" s="23"/>
      <c r="G63" s="23"/>
      <c r="H63" s="23"/>
      <c r="I63" s="22">
        <v>10000</v>
      </c>
      <c r="J63" s="23">
        <v>1500</v>
      </c>
      <c r="K63" s="23">
        <v>370</v>
      </c>
      <c r="L63" s="23">
        <v>592.20000000000005</v>
      </c>
      <c r="M63" s="162">
        <v>1220</v>
      </c>
      <c r="N63" s="24">
        <v>0</v>
      </c>
      <c r="O63" s="113"/>
      <c r="P63" s="113"/>
      <c r="Q63" s="113">
        <v>4000</v>
      </c>
      <c r="R63" s="144">
        <v>4000</v>
      </c>
      <c r="S63" s="684">
        <v>4000</v>
      </c>
      <c r="T63" s="564">
        <f t="shared" si="1"/>
        <v>100</v>
      </c>
    </row>
    <row r="64" spans="1:20" x14ac:dyDescent="0.25">
      <c r="A64" s="813"/>
      <c r="B64" s="227">
        <v>600</v>
      </c>
      <c r="C64" s="22" t="s">
        <v>159</v>
      </c>
      <c r="D64" s="23"/>
      <c r="E64" s="23"/>
      <c r="F64" s="23"/>
      <c r="G64" s="23"/>
      <c r="H64" s="23"/>
      <c r="I64" s="22">
        <v>1871</v>
      </c>
      <c r="J64" s="23">
        <v>2416</v>
      </c>
      <c r="K64" s="23">
        <v>4274</v>
      </c>
      <c r="L64" s="23">
        <v>2000</v>
      </c>
      <c r="M64" s="162">
        <v>3500</v>
      </c>
      <c r="N64" s="24"/>
      <c r="O64" s="113">
        <v>3571.7</v>
      </c>
      <c r="P64" s="113"/>
      <c r="Q64" s="113">
        <f>1594+2000</f>
        <v>3594</v>
      </c>
      <c r="R64" s="144">
        <v>6000</v>
      </c>
      <c r="S64" s="684">
        <v>6000</v>
      </c>
      <c r="T64" s="564">
        <f t="shared" si="1"/>
        <v>100</v>
      </c>
    </row>
    <row r="65" spans="1:23" x14ac:dyDescent="0.25">
      <c r="A65" s="813"/>
      <c r="B65" s="227">
        <v>600</v>
      </c>
      <c r="C65" s="22" t="s">
        <v>160</v>
      </c>
      <c r="D65" s="23"/>
      <c r="E65" s="23"/>
      <c r="F65" s="23"/>
      <c r="G65" s="23"/>
      <c r="H65" s="23"/>
      <c r="I65" s="22">
        <v>3240</v>
      </c>
      <c r="J65" s="23">
        <v>832</v>
      </c>
      <c r="K65" s="23">
        <v>1493</v>
      </c>
      <c r="L65" s="23">
        <v>1232</v>
      </c>
      <c r="M65" s="162">
        <v>1000</v>
      </c>
      <c r="N65" s="24"/>
      <c r="O65" s="113"/>
      <c r="P65" s="113"/>
      <c r="Q65" s="113"/>
      <c r="R65" s="144">
        <v>1000</v>
      </c>
      <c r="S65" s="684"/>
      <c r="T65" s="564">
        <f t="shared" si="1"/>
        <v>0</v>
      </c>
    </row>
    <row r="66" spans="1:23" ht="15.75" thickBot="1" x14ac:dyDescent="0.3">
      <c r="A66" s="813"/>
      <c r="B66" s="227">
        <v>600</v>
      </c>
      <c r="C66" s="22" t="s">
        <v>161</v>
      </c>
      <c r="D66" s="23"/>
      <c r="E66" s="23"/>
      <c r="F66" s="23"/>
      <c r="G66" s="23"/>
      <c r="H66" s="23"/>
      <c r="I66" s="22">
        <v>7924</v>
      </c>
      <c r="J66" s="23">
        <v>11969</v>
      </c>
      <c r="K66" s="23">
        <v>11202</v>
      </c>
      <c r="L66" s="23">
        <v>15790.12</v>
      </c>
      <c r="M66" s="162">
        <v>6364.23</v>
      </c>
      <c r="N66" s="24">
        <v>23781</v>
      </c>
      <c r="O66" s="113">
        <v>23770.99</v>
      </c>
      <c r="P66" s="113">
        <v>28253.89</v>
      </c>
      <c r="Q66" s="113">
        <v>28398.65</v>
      </c>
      <c r="R66" s="26">
        <v>39953</v>
      </c>
      <c r="S66" s="684">
        <f>40141.81-12500-1500-2000+15000</f>
        <v>39141.81</v>
      </c>
      <c r="T66" s="564">
        <f t="shared" si="1"/>
        <v>97.97</v>
      </c>
    </row>
    <row r="67" spans="1:23" ht="15.75" hidden="1" thickBot="1" x14ac:dyDescent="0.3">
      <c r="A67" s="813"/>
      <c r="B67" s="227">
        <v>600</v>
      </c>
      <c r="C67" s="22" t="s">
        <v>162</v>
      </c>
      <c r="D67" s="23"/>
      <c r="E67" s="23"/>
      <c r="F67" s="23"/>
      <c r="G67" s="23"/>
      <c r="H67" s="23"/>
      <c r="I67" s="22"/>
      <c r="J67" s="23">
        <v>4512</v>
      </c>
      <c r="K67" s="23">
        <v>5000</v>
      </c>
      <c r="L67" s="23"/>
      <c r="M67" s="232"/>
      <c r="N67" s="47">
        <v>0</v>
      </c>
      <c r="O67" s="166"/>
      <c r="P67" s="166"/>
      <c r="Q67" s="47"/>
      <c r="R67" s="233"/>
      <c r="S67" s="684"/>
      <c r="T67" s="564">
        <f t="shared" si="1"/>
        <v>0</v>
      </c>
    </row>
    <row r="68" spans="1:23" ht="15.75" hidden="1" thickBot="1" x14ac:dyDescent="0.3">
      <c r="A68" s="813"/>
      <c r="B68" s="227">
        <v>600</v>
      </c>
      <c r="C68" s="234" t="s">
        <v>163</v>
      </c>
      <c r="D68" s="23"/>
      <c r="E68" s="23"/>
      <c r="F68" s="23"/>
      <c r="G68" s="23"/>
      <c r="H68" s="23"/>
      <c r="I68" s="22"/>
      <c r="J68" s="23">
        <v>6450</v>
      </c>
      <c r="K68" s="112"/>
      <c r="L68" s="23"/>
      <c r="M68" s="23"/>
      <c r="N68" s="24">
        <v>0</v>
      </c>
      <c r="O68" s="113"/>
      <c r="P68" s="113"/>
      <c r="Q68" s="24"/>
      <c r="R68" s="233"/>
      <c r="S68" s="684"/>
      <c r="T68" s="564">
        <f t="shared" ref="T68:T131" si="15">IF(R68=0,0,ROUND(S68/R68*100,2))</f>
        <v>0</v>
      </c>
    </row>
    <row r="69" spans="1:23" ht="15.75" hidden="1" thickBot="1" x14ac:dyDescent="0.3">
      <c r="A69" s="809"/>
      <c r="B69" s="235">
        <v>600</v>
      </c>
      <c r="C69" s="61" t="s">
        <v>164</v>
      </c>
      <c r="D69" s="188"/>
      <c r="E69" s="188"/>
      <c r="F69" s="188"/>
      <c r="G69" s="188"/>
      <c r="H69" s="188"/>
      <c r="I69" s="173"/>
      <c r="J69" s="173"/>
      <c r="K69" s="236"/>
      <c r="L69" s="236">
        <v>2000</v>
      </c>
      <c r="M69" s="29">
        <v>2000</v>
      </c>
      <c r="N69" s="30">
        <v>0</v>
      </c>
      <c r="O69" s="237"/>
      <c r="P69" s="237"/>
      <c r="Q69" s="30"/>
      <c r="R69" s="238"/>
      <c r="S69" s="685"/>
      <c r="T69" s="565">
        <f t="shared" si="15"/>
        <v>0</v>
      </c>
    </row>
    <row r="70" spans="1:23" ht="15.75" thickBot="1" x14ac:dyDescent="0.3">
      <c r="A70" s="151" t="s">
        <v>165</v>
      </c>
      <c r="B70" s="777" t="s">
        <v>166</v>
      </c>
      <c r="C70" s="747"/>
      <c r="D70" s="152">
        <v>16132</v>
      </c>
      <c r="E70" s="152">
        <v>16995</v>
      </c>
      <c r="F70" s="152">
        <v>21045</v>
      </c>
      <c r="G70" s="152">
        <v>23225</v>
      </c>
      <c r="H70" s="152">
        <v>22830</v>
      </c>
      <c r="I70" s="239">
        <v>22296</v>
      </c>
      <c r="J70" s="239">
        <v>33352</v>
      </c>
      <c r="K70" s="84">
        <v>37492</v>
      </c>
      <c r="L70" s="85">
        <v>38137.74</v>
      </c>
      <c r="M70" s="119">
        <v>48253.93</v>
      </c>
      <c r="N70" s="153">
        <v>65222.28</v>
      </c>
      <c r="O70" s="154">
        <v>78515.91</v>
      </c>
      <c r="P70" s="154">
        <v>87575.21</v>
      </c>
      <c r="Q70" s="154">
        <f>SUM(Q71:Q73)</f>
        <v>113415.88</v>
      </c>
      <c r="R70" s="153">
        <f>SUM(R71:R73)</f>
        <v>131986</v>
      </c>
      <c r="S70" s="687">
        <f t="shared" ref="S70" si="16">SUM(S71:S73)</f>
        <v>125799.64</v>
      </c>
      <c r="T70" s="632">
        <f t="shared" si="15"/>
        <v>95.31</v>
      </c>
      <c r="W70" s="303"/>
    </row>
    <row r="71" spans="1:23" x14ac:dyDescent="0.25">
      <c r="A71" s="808"/>
      <c r="B71" s="240" t="s">
        <v>167</v>
      </c>
      <c r="C71" s="16" t="s">
        <v>114</v>
      </c>
      <c r="D71" s="156"/>
      <c r="E71" s="156"/>
      <c r="F71" s="156"/>
      <c r="G71" s="156"/>
      <c r="H71" s="156"/>
      <c r="I71" s="16"/>
      <c r="J71" s="16"/>
      <c r="K71" s="17"/>
      <c r="L71" s="17"/>
      <c r="M71" s="18"/>
      <c r="N71" s="159">
        <v>65222.28</v>
      </c>
      <c r="O71" s="589">
        <v>54948.07</v>
      </c>
      <c r="P71" s="589">
        <v>60328.94</v>
      </c>
      <c r="Q71" s="589">
        <v>81894.320000000007</v>
      </c>
      <c r="R71" s="159">
        <v>91182</v>
      </c>
      <c r="S71" s="689">
        <v>91086.76</v>
      </c>
      <c r="T71" s="651">
        <f t="shared" si="15"/>
        <v>99.9</v>
      </c>
    </row>
    <row r="72" spans="1:23" x14ac:dyDescent="0.25">
      <c r="A72" s="813"/>
      <c r="B72" s="241" t="s">
        <v>167</v>
      </c>
      <c r="C72" s="22" t="s">
        <v>115</v>
      </c>
      <c r="D72" s="161"/>
      <c r="E72" s="161"/>
      <c r="F72" s="161"/>
      <c r="G72" s="161"/>
      <c r="H72" s="161"/>
      <c r="I72" s="22"/>
      <c r="J72" s="22"/>
      <c r="K72" s="23"/>
      <c r="L72" s="23"/>
      <c r="M72" s="24"/>
      <c r="N72" s="242"/>
      <c r="O72" s="243">
        <v>17076.54</v>
      </c>
      <c r="P72" s="243">
        <v>18947.38</v>
      </c>
      <c r="Q72" s="243">
        <v>24987.200000000001</v>
      </c>
      <c r="R72" s="242">
        <v>32804</v>
      </c>
      <c r="S72" s="684">
        <v>27480.49</v>
      </c>
      <c r="T72" s="564">
        <f t="shared" si="15"/>
        <v>83.77</v>
      </c>
    </row>
    <row r="73" spans="1:23" ht="15.75" thickBot="1" x14ac:dyDescent="0.3">
      <c r="A73" s="809"/>
      <c r="B73" s="244">
        <v>600</v>
      </c>
      <c r="C73" s="61" t="s">
        <v>116</v>
      </c>
      <c r="D73" s="204"/>
      <c r="E73" s="204"/>
      <c r="F73" s="204"/>
      <c r="G73" s="204"/>
      <c r="H73" s="204"/>
      <c r="I73" s="61"/>
      <c r="J73" s="61"/>
      <c r="K73" s="76"/>
      <c r="L73" s="76"/>
      <c r="M73" s="32"/>
      <c r="N73" s="206"/>
      <c r="O73" s="590">
        <v>6491.2999999999993</v>
      </c>
      <c r="P73" s="590">
        <v>8298.89</v>
      </c>
      <c r="Q73" s="590">
        <v>6534.36</v>
      </c>
      <c r="R73" s="206">
        <v>8000</v>
      </c>
      <c r="S73" s="690">
        <f>6484.62+747.77</f>
        <v>7232.3899999999994</v>
      </c>
      <c r="T73" s="570">
        <f t="shared" si="15"/>
        <v>90.4</v>
      </c>
    </row>
    <row r="74" spans="1:23" ht="15.75" thickBot="1" x14ac:dyDescent="0.3">
      <c r="A74" s="151" t="s">
        <v>168</v>
      </c>
      <c r="B74" s="816" t="s">
        <v>169</v>
      </c>
      <c r="C74" s="817"/>
      <c r="D74" s="152">
        <v>1016763</v>
      </c>
      <c r="E74" s="152">
        <v>271062</v>
      </c>
      <c r="F74" s="152">
        <v>471453</v>
      </c>
      <c r="G74" s="152">
        <v>456862</v>
      </c>
      <c r="H74" s="84">
        <v>440003</v>
      </c>
      <c r="I74" s="84">
        <v>428961</v>
      </c>
      <c r="J74" s="84">
        <v>454364</v>
      </c>
      <c r="K74" s="84">
        <v>445324</v>
      </c>
      <c r="L74" s="85">
        <v>440667.17</v>
      </c>
      <c r="M74" s="85">
        <v>406831.45</v>
      </c>
      <c r="N74" s="153">
        <v>398077.16</v>
      </c>
      <c r="O74" s="154">
        <v>411260.17</v>
      </c>
      <c r="P74" s="154">
        <v>607295.49</v>
      </c>
      <c r="Q74" s="154">
        <f>SUM(Q75:Q78)</f>
        <v>519637.36</v>
      </c>
      <c r="R74" s="153">
        <f>SUM(R75:R78)</f>
        <v>557298</v>
      </c>
      <c r="S74" s="687">
        <f t="shared" ref="S74" si="17">SUM(S75:S78)</f>
        <v>553503.07000000007</v>
      </c>
      <c r="T74" s="632">
        <f t="shared" si="15"/>
        <v>99.32</v>
      </c>
      <c r="W74" s="189"/>
    </row>
    <row r="75" spans="1:23" x14ac:dyDescent="0.25">
      <c r="A75" s="810"/>
      <c r="B75" s="155">
        <v>630</v>
      </c>
      <c r="C75" s="245" t="s">
        <v>95</v>
      </c>
      <c r="D75" s="246"/>
      <c r="E75" s="246"/>
      <c r="F75" s="246"/>
      <c r="G75" s="246"/>
      <c r="H75" s="209">
        <v>4585</v>
      </c>
      <c r="I75" s="247">
        <v>1644</v>
      </c>
      <c r="J75" s="245"/>
      <c r="K75" s="17"/>
      <c r="L75" s="157"/>
      <c r="M75" s="214"/>
      <c r="N75" s="44"/>
      <c r="O75" s="214"/>
      <c r="P75" s="214">
        <v>21699.02</v>
      </c>
      <c r="Q75" s="214"/>
      <c r="R75" s="215"/>
      <c r="S75" s="683"/>
      <c r="T75" s="566">
        <f t="shared" si="15"/>
        <v>0</v>
      </c>
    </row>
    <row r="76" spans="1:23" x14ac:dyDescent="0.25">
      <c r="A76" s="811"/>
      <c r="B76" s="241" t="s">
        <v>170</v>
      </c>
      <c r="C76" s="248" t="s">
        <v>171</v>
      </c>
      <c r="D76" s="249"/>
      <c r="E76" s="249"/>
      <c r="F76" s="249"/>
      <c r="G76" s="249"/>
      <c r="H76" s="171">
        <v>7659</v>
      </c>
      <c r="I76" s="250">
        <v>5301</v>
      </c>
      <c r="J76" s="171">
        <v>3974</v>
      </c>
      <c r="K76" s="251">
        <v>3974</v>
      </c>
      <c r="L76" s="252">
        <v>3974.17</v>
      </c>
      <c r="M76" s="113">
        <v>4974.0200000000004</v>
      </c>
      <c r="N76" s="24">
        <v>3974.17</v>
      </c>
      <c r="O76" s="113">
        <v>3974.17</v>
      </c>
      <c r="P76" s="113">
        <v>3974.17</v>
      </c>
      <c r="Q76" s="113">
        <v>3974.17</v>
      </c>
      <c r="R76" s="242">
        <v>3900</v>
      </c>
      <c r="S76" s="684">
        <v>3974.17</v>
      </c>
      <c r="T76" s="564">
        <f t="shared" si="15"/>
        <v>101.9</v>
      </c>
    </row>
    <row r="77" spans="1:23" x14ac:dyDescent="0.25">
      <c r="A77" s="811"/>
      <c r="B77" s="241" t="s">
        <v>170</v>
      </c>
      <c r="C77" s="248" t="s">
        <v>172</v>
      </c>
      <c r="D77" s="253"/>
      <c r="E77" s="253"/>
      <c r="F77" s="253"/>
      <c r="G77" s="253"/>
      <c r="H77" s="254"/>
      <c r="I77" s="255"/>
      <c r="J77" s="254"/>
      <c r="K77" s="256"/>
      <c r="L77" s="257"/>
      <c r="M77" s="166"/>
      <c r="N77" s="47"/>
      <c r="O77" s="166">
        <v>49000</v>
      </c>
      <c r="P77" s="166">
        <v>97445.88</v>
      </c>
      <c r="Q77" s="166"/>
      <c r="R77" s="167">
        <v>0</v>
      </c>
      <c r="S77" s="684"/>
      <c r="T77" s="565">
        <f t="shared" si="15"/>
        <v>0</v>
      </c>
    </row>
    <row r="78" spans="1:23" ht="15.75" thickBot="1" x14ac:dyDescent="0.3">
      <c r="A78" s="812"/>
      <c r="B78" s="163">
        <v>640</v>
      </c>
      <c r="C78" s="258" t="s">
        <v>173</v>
      </c>
      <c r="D78" s="76"/>
      <c r="E78" s="76"/>
      <c r="F78" s="76"/>
      <c r="G78" s="76"/>
      <c r="H78" s="204">
        <v>427759</v>
      </c>
      <c r="I78" s="259">
        <v>422016</v>
      </c>
      <c r="J78" s="204">
        <v>450390</v>
      </c>
      <c r="K78" s="260">
        <v>441350</v>
      </c>
      <c r="L78" s="261">
        <v>436693</v>
      </c>
      <c r="M78" s="237">
        <v>401857.43</v>
      </c>
      <c r="N78" s="30">
        <v>394102.99</v>
      </c>
      <c r="O78" s="237">
        <v>358286</v>
      </c>
      <c r="P78" s="237">
        <v>484176.42</v>
      </c>
      <c r="Q78" s="237">
        <v>515663.19</v>
      </c>
      <c r="R78" s="262">
        <v>553398</v>
      </c>
      <c r="S78" s="685">
        <v>549528.9</v>
      </c>
      <c r="T78" s="565">
        <f t="shared" si="15"/>
        <v>99.3</v>
      </c>
      <c r="U78" s="189"/>
    </row>
    <row r="79" spans="1:23" ht="15.75" hidden="1" thickBot="1" x14ac:dyDescent="0.3">
      <c r="A79" s="263" t="s">
        <v>174</v>
      </c>
      <c r="B79" s="818" t="s">
        <v>175</v>
      </c>
      <c r="C79" s="819"/>
      <c r="D79" s="264"/>
      <c r="E79" s="264"/>
      <c r="F79" s="264"/>
      <c r="G79" s="264"/>
      <c r="H79" s="264"/>
      <c r="I79" s="265">
        <v>0</v>
      </c>
      <c r="J79" s="265">
        <v>0</v>
      </c>
      <c r="K79" s="266">
        <v>0</v>
      </c>
      <c r="L79" s="267"/>
      <c r="M79" s="266">
        <v>0</v>
      </c>
      <c r="N79" s="268"/>
      <c r="O79" s="268"/>
      <c r="P79" s="268"/>
      <c r="Q79" s="614"/>
      <c r="R79" s="269">
        <v>0</v>
      </c>
      <c r="S79" s="686"/>
      <c r="T79" s="567">
        <f t="shared" si="15"/>
        <v>0</v>
      </c>
    </row>
    <row r="80" spans="1:23" ht="15.75" hidden="1" thickBot="1" x14ac:dyDescent="0.3">
      <c r="A80" s="584"/>
      <c r="B80" s="229">
        <v>630</v>
      </c>
      <c r="C80" s="270" t="s">
        <v>176</v>
      </c>
      <c r="D80" s="271"/>
      <c r="E80" s="271"/>
      <c r="F80" s="271"/>
      <c r="G80" s="271"/>
      <c r="H80" s="271"/>
      <c r="I80" s="272" t="s">
        <v>177</v>
      </c>
      <c r="J80" s="272" t="s">
        <v>177</v>
      </c>
      <c r="K80" s="230"/>
      <c r="L80" s="104"/>
      <c r="M80" s="105"/>
      <c r="N80" s="105"/>
      <c r="O80" s="105"/>
      <c r="P80" s="105"/>
      <c r="Q80" s="104"/>
      <c r="R80" s="219"/>
      <c r="S80" s="688"/>
      <c r="T80" s="568">
        <f t="shared" si="15"/>
        <v>0</v>
      </c>
    </row>
    <row r="81" spans="1:25" ht="15.75" thickBot="1" x14ac:dyDescent="0.3">
      <c r="A81" s="220" t="s">
        <v>178</v>
      </c>
      <c r="B81" s="820" t="s">
        <v>179</v>
      </c>
      <c r="C81" s="821"/>
      <c r="D81" s="221">
        <v>11817</v>
      </c>
      <c r="E81" s="221">
        <v>11784</v>
      </c>
      <c r="F81" s="221">
        <v>12315</v>
      </c>
      <c r="G81" s="221">
        <v>20259</v>
      </c>
      <c r="H81" s="99">
        <v>14522</v>
      </c>
      <c r="I81" s="99">
        <v>159820</v>
      </c>
      <c r="J81" s="99">
        <v>64721</v>
      </c>
      <c r="K81" s="99">
        <v>10450</v>
      </c>
      <c r="L81" s="100">
        <v>10682.39</v>
      </c>
      <c r="M81" s="100">
        <v>9819.23</v>
      </c>
      <c r="N81" s="222">
        <v>9873.75</v>
      </c>
      <c r="O81" s="223">
        <v>11427.249999999998</v>
      </c>
      <c r="P81" s="223">
        <v>14386.410000000002</v>
      </c>
      <c r="Q81" s="223">
        <f>SUM(Q82:Q85)</f>
        <v>17575.48</v>
      </c>
      <c r="R81" s="222">
        <f>SUM(R82:R85)</f>
        <v>16859</v>
      </c>
      <c r="S81" s="687">
        <f t="shared" ref="S81" si="18">SUM(S82:S85)</f>
        <v>17824.14</v>
      </c>
      <c r="T81" s="632">
        <f t="shared" si="15"/>
        <v>105.72</v>
      </c>
      <c r="W81" s="303"/>
      <c r="Y81" s="189"/>
    </row>
    <row r="82" spans="1:25" x14ac:dyDescent="0.25">
      <c r="A82" s="808"/>
      <c r="B82" s="175">
        <v>610</v>
      </c>
      <c r="C82" s="57" t="s">
        <v>114</v>
      </c>
      <c r="D82" s="186"/>
      <c r="E82" s="186">
        <v>7435</v>
      </c>
      <c r="F82" s="186">
        <v>7170</v>
      </c>
      <c r="G82" s="186">
        <v>13170</v>
      </c>
      <c r="H82" s="186">
        <v>9057</v>
      </c>
      <c r="I82" s="57">
        <v>7158</v>
      </c>
      <c r="J82" s="58">
        <v>7062</v>
      </c>
      <c r="K82" s="58">
        <v>6902</v>
      </c>
      <c r="L82" s="124">
        <v>7013.99</v>
      </c>
      <c r="M82" s="124">
        <v>6670.5</v>
      </c>
      <c r="N82" s="20">
        <v>6756.74</v>
      </c>
      <c r="O82" s="19">
        <v>6231.04</v>
      </c>
      <c r="P82" s="19">
        <v>9222.5300000000007</v>
      </c>
      <c r="Q82" s="19">
        <v>10920.12</v>
      </c>
      <c r="R82" s="142">
        <v>11664</v>
      </c>
      <c r="S82" s="683">
        <v>12288.18</v>
      </c>
      <c r="T82" s="566">
        <f t="shared" si="15"/>
        <v>105.35</v>
      </c>
    </row>
    <row r="83" spans="1:25" x14ac:dyDescent="0.25">
      <c r="A83" s="813"/>
      <c r="B83" s="176">
        <v>620</v>
      </c>
      <c r="C83" s="59" t="s">
        <v>115</v>
      </c>
      <c r="D83" s="187"/>
      <c r="E83" s="187">
        <v>2722</v>
      </c>
      <c r="F83" s="187">
        <v>2589</v>
      </c>
      <c r="G83" s="187">
        <v>4447</v>
      </c>
      <c r="H83" s="187">
        <v>3981</v>
      </c>
      <c r="I83" s="59">
        <v>2874</v>
      </c>
      <c r="J83" s="60">
        <v>2706</v>
      </c>
      <c r="K83" s="60">
        <v>2594</v>
      </c>
      <c r="L83" s="125">
        <v>2904.51</v>
      </c>
      <c r="M83" s="125">
        <v>2212.12</v>
      </c>
      <c r="N83" s="26">
        <v>2382.5100000000002</v>
      </c>
      <c r="O83" s="25">
        <v>2182.2399999999998</v>
      </c>
      <c r="P83" s="25">
        <v>3409.77</v>
      </c>
      <c r="Q83" s="25">
        <v>4028.34</v>
      </c>
      <c r="R83" s="144">
        <v>4195</v>
      </c>
      <c r="S83" s="684">
        <v>4494.99</v>
      </c>
      <c r="T83" s="564">
        <f t="shared" si="15"/>
        <v>107.15</v>
      </c>
    </row>
    <row r="84" spans="1:25" x14ac:dyDescent="0.25">
      <c r="A84" s="813"/>
      <c r="B84" s="176">
        <v>630</v>
      </c>
      <c r="C84" s="59" t="s">
        <v>116</v>
      </c>
      <c r="D84" s="187"/>
      <c r="E84" s="187">
        <v>1627</v>
      </c>
      <c r="F84" s="187">
        <v>2556</v>
      </c>
      <c r="G84" s="187">
        <v>2642</v>
      </c>
      <c r="H84" s="187">
        <v>1484</v>
      </c>
      <c r="I84" s="59">
        <v>1204</v>
      </c>
      <c r="J84" s="60">
        <v>1574</v>
      </c>
      <c r="K84" s="60">
        <v>954</v>
      </c>
      <c r="L84" s="125">
        <v>763.89</v>
      </c>
      <c r="M84" s="125">
        <v>936.61</v>
      </c>
      <c r="N84" s="26">
        <v>734.5</v>
      </c>
      <c r="O84" s="25">
        <v>3013.97</v>
      </c>
      <c r="P84" s="25">
        <v>1754.11</v>
      </c>
      <c r="Q84" s="25">
        <v>2627.02</v>
      </c>
      <c r="R84" s="144">
        <v>1000</v>
      </c>
      <c r="S84" s="684">
        <v>1040.97</v>
      </c>
      <c r="T84" s="564">
        <f t="shared" si="15"/>
        <v>104.1</v>
      </c>
    </row>
    <row r="85" spans="1:25" ht="15.75" thickBot="1" x14ac:dyDescent="0.3">
      <c r="A85" s="809"/>
      <c r="B85" s="244">
        <v>600</v>
      </c>
      <c r="C85" s="273" t="s">
        <v>180</v>
      </c>
      <c r="D85" s="274"/>
      <c r="E85" s="274"/>
      <c r="F85" s="274"/>
      <c r="G85" s="274"/>
      <c r="H85" s="274"/>
      <c r="I85" s="273">
        <v>148584</v>
      </c>
      <c r="J85" s="275">
        <v>53379</v>
      </c>
      <c r="K85" s="76"/>
      <c r="L85" s="205"/>
      <c r="M85" s="76"/>
      <c r="N85" s="32"/>
      <c r="O85" s="32"/>
      <c r="P85" s="32"/>
      <c r="Q85" s="32"/>
      <c r="R85" s="206"/>
      <c r="S85" s="685"/>
      <c r="T85" s="565">
        <f t="shared" si="15"/>
        <v>0</v>
      </c>
    </row>
    <row r="86" spans="1:25" ht="15.75" thickBot="1" x14ac:dyDescent="0.3">
      <c r="A86" s="276" t="s">
        <v>181</v>
      </c>
      <c r="B86" s="816" t="s">
        <v>182</v>
      </c>
      <c r="C86" s="817"/>
      <c r="D86" s="152">
        <v>11518</v>
      </c>
      <c r="E86" s="152">
        <v>13012</v>
      </c>
      <c r="F86" s="152">
        <v>13643</v>
      </c>
      <c r="G86" s="152">
        <v>15109</v>
      </c>
      <c r="H86" s="152">
        <v>14271</v>
      </c>
      <c r="I86" s="84">
        <v>14580</v>
      </c>
      <c r="J86" s="84">
        <v>13755</v>
      </c>
      <c r="K86" s="84">
        <v>12987</v>
      </c>
      <c r="L86" s="85">
        <v>12440.38</v>
      </c>
      <c r="M86" s="85">
        <v>12085.220000000001</v>
      </c>
      <c r="N86" s="153">
        <v>14820</v>
      </c>
      <c r="O86" s="154">
        <v>17802.890000000003</v>
      </c>
      <c r="P86" s="154">
        <v>18901.939999999999</v>
      </c>
      <c r="Q86" s="154">
        <f>SUM(Q87:Q90)</f>
        <v>19832.530000000002</v>
      </c>
      <c r="R86" s="153">
        <f>SUM(R87:R90)</f>
        <v>22060</v>
      </c>
      <c r="S86" s="687">
        <f t="shared" ref="S86" si="19">SUM(S87:S90)</f>
        <v>21524.999999999996</v>
      </c>
      <c r="T86" s="632">
        <f t="shared" si="15"/>
        <v>97.57</v>
      </c>
      <c r="W86" s="303"/>
    </row>
    <row r="87" spans="1:25" x14ac:dyDescent="0.25">
      <c r="A87" s="808"/>
      <c r="B87" s="175">
        <v>610</v>
      </c>
      <c r="C87" s="57" t="s">
        <v>114</v>
      </c>
      <c r="D87" s="186"/>
      <c r="E87" s="186">
        <v>8099</v>
      </c>
      <c r="F87" s="186">
        <v>8597</v>
      </c>
      <c r="G87" s="186">
        <v>9417</v>
      </c>
      <c r="H87" s="186">
        <v>9528</v>
      </c>
      <c r="I87" s="57">
        <v>9523</v>
      </c>
      <c r="J87" s="58">
        <v>8900</v>
      </c>
      <c r="K87" s="58">
        <v>8730</v>
      </c>
      <c r="L87" s="19">
        <v>8356.07</v>
      </c>
      <c r="M87" s="19">
        <v>8369.9699999999993</v>
      </c>
      <c r="N87" s="20">
        <v>10167.75</v>
      </c>
      <c r="O87" s="19">
        <v>12358.6</v>
      </c>
      <c r="P87" s="19">
        <v>13120.16</v>
      </c>
      <c r="Q87" s="19">
        <v>14108.2</v>
      </c>
      <c r="R87" s="142">
        <v>15418</v>
      </c>
      <c r="S87" s="683">
        <v>15465.15</v>
      </c>
      <c r="T87" s="566">
        <f t="shared" si="15"/>
        <v>100.31</v>
      </c>
    </row>
    <row r="88" spans="1:25" x14ac:dyDescent="0.25">
      <c r="A88" s="813"/>
      <c r="B88" s="176">
        <v>620</v>
      </c>
      <c r="C88" s="59" t="s">
        <v>115</v>
      </c>
      <c r="D88" s="187"/>
      <c r="E88" s="187">
        <v>2855</v>
      </c>
      <c r="F88" s="187">
        <v>3220</v>
      </c>
      <c r="G88" s="187">
        <v>3567</v>
      </c>
      <c r="H88" s="187">
        <v>3607</v>
      </c>
      <c r="I88" s="59">
        <v>3617</v>
      </c>
      <c r="J88" s="60">
        <v>3393</v>
      </c>
      <c r="K88" s="60">
        <v>3330</v>
      </c>
      <c r="L88" s="25">
        <v>3406.87</v>
      </c>
      <c r="M88" s="25">
        <v>2973.01</v>
      </c>
      <c r="N88" s="26">
        <v>3841.92</v>
      </c>
      <c r="O88" s="25">
        <v>4614.21</v>
      </c>
      <c r="P88" s="25">
        <v>4873.08</v>
      </c>
      <c r="Q88" s="25">
        <v>4776.7</v>
      </c>
      <c r="R88" s="144">
        <v>5642</v>
      </c>
      <c r="S88" s="684">
        <v>5096.84</v>
      </c>
      <c r="T88" s="564">
        <f t="shared" si="15"/>
        <v>90.34</v>
      </c>
    </row>
    <row r="89" spans="1:25" ht="15.75" thickBot="1" x14ac:dyDescent="0.3">
      <c r="A89" s="813"/>
      <c r="B89" s="277">
        <v>630</v>
      </c>
      <c r="C89" s="62" t="s">
        <v>116</v>
      </c>
      <c r="D89" s="204"/>
      <c r="E89" s="204">
        <v>2058</v>
      </c>
      <c r="F89" s="204">
        <v>1826</v>
      </c>
      <c r="G89" s="204">
        <v>2125</v>
      </c>
      <c r="H89" s="204">
        <v>1136</v>
      </c>
      <c r="I89" s="61">
        <v>1440</v>
      </c>
      <c r="J89" s="76">
        <v>1462</v>
      </c>
      <c r="K89" s="93">
        <v>927</v>
      </c>
      <c r="L89" s="125">
        <v>677.44</v>
      </c>
      <c r="M89" s="125">
        <v>629.37</v>
      </c>
      <c r="N89" s="26">
        <v>810.33</v>
      </c>
      <c r="O89" s="25">
        <v>830.08</v>
      </c>
      <c r="P89" s="25">
        <v>908.7</v>
      </c>
      <c r="Q89" s="25">
        <v>947.63</v>
      </c>
      <c r="R89" s="144">
        <v>1000</v>
      </c>
      <c r="S89" s="684">
        <v>963.01</v>
      </c>
      <c r="T89" s="564">
        <f t="shared" si="15"/>
        <v>96.3</v>
      </c>
    </row>
    <row r="90" spans="1:25" ht="15.75" thickBot="1" x14ac:dyDescent="0.3">
      <c r="A90" s="809"/>
      <c r="B90" s="244">
        <v>640</v>
      </c>
      <c r="C90" s="61" t="s">
        <v>117</v>
      </c>
      <c r="D90" s="217"/>
      <c r="E90" s="217"/>
      <c r="F90" s="217"/>
      <c r="G90" s="217"/>
      <c r="H90" s="217"/>
      <c r="I90" s="190"/>
      <c r="J90" s="149"/>
      <c r="K90" s="188"/>
      <c r="L90" s="278"/>
      <c r="M90" s="278">
        <v>112.87</v>
      </c>
      <c r="N90" s="90"/>
      <c r="O90" s="90"/>
      <c r="P90" s="90"/>
      <c r="Q90" s="90"/>
      <c r="R90" s="174"/>
      <c r="S90" s="688"/>
      <c r="T90" s="568">
        <f t="shared" si="15"/>
        <v>0</v>
      </c>
    </row>
    <row r="91" spans="1:25" ht="15.75" thickBot="1" x14ac:dyDescent="0.3">
      <c r="A91" s="220" t="s">
        <v>183</v>
      </c>
      <c r="B91" s="798" t="s">
        <v>184</v>
      </c>
      <c r="C91" s="781"/>
      <c r="D91" s="221">
        <v>0</v>
      </c>
      <c r="E91" s="221">
        <v>221337</v>
      </c>
      <c r="F91" s="221">
        <v>136394</v>
      </c>
      <c r="G91" s="221">
        <v>214824</v>
      </c>
      <c r="H91" s="221">
        <v>646088</v>
      </c>
      <c r="I91" s="84">
        <v>152165</v>
      </c>
      <c r="J91" s="84">
        <v>173492</v>
      </c>
      <c r="K91" s="84">
        <v>219663</v>
      </c>
      <c r="L91" s="85">
        <v>485501.09</v>
      </c>
      <c r="M91" s="85">
        <v>315963.52000000002</v>
      </c>
      <c r="N91" s="153">
        <v>306308.77</v>
      </c>
      <c r="O91" s="154">
        <v>235650.84</v>
      </c>
      <c r="P91" s="154">
        <v>258445.63</v>
      </c>
      <c r="Q91" s="154">
        <f>SUM(Q105:Q109)</f>
        <v>225107.38</v>
      </c>
      <c r="R91" s="153">
        <f>SUM(R105:R109)</f>
        <v>194631</v>
      </c>
      <c r="S91" s="687">
        <f t="shared" ref="S91" si="20">SUM(S105:S109)</f>
        <v>183499.42</v>
      </c>
      <c r="T91" s="632">
        <f t="shared" si="15"/>
        <v>94.28</v>
      </c>
      <c r="W91" s="303"/>
    </row>
    <row r="92" spans="1:25" ht="13.5" hidden="1" customHeight="1" x14ac:dyDescent="0.25">
      <c r="A92" s="810"/>
      <c r="B92" s="175">
        <v>630</v>
      </c>
      <c r="C92" s="57" t="s">
        <v>185</v>
      </c>
      <c r="D92" s="279"/>
      <c r="E92" s="279"/>
      <c r="F92" s="279"/>
      <c r="G92" s="279"/>
      <c r="H92" s="279"/>
      <c r="I92" s="280"/>
      <c r="J92" s="280"/>
      <c r="K92" s="280"/>
      <c r="L92" s="158">
        <v>164829</v>
      </c>
      <c r="M92" s="158">
        <v>115488</v>
      </c>
      <c r="N92" s="18">
        <v>98750</v>
      </c>
      <c r="O92" s="158"/>
      <c r="P92" s="158"/>
      <c r="Q92" s="18"/>
      <c r="R92" s="281"/>
      <c r="S92" s="683"/>
      <c r="T92" s="566">
        <f t="shared" si="15"/>
        <v>0</v>
      </c>
    </row>
    <row r="93" spans="1:25" ht="13.5" hidden="1" customHeight="1" x14ac:dyDescent="0.25">
      <c r="A93" s="811"/>
      <c r="B93" s="176"/>
      <c r="C93" s="62" t="s">
        <v>186</v>
      </c>
      <c r="D93" s="282"/>
      <c r="E93" s="282"/>
      <c r="F93" s="282"/>
      <c r="G93" s="282"/>
      <c r="H93" s="282"/>
      <c r="I93" s="283"/>
      <c r="J93" s="283"/>
      <c r="K93" s="283"/>
      <c r="L93" s="214">
        <v>9696.5400000000009</v>
      </c>
      <c r="M93" s="284"/>
      <c r="N93" s="285"/>
      <c r="O93" s="284"/>
      <c r="P93" s="284"/>
      <c r="Q93" s="285"/>
      <c r="R93" s="286"/>
      <c r="S93" s="684"/>
      <c r="T93" s="564">
        <f t="shared" si="15"/>
        <v>0</v>
      </c>
    </row>
    <row r="94" spans="1:25" ht="13.5" hidden="1" customHeight="1" x14ac:dyDescent="0.25">
      <c r="A94" s="811"/>
      <c r="B94" s="176"/>
      <c r="C94" s="62" t="s">
        <v>187</v>
      </c>
      <c r="D94" s="282"/>
      <c r="E94" s="282"/>
      <c r="F94" s="282"/>
      <c r="G94" s="282"/>
      <c r="H94" s="282"/>
      <c r="I94" s="283"/>
      <c r="J94" s="283"/>
      <c r="K94" s="283"/>
      <c r="L94" s="214">
        <v>9955.2999999999993</v>
      </c>
      <c r="M94" s="284"/>
      <c r="N94" s="285"/>
      <c r="O94" s="284"/>
      <c r="P94" s="284"/>
      <c r="Q94" s="285"/>
      <c r="R94" s="286"/>
      <c r="S94" s="684"/>
      <c r="T94" s="564">
        <f t="shared" si="15"/>
        <v>0</v>
      </c>
    </row>
    <row r="95" spans="1:25" ht="13.5" hidden="1" customHeight="1" x14ac:dyDescent="0.25">
      <c r="A95" s="811"/>
      <c r="B95" s="176"/>
      <c r="C95" s="62" t="s">
        <v>188</v>
      </c>
      <c r="D95" s="282"/>
      <c r="E95" s="282"/>
      <c r="F95" s="282"/>
      <c r="G95" s="282"/>
      <c r="H95" s="282"/>
      <c r="I95" s="283"/>
      <c r="J95" s="283"/>
      <c r="K95" s="283"/>
      <c r="L95" s="214">
        <v>11550</v>
      </c>
      <c r="M95" s="284"/>
      <c r="N95" s="285"/>
      <c r="O95" s="284"/>
      <c r="P95" s="284"/>
      <c r="Q95" s="285"/>
      <c r="R95" s="286"/>
      <c r="S95" s="684"/>
      <c r="T95" s="564">
        <f t="shared" si="15"/>
        <v>0</v>
      </c>
    </row>
    <row r="96" spans="1:25" ht="13.5" hidden="1" customHeight="1" x14ac:dyDescent="0.25">
      <c r="A96" s="811"/>
      <c r="B96" s="176"/>
      <c r="C96" s="59" t="s">
        <v>189</v>
      </c>
      <c r="D96" s="282"/>
      <c r="E96" s="282"/>
      <c r="F96" s="282"/>
      <c r="G96" s="282"/>
      <c r="H96" s="282"/>
      <c r="I96" s="283"/>
      <c r="J96" s="283"/>
      <c r="K96" s="283"/>
      <c r="L96" s="214">
        <v>11848</v>
      </c>
      <c r="M96" s="284"/>
      <c r="N96" s="285"/>
      <c r="O96" s="284"/>
      <c r="P96" s="284"/>
      <c r="Q96" s="285"/>
      <c r="R96" s="286"/>
      <c r="S96" s="684"/>
      <c r="T96" s="564">
        <f t="shared" si="15"/>
        <v>0</v>
      </c>
    </row>
    <row r="97" spans="1:20" ht="13.5" hidden="1" customHeight="1" x14ac:dyDescent="0.25">
      <c r="A97" s="811"/>
      <c r="B97" s="287"/>
      <c r="C97" s="91" t="s">
        <v>190</v>
      </c>
      <c r="D97" s="73"/>
      <c r="E97" s="73"/>
      <c r="F97" s="73"/>
      <c r="G97" s="73"/>
      <c r="H97" s="73"/>
      <c r="I97" s="91"/>
      <c r="J97" s="73"/>
      <c r="K97" s="73"/>
      <c r="L97" s="45">
        <v>55733.87</v>
      </c>
      <c r="M97" s="25">
        <v>17376</v>
      </c>
      <c r="N97" s="46"/>
      <c r="O97" s="45">
        <v>39179.72</v>
      </c>
      <c r="P97" s="45"/>
      <c r="Q97" s="46"/>
      <c r="R97" s="228"/>
      <c r="S97" s="684"/>
      <c r="T97" s="564">
        <f t="shared" si="15"/>
        <v>0</v>
      </c>
    </row>
    <row r="98" spans="1:20" ht="13.5" hidden="1" customHeight="1" x14ac:dyDescent="0.25">
      <c r="A98" s="811"/>
      <c r="B98" s="277"/>
      <c r="C98" s="62" t="s">
        <v>191</v>
      </c>
      <c r="D98" s="93"/>
      <c r="E98" s="93"/>
      <c r="F98" s="93"/>
      <c r="G98" s="93"/>
      <c r="H98" s="93"/>
      <c r="I98" s="62"/>
      <c r="J98" s="93"/>
      <c r="K98" s="60"/>
      <c r="L98" s="25">
        <v>41848</v>
      </c>
      <c r="M98" s="25"/>
      <c r="N98" s="26"/>
      <c r="O98" s="25"/>
      <c r="P98" s="25"/>
      <c r="Q98" s="26"/>
      <c r="R98" s="144"/>
      <c r="S98" s="684"/>
      <c r="T98" s="564">
        <f t="shared" si="15"/>
        <v>0</v>
      </c>
    </row>
    <row r="99" spans="1:20" ht="13.5" hidden="1" customHeight="1" x14ac:dyDescent="0.25">
      <c r="A99" s="811"/>
      <c r="B99" s="277"/>
      <c r="C99" s="62"/>
      <c r="D99" s="93"/>
      <c r="E99" s="93"/>
      <c r="F99" s="93"/>
      <c r="G99" s="93"/>
      <c r="H99" s="93"/>
      <c r="I99" s="62"/>
      <c r="J99" s="93"/>
      <c r="K99" s="60"/>
      <c r="L99" s="26"/>
      <c r="M99" s="25"/>
      <c r="N99" s="26"/>
      <c r="O99" s="25"/>
      <c r="P99" s="25"/>
      <c r="Q99" s="26"/>
      <c r="R99" s="144"/>
      <c r="S99" s="684"/>
      <c r="T99" s="564">
        <f t="shared" si="15"/>
        <v>0</v>
      </c>
    </row>
    <row r="100" spans="1:20" ht="13.5" hidden="1" customHeight="1" x14ac:dyDescent="0.25">
      <c r="A100" s="811"/>
      <c r="B100" s="277"/>
      <c r="C100" s="62"/>
      <c r="D100" s="93"/>
      <c r="E100" s="93"/>
      <c r="F100" s="93"/>
      <c r="G100" s="93"/>
      <c r="H100" s="93"/>
      <c r="I100" s="62"/>
      <c r="J100" s="93"/>
      <c r="K100" s="60"/>
      <c r="L100" s="26"/>
      <c r="M100" s="25"/>
      <c r="N100" s="26"/>
      <c r="O100" s="25"/>
      <c r="P100" s="25"/>
      <c r="Q100" s="26"/>
      <c r="R100" s="144"/>
      <c r="S100" s="684"/>
      <c r="T100" s="564">
        <f t="shared" si="15"/>
        <v>0</v>
      </c>
    </row>
    <row r="101" spans="1:20" ht="13.5" hidden="1" customHeight="1" x14ac:dyDescent="0.25">
      <c r="A101" s="811"/>
      <c r="B101" s="277"/>
      <c r="C101" s="59"/>
      <c r="D101" s="60"/>
      <c r="E101" s="60"/>
      <c r="F101" s="60"/>
      <c r="G101" s="60"/>
      <c r="H101" s="60"/>
      <c r="I101" s="59"/>
      <c r="J101" s="60"/>
      <c r="K101" s="60"/>
      <c r="L101" s="26"/>
      <c r="M101" s="25"/>
      <c r="N101" s="26"/>
      <c r="O101" s="25"/>
      <c r="P101" s="25"/>
      <c r="Q101" s="26"/>
      <c r="R101" s="144"/>
      <c r="S101" s="684"/>
      <c r="T101" s="564">
        <f t="shared" si="15"/>
        <v>0</v>
      </c>
    </row>
    <row r="102" spans="1:20" ht="13.5" hidden="1" customHeight="1" x14ac:dyDescent="0.25">
      <c r="A102" s="811"/>
      <c r="B102" s="277">
        <v>630</v>
      </c>
      <c r="C102" s="59" t="s">
        <v>192</v>
      </c>
      <c r="D102" s="60"/>
      <c r="E102" s="60"/>
      <c r="F102" s="60"/>
      <c r="G102" s="60"/>
      <c r="H102" s="60"/>
      <c r="I102" s="59">
        <v>800</v>
      </c>
      <c r="J102" s="60"/>
      <c r="K102" s="60"/>
      <c r="L102" s="26"/>
      <c r="M102" s="25"/>
      <c r="N102" s="26"/>
      <c r="O102" s="25"/>
      <c r="P102" s="25"/>
      <c r="Q102" s="26"/>
      <c r="R102" s="144"/>
      <c r="S102" s="684"/>
      <c r="T102" s="564">
        <f t="shared" si="15"/>
        <v>0</v>
      </c>
    </row>
    <row r="103" spans="1:20" ht="13.5" hidden="1" customHeight="1" x14ac:dyDescent="0.25">
      <c r="A103" s="811"/>
      <c r="B103" s="277">
        <v>630</v>
      </c>
      <c r="C103" s="59" t="s">
        <v>193</v>
      </c>
      <c r="D103" s="60"/>
      <c r="E103" s="60"/>
      <c r="F103" s="60"/>
      <c r="G103" s="60"/>
      <c r="H103" s="60"/>
      <c r="I103" s="59">
        <v>2124</v>
      </c>
      <c r="J103" s="60">
        <v>1200</v>
      </c>
      <c r="K103" s="26">
        <v>56752</v>
      </c>
      <c r="L103" s="26"/>
      <c r="M103" s="25"/>
      <c r="N103" s="26"/>
      <c r="O103" s="25"/>
      <c r="P103" s="25"/>
      <c r="Q103" s="26"/>
      <c r="R103" s="144"/>
      <c r="S103" s="684"/>
      <c r="T103" s="564">
        <f t="shared" si="15"/>
        <v>0</v>
      </c>
    </row>
    <row r="104" spans="1:20" ht="13.5" hidden="1" customHeight="1" x14ac:dyDescent="0.25">
      <c r="A104" s="811"/>
      <c r="B104" s="277">
        <v>630</v>
      </c>
      <c r="C104" s="59" t="s">
        <v>194</v>
      </c>
      <c r="D104" s="60"/>
      <c r="E104" s="60"/>
      <c r="F104" s="60"/>
      <c r="G104" s="60"/>
      <c r="H104" s="60"/>
      <c r="I104" s="59"/>
      <c r="J104" s="60">
        <v>22691</v>
      </c>
      <c r="K104" s="26">
        <v>859</v>
      </c>
      <c r="L104" s="26"/>
      <c r="M104" s="25">
        <v>774.55</v>
      </c>
      <c r="N104" s="26"/>
      <c r="O104" s="25"/>
      <c r="P104" s="25"/>
      <c r="Q104" s="26"/>
      <c r="R104" s="144"/>
      <c r="S104" s="684"/>
      <c r="T104" s="564">
        <f t="shared" si="15"/>
        <v>0</v>
      </c>
    </row>
    <row r="105" spans="1:20" ht="13.5" hidden="1" customHeight="1" x14ac:dyDescent="0.25">
      <c r="A105" s="811"/>
      <c r="B105" s="277">
        <v>630</v>
      </c>
      <c r="C105" s="59" t="s">
        <v>195</v>
      </c>
      <c r="D105" s="60"/>
      <c r="E105" s="60"/>
      <c r="F105" s="60"/>
      <c r="G105" s="60"/>
      <c r="H105" s="60"/>
      <c r="I105" s="59">
        <v>4435</v>
      </c>
      <c r="J105" s="60"/>
      <c r="K105" s="60">
        <v>0</v>
      </c>
      <c r="L105" s="25">
        <v>931.15</v>
      </c>
      <c r="M105" s="25">
        <v>7872</v>
      </c>
      <c r="N105" s="26">
        <v>6215.72</v>
      </c>
      <c r="O105" s="25"/>
      <c r="P105" s="25">
        <v>50244.21</v>
      </c>
      <c r="Q105" s="26"/>
      <c r="R105" s="144">
        <v>0</v>
      </c>
      <c r="S105" s="684"/>
      <c r="T105" s="564">
        <f t="shared" si="15"/>
        <v>0</v>
      </c>
    </row>
    <row r="106" spans="1:20" ht="13.5" customHeight="1" x14ac:dyDescent="0.25">
      <c r="A106" s="811"/>
      <c r="B106" s="277">
        <v>630</v>
      </c>
      <c r="C106" s="62" t="s">
        <v>196</v>
      </c>
      <c r="D106" s="93"/>
      <c r="E106" s="93"/>
      <c r="F106" s="93"/>
      <c r="G106" s="93"/>
      <c r="H106" s="93"/>
      <c r="I106" s="62"/>
      <c r="J106" s="93"/>
      <c r="K106" s="93"/>
      <c r="L106" s="49"/>
      <c r="M106" s="48"/>
      <c r="N106" s="49">
        <v>17446.490000000002</v>
      </c>
      <c r="O106" s="48"/>
      <c r="P106" s="48"/>
      <c r="Q106" s="49"/>
      <c r="R106" s="202"/>
      <c r="S106" s="684"/>
      <c r="T106" s="564">
        <f t="shared" si="15"/>
        <v>0</v>
      </c>
    </row>
    <row r="107" spans="1:20" ht="13.5" customHeight="1" x14ac:dyDescent="0.25">
      <c r="A107" s="811"/>
      <c r="B107" s="277">
        <v>630</v>
      </c>
      <c r="C107" s="62" t="s">
        <v>197</v>
      </c>
      <c r="D107" s="93"/>
      <c r="E107" s="93"/>
      <c r="F107" s="93"/>
      <c r="G107" s="93"/>
      <c r="H107" s="93"/>
      <c r="I107" s="62">
        <v>931</v>
      </c>
      <c r="J107" s="93">
        <v>0</v>
      </c>
      <c r="K107" s="93"/>
      <c r="L107" s="93"/>
      <c r="M107" s="201"/>
      <c r="N107" s="49">
        <v>0</v>
      </c>
      <c r="O107" s="48"/>
      <c r="P107" s="48"/>
      <c r="Q107" s="49">
        <v>0</v>
      </c>
      <c r="R107" s="202"/>
      <c r="S107" s="684"/>
      <c r="T107" s="564">
        <f t="shared" si="15"/>
        <v>0</v>
      </c>
    </row>
    <row r="108" spans="1:20" ht="13.5" customHeight="1" x14ac:dyDescent="0.25">
      <c r="A108" s="811"/>
      <c r="B108" s="277">
        <v>630</v>
      </c>
      <c r="C108" s="62" t="s">
        <v>198</v>
      </c>
      <c r="D108" s="93"/>
      <c r="E108" s="93"/>
      <c r="F108" s="93"/>
      <c r="G108" s="93"/>
      <c r="H108" s="93"/>
      <c r="I108" s="59">
        <v>10805</v>
      </c>
      <c r="J108" s="60">
        <v>3148</v>
      </c>
      <c r="K108" s="93">
        <v>17518</v>
      </c>
      <c r="L108" s="48">
        <v>34575.230000000003</v>
      </c>
      <c r="M108" s="48">
        <v>22975.97</v>
      </c>
      <c r="N108" s="49">
        <v>28524.560000000001</v>
      </c>
      <c r="O108" s="48">
        <v>26839.279999999999</v>
      </c>
      <c r="P108" s="48">
        <v>38980.9</v>
      </c>
      <c r="Q108" s="48">
        <v>31233.38</v>
      </c>
      <c r="R108" s="202">
        <v>40000</v>
      </c>
      <c r="S108" s="684">
        <v>28868.420000000013</v>
      </c>
      <c r="T108" s="564">
        <f t="shared" si="15"/>
        <v>72.17</v>
      </c>
    </row>
    <row r="109" spans="1:20" ht="13.5" customHeight="1" thickBot="1" x14ac:dyDescent="0.3">
      <c r="A109" s="812"/>
      <c r="B109" s="244">
        <v>640</v>
      </c>
      <c r="C109" s="61" t="s">
        <v>199</v>
      </c>
      <c r="D109" s="76"/>
      <c r="E109" s="76">
        <v>217951</v>
      </c>
      <c r="F109" s="76">
        <v>132776</v>
      </c>
      <c r="G109" s="76">
        <v>141830</v>
      </c>
      <c r="H109" s="76">
        <v>137000</v>
      </c>
      <c r="I109" s="61">
        <v>133070</v>
      </c>
      <c r="J109" s="76">
        <v>146453</v>
      </c>
      <c r="K109" s="76">
        <v>144534</v>
      </c>
      <c r="L109" s="205">
        <v>144534</v>
      </c>
      <c r="M109" s="205">
        <v>151477</v>
      </c>
      <c r="N109" s="32">
        <v>155372</v>
      </c>
      <c r="O109" s="31">
        <v>169631.84</v>
      </c>
      <c r="P109" s="31">
        <v>169220.52</v>
      </c>
      <c r="Q109" s="31">
        <v>193874</v>
      </c>
      <c r="R109" s="206">
        <v>154631</v>
      </c>
      <c r="S109" s="685">
        <v>154631</v>
      </c>
      <c r="T109" s="565">
        <f t="shared" si="15"/>
        <v>100</v>
      </c>
    </row>
    <row r="110" spans="1:20" ht="15.75" thickBot="1" x14ac:dyDescent="0.3">
      <c r="A110" s="151" t="s">
        <v>200</v>
      </c>
      <c r="B110" s="777" t="s">
        <v>201</v>
      </c>
      <c r="C110" s="747"/>
      <c r="D110" s="84">
        <v>10589</v>
      </c>
      <c r="E110" s="84">
        <v>11917</v>
      </c>
      <c r="F110" s="84">
        <v>11883</v>
      </c>
      <c r="G110" s="84">
        <v>4189</v>
      </c>
      <c r="H110" s="84">
        <v>5005</v>
      </c>
      <c r="I110" s="84">
        <v>5041</v>
      </c>
      <c r="J110" s="84">
        <v>5609</v>
      </c>
      <c r="K110" s="84">
        <v>6003</v>
      </c>
      <c r="L110" s="85">
        <v>3745.53</v>
      </c>
      <c r="M110" s="85">
        <v>5989.44</v>
      </c>
      <c r="N110" s="153">
        <v>5966.9</v>
      </c>
      <c r="O110" s="154">
        <v>6273.49</v>
      </c>
      <c r="P110" s="154">
        <v>6274.93</v>
      </c>
      <c r="Q110" s="154">
        <f>Q111</f>
        <v>6281.35</v>
      </c>
      <c r="R110" s="153">
        <f>R111</f>
        <v>6000</v>
      </c>
      <c r="S110" s="687">
        <f t="shared" ref="S110" si="21">S111</f>
        <v>6368.7</v>
      </c>
      <c r="T110" s="632">
        <f t="shared" si="15"/>
        <v>106.15</v>
      </c>
    </row>
    <row r="111" spans="1:20" ht="15.75" thickBot="1" x14ac:dyDescent="0.3">
      <c r="A111" s="288"/>
      <c r="B111" s="289"/>
      <c r="C111" s="94" t="s">
        <v>202</v>
      </c>
      <c r="D111" s="103">
        <v>10589</v>
      </c>
      <c r="E111" s="103">
        <v>11917</v>
      </c>
      <c r="F111" s="103">
        <v>11883</v>
      </c>
      <c r="G111" s="103">
        <v>4189</v>
      </c>
      <c r="H111" s="103">
        <v>5005</v>
      </c>
      <c r="I111" s="94">
        <v>5041</v>
      </c>
      <c r="J111" s="103">
        <v>5609</v>
      </c>
      <c r="K111" s="15">
        <v>6003</v>
      </c>
      <c r="L111" s="14">
        <v>3745.53</v>
      </c>
      <c r="M111" s="14">
        <v>5989.44</v>
      </c>
      <c r="N111" s="15">
        <v>5966.9</v>
      </c>
      <c r="O111" s="14">
        <v>6273.49</v>
      </c>
      <c r="P111" s="14">
        <v>6274.93</v>
      </c>
      <c r="Q111" s="14">
        <v>6281.35</v>
      </c>
      <c r="R111" s="192">
        <v>6000</v>
      </c>
      <c r="S111" s="686">
        <v>6368.7</v>
      </c>
      <c r="T111" s="567">
        <f t="shared" si="15"/>
        <v>106.15</v>
      </c>
    </row>
    <row r="112" spans="1:20" ht="15.75" thickBot="1" x14ac:dyDescent="0.3">
      <c r="A112" s="220" t="s">
        <v>203</v>
      </c>
      <c r="B112" s="798" t="s">
        <v>204</v>
      </c>
      <c r="C112" s="781"/>
      <c r="D112" s="99">
        <v>0</v>
      </c>
      <c r="E112" s="99">
        <v>122817</v>
      </c>
      <c r="F112" s="99">
        <v>236905</v>
      </c>
      <c r="G112" s="99">
        <v>210760</v>
      </c>
      <c r="H112" s="99">
        <v>216000</v>
      </c>
      <c r="I112" s="99">
        <v>173560</v>
      </c>
      <c r="J112" s="99">
        <v>168880</v>
      </c>
      <c r="K112" s="99">
        <v>168880</v>
      </c>
      <c r="L112" s="100">
        <v>166668</v>
      </c>
      <c r="M112" s="100">
        <v>150364</v>
      </c>
      <c r="N112" s="222">
        <v>136000</v>
      </c>
      <c r="O112" s="223">
        <v>141246.73000000001</v>
      </c>
      <c r="P112" s="223">
        <v>166152.71</v>
      </c>
      <c r="Q112" s="223">
        <v>167000</v>
      </c>
      <c r="R112" s="222">
        <f>R113+R114</f>
        <v>132714</v>
      </c>
      <c r="S112" s="687">
        <f t="shared" ref="S112" si="22">S113+S114</f>
        <v>132714</v>
      </c>
      <c r="T112" s="632">
        <f t="shared" si="15"/>
        <v>100</v>
      </c>
    </row>
    <row r="113" spans="1:25" hidden="1" x14ac:dyDescent="0.25">
      <c r="A113" s="810"/>
      <c r="B113" s="290">
        <v>630</v>
      </c>
      <c r="C113" s="208" t="s">
        <v>205</v>
      </c>
      <c r="D113" s="280"/>
      <c r="E113" s="280"/>
      <c r="F113" s="280"/>
      <c r="G113" s="280"/>
      <c r="H113" s="280"/>
      <c r="I113" s="280"/>
      <c r="J113" s="280"/>
      <c r="K113" s="291"/>
      <c r="L113" s="19"/>
      <c r="M113" s="19"/>
      <c r="N113" s="142"/>
      <c r="O113" s="292">
        <v>3112.73</v>
      </c>
      <c r="P113" s="292"/>
      <c r="Q113" s="292"/>
      <c r="R113" s="142"/>
      <c r="S113" s="692"/>
      <c r="T113" s="653">
        <f t="shared" si="15"/>
        <v>0</v>
      </c>
    </row>
    <row r="114" spans="1:25" ht="15.75" thickBot="1" x14ac:dyDescent="0.3">
      <c r="A114" s="812"/>
      <c r="B114" s="203">
        <v>640</v>
      </c>
      <c r="C114" s="273" t="s">
        <v>206</v>
      </c>
      <c r="D114" s="76"/>
      <c r="E114" s="76">
        <v>122817</v>
      </c>
      <c r="F114" s="76">
        <v>236905</v>
      </c>
      <c r="G114" s="76">
        <v>210760</v>
      </c>
      <c r="H114" s="76">
        <v>216000</v>
      </c>
      <c r="I114" s="61">
        <v>173560</v>
      </c>
      <c r="J114" s="76">
        <v>168880</v>
      </c>
      <c r="K114" s="32">
        <v>168880</v>
      </c>
      <c r="L114" s="31">
        <v>166668</v>
      </c>
      <c r="M114" s="31">
        <v>150364</v>
      </c>
      <c r="N114" s="32">
        <v>136000</v>
      </c>
      <c r="O114" s="31">
        <v>138134</v>
      </c>
      <c r="P114" s="31">
        <v>166152.71</v>
      </c>
      <c r="Q114" s="31">
        <v>167000</v>
      </c>
      <c r="R114" s="32">
        <v>132714</v>
      </c>
      <c r="S114" s="690">
        <v>132714</v>
      </c>
      <c r="T114" s="570">
        <f t="shared" si="15"/>
        <v>100</v>
      </c>
    </row>
    <row r="115" spans="1:25" ht="15.75" thickBot="1" x14ac:dyDescent="0.3">
      <c r="A115" s="220" t="s">
        <v>207</v>
      </c>
      <c r="B115" s="798" t="s">
        <v>208</v>
      </c>
      <c r="C115" s="781"/>
      <c r="D115" s="99">
        <v>0</v>
      </c>
      <c r="E115" s="99">
        <v>56430</v>
      </c>
      <c r="F115" s="99">
        <v>359789</v>
      </c>
      <c r="G115" s="99">
        <v>312928</v>
      </c>
      <c r="H115" s="99">
        <v>336361</v>
      </c>
      <c r="I115" s="99">
        <v>283963</v>
      </c>
      <c r="J115" s="99">
        <v>347786</v>
      </c>
      <c r="K115" s="99">
        <v>268221</v>
      </c>
      <c r="L115" s="99">
        <v>263798.23</v>
      </c>
      <c r="M115" s="100">
        <v>287887.32</v>
      </c>
      <c r="N115" s="222">
        <v>314491.48</v>
      </c>
      <c r="O115" s="223">
        <v>300556.48</v>
      </c>
      <c r="P115" s="223">
        <v>267198.25</v>
      </c>
      <c r="Q115" s="223">
        <f>SUM(Q116:Q121)</f>
        <v>301913.75</v>
      </c>
      <c r="R115" s="222">
        <f>SUM(R116:R121)</f>
        <v>458379</v>
      </c>
      <c r="S115" s="687">
        <f>SUM(S116:S121)</f>
        <v>417210.98</v>
      </c>
      <c r="T115" s="632">
        <f t="shared" si="15"/>
        <v>91.02</v>
      </c>
      <c r="U115" s="293"/>
      <c r="W115" s="303"/>
      <c r="Y115" s="189"/>
    </row>
    <row r="116" spans="1:25" x14ac:dyDescent="0.25">
      <c r="A116" s="810"/>
      <c r="B116" s="175">
        <v>610</v>
      </c>
      <c r="C116" s="57" t="s">
        <v>114</v>
      </c>
      <c r="D116" s="58"/>
      <c r="E116" s="58"/>
      <c r="F116" s="58"/>
      <c r="G116" s="58"/>
      <c r="H116" s="58"/>
      <c r="I116" s="57">
        <v>264635</v>
      </c>
      <c r="J116" s="58">
        <v>24997</v>
      </c>
      <c r="K116" s="58">
        <v>24062</v>
      </c>
      <c r="L116" s="20">
        <v>22719.55</v>
      </c>
      <c r="M116" s="158">
        <v>28495.57</v>
      </c>
      <c r="N116" s="18">
        <v>28348.01</v>
      </c>
      <c r="O116" s="158">
        <v>31464.639999999999</v>
      </c>
      <c r="P116" s="158">
        <v>33530.71</v>
      </c>
      <c r="Q116" s="158">
        <v>39895.85</v>
      </c>
      <c r="R116" s="159">
        <v>42076</v>
      </c>
      <c r="S116" s="689">
        <v>42789.65</v>
      </c>
      <c r="T116" s="651">
        <f t="shared" si="15"/>
        <v>101.7</v>
      </c>
    </row>
    <row r="117" spans="1:25" x14ac:dyDescent="0.25">
      <c r="A117" s="811"/>
      <c r="B117" s="176">
        <v>620</v>
      </c>
      <c r="C117" s="59" t="s">
        <v>115</v>
      </c>
      <c r="D117" s="60"/>
      <c r="E117" s="60"/>
      <c r="F117" s="60"/>
      <c r="G117" s="60"/>
      <c r="H117" s="60"/>
      <c r="I117" s="59"/>
      <c r="J117" s="60">
        <v>9316</v>
      </c>
      <c r="K117" s="60">
        <v>8959</v>
      </c>
      <c r="L117" s="26">
        <v>9337.6200000000008</v>
      </c>
      <c r="M117" s="113">
        <v>10210.040000000001</v>
      </c>
      <c r="N117" s="24">
        <v>10765.88</v>
      </c>
      <c r="O117" s="113">
        <v>11782.59</v>
      </c>
      <c r="P117" s="113">
        <v>12285.58</v>
      </c>
      <c r="Q117" s="113">
        <v>14108.66</v>
      </c>
      <c r="R117" s="242">
        <v>15425</v>
      </c>
      <c r="S117" s="684">
        <v>15095.93</v>
      </c>
      <c r="T117" s="564">
        <f t="shared" si="15"/>
        <v>97.87</v>
      </c>
    </row>
    <row r="118" spans="1:25" x14ac:dyDescent="0.25">
      <c r="A118" s="811"/>
      <c r="B118" s="176">
        <v>630</v>
      </c>
      <c r="C118" s="59" t="s">
        <v>116</v>
      </c>
      <c r="D118" s="60"/>
      <c r="E118" s="60"/>
      <c r="F118" s="60"/>
      <c r="G118" s="60"/>
      <c r="H118" s="60"/>
      <c r="I118" s="59"/>
      <c r="J118" s="60">
        <v>291329</v>
      </c>
      <c r="K118" s="60">
        <v>212898</v>
      </c>
      <c r="L118" s="26">
        <v>204427.59</v>
      </c>
      <c r="M118" s="113">
        <v>218239.71</v>
      </c>
      <c r="N118" s="24">
        <v>254385.59</v>
      </c>
      <c r="O118" s="113">
        <v>246224.25</v>
      </c>
      <c r="P118" s="113">
        <v>219779.39</v>
      </c>
      <c r="Q118" s="113">
        <v>232209.24</v>
      </c>
      <c r="R118" s="242">
        <v>222600</v>
      </c>
      <c r="S118" s="684">
        <v>355883.1</v>
      </c>
      <c r="T118" s="564">
        <f t="shared" si="15"/>
        <v>159.88</v>
      </c>
      <c r="V118" s="189"/>
      <c r="Y118" s="189"/>
    </row>
    <row r="119" spans="1:25" x14ac:dyDescent="0.25">
      <c r="A119" s="811"/>
      <c r="B119" s="143">
        <v>630</v>
      </c>
      <c r="C119" s="612" t="s">
        <v>419</v>
      </c>
      <c r="D119" s="60"/>
      <c r="E119" s="60"/>
      <c r="F119" s="60"/>
      <c r="G119" s="60"/>
      <c r="H119" s="60"/>
      <c r="I119" s="59"/>
      <c r="J119" s="60"/>
      <c r="K119" s="26"/>
      <c r="L119" s="26"/>
      <c r="M119" s="113"/>
      <c r="N119" s="24"/>
      <c r="O119" s="113"/>
      <c r="P119" s="113"/>
      <c r="Q119" s="113"/>
      <c r="R119" s="242">
        <v>170000</v>
      </c>
      <c r="S119" s="685"/>
      <c r="T119" s="564">
        <f t="shared" si="15"/>
        <v>0</v>
      </c>
    </row>
    <row r="120" spans="1:25" x14ac:dyDescent="0.25">
      <c r="A120" s="811"/>
      <c r="B120" s="143">
        <v>640</v>
      </c>
      <c r="C120" s="59" t="s">
        <v>117</v>
      </c>
      <c r="D120" s="60"/>
      <c r="E120" s="60"/>
      <c r="F120" s="60"/>
      <c r="G120" s="60"/>
      <c r="H120" s="60"/>
      <c r="I120" s="59"/>
      <c r="J120" s="60"/>
      <c r="K120" s="26"/>
      <c r="L120" s="26"/>
      <c r="M120" s="113"/>
      <c r="N120" s="24"/>
      <c r="O120" s="113"/>
      <c r="P120" s="113"/>
      <c r="Q120" s="113"/>
      <c r="R120" s="294">
        <v>0</v>
      </c>
      <c r="S120" s="685">
        <v>164.3</v>
      </c>
      <c r="T120" s="565">
        <f t="shared" si="15"/>
        <v>0</v>
      </c>
    </row>
    <row r="121" spans="1:25" ht="15.75" thickBot="1" x14ac:dyDescent="0.3">
      <c r="A121" s="812"/>
      <c r="B121" s="177">
        <v>640</v>
      </c>
      <c r="C121" s="190" t="s">
        <v>206</v>
      </c>
      <c r="D121" s="149"/>
      <c r="E121" s="149">
        <v>56430</v>
      </c>
      <c r="F121" s="149">
        <v>66388</v>
      </c>
      <c r="G121" s="149">
        <v>33070</v>
      </c>
      <c r="H121" s="149">
        <v>34000</v>
      </c>
      <c r="I121" s="190">
        <v>19328</v>
      </c>
      <c r="J121" s="149">
        <v>22144</v>
      </c>
      <c r="K121" s="97">
        <v>22144</v>
      </c>
      <c r="L121" s="97">
        <v>27144</v>
      </c>
      <c r="M121" s="96">
        <v>30942</v>
      </c>
      <c r="N121" s="97">
        <v>20992</v>
      </c>
      <c r="O121" s="96">
        <v>11085</v>
      </c>
      <c r="P121" s="96">
        <v>1465.14</v>
      </c>
      <c r="Q121" s="96">
        <v>15700</v>
      </c>
      <c r="R121" s="206">
        <v>8278</v>
      </c>
      <c r="S121" s="690">
        <v>3278</v>
      </c>
      <c r="T121" s="570">
        <f t="shared" si="15"/>
        <v>39.6</v>
      </c>
    </row>
    <row r="122" spans="1:25" ht="15.75" thickBot="1" x14ac:dyDescent="0.3">
      <c r="A122" s="220" t="s">
        <v>209</v>
      </c>
      <c r="B122" s="798" t="s">
        <v>210</v>
      </c>
      <c r="C122" s="781"/>
      <c r="D122" s="99">
        <v>398161</v>
      </c>
      <c r="E122" s="99">
        <v>245269</v>
      </c>
      <c r="F122" s="99">
        <v>266050</v>
      </c>
      <c r="G122" s="99">
        <v>237941</v>
      </c>
      <c r="H122" s="99">
        <v>273708</v>
      </c>
      <c r="I122" s="99">
        <v>262675</v>
      </c>
      <c r="J122" s="99">
        <v>162661</v>
      </c>
      <c r="K122" s="99">
        <v>165913</v>
      </c>
      <c r="L122" s="100">
        <v>173111</v>
      </c>
      <c r="M122" s="100">
        <v>179007.07</v>
      </c>
      <c r="N122" s="222">
        <v>207573.5</v>
      </c>
      <c r="O122" s="223">
        <v>252852.5</v>
      </c>
      <c r="P122" s="223">
        <v>259830</v>
      </c>
      <c r="Q122" s="223">
        <f>SUM(Q123:Q126)</f>
        <v>341183.70999999996</v>
      </c>
      <c r="R122" s="222">
        <f>SUM(R123:R126)</f>
        <v>317893</v>
      </c>
      <c r="S122" s="687">
        <f t="shared" ref="S122" si="23">SUM(S123:S126)</f>
        <v>311676.99</v>
      </c>
      <c r="T122" s="632">
        <f t="shared" si="15"/>
        <v>98.04</v>
      </c>
      <c r="W122" s="189"/>
      <c r="Y122" s="189"/>
    </row>
    <row r="123" spans="1:25" x14ac:dyDescent="0.25">
      <c r="A123" s="808"/>
      <c r="B123" s="295"/>
      <c r="C123" s="57" t="s">
        <v>384</v>
      </c>
      <c r="D123" s="58">
        <v>373863</v>
      </c>
      <c r="E123" s="58">
        <v>211312</v>
      </c>
      <c r="F123" s="58">
        <v>220574</v>
      </c>
      <c r="G123" s="58">
        <v>190734</v>
      </c>
      <c r="H123" s="58">
        <v>216608</v>
      </c>
      <c r="I123" s="57">
        <v>202225</v>
      </c>
      <c r="J123" s="58">
        <v>118262</v>
      </c>
      <c r="K123" s="58">
        <v>116713</v>
      </c>
      <c r="L123" s="19">
        <v>116713</v>
      </c>
      <c r="M123" s="19">
        <v>132538</v>
      </c>
      <c r="N123" s="20">
        <v>117290</v>
      </c>
      <c r="O123" s="20">
        <v>150490</v>
      </c>
      <c r="P123" s="20">
        <v>157200</v>
      </c>
      <c r="Q123" s="19">
        <v>183913.71</v>
      </c>
      <c r="R123" s="142">
        <v>234058</v>
      </c>
      <c r="S123" s="689">
        <v>217841.99</v>
      </c>
      <c r="T123" s="651">
        <f t="shared" si="15"/>
        <v>93.07</v>
      </c>
    </row>
    <row r="124" spans="1:25" x14ac:dyDescent="0.25">
      <c r="A124" s="813"/>
      <c r="B124" s="296"/>
      <c r="C124" s="59" t="s">
        <v>211</v>
      </c>
      <c r="D124" s="60"/>
      <c r="E124" s="60"/>
      <c r="F124" s="60"/>
      <c r="G124" s="60"/>
      <c r="H124" s="60"/>
      <c r="I124" s="59"/>
      <c r="J124" s="60"/>
      <c r="K124" s="60"/>
      <c r="L124" s="25"/>
      <c r="M124" s="25">
        <v>3467.07</v>
      </c>
      <c r="N124" s="26">
        <v>50283.5</v>
      </c>
      <c r="O124" s="26">
        <v>101647</v>
      </c>
      <c r="P124" s="26">
        <v>53450</v>
      </c>
      <c r="Q124" s="25">
        <v>57270</v>
      </c>
      <c r="R124" s="144">
        <v>18835</v>
      </c>
      <c r="S124" s="684">
        <v>18835</v>
      </c>
      <c r="T124" s="564">
        <f t="shared" si="15"/>
        <v>100</v>
      </c>
    </row>
    <row r="125" spans="1:25" x14ac:dyDescent="0.25">
      <c r="A125" s="813"/>
      <c r="B125" s="296"/>
      <c r="C125" s="59" t="s">
        <v>212</v>
      </c>
      <c r="D125" s="60"/>
      <c r="E125" s="60"/>
      <c r="F125" s="60"/>
      <c r="G125" s="60"/>
      <c r="H125" s="60"/>
      <c r="I125" s="59"/>
      <c r="J125" s="60"/>
      <c r="K125" s="60"/>
      <c r="L125" s="25"/>
      <c r="M125" s="25"/>
      <c r="N125" s="26"/>
      <c r="O125" s="26"/>
      <c r="P125" s="26"/>
      <c r="Q125" s="25">
        <v>20000</v>
      </c>
      <c r="R125" s="144">
        <v>15000</v>
      </c>
      <c r="S125" s="684">
        <v>15000</v>
      </c>
      <c r="T125" s="565">
        <f t="shared" si="15"/>
        <v>100</v>
      </c>
      <c r="V125" s="189"/>
    </row>
    <row r="126" spans="1:25" ht="15.75" thickBot="1" x14ac:dyDescent="0.3">
      <c r="A126" s="809"/>
      <c r="B126" s="297"/>
      <c r="C126" s="61" t="s">
        <v>213</v>
      </c>
      <c r="D126" s="76">
        <v>24298</v>
      </c>
      <c r="E126" s="76">
        <v>33957</v>
      </c>
      <c r="F126" s="76">
        <v>45476</v>
      </c>
      <c r="G126" s="76">
        <v>47207</v>
      </c>
      <c r="H126" s="76">
        <v>57100</v>
      </c>
      <c r="I126" s="61">
        <v>60450</v>
      </c>
      <c r="J126" s="76">
        <v>44399</v>
      </c>
      <c r="K126" s="76">
        <v>49200</v>
      </c>
      <c r="L126" s="31">
        <v>56398</v>
      </c>
      <c r="M126" s="31">
        <v>43002</v>
      </c>
      <c r="N126" s="32">
        <v>40000</v>
      </c>
      <c r="O126" s="32">
        <v>715.5</v>
      </c>
      <c r="P126" s="32">
        <v>49180</v>
      </c>
      <c r="Q126" s="31">
        <v>80000</v>
      </c>
      <c r="R126" s="206">
        <v>50000</v>
      </c>
      <c r="S126" s="690">
        <v>60000</v>
      </c>
      <c r="T126" s="570">
        <f t="shared" si="15"/>
        <v>120</v>
      </c>
    </row>
    <row r="127" spans="1:25" ht="15.75" thickBot="1" x14ac:dyDescent="0.3">
      <c r="A127" s="151" t="s">
        <v>214</v>
      </c>
      <c r="B127" s="777" t="s">
        <v>215</v>
      </c>
      <c r="C127" s="747"/>
      <c r="D127" s="84">
        <v>16298</v>
      </c>
      <c r="E127" s="84">
        <v>196674</v>
      </c>
      <c r="F127" s="84">
        <v>276704</v>
      </c>
      <c r="G127" s="84">
        <v>322185</v>
      </c>
      <c r="H127" s="84">
        <v>434860</v>
      </c>
      <c r="I127" s="84">
        <v>399432</v>
      </c>
      <c r="J127" s="84">
        <v>332348</v>
      </c>
      <c r="K127" s="84">
        <v>315787</v>
      </c>
      <c r="L127" s="85">
        <v>311192.31999999995</v>
      </c>
      <c r="M127" s="85">
        <v>355810.5</v>
      </c>
      <c r="N127" s="153">
        <v>384915.19</v>
      </c>
      <c r="O127" s="154">
        <v>388070.83</v>
      </c>
      <c r="P127" s="154">
        <v>361113.8</v>
      </c>
      <c r="Q127" s="154">
        <f>SUM(Q128:Q141)</f>
        <v>408594.14</v>
      </c>
      <c r="R127" s="153">
        <f>SUM(R128:R141)</f>
        <v>262523</v>
      </c>
      <c r="S127" s="687">
        <f t="shared" ref="S127" si="24">SUM(S128:S141)</f>
        <v>256337.72</v>
      </c>
      <c r="T127" s="632">
        <f t="shared" si="15"/>
        <v>97.64</v>
      </c>
      <c r="U127" s="189"/>
    </row>
    <row r="128" spans="1:25" x14ac:dyDescent="0.25">
      <c r="A128" s="808"/>
      <c r="B128" s="298"/>
      <c r="C128" s="168" t="s">
        <v>216</v>
      </c>
      <c r="D128" s="299">
        <v>4913</v>
      </c>
      <c r="E128" s="299">
        <v>3850</v>
      </c>
      <c r="F128" s="299">
        <v>5112</v>
      </c>
      <c r="G128" s="299"/>
      <c r="H128" s="299"/>
      <c r="I128" s="168">
        <v>6756</v>
      </c>
      <c r="J128" s="299">
        <v>7114</v>
      </c>
      <c r="K128" s="58">
        <v>7113</v>
      </c>
      <c r="L128" s="20">
        <v>7438.6</v>
      </c>
      <c r="M128" s="19">
        <v>12903.29</v>
      </c>
      <c r="N128" s="20">
        <v>10157.040000000001</v>
      </c>
      <c r="O128" s="19">
        <v>15460.72</v>
      </c>
      <c r="P128" s="19">
        <v>9192</v>
      </c>
      <c r="Q128" s="19">
        <v>10989.94</v>
      </c>
      <c r="R128" s="142">
        <v>14300</v>
      </c>
      <c r="S128" s="683">
        <f>1888.69+5985.26</f>
        <v>7873.9500000000007</v>
      </c>
      <c r="T128" s="566">
        <f t="shared" si="15"/>
        <v>55.06</v>
      </c>
    </row>
    <row r="129" spans="1:20" x14ac:dyDescent="0.25">
      <c r="A129" s="813"/>
      <c r="B129" s="300"/>
      <c r="C129" s="170" t="s">
        <v>217</v>
      </c>
      <c r="D129" s="301"/>
      <c r="E129" s="301"/>
      <c r="F129" s="301"/>
      <c r="G129" s="301"/>
      <c r="H129" s="301"/>
      <c r="I129" s="302">
        <v>48971</v>
      </c>
      <c r="J129" s="301"/>
      <c r="K129" s="73"/>
      <c r="L129" s="46"/>
      <c r="M129" s="45"/>
      <c r="N129" s="46"/>
      <c r="O129" s="45"/>
      <c r="P129" s="45">
        <v>12970.5</v>
      </c>
      <c r="Q129" s="45">
        <v>4960</v>
      </c>
      <c r="R129" s="228">
        <v>1000</v>
      </c>
      <c r="S129" s="684">
        <v>1200</v>
      </c>
      <c r="T129" s="564">
        <f t="shared" si="15"/>
        <v>120</v>
      </c>
    </row>
    <row r="130" spans="1:20" x14ac:dyDescent="0.25">
      <c r="A130" s="813"/>
      <c r="B130" s="300"/>
      <c r="C130" s="170" t="s">
        <v>218</v>
      </c>
      <c r="D130" s="301"/>
      <c r="E130" s="301"/>
      <c r="F130" s="301"/>
      <c r="G130" s="301"/>
      <c r="H130" s="301"/>
      <c r="I130" s="302">
        <v>24304</v>
      </c>
      <c r="J130" s="301">
        <v>10566</v>
      </c>
      <c r="K130" s="73">
        <v>3350</v>
      </c>
      <c r="L130" s="46">
        <v>4052</v>
      </c>
      <c r="M130" s="45">
        <v>10555.27</v>
      </c>
      <c r="N130" s="46"/>
      <c r="O130" s="45">
        <v>12040.65</v>
      </c>
      <c r="P130" s="45">
        <v>15000</v>
      </c>
      <c r="Q130" s="45">
        <v>42000</v>
      </c>
      <c r="R130" s="228">
        <v>10000</v>
      </c>
      <c r="S130" s="684">
        <v>10000</v>
      </c>
      <c r="T130" s="564">
        <f t="shared" si="15"/>
        <v>100</v>
      </c>
    </row>
    <row r="131" spans="1:20" x14ac:dyDescent="0.25">
      <c r="A131" s="813"/>
      <c r="B131" s="300"/>
      <c r="C131" s="170" t="s">
        <v>219</v>
      </c>
      <c r="D131" s="301"/>
      <c r="E131" s="301"/>
      <c r="F131" s="301"/>
      <c r="G131" s="301"/>
      <c r="H131" s="301"/>
      <c r="I131" s="302"/>
      <c r="J131" s="301"/>
      <c r="K131" s="73"/>
      <c r="L131" s="46"/>
      <c r="M131" s="45">
        <v>19000</v>
      </c>
      <c r="N131" s="46">
        <v>10407.57</v>
      </c>
      <c r="O131" s="45">
        <v>19000</v>
      </c>
      <c r="P131" s="45">
        <v>3083.2</v>
      </c>
      <c r="Q131" s="45">
        <v>4899.3999999999996</v>
      </c>
      <c r="R131" s="228">
        <v>2000</v>
      </c>
      <c r="S131" s="684">
        <f>629.46+991.31</f>
        <v>1620.77</v>
      </c>
      <c r="T131" s="564">
        <f t="shared" si="15"/>
        <v>81.040000000000006</v>
      </c>
    </row>
    <row r="132" spans="1:20" x14ac:dyDescent="0.25">
      <c r="A132" s="813"/>
      <c r="B132" s="300"/>
      <c r="C132" s="170" t="s">
        <v>220</v>
      </c>
      <c r="D132" s="301"/>
      <c r="E132" s="301"/>
      <c r="F132" s="301"/>
      <c r="G132" s="301"/>
      <c r="H132" s="301"/>
      <c r="I132" s="302"/>
      <c r="J132" s="301"/>
      <c r="K132" s="73"/>
      <c r="L132" s="46"/>
      <c r="M132" s="45"/>
      <c r="N132" s="46">
        <v>15000</v>
      </c>
      <c r="O132" s="45">
        <v>2377</v>
      </c>
      <c r="P132" s="45">
        <v>11700</v>
      </c>
      <c r="Q132" s="45">
        <v>17500</v>
      </c>
      <c r="R132" s="228">
        <v>1000</v>
      </c>
      <c r="S132" s="684">
        <v>420</v>
      </c>
      <c r="T132" s="564">
        <f t="shared" ref="T132:T195" si="25">IF(R132=0,0,ROUND(S132/R132*100,2))</f>
        <v>42</v>
      </c>
    </row>
    <row r="133" spans="1:20" x14ac:dyDescent="0.25">
      <c r="A133" s="813"/>
      <c r="B133" s="304"/>
      <c r="C133" s="170" t="s">
        <v>383</v>
      </c>
      <c r="D133" s="145"/>
      <c r="E133" s="145">
        <v>7568</v>
      </c>
      <c r="F133" s="145">
        <v>15767</v>
      </c>
      <c r="G133" s="145">
        <v>15084</v>
      </c>
      <c r="H133" s="145"/>
      <c r="I133" s="170">
        <v>13552</v>
      </c>
      <c r="J133" s="145">
        <v>11060</v>
      </c>
      <c r="K133" s="60">
        <v>9650</v>
      </c>
      <c r="L133" s="26">
        <v>9100</v>
      </c>
      <c r="M133" s="25">
        <v>10889.5</v>
      </c>
      <c r="N133" s="26">
        <v>15000</v>
      </c>
      <c r="O133" s="25">
        <v>7950</v>
      </c>
      <c r="P133" s="25"/>
      <c r="Q133" s="25"/>
      <c r="R133" s="144">
        <v>4000</v>
      </c>
      <c r="S133" s="684">
        <v>4000</v>
      </c>
      <c r="T133" s="564">
        <f t="shared" si="25"/>
        <v>100</v>
      </c>
    </row>
    <row r="134" spans="1:20" x14ac:dyDescent="0.25">
      <c r="A134" s="813"/>
      <c r="B134" s="304"/>
      <c r="C134" s="170" t="s">
        <v>221</v>
      </c>
      <c r="D134" s="145"/>
      <c r="E134" s="145"/>
      <c r="F134" s="145"/>
      <c r="G134" s="145"/>
      <c r="H134" s="145"/>
      <c r="I134" s="170"/>
      <c r="J134" s="145"/>
      <c r="K134" s="60"/>
      <c r="L134" s="26"/>
      <c r="M134" s="26"/>
      <c r="N134" s="26"/>
      <c r="O134" s="25">
        <v>10000</v>
      </c>
      <c r="P134" s="25">
        <v>5000</v>
      </c>
      <c r="Q134" s="25"/>
      <c r="R134" s="144">
        <v>0</v>
      </c>
      <c r="S134" s="684"/>
      <c r="T134" s="564">
        <f t="shared" si="25"/>
        <v>0</v>
      </c>
    </row>
    <row r="135" spans="1:20" x14ac:dyDescent="0.25">
      <c r="A135" s="813"/>
      <c r="B135" s="304"/>
      <c r="C135" s="170" t="s">
        <v>222</v>
      </c>
      <c r="D135" s="145"/>
      <c r="E135" s="145"/>
      <c r="F135" s="145"/>
      <c r="G135" s="145"/>
      <c r="H135" s="145"/>
      <c r="I135" s="170"/>
      <c r="J135" s="145"/>
      <c r="K135" s="60"/>
      <c r="L135" s="26"/>
      <c r="M135" s="26"/>
      <c r="N135" s="26">
        <v>256.58</v>
      </c>
      <c r="O135" s="25">
        <v>4000</v>
      </c>
      <c r="P135" s="25">
        <v>6335</v>
      </c>
      <c r="Q135" s="25">
        <v>10280.42</v>
      </c>
      <c r="R135" s="144">
        <v>1000</v>
      </c>
      <c r="S135" s="684">
        <v>2000</v>
      </c>
      <c r="T135" s="564">
        <f t="shared" si="25"/>
        <v>200</v>
      </c>
    </row>
    <row r="136" spans="1:20" x14ac:dyDescent="0.25">
      <c r="A136" s="813"/>
      <c r="B136" s="304"/>
      <c r="C136" s="170" t="s">
        <v>223</v>
      </c>
      <c r="D136" s="145"/>
      <c r="E136" s="145"/>
      <c r="F136" s="145"/>
      <c r="G136" s="145"/>
      <c r="H136" s="145"/>
      <c r="I136" s="170"/>
      <c r="J136" s="145"/>
      <c r="K136" s="60"/>
      <c r="L136" s="26"/>
      <c r="M136" s="26"/>
      <c r="N136" s="26">
        <v>4000</v>
      </c>
      <c r="O136" s="25">
        <v>1050</v>
      </c>
      <c r="P136" s="25">
        <v>42000.1</v>
      </c>
      <c r="Q136" s="25">
        <v>86465</v>
      </c>
      <c r="R136" s="144">
        <v>75178</v>
      </c>
      <c r="S136" s="684">
        <v>75178</v>
      </c>
      <c r="T136" s="564">
        <f t="shared" si="25"/>
        <v>100</v>
      </c>
    </row>
    <row r="137" spans="1:20" x14ac:dyDescent="0.25">
      <c r="A137" s="813"/>
      <c r="B137" s="304"/>
      <c r="C137" s="170" t="s">
        <v>224</v>
      </c>
      <c r="D137" s="145"/>
      <c r="E137" s="145">
        <v>58189</v>
      </c>
      <c r="F137" s="145">
        <v>75483</v>
      </c>
      <c r="G137" s="145">
        <v>91400</v>
      </c>
      <c r="H137" s="145"/>
      <c r="I137" s="170">
        <v>152242</v>
      </c>
      <c r="J137" s="145">
        <v>162681</v>
      </c>
      <c r="K137" s="60">
        <v>150333</v>
      </c>
      <c r="L137" s="26">
        <v>119218</v>
      </c>
      <c r="M137" s="25">
        <v>148153</v>
      </c>
      <c r="N137" s="26">
        <v>76969</v>
      </c>
      <c r="O137" s="25">
        <v>70558</v>
      </c>
      <c r="P137" s="25">
        <v>77400</v>
      </c>
      <c r="Q137" s="25">
        <v>117346.38</v>
      </c>
      <c r="R137" s="144">
        <v>88613</v>
      </c>
      <c r="S137" s="684">
        <v>88613</v>
      </c>
      <c r="T137" s="564">
        <f t="shared" si="25"/>
        <v>100</v>
      </c>
    </row>
    <row r="138" spans="1:20" x14ac:dyDescent="0.25">
      <c r="A138" s="813"/>
      <c r="B138" s="304"/>
      <c r="C138" s="170" t="s">
        <v>225</v>
      </c>
      <c r="D138" s="145"/>
      <c r="E138" s="145">
        <v>99250</v>
      </c>
      <c r="F138" s="145">
        <v>153754</v>
      </c>
      <c r="G138" s="145">
        <v>143286</v>
      </c>
      <c r="H138" s="145"/>
      <c r="I138" s="170">
        <v>86643</v>
      </c>
      <c r="J138" s="145">
        <v>82311</v>
      </c>
      <c r="K138" s="60">
        <v>93232</v>
      </c>
      <c r="L138" s="26">
        <v>109100</v>
      </c>
      <c r="M138" s="25">
        <v>88221</v>
      </c>
      <c r="N138" s="26">
        <v>81209</v>
      </c>
      <c r="O138" s="25">
        <v>72867</v>
      </c>
      <c r="P138" s="25"/>
      <c r="Q138" s="25"/>
      <c r="R138" s="144">
        <v>0</v>
      </c>
      <c r="S138" s="684"/>
      <c r="T138" s="564">
        <f t="shared" si="25"/>
        <v>0</v>
      </c>
    </row>
    <row r="139" spans="1:20" x14ac:dyDescent="0.25">
      <c r="A139" s="813"/>
      <c r="B139" s="305"/>
      <c r="C139" s="59" t="s">
        <v>226</v>
      </c>
      <c r="D139" s="60"/>
      <c r="E139" s="60">
        <v>27817</v>
      </c>
      <c r="F139" s="60">
        <v>26588</v>
      </c>
      <c r="G139" s="60">
        <v>25790</v>
      </c>
      <c r="H139" s="60"/>
      <c r="I139" s="59">
        <v>66964</v>
      </c>
      <c r="J139" s="60">
        <v>58616</v>
      </c>
      <c r="K139" s="60">
        <v>52109</v>
      </c>
      <c r="L139" s="60">
        <v>49442</v>
      </c>
      <c r="M139" s="125">
        <v>49808</v>
      </c>
      <c r="N139" s="26">
        <v>60863</v>
      </c>
      <c r="O139" s="25">
        <v>64900</v>
      </c>
      <c r="P139" s="25">
        <v>67942</v>
      </c>
      <c r="Q139" s="25"/>
      <c r="R139" s="144">
        <v>0</v>
      </c>
      <c r="S139" s="684"/>
      <c r="T139" s="564">
        <f t="shared" si="25"/>
        <v>0</v>
      </c>
    </row>
    <row r="140" spans="1:20" x14ac:dyDescent="0.25">
      <c r="A140" s="813"/>
      <c r="B140" s="306"/>
      <c r="C140" s="62" t="s">
        <v>227</v>
      </c>
      <c r="D140" s="93"/>
      <c r="E140" s="93"/>
      <c r="F140" s="93"/>
      <c r="G140" s="93"/>
      <c r="H140" s="93"/>
      <c r="I140" s="62"/>
      <c r="J140" s="93"/>
      <c r="K140" s="93"/>
      <c r="L140" s="93">
        <v>12841.72</v>
      </c>
      <c r="M140" s="201">
        <v>16280.44</v>
      </c>
      <c r="N140" s="49">
        <v>18152</v>
      </c>
      <c r="O140" s="48">
        <v>24031</v>
      </c>
      <c r="P140" s="48">
        <v>24298</v>
      </c>
      <c r="Q140" s="48">
        <v>25498</v>
      </c>
      <c r="R140" s="202">
        <v>7498</v>
      </c>
      <c r="S140" s="684">
        <v>7498</v>
      </c>
      <c r="T140" s="564">
        <f t="shared" si="25"/>
        <v>100</v>
      </c>
    </row>
    <row r="141" spans="1:20" ht="15.75" thickBot="1" x14ac:dyDescent="0.3">
      <c r="A141" s="809"/>
      <c r="B141" s="307"/>
      <c r="C141" s="61" t="s">
        <v>228</v>
      </c>
      <c r="D141" s="76"/>
      <c r="E141" s="76"/>
      <c r="F141" s="76"/>
      <c r="G141" s="76"/>
      <c r="H141" s="76"/>
      <c r="I141" s="61"/>
      <c r="J141" s="76"/>
      <c r="K141" s="76"/>
      <c r="L141" s="76"/>
      <c r="M141" s="76"/>
      <c r="N141" s="32">
        <v>92901</v>
      </c>
      <c r="O141" s="31">
        <v>83836.460000000006</v>
      </c>
      <c r="P141" s="31">
        <v>86193</v>
      </c>
      <c r="Q141" s="31">
        <v>88655</v>
      </c>
      <c r="R141" s="206">
        <v>57934</v>
      </c>
      <c r="S141" s="685">
        <v>57934</v>
      </c>
      <c r="T141" s="565">
        <f t="shared" si="25"/>
        <v>100</v>
      </c>
    </row>
    <row r="142" spans="1:20" ht="15.75" thickBot="1" x14ac:dyDescent="0.3">
      <c r="A142" s="263" t="s">
        <v>229</v>
      </c>
      <c r="B142" s="777" t="s">
        <v>230</v>
      </c>
      <c r="C142" s="747"/>
      <c r="D142" s="84">
        <v>0</v>
      </c>
      <c r="E142" s="84">
        <v>44944</v>
      </c>
      <c r="F142" s="84">
        <v>55765</v>
      </c>
      <c r="G142" s="84">
        <v>48780</v>
      </c>
      <c r="H142" s="84">
        <v>52570</v>
      </c>
      <c r="I142" s="84">
        <v>48691</v>
      </c>
      <c r="J142" s="84">
        <v>46108</v>
      </c>
      <c r="K142" s="99">
        <v>47470</v>
      </c>
      <c r="L142" s="100">
        <v>48334.8</v>
      </c>
      <c r="M142" s="100">
        <v>45244.800000000003</v>
      </c>
      <c r="N142" s="222">
        <v>51246.22</v>
      </c>
      <c r="O142" s="223">
        <v>45133.520000000004</v>
      </c>
      <c r="P142" s="223">
        <v>47476.15</v>
      </c>
      <c r="Q142" s="223">
        <f>Q144+Q143</f>
        <v>47435.44</v>
      </c>
      <c r="R142" s="222">
        <f>R144+R143</f>
        <v>58836</v>
      </c>
      <c r="S142" s="687">
        <f t="shared" ref="S142" si="26">S144+S143</f>
        <v>50620.68</v>
      </c>
      <c r="T142" s="632">
        <f t="shared" si="25"/>
        <v>86.04</v>
      </c>
    </row>
    <row r="143" spans="1:20" x14ac:dyDescent="0.25">
      <c r="A143" s="808"/>
      <c r="B143" s="175">
        <v>630</v>
      </c>
      <c r="C143" s="168" t="s">
        <v>231</v>
      </c>
      <c r="D143" s="299"/>
      <c r="E143" s="299">
        <v>36679</v>
      </c>
      <c r="F143" s="299">
        <v>46803</v>
      </c>
      <c r="G143" s="299">
        <v>39726</v>
      </c>
      <c r="H143" s="299">
        <v>43006</v>
      </c>
      <c r="I143" s="168">
        <v>38795</v>
      </c>
      <c r="J143" s="168">
        <v>36600</v>
      </c>
      <c r="K143" s="58">
        <v>37500</v>
      </c>
      <c r="L143" s="19">
        <v>40890</v>
      </c>
      <c r="M143" s="19">
        <v>37800</v>
      </c>
      <c r="N143" s="20">
        <v>39750</v>
      </c>
      <c r="O143" s="19">
        <v>33550</v>
      </c>
      <c r="P143" s="19">
        <v>37036.15</v>
      </c>
      <c r="Q143" s="19">
        <v>37925.440000000002</v>
      </c>
      <c r="R143" s="20">
        <v>39836</v>
      </c>
      <c r="S143" s="683">
        <v>38002.68</v>
      </c>
      <c r="T143" s="566">
        <f t="shared" si="25"/>
        <v>95.4</v>
      </c>
    </row>
    <row r="144" spans="1:20" ht="15.75" thickBot="1" x14ac:dyDescent="0.3">
      <c r="A144" s="809"/>
      <c r="B144" s="244">
        <v>630</v>
      </c>
      <c r="C144" s="273" t="s">
        <v>232</v>
      </c>
      <c r="D144" s="275"/>
      <c r="E144" s="275">
        <v>8265</v>
      </c>
      <c r="F144" s="275">
        <v>8962</v>
      </c>
      <c r="G144" s="275">
        <v>9054</v>
      </c>
      <c r="H144" s="275">
        <v>9564</v>
      </c>
      <c r="I144" s="273">
        <v>9896</v>
      </c>
      <c r="J144" s="273">
        <v>9508</v>
      </c>
      <c r="K144" s="76">
        <v>9970</v>
      </c>
      <c r="L144" s="31">
        <v>7444.8</v>
      </c>
      <c r="M144" s="31">
        <v>7444.8</v>
      </c>
      <c r="N144" s="32">
        <v>11496.22</v>
      </c>
      <c r="O144" s="31">
        <v>11583.52</v>
      </c>
      <c r="P144" s="31">
        <v>10440</v>
      </c>
      <c r="Q144" s="31">
        <v>9510</v>
      </c>
      <c r="R144" s="206">
        <v>19000</v>
      </c>
      <c r="S144" s="685">
        <v>12618</v>
      </c>
      <c r="T144" s="565">
        <f t="shared" si="25"/>
        <v>66.41</v>
      </c>
    </row>
    <row r="145" spans="1:25" ht="15.75" thickBot="1" x14ac:dyDescent="0.3">
      <c r="A145" s="220" t="s">
        <v>233</v>
      </c>
      <c r="B145" s="777" t="s">
        <v>234</v>
      </c>
      <c r="C145" s="747"/>
      <c r="D145" s="84">
        <v>6008</v>
      </c>
      <c r="E145" s="84">
        <v>6373</v>
      </c>
      <c r="F145" s="84">
        <v>76413</v>
      </c>
      <c r="G145" s="84">
        <v>50904</v>
      </c>
      <c r="H145" s="84">
        <v>43602</v>
      </c>
      <c r="I145" s="84">
        <v>80402</v>
      </c>
      <c r="J145" s="84">
        <v>65201</v>
      </c>
      <c r="K145" s="84">
        <v>82763</v>
      </c>
      <c r="L145" s="85">
        <v>85325.96</v>
      </c>
      <c r="M145" s="85">
        <v>98428.31</v>
      </c>
      <c r="N145" s="153">
        <v>91637.849999999991</v>
      </c>
      <c r="O145" s="153">
        <v>98282.1</v>
      </c>
      <c r="P145" s="153">
        <v>86440.45</v>
      </c>
      <c r="Q145" s="154">
        <f>SUM(Q146:Q149)</f>
        <v>124303.2</v>
      </c>
      <c r="R145" s="153">
        <f>SUM(R146:R149)</f>
        <v>102958</v>
      </c>
      <c r="S145" s="687">
        <f t="shared" ref="S145" si="27">SUM(S146:S149)</f>
        <v>102268.20999999999</v>
      </c>
      <c r="T145" s="632">
        <f t="shared" si="25"/>
        <v>99.33</v>
      </c>
      <c r="W145" s="303"/>
    </row>
    <row r="146" spans="1:25" x14ac:dyDescent="0.25">
      <c r="A146" s="792"/>
      <c r="B146" s="805"/>
      <c r="C146" s="59" t="s">
        <v>235</v>
      </c>
      <c r="D146" s="60"/>
      <c r="E146" s="60">
        <v>5842</v>
      </c>
      <c r="F146" s="60">
        <v>6108</v>
      </c>
      <c r="G146" s="60">
        <v>13480</v>
      </c>
      <c r="H146" s="60">
        <v>6009</v>
      </c>
      <c r="I146" s="59">
        <v>6900</v>
      </c>
      <c r="J146" s="145">
        <v>3787</v>
      </c>
      <c r="K146" s="60">
        <v>3290</v>
      </c>
      <c r="L146" s="45">
        <v>1483</v>
      </c>
      <c r="M146" s="45">
        <v>9142.9500000000007</v>
      </c>
      <c r="N146" s="46">
        <v>5153.01</v>
      </c>
      <c r="O146" s="46"/>
      <c r="P146" s="46"/>
      <c r="Q146" s="45"/>
      <c r="R146" s="228"/>
      <c r="S146" s="683"/>
      <c r="T146" s="566">
        <f t="shared" si="25"/>
        <v>0</v>
      </c>
    </row>
    <row r="147" spans="1:25" x14ac:dyDescent="0.25">
      <c r="A147" s="792"/>
      <c r="B147" s="806"/>
      <c r="C147" s="59" t="s">
        <v>92</v>
      </c>
      <c r="D147" s="60"/>
      <c r="E147" s="60"/>
      <c r="F147" s="60"/>
      <c r="G147" s="60"/>
      <c r="H147" s="60"/>
      <c r="I147" s="59"/>
      <c r="J147" s="145"/>
      <c r="K147" s="60"/>
      <c r="L147" s="45"/>
      <c r="M147" s="45"/>
      <c r="N147" s="46"/>
      <c r="O147" s="45">
        <v>4985.1000000000004</v>
      </c>
      <c r="P147" s="45">
        <v>14458.009999999998</v>
      </c>
      <c r="Q147" s="45">
        <v>18101.53</v>
      </c>
      <c r="R147" s="228">
        <v>12748</v>
      </c>
      <c r="S147" s="683">
        <f>5312.14+728.46+7632.57</f>
        <v>13673.17</v>
      </c>
      <c r="T147" s="566">
        <f t="shared" si="25"/>
        <v>107.26</v>
      </c>
      <c r="V147" s="624"/>
      <c r="W147" s="189"/>
      <c r="Y147" s="189"/>
    </row>
    <row r="148" spans="1:25" x14ac:dyDescent="0.25">
      <c r="A148" s="792"/>
      <c r="B148" s="806"/>
      <c r="C148" s="59" t="s">
        <v>236</v>
      </c>
      <c r="D148" s="60"/>
      <c r="E148" s="60">
        <v>0</v>
      </c>
      <c r="F148" s="60">
        <v>66388</v>
      </c>
      <c r="G148" s="60">
        <v>33390</v>
      </c>
      <c r="H148" s="60">
        <v>32749</v>
      </c>
      <c r="I148" s="59">
        <v>70000</v>
      </c>
      <c r="J148" s="145">
        <v>59118</v>
      </c>
      <c r="K148" s="60">
        <v>75103</v>
      </c>
      <c r="L148" s="25">
        <v>81056.960000000006</v>
      </c>
      <c r="M148" s="25">
        <v>86285.36</v>
      </c>
      <c r="N148" s="26">
        <v>5874.72</v>
      </c>
      <c r="O148" s="25">
        <v>90485</v>
      </c>
      <c r="P148" s="25">
        <v>71812.44</v>
      </c>
      <c r="Q148" s="25">
        <v>103201.67</v>
      </c>
      <c r="R148" s="144">
        <v>88710</v>
      </c>
      <c r="S148" s="684">
        <v>87345.04</v>
      </c>
      <c r="T148" s="564">
        <f t="shared" si="25"/>
        <v>98.46</v>
      </c>
    </row>
    <row r="149" spans="1:25" ht="15.75" thickBot="1" x14ac:dyDescent="0.3">
      <c r="A149" s="793"/>
      <c r="B149" s="807"/>
      <c r="C149" s="61" t="s">
        <v>237</v>
      </c>
      <c r="D149" s="76"/>
      <c r="E149" s="76">
        <v>531</v>
      </c>
      <c r="F149" s="76">
        <v>3917</v>
      </c>
      <c r="G149" s="76">
        <v>4034</v>
      </c>
      <c r="H149" s="76">
        <v>796</v>
      </c>
      <c r="I149" s="61">
        <v>3502</v>
      </c>
      <c r="J149" s="275">
        <v>2296</v>
      </c>
      <c r="K149" s="76">
        <v>4370</v>
      </c>
      <c r="L149" s="31">
        <v>2786</v>
      </c>
      <c r="M149" s="31">
        <v>3000</v>
      </c>
      <c r="N149" s="32">
        <v>80610.12</v>
      </c>
      <c r="O149" s="31">
        <v>2812</v>
      </c>
      <c r="P149" s="31">
        <v>170</v>
      </c>
      <c r="Q149" s="31">
        <v>3000</v>
      </c>
      <c r="R149" s="32">
        <v>1500</v>
      </c>
      <c r="S149" s="569">
        <v>1250</v>
      </c>
      <c r="T149" s="570">
        <f t="shared" si="25"/>
        <v>83.33</v>
      </c>
    </row>
    <row r="150" spans="1:25" ht="15.75" thickBot="1" x14ac:dyDescent="0.3">
      <c r="A150" s="151" t="s">
        <v>238</v>
      </c>
      <c r="B150" s="777" t="s">
        <v>239</v>
      </c>
      <c r="C150" s="747"/>
      <c r="D150" s="84">
        <v>2960832</v>
      </c>
      <c r="E150" s="84">
        <v>3369814</v>
      </c>
      <c r="F150" s="84">
        <v>3780057</v>
      </c>
      <c r="G150" s="84">
        <v>4405952.43</v>
      </c>
      <c r="H150" s="84">
        <v>4455752</v>
      </c>
      <c r="I150" s="84">
        <v>4609033</v>
      </c>
      <c r="J150" s="84">
        <v>4840194</v>
      </c>
      <c r="K150" s="84">
        <v>4773475</v>
      </c>
      <c r="L150" s="85">
        <v>4944992.8499999996</v>
      </c>
      <c r="M150" s="85">
        <v>5255422.8499999996</v>
      </c>
      <c r="N150" s="153">
        <v>5401219.4500000002</v>
      </c>
      <c r="O150" s="154">
        <v>5606281.4399999995</v>
      </c>
      <c r="P150" s="154">
        <v>5915004.5199999996</v>
      </c>
      <c r="Q150" s="154">
        <f>Q151+Q156</f>
        <v>6513428.6599999992</v>
      </c>
      <c r="R150" s="153">
        <f>R151+R156</f>
        <v>6947358</v>
      </c>
      <c r="S150" s="687">
        <f t="shared" ref="S150" si="28">S151+S156</f>
        <v>6870448.21</v>
      </c>
      <c r="T150" s="632">
        <f t="shared" si="25"/>
        <v>98.89</v>
      </c>
      <c r="W150" s="303"/>
      <c r="Y150" s="189"/>
    </row>
    <row r="151" spans="1:25" ht="15.75" thickBot="1" x14ac:dyDescent="0.3">
      <c r="A151" s="791"/>
      <c r="B151" s="794" t="s">
        <v>240</v>
      </c>
      <c r="C151" s="795"/>
      <c r="D151" s="80">
        <v>29177</v>
      </c>
      <c r="E151" s="80">
        <v>27518</v>
      </c>
      <c r="F151" s="80">
        <v>28447</v>
      </c>
      <c r="G151" s="80">
        <v>30677</v>
      </c>
      <c r="H151" s="80">
        <v>31410</v>
      </c>
      <c r="I151" s="80">
        <v>41249</v>
      </c>
      <c r="J151" s="80">
        <v>38808</v>
      </c>
      <c r="K151" s="80">
        <v>36313</v>
      </c>
      <c r="L151" s="81">
        <v>35493.83</v>
      </c>
      <c r="M151" s="81">
        <v>51463.890000000007</v>
      </c>
      <c r="N151" s="308">
        <v>56202.630000000005</v>
      </c>
      <c r="O151" s="309">
        <v>54280.090000000004</v>
      </c>
      <c r="P151" s="309">
        <v>61314.87</v>
      </c>
      <c r="Q151" s="309">
        <f>SUM(Q152:Q155)</f>
        <v>51737.259999999995</v>
      </c>
      <c r="R151" s="308">
        <f>SUM(R152:R155)</f>
        <v>65741</v>
      </c>
      <c r="S151" s="687">
        <f>SUM(S152:S155)</f>
        <v>69917.12000000001</v>
      </c>
      <c r="T151" s="632">
        <f t="shared" si="25"/>
        <v>106.35</v>
      </c>
    </row>
    <row r="152" spans="1:25" x14ac:dyDescent="0.25">
      <c r="A152" s="792"/>
      <c r="B152" s="287">
        <v>610</v>
      </c>
      <c r="C152" s="91" t="s">
        <v>114</v>
      </c>
      <c r="D152" s="188"/>
      <c r="E152" s="188">
        <v>18854</v>
      </c>
      <c r="F152" s="188">
        <v>18290</v>
      </c>
      <c r="G152" s="188">
        <v>19464</v>
      </c>
      <c r="H152" s="188">
        <v>22248</v>
      </c>
      <c r="I152" s="173">
        <v>29541</v>
      </c>
      <c r="J152" s="145">
        <v>26330</v>
      </c>
      <c r="K152" s="60">
        <v>25388</v>
      </c>
      <c r="L152" s="188">
        <v>24578.53</v>
      </c>
      <c r="M152" s="310">
        <v>33902.800000000003</v>
      </c>
      <c r="N152" s="311">
        <v>34953.550000000003</v>
      </c>
      <c r="O152" s="312">
        <v>37117.040000000001</v>
      </c>
      <c r="P152" s="312">
        <v>39049.72</v>
      </c>
      <c r="Q152" s="312">
        <v>35866.21</v>
      </c>
      <c r="R152" s="313">
        <v>45404</v>
      </c>
      <c r="S152" s="683">
        <v>47781.15</v>
      </c>
      <c r="T152" s="566">
        <f t="shared" si="25"/>
        <v>105.24</v>
      </c>
    </row>
    <row r="153" spans="1:25" x14ac:dyDescent="0.25">
      <c r="A153" s="792"/>
      <c r="B153" s="176">
        <v>620</v>
      </c>
      <c r="C153" s="59" t="s">
        <v>115</v>
      </c>
      <c r="D153" s="60"/>
      <c r="E153" s="60">
        <v>6473</v>
      </c>
      <c r="F153" s="60">
        <v>6340</v>
      </c>
      <c r="G153" s="60">
        <v>6869</v>
      </c>
      <c r="H153" s="60">
        <v>6877</v>
      </c>
      <c r="I153" s="59">
        <v>9575</v>
      </c>
      <c r="J153" s="145">
        <v>9735</v>
      </c>
      <c r="K153" s="60">
        <v>9358</v>
      </c>
      <c r="L153" s="60">
        <v>9719.7999999999993</v>
      </c>
      <c r="M153" s="314">
        <v>11551.79</v>
      </c>
      <c r="N153" s="127">
        <v>12736.3</v>
      </c>
      <c r="O153" s="128">
        <v>13736.32</v>
      </c>
      <c r="P153" s="128">
        <v>15439.53</v>
      </c>
      <c r="Q153" s="128">
        <v>12794.52</v>
      </c>
      <c r="R153" s="315">
        <v>16337</v>
      </c>
      <c r="S153" s="684">
        <v>16959.009999999998</v>
      </c>
      <c r="T153" s="564">
        <f t="shared" si="25"/>
        <v>103.81</v>
      </c>
    </row>
    <row r="154" spans="1:25" ht="15.75" thickBot="1" x14ac:dyDescent="0.3">
      <c r="A154" s="792"/>
      <c r="B154" s="143">
        <v>630</v>
      </c>
      <c r="C154" s="59" t="s">
        <v>116</v>
      </c>
      <c r="D154" s="76"/>
      <c r="E154" s="76">
        <v>2191</v>
      </c>
      <c r="F154" s="76">
        <v>3817</v>
      </c>
      <c r="G154" s="76">
        <v>4344</v>
      </c>
      <c r="H154" s="76">
        <v>2285</v>
      </c>
      <c r="I154" s="61">
        <v>2133</v>
      </c>
      <c r="J154" s="145">
        <v>2743</v>
      </c>
      <c r="K154" s="60">
        <v>1567</v>
      </c>
      <c r="L154" s="60">
        <v>1195.5</v>
      </c>
      <c r="M154" s="125">
        <v>1127.3</v>
      </c>
      <c r="N154" s="26">
        <v>8512.7800000000007</v>
      </c>
      <c r="O154" s="25">
        <v>3426.73</v>
      </c>
      <c r="P154" s="25">
        <v>3125.62</v>
      </c>
      <c r="Q154" s="25">
        <v>3076.53</v>
      </c>
      <c r="R154" s="144">
        <v>4000</v>
      </c>
      <c r="S154" s="684">
        <v>4564.6899999999996</v>
      </c>
      <c r="T154" s="564">
        <f t="shared" si="25"/>
        <v>114.12</v>
      </c>
    </row>
    <row r="155" spans="1:25" ht="15.75" thickBot="1" x14ac:dyDescent="0.3">
      <c r="A155" s="792"/>
      <c r="B155" s="586">
        <v>640</v>
      </c>
      <c r="C155" s="216" t="s">
        <v>117</v>
      </c>
      <c r="D155" s="149"/>
      <c r="E155" s="149"/>
      <c r="F155" s="149"/>
      <c r="G155" s="149"/>
      <c r="H155" s="149"/>
      <c r="I155" s="190"/>
      <c r="J155" s="178"/>
      <c r="K155" s="188"/>
      <c r="L155" s="188"/>
      <c r="M155" s="278">
        <v>4882</v>
      </c>
      <c r="N155" s="90"/>
      <c r="O155" s="89"/>
      <c r="P155" s="89">
        <v>3700</v>
      </c>
      <c r="Q155" s="89"/>
      <c r="R155" s="174"/>
      <c r="S155" s="688">
        <v>612.27</v>
      </c>
      <c r="T155" s="568">
        <f t="shared" si="25"/>
        <v>0</v>
      </c>
    </row>
    <row r="156" spans="1:25" ht="15.75" thickBot="1" x14ac:dyDescent="0.3">
      <c r="A156" s="792"/>
      <c r="B156" s="796" t="s">
        <v>241</v>
      </c>
      <c r="C156" s="797"/>
      <c r="D156" s="54">
        <v>2931655</v>
      </c>
      <c r="E156" s="54">
        <v>3342296</v>
      </c>
      <c r="F156" s="54">
        <v>3751610</v>
      </c>
      <c r="G156" s="54">
        <v>4375275.43</v>
      </c>
      <c r="H156" s="54">
        <v>4424342</v>
      </c>
      <c r="I156" s="54">
        <v>4567784</v>
      </c>
      <c r="J156" s="54">
        <v>4801386</v>
      </c>
      <c r="K156" s="54">
        <v>4737162</v>
      </c>
      <c r="L156" s="55">
        <v>4909499.0199999996</v>
      </c>
      <c r="M156" s="55">
        <v>5203958.96</v>
      </c>
      <c r="N156" s="316">
        <v>5345016.82</v>
      </c>
      <c r="O156" s="317">
        <v>5552001.3499999996</v>
      </c>
      <c r="P156" s="317">
        <v>5853689.6499999994</v>
      </c>
      <c r="Q156" s="317">
        <f>SUM(Q157:Q168)</f>
        <v>6461691.3999999994</v>
      </c>
      <c r="R156" s="316">
        <f>SUM(R157:R168)</f>
        <v>6881617</v>
      </c>
      <c r="S156" s="687">
        <f>SUM(S157:S168)</f>
        <v>6800531.0899999999</v>
      </c>
      <c r="T156" s="567">
        <f t="shared" si="25"/>
        <v>98.82</v>
      </c>
      <c r="W156" s="303"/>
    </row>
    <row r="157" spans="1:25" x14ac:dyDescent="0.25">
      <c r="A157" s="792"/>
      <c r="B157" s="805"/>
      <c r="C157" s="91" t="s">
        <v>242</v>
      </c>
      <c r="D157" s="73">
        <v>1541725</v>
      </c>
      <c r="E157" s="73">
        <v>1718084</v>
      </c>
      <c r="F157" s="73">
        <v>1793999</v>
      </c>
      <c r="G157" s="73">
        <v>1958942</v>
      </c>
      <c r="H157" s="73">
        <v>2084677</v>
      </c>
      <c r="I157" s="91">
        <v>2039732</v>
      </c>
      <c r="J157" s="73">
        <v>2241882</v>
      </c>
      <c r="K157" s="73">
        <v>2385291</v>
      </c>
      <c r="L157" s="45">
        <v>2363727.67</v>
      </c>
      <c r="M157" s="45">
        <v>2385302.7000000002</v>
      </c>
      <c r="N157" s="46">
        <v>2457964.41</v>
      </c>
      <c r="O157" s="45">
        <v>2387323.0499999998</v>
      </c>
      <c r="P157" s="45">
        <v>2377088.1</v>
      </c>
      <c r="Q157" s="616">
        <v>2542642.4799999995</v>
      </c>
      <c r="R157" s="228">
        <v>2782542</v>
      </c>
      <c r="S157" s="683">
        <v>2775176.91</v>
      </c>
      <c r="T157" s="566">
        <f t="shared" si="25"/>
        <v>99.74</v>
      </c>
      <c r="V157" s="303"/>
      <c r="W157" s="303"/>
    </row>
    <row r="158" spans="1:25" ht="17.25" customHeight="1" x14ac:dyDescent="0.25">
      <c r="A158" s="792"/>
      <c r="B158" s="806"/>
      <c r="C158" s="59" t="s">
        <v>243</v>
      </c>
      <c r="D158" s="60">
        <v>1389930</v>
      </c>
      <c r="E158" s="60">
        <v>1591682</v>
      </c>
      <c r="F158" s="60">
        <v>1867423</v>
      </c>
      <c r="G158" s="60">
        <v>2134669.4300000002</v>
      </c>
      <c r="H158" s="60">
        <v>2069302</v>
      </c>
      <c r="I158" s="59">
        <v>2182809</v>
      </c>
      <c r="J158" s="60">
        <v>2169532</v>
      </c>
      <c r="K158" s="60">
        <v>1972245</v>
      </c>
      <c r="L158" s="25">
        <v>2097007.99</v>
      </c>
      <c r="M158" s="25">
        <v>2239643.29</v>
      </c>
      <c r="N158" s="26">
        <v>2410623.65</v>
      </c>
      <c r="O158" s="25">
        <v>2546291.14</v>
      </c>
      <c r="P158" s="25">
        <v>2674051.77</v>
      </c>
      <c r="Q158" s="617">
        <v>2839554.52</v>
      </c>
      <c r="R158" s="144">
        <v>3056422</v>
      </c>
      <c r="S158" s="684">
        <f>2974537.46+192536.44-7500-73084.13-20000-18132-7007-6212</f>
        <v>3035138.77</v>
      </c>
      <c r="T158" s="564">
        <f t="shared" si="25"/>
        <v>99.3</v>
      </c>
      <c r="Y158" s="303"/>
    </row>
    <row r="159" spans="1:25" ht="17.25" customHeight="1" x14ac:dyDescent="0.25">
      <c r="A159" s="792"/>
      <c r="B159" s="806"/>
      <c r="C159" s="62" t="s">
        <v>244</v>
      </c>
      <c r="D159" s="93"/>
      <c r="E159" s="93"/>
      <c r="F159" s="93"/>
      <c r="G159" s="93"/>
      <c r="H159" s="93"/>
      <c r="I159" s="62"/>
      <c r="J159" s="62"/>
      <c r="K159" s="93">
        <v>6822</v>
      </c>
      <c r="L159" s="48">
        <v>58464.77</v>
      </c>
      <c r="M159" s="48">
        <v>145561.9699999993</v>
      </c>
      <c r="N159" s="49">
        <v>13019.76</v>
      </c>
      <c r="O159" s="48">
        <v>88405.36</v>
      </c>
      <c r="P159" s="48">
        <v>106886.92</v>
      </c>
      <c r="Q159" s="48">
        <v>135605.85999999999</v>
      </c>
      <c r="R159" s="202">
        <v>153912</v>
      </c>
      <c r="S159" s="684">
        <v>153911.97999999998</v>
      </c>
      <c r="T159" s="564">
        <f t="shared" si="25"/>
        <v>100</v>
      </c>
      <c r="W159" s="303"/>
    </row>
    <row r="160" spans="1:25" ht="17.25" customHeight="1" x14ac:dyDescent="0.25">
      <c r="A160" s="792"/>
      <c r="B160" s="806"/>
      <c r="C160" s="62" t="s">
        <v>245</v>
      </c>
      <c r="D160" s="93"/>
      <c r="E160" s="93"/>
      <c r="F160" s="93"/>
      <c r="G160" s="93"/>
      <c r="H160" s="93"/>
      <c r="I160" s="62">
        <v>11276</v>
      </c>
      <c r="J160" s="62">
        <v>23184</v>
      </c>
      <c r="K160" s="93">
        <v>0</v>
      </c>
      <c r="L160" s="48">
        <v>4779.37</v>
      </c>
      <c r="M160" s="48">
        <v>0</v>
      </c>
      <c r="N160" s="49">
        <v>0</v>
      </c>
      <c r="O160" s="48"/>
      <c r="P160" s="48">
        <v>10000</v>
      </c>
      <c r="Q160" s="48">
        <v>2000</v>
      </c>
      <c r="R160" s="202">
        <v>7500</v>
      </c>
      <c r="S160" s="684">
        <v>7500</v>
      </c>
      <c r="T160" s="564">
        <f t="shared" si="25"/>
        <v>100</v>
      </c>
    </row>
    <row r="161" spans="1:25" x14ac:dyDescent="0.25">
      <c r="A161" s="792"/>
      <c r="B161" s="806"/>
      <c r="C161" s="62" t="s">
        <v>428</v>
      </c>
      <c r="D161" s="93"/>
      <c r="E161" s="93"/>
      <c r="F161" s="93"/>
      <c r="G161" s="93"/>
      <c r="H161" s="93"/>
      <c r="I161" s="62"/>
      <c r="J161" s="62"/>
      <c r="K161" s="93"/>
      <c r="L161" s="48"/>
      <c r="M161" s="48"/>
      <c r="N161" s="49"/>
      <c r="O161" s="48"/>
      <c r="P161" s="48"/>
      <c r="Q161" s="618">
        <v>197961.72999999998</v>
      </c>
      <c r="R161" s="202">
        <v>0</v>
      </c>
      <c r="S161" s="684"/>
      <c r="T161" s="564">
        <f t="shared" si="25"/>
        <v>0</v>
      </c>
    </row>
    <row r="162" spans="1:25" x14ac:dyDescent="0.25">
      <c r="A162" s="792"/>
      <c r="B162" s="806"/>
      <c r="C162" s="62" t="s">
        <v>61</v>
      </c>
      <c r="D162" s="93"/>
      <c r="E162" s="93"/>
      <c r="F162" s="93"/>
      <c r="G162" s="93"/>
      <c r="H162" s="93"/>
      <c r="I162" s="62"/>
      <c r="J162" s="62"/>
      <c r="K162" s="93"/>
      <c r="L162" s="48"/>
      <c r="M162" s="48"/>
      <c r="N162" s="49"/>
      <c r="O162" s="48"/>
      <c r="P162" s="48">
        <v>208274.06</v>
      </c>
      <c r="Q162" s="618"/>
      <c r="R162" s="202">
        <v>126911</v>
      </c>
      <c r="S162" s="684">
        <v>73084.13</v>
      </c>
      <c r="T162" s="564">
        <f t="shared" si="25"/>
        <v>57.59</v>
      </c>
      <c r="V162" s="303"/>
    </row>
    <row r="163" spans="1:25" ht="12.75" customHeight="1" x14ac:dyDescent="0.25">
      <c r="A163" s="792"/>
      <c r="B163" s="806"/>
      <c r="C163" s="62" t="s">
        <v>246</v>
      </c>
      <c r="D163" s="93"/>
      <c r="E163" s="93"/>
      <c r="F163" s="93"/>
      <c r="G163" s="93"/>
      <c r="H163" s="93">
        <v>2568</v>
      </c>
      <c r="I163" s="62">
        <v>2134</v>
      </c>
      <c r="J163" s="62"/>
      <c r="K163" s="93">
        <v>0</v>
      </c>
      <c r="L163" s="48">
        <v>240.97</v>
      </c>
      <c r="M163" s="48">
        <v>0</v>
      </c>
      <c r="N163" s="49">
        <v>0</v>
      </c>
      <c r="O163" s="48"/>
      <c r="P163" s="48">
        <v>4600</v>
      </c>
      <c r="Q163" s="618">
        <v>48000</v>
      </c>
      <c r="R163" s="202">
        <v>20000</v>
      </c>
      <c r="S163" s="684">
        <v>20000</v>
      </c>
      <c r="T163" s="564">
        <f t="shared" si="25"/>
        <v>100</v>
      </c>
    </row>
    <row r="164" spans="1:25" ht="15" customHeight="1" x14ac:dyDescent="0.25">
      <c r="A164" s="792"/>
      <c r="B164" s="806"/>
      <c r="C164" s="62" t="s">
        <v>430</v>
      </c>
      <c r="D164" s="93"/>
      <c r="E164" s="93"/>
      <c r="F164" s="93"/>
      <c r="G164" s="93"/>
      <c r="H164" s="93"/>
      <c r="I164" s="62"/>
      <c r="J164" s="62"/>
      <c r="K164" s="93"/>
      <c r="L164" s="48">
        <v>8661.25</v>
      </c>
      <c r="M164" s="48"/>
      <c r="N164" s="49">
        <v>0</v>
      </c>
      <c r="O164" s="48"/>
      <c r="P164" s="48"/>
      <c r="Q164" s="618">
        <v>21500</v>
      </c>
      <c r="R164" s="202">
        <v>18132</v>
      </c>
      <c r="S164" s="684">
        <v>18132</v>
      </c>
      <c r="T164" s="564">
        <f t="shared" si="25"/>
        <v>100</v>
      </c>
    </row>
    <row r="165" spans="1:25" ht="15" customHeight="1" x14ac:dyDescent="0.25">
      <c r="A165" s="792"/>
      <c r="B165" s="806"/>
      <c r="C165" s="62" t="s">
        <v>347</v>
      </c>
      <c r="D165" s="93"/>
      <c r="E165" s="93"/>
      <c r="F165" s="93"/>
      <c r="G165" s="93"/>
      <c r="H165" s="93"/>
      <c r="I165" s="62"/>
      <c r="J165" s="62"/>
      <c r="K165" s="93"/>
      <c r="L165" s="48"/>
      <c r="M165" s="48"/>
      <c r="N165" s="49"/>
      <c r="O165" s="48"/>
      <c r="P165" s="48"/>
      <c r="Q165" s="618"/>
      <c r="R165" s="202">
        <v>7007</v>
      </c>
      <c r="S165" s="684">
        <v>7007</v>
      </c>
      <c r="T165" s="564">
        <f t="shared" si="25"/>
        <v>100</v>
      </c>
    </row>
    <row r="166" spans="1:25" ht="15" customHeight="1" x14ac:dyDescent="0.25">
      <c r="A166" s="792"/>
      <c r="B166" s="806"/>
      <c r="C166" s="62" t="s">
        <v>435</v>
      </c>
      <c r="D166" s="93"/>
      <c r="E166" s="93"/>
      <c r="F166" s="93"/>
      <c r="G166" s="93"/>
      <c r="H166" s="93"/>
      <c r="I166" s="62"/>
      <c r="J166" s="62"/>
      <c r="K166" s="93"/>
      <c r="L166" s="48"/>
      <c r="M166" s="48"/>
      <c r="N166" s="49"/>
      <c r="O166" s="48"/>
      <c r="P166" s="48"/>
      <c r="Q166" s="618"/>
      <c r="R166" s="202">
        <v>6212</v>
      </c>
      <c r="S166" s="684">
        <v>6212</v>
      </c>
      <c r="T166" s="564">
        <f t="shared" si="25"/>
        <v>100</v>
      </c>
    </row>
    <row r="167" spans="1:25" ht="14.25" customHeight="1" x14ac:dyDescent="0.25">
      <c r="A167" s="792"/>
      <c r="B167" s="806"/>
      <c r="C167" s="62" t="s">
        <v>96</v>
      </c>
      <c r="D167" s="93"/>
      <c r="E167" s="93"/>
      <c r="F167" s="93"/>
      <c r="G167" s="93"/>
      <c r="H167" s="93">
        <v>2166</v>
      </c>
      <c r="I167" s="62">
        <v>10924</v>
      </c>
      <c r="J167" s="62">
        <v>33868</v>
      </c>
      <c r="K167" s="93">
        <v>0</v>
      </c>
      <c r="L167" s="48"/>
      <c r="M167" s="48"/>
      <c r="N167" s="49">
        <v>0</v>
      </c>
      <c r="O167" s="48">
        <v>415.8</v>
      </c>
      <c r="P167" s="48">
        <v>2494.8000000000002</v>
      </c>
      <c r="Q167" s="618">
        <v>22623.81</v>
      </c>
      <c r="R167" s="202">
        <v>1081</v>
      </c>
      <c r="S167" s="684">
        <f>14897.5-12427.2</f>
        <v>2470.2999999999993</v>
      </c>
      <c r="T167" s="564">
        <f t="shared" si="25"/>
        <v>228.52</v>
      </c>
      <c r="W167" s="303"/>
    </row>
    <row r="168" spans="1:25" ht="15.75" thickBot="1" x14ac:dyDescent="0.3">
      <c r="A168" s="793"/>
      <c r="B168" s="807"/>
      <c r="C168" s="61" t="s">
        <v>247</v>
      </c>
      <c r="D168" s="76"/>
      <c r="E168" s="76">
        <v>32530</v>
      </c>
      <c r="F168" s="76">
        <v>90188</v>
      </c>
      <c r="G168" s="76">
        <v>281664</v>
      </c>
      <c r="H168" s="76">
        <v>265629</v>
      </c>
      <c r="I168" s="61">
        <v>320909</v>
      </c>
      <c r="J168" s="61">
        <v>332920</v>
      </c>
      <c r="K168" s="76">
        <v>372804</v>
      </c>
      <c r="L168" s="31">
        <v>376617</v>
      </c>
      <c r="M168" s="31">
        <v>433451</v>
      </c>
      <c r="N168" s="32">
        <v>463409</v>
      </c>
      <c r="O168" s="31">
        <v>529566</v>
      </c>
      <c r="P168" s="31">
        <v>470294</v>
      </c>
      <c r="Q168" s="620">
        <v>651803</v>
      </c>
      <c r="R168" s="206">
        <v>701898</v>
      </c>
      <c r="S168" s="690">
        <v>701898</v>
      </c>
      <c r="T168" s="570">
        <f t="shared" si="25"/>
        <v>100</v>
      </c>
    </row>
    <row r="169" spans="1:25" ht="15.75" thickBot="1" x14ac:dyDescent="0.3">
      <c r="A169" s="318" t="s">
        <v>248</v>
      </c>
      <c r="B169" s="777" t="s">
        <v>249</v>
      </c>
      <c r="C169" s="747"/>
      <c r="D169" s="84">
        <v>14672</v>
      </c>
      <c r="E169" s="84">
        <v>18356</v>
      </c>
      <c r="F169" s="84">
        <v>24962</v>
      </c>
      <c r="G169" s="84">
        <v>26012</v>
      </c>
      <c r="H169" s="84">
        <v>24167</v>
      </c>
      <c r="I169" s="84">
        <v>21978</v>
      </c>
      <c r="J169" s="84">
        <v>26182</v>
      </c>
      <c r="K169" s="84">
        <v>16605</v>
      </c>
      <c r="L169" s="85">
        <v>19312.66</v>
      </c>
      <c r="M169" s="85">
        <v>17232.5</v>
      </c>
      <c r="N169" s="153">
        <v>19393.890000000003</v>
      </c>
      <c r="O169" s="153">
        <v>0</v>
      </c>
      <c r="P169" s="153">
        <v>0</v>
      </c>
      <c r="Q169" s="154">
        <v>0</v>
      </c>
      <c r="R169" s="153">
        <v>0</v>
      </c>
      <c r="S169" s="686"/>
      <c r="T169" s="650">
        <f t="shared" si="25"/>
        <v>0</v>
      </c>
    </row>
    <row r="170" spans="1:25" x14ac:dyDescent="0.25">
      <c r="A170" s="788"/>
      <c r="B170" s="319">
        <v>610</v>
      </c>
      <c r="C170" s="91" t="s">
        <v>114</v>
      </c>
      <c r="D170" s="73"/>
      <c r="E170" s="73">
        <v>11817</v>
      </c>
      <c r="F170" s="73">
        <v>16331</v>
      </c>
      <c r="G170" s="73">
        <v>16188</v>
      </c>
      <c r="H170" s="73">
        <v>16639</v>
      </c>
      <c r="I170" s="73">
        <v>14808</v>
      </c>
      <c r="J170" s="73">
        <v>14984</v>
      </c>
      <c r="K170" s="73">
        <v>11095</v>
      </c>
      <c r="L170" s="45">
        <v>11946.75</v>
      </c>
      <c r="M170" s="45">
        <v>12156.96</v>
      </c>
      <c r="N170" s="46">
        <v>13480.65</v>
      </c>
      <c r="O170" s="46"/>
      <c r="P170" s="46"/>
      <c r="Q170" s="45"/>
      <c r="R170" s="228">
        <v>0</v>
      </c>
      <c r="S170" s="683"/>
      <c r="T170" s="566">
        <f t="shared" si="25"/>
        <v>0</v>
      </c>
    </row>
    <row r="171" spans="1:25" x14ac:dyDescent="0.25">
      <c r="A171" s="789"/>
      <c r="B171" s="143">
        <v>620</v>
      </c>
      <c r="C171" s="59" t="s">
        <v>115</v>
      </c>
      <c r="D171" s="60"/>
      <c r="E171" s="60">
        <v>3983</v>
      </c>
      <c r="F171" s="60">
        <v>5610</v>
      </c>
      <c r="G171" s="60">
        <v>5689</v>
      </c>
      <c r="H171" s="60">
        <v>5822</v>
      </c>
      <c r="I171" s="60">
        <v>5320</v>
      </c>
      <c r="J171" s="60">
        <v>5972</v>
      </c>
      <c r="K171" s="60">
        <v>4227</v>
      </c>
      <c r="L171" s="25">
        <v>4902.95</v>
      </c>
      <c r="M171" s="25">
        <v>3941.03</v>
      </c>
      <c r="N171" s="26">
        <v>4701.62</v>
      </c>
      <c r="O171" s="26"/>
      <c r="P171" s="26"/>
      <c r="Q171" s="25"/>
      <c r="R171" s="144">
        <v>0</v>
      </c>
      <c r="S171" s="684"/>
      <c r="T171" s="564">
        <f t="shared" si="25"/>
        <v>0</v>
      </c>
    </row>
    <row r="172" spans="1:25" x14ac:dyDescent="0.25">
      <c r="A172" s="789"/>
      <c r="B172" s="143">
        <v>630</v>
      </c>
      <c r="C172" s="59" t="s">
        <v>116</v>
      </c>
      <c r="D172" s="60"/>
      <c r="E172" s="60">
        <v>2556</v>
      </c>
      <c r="F172" s="60">
        <v>3021</v>
      </c>
      <c r="G172" s="60">
        <v>4135</v>
      </c>
      <c r="H172" s="60">
        <v>1706</v>
      </c>
      <c r="I172" s="60">
        <v>1850</v>
      </c>
      <c r="J172" s="60">
        <v>1495</v>
      </c>
      <c r="K172" s="60">
        <v>1200</v>
      </c>
      <c r="L172" s="25">
        <v>931.46</v>
      </c>
      <c r="M172" s="25">
        <v>1055.02</v>
      </c>
      <c r="N172" s="26">
        <v>1132.97</v>
      </c>
      <c r="O172" s="26"/>
      <c r="P172" s="26"/>
      <c r="Q172" s="25"/>
      <c r="R172" s="144">
        <v>0</v>
      </c>
      <c r="S172" s="684"/>
      <c r="T172" s="564">
        <f t="shared" si="25"/>
        <v>0</v>
      </c>
    </row>
    <row r="173" spans="1:25" ht="15.75" thickBot="1" x14ac:dyDescent="0.3">
      <c r="A173" s="790"/>
      <c r="B173" s="203">
        <v>640</v>
      </c>
      <c r="C173" s="61" t="s">
        <v>250</v>
      </c>
      <c r="D173" s="76"/>
      <c r="E173" s="76"/>
      <c r="F173" s="76"/>
      <c r="G173" s="76"/>
      <c r="H173" s="76"/>
      <c r="I173" s="76"/>
      <c r="J173" s="76">
        <v>3731</v>
      </c>
      <c r="K173" s="188">
        <v>83</v>
      </c>
      <c r="L173" s="89">
        <v>1531.5</v>
      </c>
      <c r="M173" s="89">
        <v>79.489999999999995</v>
      </c>
      <c r="N173" s="90">
        <v>78.650000000000006</v>
      </c>
      <c r="O173" s="90"/>
      <c r="P173" s="90"/>
      <c r="Q173" s="89"/>
      <c r="R173" s="174"/>
      <c r="S173" s="685"/>
      <c r="T173" s="565">
        <f t="shared" si="25"/>
        <v>0</v>
      </c>
    </row>
    <row r="174" spans="1:25" ht="15.75" thickBot="1" x14ac:dyDescent="0.3">
      <c r="A174" s="151" t="s">
        <v>251</v>
      </c>
      <c r="B174" s="777" t="s">
        <v>252</v>
      </c>
      <c r="C174" s="747"/>
      <c r="D174" s="84">
        <v>42988</v>
      </c>
      <c r="E174" s="84">
        <v>41924</v>
      </c>
      <c r="F174" s="84">
        <v>49127</v>
      </c>
      <c r="G174" s="84">
        <v>48507</v>
      </c>
      <c r="H174" s="84">
        <v>53865</v>
      </c>
      <c r="I174" s="84">
        <v>59113.2</v>
      </c>
      <c r="J174" s="84">
        <v>51352</v>
      </c>
      <c r="K174" s="84">
        <v>57413</v>
      </c>
      <c r="L174" s="85">
        <v>142019.73000000001</v>
      </c>
      <c r="M174" s="85">
        <v>67235.890000000014</v>
      </c>
      <c r="N174" s="153">
        <v>59484.65</v>
      </c>
      <c r="O174" s="154">
        <v>64756.130000000005</v>
      </c>
      <c r="P174" s="153">
        <v>109958.24</v>
      </c>
      <c r="Q174" s="154">
        <f>Q175+Q182</f>
        <v>135589.79999999999</v>
      </c>
      <c r="R174" s="153">
        <f>R175+R182</f>
        <v>150752</v>
      </c>
      <c r="S174" s="687">
        <f t="shared" ref="S174" si="29">S175+S182</f>
        <v>161526.48999999996</v>
      </c>
      <c r="T174" s="632">
        <f t="shared" si="25"/>
        <v>107.15</v>
      </c>
      <c r="W174" s="189"/>
      <c r="Y174" s="189"/>
    </row>
    <row r="175" spans="1:25" ht="15.75" thickBot="1" x14ac:dyDescent="0.3">
      <c r="A175" s="791"/>
      <c r="B175" s="794" t="s">
        <v>253</v>
      </c>
      <c r="C175" s="795"/>
      <c r="D175" s="80">
        <v>39801</v>
      </c>
      <c r="E175" s="80">
        <v>41194</v>
      </c>
      <c r="F175" s="80">
        <v>47169</v>
      </c>
      <c r="G175" s="80">
        <v>47600</v>
      </c>
      <c r="H175" s="80">
        <v>53724</v>
      </c>
      <c r="I175" s="80">
        <v>56208.2</v>
      </c>
      <c r="J175" s="80">
        <v>47897</v>
      </c>
      <c r="K175" s="80">
        <v>54913</v>
      </c>
      <c r="L175" s="81">
        <v>59991.65</v>
      </c>
      <c r="M175" s="81">
        <v>64735.890000000007</v>
      </c>
      <c r="N175" s="308">
        <v>54463.6</v>
      </c>
      <c r="O175" s="309">
        <v>60460.66</v>
      </c>
      <c r="P175" s="308">
        <v>105530.11</v>
      </c>
      <c r="Q175" s="309">
        <f>SUM(Q176:Q180)</f>
        <v>129250.44999999998</v>
      </c>
      <c r="R175" s="308">
        <f>SUM(R176:R180)</f>
        <v>145752</v>
      </c>
      <c r="S175" s="687">
        <f t="shared" ref="S175" si="30">SUM(S176:S180)</f>
        <v>156009.15999999997</v>
      </c>
      <c r="T175" s="632">
        <f t="shared" si="25"/>
        <v>107.04</v>
      </c>
      <c r="Y175" s="189"/>
    </row>
    <row r="176" spans="1:25" x14ac:dyDescent="0.25">
      <c r="A176" s="792"/>
      <c r="B176" s="287">
        <v>610</v>
      </c>
      <c r="C176" s="91" t="s">
        <v>114</v>
      </c>
      <c r="D176" s="73"/>
      <c r="E176" s="73">
        <v>22141</v>
      </c>
      <c r="F176" s="73">
        <v>25294</v>
      </c>
      <c r="G176" s="73">
        <v>27320</v>
      </c>
      <c r="H176" s="73">
        <v>30945</v>
      </c>
      <c r="I176" s="73">
        <v>30403</v>
      </c>
      <c r="J176" s="73">
        <v>28630</v>
      </c>
      <c r="K176" s="73">
        <v>28741</v>
      </c>
      <c r="L176" s="45">
        <v>31950.86</v>
      </c>
      <c r="M176" s="45">
        <v>36896.54</v>
      </c>
      <c r="N176" s="46">
        <v>32643.72</v>
      </c>
      <c r="O176" s="45">
        <v>34750.01</v>
      </c>
      <c r="P176" s="45">
        <v>39563.769999999997</v>
      </c>
      <c r="Q176" s="45">
        <v>51910.33</v>
      </c>
      <c r="R176" s="228">
        <v>73544</v>
      </c>
      <c r="S176" s="683">
        <v>72971.429999999993</v>
      </c>
      <c r="T176" s="566">
        <f t="shared" si="25"/>
        <v>99.22</v>
      </c>
      <c r="W176" s="189"/>
    </row>
    <row r="177" spans="1:23" x14ac:dyDescent="0.25">
      <c r="A177" s="792"/>
      <c r="B177" s="176">
        <v>620</v>
      </c>
      <c r="C177" s="59" t="s">
        <v>115</v>
      </c>
      <c r="D177" s="60"/>
      <c r="E177" s="60">
        <v>8265</v>
      </c>
      <c r="F177" s="60">
        <v>9427</v>
      </c>
      <c r="G177" s="60">
        <v>10234</v>
      </c>
      <c r="H177" s="60">
        <v>11482</v>
      </c>
      <c r="I177" s="60">
        <v>11730.2</v>
      </c>
      <c r="J177" s="60">
        <v>10691</v>
      </c>
      <c r="K177" s="60">
        <v>10646</v>
      </c>
      <c r="L177" s="25">
        <v>12860.64</v>
      </c>
      <c r="M177" s="25">
        <v>12687.37</v>
      </c>
      <c r="N177" s="26">
        <v>12446.38</v>
      </c>
      <c r="O177" s="25">
        <v>13294.12</v>
      </c>
      <c r="P177" s="25">
        <v>14895.57</v>
      </c>
      <c r="Q177" s="25">
        <v>19183.12</v>
      </c>
      <c r="R177" s="144">
        <v>26640</v>
      </c>
      <c r="S177" s="684">
        <v>26600.959999999999</v>
      </c>
      <c r="T177" s="564">
        <f t="shared" si="25"/>
        <v>99.85</v>
      </c>
      <c r="W177" s="189"/>
    </row>
    <row r="178" spans="1:23" x14ac:dyDescent="0.25">
      <c r="A178" s="792"/>
      <c r="B178" s="277">
        <v>630</v>
      </c>
      <c r="C178" s="62" t="s">
        <v>116</v>
      </c>
      <c r="D178" s="60"/>
      <c r="E178" s="60">
        <v>10788</v>
      </c>
      <c r="F178" s="60">
        <v>12448</v>
      </c>
      <c r="G178" s="60">
        <v>10046</v>
      </c>
      <c r="H178" s="60">
        <v>11297</v>
      </c>
      <c r="I178" s="60">
        <v>14075</v>
      </c>
      <c r="J178" s="60">
        <v>8576</v>
      </c>
      <c r="K178" s="60">
        <v>15451</v>
      </c>
      <c r="L178" s="125">
        <v>15180.15</v>
      </c>
      <c r="M178" s="125">
        <v>15023.18</v>
      </c>
      <c r="N178" s="26">
        <v>9257.17</v>
      </c>
      <c r="O178" s="25">
        <v>12173.76</v>
      </c>
      <c r="P178" s="25">
        <v>13915.91</v>
      </c>
      <c r="Q178" s="25">
        <v>9666.8799999999974</v>
      </c>
      <c r="R178" s="144">
        <v>13568</v>
      </c>
      <c r="S178" s="732">
        <v>10520.02</v>
      </c>
      <c r="T178" s="564">
        <f t="shared" si="25"/>
        <v>77.540000000000006</v>
      </c>
      <c r="V178" s="303"/>
    </row>
    <row r="179" spans="1:23" x14ac:dyDescent="0.25">
      <c r="A179" s="792"/>
      <c r="B179" s="143">
        <v>640</v>
      </c>
      <c r="C179" s="170" t="s">
        <v>117</v>
      </c>
      <c r="D179" s="145"/>
      <c r="E179" s="145"/>
      <c r="F179" s="145"/>
      <c r="G179" s="145"/>
      <c r="H179" s="145"/>
      <c r="I179" s="60"/>
      <c r="J179" s="60"/>
      <c r="K179" s="60">
        <v>75</v>
      </c>
      <c r="L179" s="26"/>
      <c r="M179" s="25">
        <v>128.80000000000001</v>
      </c>
      <c r="N179" s="26">
        <v>116.33</v>
      </c>
      <c r="O179" s="25">
        <v>242.77</v>
      </c>
      <c r="P179" s="25">
        <v>133.86000000000001</v>
      </c>
      <c r="Q179" s="25">
        <v>88.44</v>
      </c>
      <c r="R179" s="144">
        <v>0</v>
      </c>
      <c r="S179" s="684"/>
      <c r="T179" s="564">
        <f t="shared" si="25"/>
        <v>0</v>
      </c>
    </row>
    <row r="180" spans="1:23" ht="15.75" thickBot="1" x14ac:dyDescent="0.3">
      <c r="A180" s="792"/>
      <c r="B180" s="203">
        <v>630</v>
      </c>
      <c r="C180" s="273" t="s">
        <v>60</v>
      </c>
      <c r="D180" s="275"/>
      <c r="E180" s="275"/>
      <c r="F180" s="275"/>
      <c r="G180" s="275"/>
      <c r="H180" s="275"/>
      <c r="I180" s="76"/>
      <c r="J180" s="76"/>
      <c r="K180" s="76"/>
      <c r="L180" s="32"/>
      <c r="M180" s="31"/>
      <c r="N180" s="32"/>
      <c r="O180" s="31"/>
      <c r="P180" s="31">
        <v>37021</v>
      </c>
      <c r="Q180" s="31">
        <v>48401.68</v>
      </c>
      <c r="R180" s="206">
        <v>32000</v>
      </c>
      <c r="S180" s="690">
        <v>45916.75</v>
      </c>
      <c r="T180" s="570">
        <f t="shared" si="25"/>
        <v>143.49</v>
      </c>
      <c r="W180" s="303"/>
    </row>
    <row r="181" spans="1:23" ht="15.75" hidden="1" thickBot="1" x14ac:dyDescent="0.3">
      <c r="A181" s="792"/>
      <c r="B181" s="289">
        <v>630</v>
      </c>
      <c r="C181" s="216" t="s">
        <v>100</v>
      </c>
      <c r="D181" s="271"/>
      <c r="E181" s="271"/>
      <c r="F181" s="271"/>
      <c r="G181" s="271"/>
      <c r="H181" s="271"/>
      <c r="I181" s="320"/>
      <c r="J181" s="320"/>
      <c r="K181" s="76"/>
      <c r="L181" s="96">
        <v>82028.08</v>
      </c>
      <c r="M181" s="97"/>
      <c r="N181" s="97"/>
      <c r="O181" s="96"/>
      <c r="P181" s="96"/>
      <c r="Q181" s="96"/>
      <c r="R181" s="150"/>
      <c r="S181" s="686"/>
      <c r="T181" s="567">
        <f t="shared" si="25"/>
        <v>0</v>
      </c>
    </row>
    <row r="182" spans="1:23" ht="15.75" thickBot="1" x14ac:dyDescent="0.3">
      <c r="A182" s="792"/>
      <c r="B182" s="796" t="s">
        <v>254</v>
      </c>
      <c r="C182" s="797"/>
      <c r="D182" s="321">
        <v>3187</v>
      </c>
      <c r="E182" s="321">
        <v>730</v>
      </c>
      <c r="F182" s="321">
        <v>1958</v>
      </c>
      <c r="G182" s="321">
        <v>907</v>
      </c>
      <c r="H182" s="321">
        <v>141</v>
      </c>
      <c r="I182" s="320">
        <v>2905</v>
      </c>
      <c r="J182" s="320">
        <v>3455</v>
      </c>
      <c r="K182" s="320">
        <v>2500</v>
      </c>
      <c r="L182" s="320">
        <v>0</v>
      </c>
      <c r="M182" s="322">
        <v>2500</v>
      </c>
      <c r="N182" s="320">
        <v>5021.05</v>
      </c>
      <c r="O182" s="322">
        <v>4295.47</v>
      </c>
      <c r="P182" s="322">
        <v>4428.13</v>
      </c>
      <c r="Q182" s="615">
        <f>Q183</f>
        <v>6339.35</v>
      </c>
      <c r="R182" s="323">
        <f>R183</f>
        <v>5000</v>
      </c>
      <c r="S182" s="687">
        <f t="shared" ref="S182" si="31">S183</f>
        <v>5517.33</v>
      </c>
      <c r="T182" s="632">
        <f t="shared" si="25"/>
        <v>110.35</v>
      </c>
    </row>
    <row r="183" spans="1:23" ht="15.75" thickBot="1" x14ac:dyDescent="0.3">
      <c r="A183" s="793"/>
      <c r="B183" s="324">
        <v>630</v>
      </c>
      <c r="C183" s="61" t="s">
        <v>116</v>
      </c>
      <c r="D183" s="76">
        <v>3187</v>
      </c>
      <c r="E183" s="76">
        <v>730</v>
      </c>
      <c r="F183" s="76">
        <v>1958</v>
      </c>
      <c r="G183" s="76">
        <v>907</v>
      </c>
      <c r="H183" s="76">
        <v>141</v>
      </c>
      <c r="I183" s="61">
        <v>2905</v>
      </c>
      <c r="J183" s="61">
        <v>3455</v>
      </c>
      <c r="K183" s="76">
        <v>2500</v>
      </c>
      <c r="L183" s="32">
        <v>0</v>
      </c>
      <c r="M183" s="31">
        <v>2500</v>
      </c>
      <c r="N183" s="32">
        <v>5021.05</v>
      </c>
      <c r="O183" s="31">
        <v>4295.47</v>
      </c>
      <c r="P183" s="31">
        <v>4428.13</v>
      </c>
      <c r="Q183" s="31">
        <v>6339.35</v>
      </c>
      <c r="R183" s="206">
        <v>5000</v>
      </c>
      <c r="S183" s="686">
        <v>5517.33</v>
      </c>
      <c r="T183" s="567">
        <f t="shared" si="25"/>
        <v>110.35</v>
      </c>
    </row>
    <row r="184" spans="1:23" ht="15.75" thickBot="1" x14ac:dyDescent="0.3">
      <c r="A184" s="585" t="s">
        <v>251</v>
      </c>
      <c r="B184" s="798" t="s">
        <v>255</v>
      </c>
      <c r="C184" s="781"/>
      <c r="D184" s="99">
        <v>90752</v>
      </c>
      <c r="E184" s="99">
        <v>96030</v>
      </c>
      <c r="F184" s="99">
        <v>117540</v>
      </c>
      <c r="G184" s="99">
        <v>141455</v>
      </c>
      <c r="H184" s="99">
        <v>157876</v>
      </c>
      <c r="I184" s="99">
        <v>153798</v>
      </c>
      <c r="J184" s="99">
        <v>141580</v>
      </c>
      <c r="K184" s="99">
        <v>144793</v>
      </c>
      <c r="L184" s="100">
        <v>138341.56</v>
      </c>
      <c r="M184" s="100">
        <v>147764.81</v>
      </c>
      <c r="N184" s="222">
        <v>187629.79</v>
      </c>
      <c r="O184" s="223">
        <v>231026.1</v>
      </c>
      <c r="P184" s="222">
        <v>241971.54</v>
      </c>
      <c r="Q184" s="223">
        <f>SUM(Q185:Q188)</f>
        <v>327330.75</v>
      </c>
      <c r="R184" s="222">
        <f>SUM(R185:R188)</f>
        <v>348472</v>
      </c>
      <c r="S184" s="687">
        <f t="shared" ref="S184" si="32">SUM(S185:S188)</f>
        <v>348471.97000000009</v>
      </c>
      <c r="T184" s="632">
        <f t="shared" si="25"/>
        <v>100</v>
      </c>
    </row>
    <row r="185" spans="1:23" x14ac:dyDescent="0.25">
      <c r="A185" s="799"/>
      <c r="B185" s="175">
        <v>610</v>
      </c>
      <c r="C185" s="57" t="s">
        <v>114</v>
      </c>
      <c r="D185" s="58"/>
      <c r="E185" s="58">
        <v>65691</v>
      </c>
      <c r="F185" s="58">
        <v>80097</v>
      </c>
      <c r="G185" s="58">
        <v>93395</v>
      </c>
      <c r="H185" s="58">
        <v>102238</v>
      </c>
      <c r="I185" s="57">
        <v>102422</v>
      </c>
      <c r="J185" s="58">
        <v>93404</v>
      </c>
      <c r="K185" s="58">
        <v>93846</v>
      </c>
      <c r="L185" s="19">
        <v>85213.93</v>
      </c>
      <c r="M185" s="124">
        <v>101710.97</v>
      </c>
      <c r="N185" s="20">
        <v>126027.75</v>
      </c>
      <c r="O185" s="19">
        <v>154366.21</v>
      </c>
      <c r="P185" s="19">
        <v>162844.91</v>
      </c>
      <c r="Q185" s="19">
        <v>223275.62</v>
      </c>
      <c r="R185" s="142">
        <v>238861</v>
      </c>
      <c r="S185" s="689">
        <v>238861.14</v>
      </c>
      <c r="T185" s="651">
        <f t="shared" si="25"/>
        <v>100</v>
      </c>
    </row>
    <row r="186" spans="1:23" x14ac:dyDescent="0.25">
      <c r="A186" s="800"/>
      <c r="B186" s="176">
        <v>620</v>
      </c>
      <c r="C186" s="59" t="s">
        <v>115</v>
      </c>
      <c r="D186" s="60"/>
      <c r="E186" s="60">
        <v>22738</v>
      </c>
      <c r="F186" s="60">
        <v>27783</v>
      </c>
      <c r="G186" s="60">
        <v>32056</v>
      </c>
      <c r="H186" s="60">
        <v>35361</v>
      </c>
      <c r="I186" s="59">
        <v>35526</v>
      </c>
      <c r="J186" s="60">
        <v>32703</v>
      </c>
      <c r="K186" s="60">
        <v>32877</v>
      </c>
      <c r="L186" s="25">
        <v>32579.829999999994</v>
      </c>
      <c r="M186" s="125">
        <v>29560.18</v>
      </c>
      <c r="N186" s="26">
        <v>41405.870000000003</v>
      </c>
      <c r="O186" s="25">
        <v>53348.97</v>
      </c>
      <c r="P186" s="25">
        <v>57717.62</v>
      </c>
      <c r="Q186" s="25">
        <v>78315.259999999995</v>
      </c>
      <c r="R186" s="144">
        <v>82450</v>
      </c>
      <c r="S186" s="684">
        <v>82449.41</v>
      </c>
      <c r="T186" s="564">
        <f t="shared" si="25"/>
        <v>100</v>
      </c>
    </row>
    <row r="187" spans="1:23" x14ac:dyDescent="0.25">
      <c r="A187" s="800"/>
      <c r="B187" s="277">
        <v>630</v>
      </c>
      <c r="C187" s="62" t="s">
        <v>116</v>
      </c>
      <c r="D187" s="93"/>
      <c r="E187" s="93">
        <v>7369</v>
      </c>
      <c r="F187" s="93">
        <v>8830</v>
      </c>
      <c r="G187" s="93">
        <v>15669</v>
      </c>
      <c r="H187" s="93">
        <v>19477</v>
      </c>
      <c r="I187" s="62">
        <v>15050</v>
      </c>
      <c r="J187" s="60">
        <v>14133</v>
      </c>
      <c r="K187" s="60">
        <v>17748</v>
      </c>
      <c r="L187" s="48">
        <v>20156.86</v>
      </c>
      <c r="M187" s="48">
        <v>15870.11</v>
      </c>
      <c r="N187" s="49">
        <v>19809.259999999998</v>
      </c>
      <c r="O187" s="48">
        <v>22572.22</v>
      </c>
      <c r="P187" s="48">
        <v>20719.09</v>
      </c>
      <c r="Q187" s="48">
        <v>25179.48</v>
      </c>
      <c r="R187" s="202">
        <v>26225</v>
      </c>
      <c r="S187" s="684">
        <v>26224.89</v>
      </c>
      <c r="T187" s="564">
        <f t="shared" si="25"/>
        <v>100</v>
      </c>
    </row>
    <row r="188" spans="1:23" ht="15.75" thickBot="1" x14ac:dyDescent="0.3">
      <c r="A188" s="800"/>
      <c r="B188" s="244">
        <v>640</v>
      </c>
      <c r="C188" s="61" t="s">
        <v>117</v>
      </c>
      <c r="D188" s="76"/>
      <c r="E188" s="76"/>
      <c r="F188" s="76"/>
      <c r="G188" s="76"/>
      <c r="H188" s="76"/>
      <c r="I188" s="61"/>
      <c r="J188" s="76">
        <v>1340</v>
      </c>
      <c r="K188" s="76">
        <v>322</v>
      </c>
      <c r="L188" s="31">
        <v>390.94</v>
      </c>
      <c r="M188" s="31">
        <v>623.54999999999995</v>
      </c>
      <c r="N188" s="32">
        <v>386.91</v>
      </c>
      <c r="O188" s="31">
        <v>738.7</v>
      </c>
      <c r="P188" s="31">
        <v>689.92</v>
      </c>
      <c r="Q188" s="31">
        <v>560.39</v>
      </c>
      <c r="R188" s="206">
        <v>936</v>
      </c>
      <c r="S188" s="690">
        <v>936.53</v>
      </c>
      <c r="T188" s="570">
        <f t="shared" si="25"/>
        <v>100.06</v>
      </c>
    </row>
    <row r="189" spans="1:23" ht="15.75" hidden="1" thickBot="1" x14ac:dyDescent="0.3">
      <c r="A189" s="801"/>
      <c r="B189" s="177">
        <v>630</v>
      </c>
      <c r="C189" s="190" t="s">
        <v>256</v>
      </c>
      <c r="D189" s="149"/>
      <c r="E189" s="149">
        <v>232</v>
      </c>
      <c r="F189" s="149">
        <v>830</v>
      </c>
      <c r="G189" s="149">
        <v>335</v>
      </c>
      <c r="H189" s="149">
        <v>800</v>
      </c>
      <c r="I189" s="190">
        <v>800</v>
      </c>
      <c r="J189" s="190"/>
      <c r="K189" s="149"/>
      <c r="L189" s="97"/>
      <c r="M189" s="97"/>
      <c r="N189" s="97"/>
      <c r="O189" s="96"/>
      <c r="P189" s="96"/>
      <c r="Q189" s="96"/>
      <c r="R189" s="150"/>
      <c r="S189" s="686"/>
      <c r="T189" s="567">
        <f t="shared" si="25"/>
        <v>0</v>
      </c>
    </row>
    <row r="190" spans="1:23" ht="15.75" thickBot="1" x14ac:dyDescent="0.3">
      <c r="A190" s="325" t="s">
        <v>257</v>
      </c>
      <c r="B190" s="777" t="s">
        <v>258</v>
      </c>
      <c r="C190" s="747"/>
      <c r="D190" s="152">
        <v>35152</v>
      </c>
      <c r="E190" s="152">
        <v>34654</v>
      </c>
      <c r="F190" s="152">
        <v>45741</v>
      </c>
      <c r="G190" s="152">
        <v>45381</v>
      </c>
      <c r="H190" s="84">
        <v>47758</v>
      </c>
      <c r="I190" s="84">
        <v>57427</v>
      </c>
      <c r="J190" s="84">
        <v>33860</v>
      </c>
      <c r="K190" s="84">
        <v>33843</v>
      </c>
      <c r="L190" s="85">
        <v>35020.590000000004</v>
      </c>
      <c r="M190" s="85">
        <v>40552.410000000003</v>
      </c>
      <c r="N190" s="153">
        <v>37850.049999999996</v>
      </c>
      <c r="O190" s="154">
        <v>37981.53</v>
      </c>
      <c r="P190" s="153">
        <v>31489.34</v>
      </c>
      <c r="Q190" s="154">
        <f>SUM(Q191:Q194)</f>
        <v>40039.15</v>
      </c>
      <c r="R190" s="153">
        <f>SUM(R191:R194)</f>
        <v>42586</v>
      </c>
      <c r="S190" s="687">
        <f t="shared" ref="S190" si="33">SUM(S191:S194)</f>
        <v>38636.58</v>
      </c>
      <c r="T190" s="632">
        <f t="shared" si="25"/>
        <v>90.73</v>
      </c>
    </row>
    <row r="191" spans="1:23" x14ac:dyDescent="0.25">
      <c r="A191" s="802"/>
      <c r="B191" s="175">
        <v>610</v>
      </c>
      <c r="C191" s="168" t="s">
        <v>114</v>
      </c>
      <c r="D191" s="299"/>
      <c r="E191" s="299">
        <v>21277</v>
      </c>
      <c r="F191" s="299">
        <v>26622</v>
      </c>
      <c r="G191" s="299">
        <v>27938</v>
      </c>
      <c r="H191" s="299">
        <v>29205</v>
      </c>
      <c r="I191" s="58">
        <v>32982</v>
      </c>
      <c r="J191" s="58">
        <v>19537</v>
      </c>
      <c r="K191" s="58">
        <v>19331</v>
      </c>
      <c r="L191" s="19">
        <v>19931.3</v>
      </c>
      <c r="M191" s="19">
        <v>21474.28</v>
      </c>
      <c r="N191" s="20">
        <v>19698.37</v>
      </c>
      <c r="O191" s="19">
        <v>20600.240000000002</v>
      </c>
      <c r="P191" s="19">
        <v>19790.259999999998</v>
      </c>
      <c r="Q191" s="19">
        <v>21979.15</v>
      </c>
      <c r="R191" s="142">
        <v>23564</v>
      </c>
      <c r="S191" s="689">
        <v>20451.23</v>
      </c>
      <c r="T191" s="651">
        <f t="shared" si="25"/>
        <v>86.79</v>
      </c>
    </row>
    <row r="192" spans="1:23" x14ac:dyDescent="0.25">
      <c r="A192" s="803"/>
      <c r="B192" s="176">
        <v>620</v>
      </c>
      <c r="C192" s="170" t="s">
        <v>115</v>
      </c>
      <c r="D192" s="145"/>
      <c r="E192" s="145">
        <v>8033</v>
      </c>
      <c r="F192" s="145">
        <v>9792</v>
      </c>
      <c r="G192" s="145">
        <v>10190</v>
      </c>
      <c r="H192" s="145">
        <v>10431</v>
      </c>
      <c r="I192" s="60">
        <v>13206</v>
      </c>
      <c r="J192" s="60">
        <v>7857</v>
      </c>
      <c r="K192" s="60">
        <v>7510</v>
      </c>
      <c r="L192" s="25">
        <v>8330.59</v>
      </c>
      <c r="M192" s="25">
        <v>7982.2</v>
      </c>
      <c r="N192" s="26">
        <v>7602.19</v>
      </c>
      <c r="O192" s="25">
        <v>8776.16</v>
      </c>
      <c r="P192" s="25">
        <v>7193.52</v>
      </c>
      <c r="Q192" s="25">
        <v>8019.72</v>
      </c>
      <c r="R192" s="144">
        <v>8487</v>
      </c>
      <c r="S192" s="684">
        <v>7342.82</v>
      </c>
      <c r="T192" s="564">
        <f t="shared" si="25"/>
        <v>86.52</v>
      </c>
    </row>
    <row r="193" spans="1:25" x14ac:dyDescent="0.25">
      <c r="A193" s="803"/>
      <c r="B193" s="176">
        <v>630</v>
      </c>
      <c r="C193" s="170" t="s">
        <v>116</v>
      </c>
      <c r="D193" s="145"/>
      <c r="E193" s="145">
        <v>5344</v>
      </c>
      <c r="F193" s="145">
        <v>9327</v>
      </c>
      <c r="G193" s="145">
        <v>7253</v>
      </c>
      <c r="H193" s="145">
        <v>8122</v>
      </c>
      <c r="I193" s="60">
        <v>7483</v>
      </c>
      <c r="J193" s="60">
        <v>6466</v>
      </c>
      <c r="K193" s="60">
        <v>6899</v>
      </c>
      <c r="L193" s="25">
        <v>6669.76</v>
      </c>
      <c r="M193" s="25">
        <v>10990.38</v>
      </c>
      <c r="N193" s="26">
        <v>10449.24</v>
      </c>
      <c r="O193" s="25">
        <v>5491.5700000000006</v>
      </c>
      <c r="P193" s="25">
        <v>4505.5600000000004</v>
      </c>
      <c r="Q193" s="25">
        <v>10040.280000000001</v>
      </c>
      <c r="R193" s="26">
        <v>10535</v>
      </c>
      <c r="S193" s="684">
        <v>10842.53</v>
      </c>
      <c r="T193" s="564">
        <f t="shared" si="25"/>
        <v>102.92</v>
      </c>
    </row>
    <row r="194" spans="1:25" ht="15.75" thickBot="1" x14ac:dyDescent="0.3">
      <c r="A194" s="804"/>
      <c r="B194" s="177">
        <v>640</v>
      </c>
      <c r="C194" s="216" t="s">
        <v>117</v>
      </c>
      <c r="D194" s="271"/>
      <c r="E194" s="271"/>
      <c r="F194" s="271"/>
      <c r="G194" s="271"/>
      <c r="H194" s="271"/>
      <c r="I194" s="149">
        <v>3756</v>
      </c>
      <c r="J194" s="149"/>
      <c r="K194" s="149">
        <v>103</v>
      </c>
      <c r="L194" s="326">
        <v>88.94</v>
      </c>
      <c r="M194" s="205">
        <v>105.55</v>
      </c>
      <c r="N194" s="32">
        <v>100.25</v>
      </c>
      <c r="O194" s="31">
        <v>3113.56</v>
      </c>
      <c r="P194" s="31"/>
      <c r="Q194" s="31"/>
      <c r="R194" s="206"/>
      <c r="S194" s="690"/>
      <c r="T194" s="570">
        <f t="shared" si="25"/>
        <v>0</v>
      </c>
    </row>
    <row r="195" spans="1:25" ht="36" customHeight="1" thickBot="1" x14ac:dyDescent="0.3">
      <c r="A195" s="327" t="s">
        <v>259</v>
      </c>
      <c r="B195" s="786" t="s">
        <v>260</v>
      </c>
      <c r="C195" s="787"/>
      <c r="D195" s="602">
        <v>105855</v>
      </c>
      <c r="E195" s="602">
        <v>102071</v>
      </c>
      <c r="F195" s="602">
        <v>77475</v>
      </c>
      <c r="G195" s="602">
        <v>119794</v>
      </c>
      <c r="H195" s="328">
        <v>122484</v>
      </c>
      <c r="I195" s="328">
        <v>95592</v>
      </c>
      <c r="J195" s="328">
        <v>235945</v>
      </c>
      <c r="K195" s="328">
        <v>566990</v>
      </c>
      <c r="L195" s="329">
        <v>568843.26</v>
      </c>
      <c r="M195" s="329">
        <v>470939.22999999992</v>
      </c>
      <c r="N195" s="330">
        <v>341351.46</v>
      </c>
      <c r="O195" s="331">
        <v>302230.36999999994</v>
      </c>
      <c r="P195" s="330">
        <v>332895.13</v>
      </c>
      <c r="Q195" s="331">
        <f>Q196+Q201+Q204+Q206+Q207+Q208+Q209</f>
        <v>380830.30000000005</v>
      </c>
      <c r="R195" s="330">
        <f>R196+R201+R202+R203+R204+R205+R206+R207+R208+R209</f>
        <v>522504</v>
      </c>
      <c r="S195" s="693">
        <f t="shared" ref="S195" si="34">S196+S201+S202+S203+S204+S205+S206+S207+S208+S209</f>
        <v>455738.60999999993</v>
      </c>
      <c r="T195" s="654">
        <f t="shared" si="25"/>
        <v>87.22</v>
      </c>
      <c r="W195" s="303"/>
    </row>
    <row r="196" spans="1:25" ht="26.45" customHeight="1" thickBot="1" x14ac:dyDescent="0.3">
      <c r="A196" s="785"/>
      <c r="B196" s="786" t="s">
        <v>261</v>
      </c>
      <c r="C196" s="787"/>
      <c r="D196" s="332">
        <v>26024</v>
      </c>
      <c r="E196" s="332">
        <v>26422</v>
      </c>
      <c r="F196" s="332">
        <v>12381</v>
      </c>
      <c r="G196" s="332">
        <v>67096</v>
      </c>
      <c r="H196" s="333">
        <v>63788</v>
      </c>
      <c r="I196" s="333">
        <v>2494</v>
      </c>
      <c r="J196" s="333">
        <v>41385</v>
      </c>
      <c r="K196" s="333">
        <v>80229</v>
      </c>
      <c r="L196" s="334">
        <v>66952.969999999987</v>
      </c>
      <c r="M196" s="334">
        <v>85074.98</v>
      </c>
      <c r="N196" s="333">
        <v>7365</v>
      </c>
      <c r="O196" s="334">
        <v>28865.35</v>
      </c>
      <c r="P196" s="333">
        <v>120501.78</v>
      </c>
      <c r="Q196" s="334">
        <f>SUM(Q197:Q200)</f>
        <v>126996.82000000002</v>
      </c>
      <c r="R196" s="333">
        <f>SUM(R197:R200)</f>
        <v>141746</v>
      </c>
      <c r="S196" s="693">
        <f>SUM(S197:S200)</f>
        <v>141830.07999999999</v>
      </c>
      <c r="T196" s="654">
        <f t="shared" ref="T196:T210" si="35">IF(R196=0,0,ROUND(S196/R196*100,2))</f>
        <v>100.06</v>
      </c>
      <c r="W196" s="189"/>
      <c r="X196" s="303"/>
      <c r="Y196" s="303"/>
    </row>
    <row r="197" spans="1:25" x14ac:dyDescent="0.25">
      <c r="A197" s="785"/>
      <c r="B197" s="141">
        <v>610</v>
      </c>
      <c r="C197" s="57" t="s">
        <v>114</v>
      </c>
      <c r="D197" s="58"/>
      <c r="E197" s="58">
        <v>16132</v>
      </c>
      <c r="F197" s="58">
        <v>7933</v>
      </c>
      <c r="G197" s="58">
        <v>43567</v>
      </c>
      <c r="H197" s="58">
        <v>42257</v>
      </c>
      <c r="I197" s="335">
        <v>2163</v>
      </c>
      <c r="J197" s="335">
        <v>27310</v>
      </c>
      <c r="K197" s="335">
        <v>54820</v>
      </c>
      <c r="L197" s="336">
        <v>43998.71</v>
      </c>
      <c r="M197" s="336">
        <v>61007.02</v>
      </c>
      <c r="N197" s="337">
        <v>1010.2</v>
      </c>
      <c r="O197" s="338">
        <v>19809.79</v>
      </c>
      <c r="P197" s="338">
        <v>74996.97</v>
      </c>
      <c r="Q197" s="338">
        <f>56196.16+27075.32</f>
        <v>83271.48000000001</v>
      </c>
      <c r="R197" s="337">
        <v>91152</v>
      </c>
      <c r="S197" s="683">
        <f>61499.14+30881.25</f>
        <v>92380.39</v>
      </c>
      <c r="T197" s="566">
        <f t="shared" si="35"/>
        <v>101.35</v>
      </c>
      <c r="W197" s="303"/>
    </row>
    <row r="198" spans="1:25" x14ac:dyDescent="0.25">
      <c r="A198" s="785"/>
      <c r="B198" s="143">
        <v>620</v>
      </c>
      <c r="C198" s="59" t="s">
        <v>115</v>
      </c>
      <c r="D198" s="60"/>
      <c r="E198" s="60">
        <v>5344</v>
      </c>
      <c r="F198" s="60">
        <v>2622</v>
      </c>
      <c r="G198" s="60">
        <v>14529</v>
      </c>
      <c r="H198" s="60">
        <v>14713</v>
      </c>
      <c r="I198" s="339">
        <v>323</v>
      </c>
      <c r="J198" s="339">
        <v>10254</v>
      </c>
      <c r="K198" s="339">
        <v>19614</v>
      </c>
      <c r="L198" s="340">
        <v>18142.439999999999</v>
      </c>
      <c r="M198" s="340">
        <v>19303.48</v>
      </c>
      <c r="N198" s="341">
        <v>430.73</v>
      </c>
      <c r="O198" s="340">
        <v>6838.92</v>
      </c>
      <c r="P198" s="340">
        <v>26581.7</v>
      </c>
      <c r="Q198" s="340">
        <f>19207.42+7654.08</f>
        <v>26861.5</v>
      </c>
      <c r="R198" s="341">
        <v>32290</v>
      </c>
      <c r="S198" s="684">
        <f>21146.13+10801.89</f>
        <v>31948.02</v>
      </c>
      <c r="T198" s="564">
        <f t="shared" si="35"/>
        <v>98.94</v>
      </c>
      <c r="W198" s="303"/>
    </row>
    <row r="199" spans="1:25" x14ac:dyDescent="0.25">
      <c r="A199" s="785"/>
      <c r="B199" s="143">
        <v>630</v>
      </c>
      <c r="C199" s="59" t="s">
        <v>116</v>
      </c>
      <c r="D199" s="60"/>
      <c r="E199" s="60">
        <v>4946</v>
      </c>
      <c r="F199" s="60">
        <v>1826</v>
      </c>
      <c r="G199" s="60">
        <v>9000</v>
      </c>
      <c r="H199" s="60">
        <v>6818</v>
      </c>
      <c r="I199" s="60">
        <v>8</v>
      </c>
      <c r="J199" s="60">
        <v>3821</v>
      </c>
      <c r="K199" s="339">
        <v>5011</v>
      </c>
      <c r="L199" s="340">
        <v>4277.1499999999996</v>
      </c>
      <c r="M199" s="340">
        <v>4479.7</v>
      </c>
      <c r="N199" s="341">
        <v>5924.07</v>
      </c>
      <c r="O199" s="340">
        <v>2216.64</v>
      </c>
      <c r="P199" s="340">
        <v>18923.11</v>
      </c>
      <c r="Q199" s="340">
        <f>4242.89+10525.6</f>
        <v>14768.490000000002</v>
      </c>
      <c r="R199" s="341">
        <v>18000</v>
      </c>
      <c r="S199" s="684">
        <f>5127.54+11933.77</f>
        <v>17061.310000000001</v>
      </c>
      <c r="T199" s="564">
        <f t="shared" si="35"/>
        <v>94.79</v>
      </c>
      <c r="W199" s="303"/>
    </row>
    <row r="200" spans="1:25" ht="15.75" thickBot="1" x14ac:dyDescent="0.3">
      <c r="A200" s="785"/>
      <c r="B200" s="203"/>
      <c r="C200" s="273"/>
      <c r="D200" s="275"/>
      <c r="E200" s="275"/>
      <c r="F200" s="275"/>
      <c r="G200" s="275"/>
      <c r="H200" s="275"/>
      <c r="I200" s="275"/>
      <c r="J200" s="275"/>
      <c r="K200" s="342">
        <v>784</v>
      </c>
      <c r="L200" s="343">
        <v>534.66999999999996</v>
      </c>
      <c r="M200" s="343">
        <v>284.77999999999997</v>
      </c>
      <c r="N200" s="344"/>
      <c r="O200" s="343"/>
      <c r="P200" s="343"/>
      <c r="Q200" s="343">
        <f>88.52+2006.83</f>
        <v>2095.35</v>
      </c>
      <c r="R200" s="345">
        <v>304</v>
      </c>
      <c r="S200" s="690">
        <f>440.36</f>
        <v>440.36</v>
      </c>
      <c r="T200" s="570">
        <f t="shared" si="35"/>
        <v>144.86000000000001</v>
      </c>
      <c r="W200" s="303"/>
    </row>
    <row r="201" spans="1:25" x14ac:dyDescent="0.25">
      <c r="A201" s="785"/>
      <c r="B201" s="346"/>
      <c r="C201" s="302" t="s">
        <v>262</v>
      </c>
      <c r="D201" s="301"/>
      <c r="E201" s="301"/>
      <c r="F201" s="301"/>
      <c r="G201" s="301"/>
      <c r="H201" s="301"/>
      <c r="I201" s="302">
        <v>9265</v>
      </c>
      <c r="J201" s="145">
        <v>11343</v>
      </c>
      <c r="K201" s="60">
        <v>6313</v>
      </c>
      <c r="L201" s="45">
        <v>5404.14</v>
      </c>
      <c r="M201" s="45">
        <v>4327.68</v>
      </c>
      <c r="N201" s="46"/>
      <c r="O201" s="45">
        <v>3575.04</v>
      </c>
      <c r="P201" s="45">
        <v>3928.96</v>
      </c>
      <c r="Q201" s="45">
        <v>5212.5200000000004</v>
      </c>
      <c r="R201" s="228">
        <v>3500</v>
      </c>
      <c r="S201" s="683">
        <v>4480.0200000000004</v>
      </c>
      <c r="T201" s="566">
        <f t="shared" si="35"/>
        <v>128</v>
      </c>
      <c r="W201" s="189"/>
    </row>
    <row r="202" spans="1:25" x14ac:dyDescent="0.25">
      <c r="A202" s="785"/>
      <c r="B202" s="347"/>
      <c r="C202" s="170" t="s">
        <v>447</v>
      </c>
      <c r="D202" s="145"/>
      <c r="E202" s="145"/>
      <c r="F202" s="145"/>
      <c r="G202" s="145"/>
      <c r="H202" s="145"/>
      <c r="I202" s="170"/>
      <c r="J202" s="145"/>
      <c r="K202" s="60"/>
      <c r="L202" s="25"/>
      <c r="M202" s="26"/>
      <c r="N202" s="26">
        <v>0</v>
      </c>
      <c r="O202" s="25">
        <v>30265.35</v>
      </c>
      <c r="P202" s="25"/>
      <c r="Q202" s="25"/>
      <c r="R202" s="144">
        <v>0</v>
      </c>
      <c r="S202" s="684"/>
      <c r="T202" s="564">
        <f t="shared" si="35"/>
        <v>0</v>
      </c>
    </row>
    <row r="203" spans="1:25" ht="12.75" customHeight="1" x14ac:dyDescent="0.25">
      <c r="A203" s="785"/>
      <c r="B203" s="347">
        <v>630</v>
      </c>
      <c r="C203" s="170" t="s">
        <v>263</v>
      </c>
      <c r="D203" s="145"/>
      <c r="E203" s="145"/>
      <c r="F203" s="145"/>
      <c r="G203" s="145"/>
      <c r="H203" s="145"/>
      <c r="I203" s="170"/>
      <c r="J203" s="145"/>
      <c r="K203" s="60"/>
      <c r="L203" s="25"/>
      <c r="M203" s="26"/>
      <c r="N203" s="26">
        <v>0</v>
      </c>
      <c r="O203" s="25"/>
      <c r="P203" s="25"/>
      <c r="Q203" s="25"/>
      <c r="R203" s="144">
        <v>0</v>
      </c>
      <c r="S203" s="684"/>
      <c r="T203" s="564">
        <f t="shared" si="35"/>
        <v>0</v>
      </c>
    </row>
    <row r="204" spans="1:25" ht="12.75" customHeight="1" x14ac:dyDescent="0.25">
      <c r="A204" s="785"/>
      <c r="B204" s="347">
        <v>630</v>
      </c>
      <c r="C204" s="170" t="s">
        <v>264</v>
      </c>
      <c r="D204" s="145"/>
      <c r="E204" s="145"/>
      <c r="F204" s="145"/>
      <c r="G204" s="145"/>
      <c r="H204" s="145"/>
      <c r="I204" s="170">
        <v>66358</v>
      </c>
      <c r="J204" s="145">
        <v>95746</v>
      </c>
      <c r="K204" s="60">
        <v>85709</v>
      </c>
      <c r="L204" s="25">
        <v>56320.98000000001</v>
      </c>
      <c r="M204" s="25">
        <v>47905.93</v>
      </c>
      <c r="N204" s="26">
        <v>34336.340000000004</v>
      </c>
      <c r="O204" s="25">
        <v>29495.23</v>
      </c>
      <c r="P204" s="25">
        <v>24290.5</v>
      </c>
      <c r="Q204" s="25">
        <f>106179.65+280.8</f>
        <v>106460.45</v>
      </c>
      <c r="R204" s="144">
        <v>0</v>
      </c>
      <c r="S204" s="684"/>
      <c r="T204" s="564">
        <f t="shared" si="35"/>
        <v>0</v>
      </c>
    </row>
    <row r="205" spans="1:25" x14ac:dyDescent="0.25">
      <c r="A205" s="785"/>
      <c r="B205" s="347">
        <v>630</v>
      </c>
      <c r="C205" s="170" t="s">
        <v>448</v>
      </c>
      <c r="D205" s="145"/>
      <c r="E205" s="145"/>
      <c r="F205" s="145"/>
      <c r="G205" s="145"/>
      <c r="H205" s="145"/>
      <c r="I205" s="60">
        <v>642</v>
      </c>
      <c r="J205" s="145"/>
      <c r="K205" s="60"/>
      <c r="L205" s="25"/>
      <c r="M205" s="25">
        <v>323039.83999999997</v>
      </c>
      <c r="N205" s="26">
        <v>0</v>
      </c>
      <c r="O205" s="25"/>
      <c r="P205" s="25"/>
      <c r="Q205" s="25"/>
      <c r="R205" s="144">
        <v>221573</v>
      </c>
      <c r="S205" s="684">
        <f>12427.2+63649.95+4411.6+98151.6+1000</f>
        <v>179640.35</v>
      </c>
      <c r="T205" s="564">
        <f t="shared" si="35"/>
        <v>81.08</v>
      </c>
      <c r="Y205" s="303"/>
    </row>
    <row r="206" spans="1:25" x14ac:dyDescent="0.25">
      <c r="A206" s="785"/>
      <c r="B206" s="347"/>
      <c r="C206" s="170" t="s">
        <v>98</v>
      </c>
      <c r="D206" s="145"/>
      <c r="E206" s="145"/>
      <c r="F206" s="145"/>
      <c r="G206" s="145"/>
      <c r="H206" s="145"/>
      <c r="I206" s="170"/>
      <c r="J206" s="145">
        <v>85602</v>
      </c>
      <c r="K206" s="60">
        <v>393394</v>
      </c>
      <c r="L206" s="25">
        <v>426977.77</v>
      </c>
      <c r="M206" s="25">
        <v>6176.6</v>
      </c>
      <c r="N206" s="26">
        <v>281171.12</v>
      </c>
      <c r="O206" s="25">
        <v>192626.66999999998</v>
      </c>
      <c r="P206" s="25">
        <v>166083.10999999999</v>
      </c>
      <c r="Q206" s="25">
        <f>28407.8+100088.88</f>
        <v>128496.68000000001</v>
      </c>
      <c r="R206" s="144">
        <v>150000</v>
      </c>
      <c r="S206" s="684">
        <f>26401.84+87611.14</f>
        <v>114012.98</v>
      </c>
      <c r="T206" s="564">
        <f t="shared" si="35"/>
        <v>76.010000000000005</v>
      </c>
    </row>
    <row r="207" spans="1:25" x14ac:dyDescent="0.25">
      <c r="A207" s="785"/>
      <c r="B207" s="347">
        <v>630</v>
      </c>
      <c r="C207" s="170" t="s">
        <v>265</v>
      </c>
      <c r="D207" s="145"/>
      <c r="E207" s="145"/>
      <c r="F207" s="145"/>
      <c r="G207" s="145"/>
      <c r="H207" s="145"/>
      <c r="I207" s="170">
        <v>16833</v>
      </c>
      <c r="J207" s="145">
        <v>1809</v>
      </c>
      <c r="K207" s="60">
        <v>1345</v>
      </c>
      <c r="L207" s="25">
        <v>13077.4</v>
      </c>
      <c r="M207" s="25">
        <v>10590.8</v>
      </c>
      <c r="N207" s="26">
        <v>6654.32</v>
      </c>
      <c r="O207" s="25">
        <v>7292.93</v>
      </c>
      <c r="P207" s="25">
        <v>7200.5999999999995</v>
      </c>
      <c r="Q207" s="25">
        <f>7172.11+2506.62+371</f>
        <v>10049.73</v>
      </c>
      <c r="R207" s="144">
        <v>0</v>
      </c>
      <c r="S207" s="684">
        <f>8229.69+2828.69</f>
        <v>11058.380000000001</v>
      </c>
      <c r="T207" s="564">
        <f t="shared" si="35"/>
        <v>0</v>
      </c>
      <c r="X207" s="189"/>
    </row>
    <row r="208" spans="1:25" x14ac:dyDescent="0.25">
      <c r="A208" s="785"/>
      <c r="B208" s="348"/>
      <c r="C208" s="170" t="s">
        <v>266</v>
      </c>
      <c r="D208" s="349"/>
      <c r="E208" s="349"/>
      <c r="F208" s="349"/>
      <c r="G208" s="349"/>
      <c r="H208" s="349"/>
      <c r="I208" s="350"/>
      <c r="J208" s="145"/>
      <c r="K208" s="60"/>
      <c r="L208" s="48"/>
      <c r="M208" s="48"/>
      <c r="N208" s="49">
        <v>9556.68</v>
      </c>
      <c r="O208" s="48">
        <v>7519.8</v>
      </c>
      <c r="P208" s="48">
        <v>6557</v>
      </c>
      <c r="Q208" s="48">
        <f>315.4</f>
        <v>315.39999999999998</v>
      </c>
      <c r="R208" s="202">
        <v>3685</v>
      </c>
      <c r="S208" s="685">
        <f>132.8+3552.4</f>
        <v>3685.2000000000003</v>
      </c>
      <c r="T208" s="565">
        <f t="shared" si="35"/>
        <v>100.01</v>
      </c>
      <c r="V208" s="189"/>
    </row>
    <row r="209" spans="1:24" ht="15.75" thickBot="1" x14ac:dyDescent="0.3">
      <c r="A209" s="785"/>
      <c r="B209" s="351">
        <v>630</v>
      </c>
      <c r="C209" s="352" t="s">
        <v>267</v>
      </c>
      <c r="D209" s="353"/>
      <c r="E209" s="353"/>
      <c r="F209" s="353"/>
      <c r="G209" s="353"/>
      <c r="H209" s="353"/>
      <c r="I209" s="352"/>
      <c r="J209" s="145">
        <v>60</v>
      </c>
      <c r="K209" s="60"/>
      <c r="L209" s="48">
        <v>110</v>
      </c>
      <c r="M209" s="354"/>
      <c r="N209" s="354">
        <v>2268</v>
      </c>
      <c r="O209" s="355">
        <v>2590</v>
      </c>
      <c r="P209" s="355">
        <v>4333.18</v>
      </c>
      <c r="Q209" s="355">
        <v>3298.7</v>
      </c>
      <c r="R209" s="356">
        <v>2000</v>
      </c>
      <c r="S209" s="685">
        <v>1031.5999999999999</v>
      </c>
      <c r="T209" s="565">
        <f t="shared" si="35"/>
        <v>51.58</v>
      </c>
      <c r="W209" s="303"/>
    </row>
    <row r="210" spans="1:24" ht="17.25" thickTop="1" thickBot="1" x14ac:dyDescent="0.3">
      <c r="A210" s="357"/>
      <c r="B210" s="358"/>
      <c r="C210" s="359" t="s">
        <v>268</v>
      </c>
      <c r="D210" s="133">
        <v>5867125</v>
      </c>
      <c r="E210" s="133">
        <v>6460200</v>
      </c>
      <c r="F210" s="133">
        <v>7832271</v>
      </c>
      <c r="G210" s="133">
        <v>8716285.4299999997</v>
      </c>
      <c r="H210" s="133">
        <v>9309387</v>
      </c>
      <c r="I210" s="133">
        <v>8743512.1999999993</v>
      </c>
      <c r="J210" s="133">
        <v>8908071</v>
      </c>
      <c r="K210" s="133">
        <v>8934542</v>
      </c>
      <c r="L210" s="134">
        <v>9572545.3800000008</v>
      </c>
      <c r="M210" s="134">
        <v>9554914.7999999989</v>
      </c>
      <c r="N210" s="360">
        <v>9695081.3400000017</v>
      </c>
      <c r="O210" s="588">
        <v>10029034.879999999</v>
      </c>
      <c r="P210" s="360">
        <v>10815176.439999999</v>
      </c>
      <c r="Q210" s="621">
        <f>Q4+Q10+Q14+Q19+Q25+Q27+Q29+Q34+Q36+Q41+Q43+Q50+Q56+Q70+Q74+Q81+Q86+Q91+Q110+Q112+Q115+Q122+Q127+Q142+Q145+Q150+Q174+Q184+Q190+Q195</f>
        <v>12072287.610000001</v>
      </c>
      <c r="R210" s="360">
        <f>R195+R190+R184+R174+R150+R145+R142+R127+R122+R115+R112+R110+R91+R86+R81+R74+R70+R56+R50+R43+R36+R34+R29+R27+R25+R19+R14+R10+R4+R41</f>
        <v>12889945</v>
      </c>
      <c r="S210" s="630">
        <f>S195+S190+S184+S174+S150+S145+S142+S127+S122+S115+S112+S110+S91+S86+S81+S74+S70+S56+S50+S43+S36+S34+S29+S27+S25+S19+S14+S10+S4+S41</f>
        <v>12542381.569999998</v>
      </c>
      <c r="T210" s="648">
        <f t="shared" si="35"/>
        <v>97.3</v>
      </c>
    </row>
    <row r="211" spans="1:24" ht="15.75" thickTop="1" x14ac:dyDescent="0.25">
      <c r="S211" s="303"/>
      <c r="X211" s="303"/>
    </row>
    <row r="212" spans="1:24" x14ac:dyDescent="0.25">
      <c r="M212" s="303"/>
      <c r="Q212" s="303"/>
      <c r="R212" s="189"/>
      <c r="S212" s="303"/>
      <c r="W212" s="303"/>
    </row>
    <row r="213" spans="1:24" x14ac:dyDescent="0.25">
      <c r="N213" s="189"/>
      <c r="Q213" s="189"/>
      <c r="R213" s="189"/>
      <c r="S213" s="303"/>
      <c r="T213" s="571"/>
      <c r="W213" s="303"/>
    </row>
    <row r="214" spans="1:24" x14ac:dyDescent="0.25">
      <c r="M214" s="303"/>
      <c r="Q214" s="189"/>
      <c r="R214" s="189"/>
      <c r="S214" s="303"/>
      <c r="T214" s="571"/>
      <c r="W214" s="303"/>
    </row>
    <row r="215" spans="1:24" x14ac:dyDescent="0.25">
      <c r="N215" s="189"/>
      <c r="O215" s="189"/>
      <c r="P215" s="189"/>
      <c r="Q215" s="189"/>
      <c r="R215" s="189"/>
      <c r="S215" s="303"/>
      <c r="T215" s="571"/>
    </row>
    <row r="216" spans="1:24" x14ac:dyDescent="0.25">
      <c r="Q216" s="189"/>
      <c r="S216" s="303"/>
    </row>
    <row r="217" spans="1:24" x14ac:dyDescent="0.25">
      <c r="L217" s="189"/>
      <c r="M217" s="189"/>
      <c r="N217" s="189"/>
      <c r="O217" s="189"/>
      <c r="P217" s="189"/>
      <c r="Q217" s="189"/>
      <c r="R217" s="189"/>
      <c r="S217" s="303"/>
      <c r="T217" s="571"/>
    </row>
    <row r="218" spans="1:24" x14ac:dyDescent="0.25">
      <c r="S218" s="303"/>
    </row>
    <row r="219" spans="1:24" x14ac:dyDescent="0.25">
      <c r="N219" s="189"/>
      <c r="O219" s="189"/>
      <c r="P219" s="189"/>
      <c r="Q219" s="189"/>
      <c r="S219" s="303"/>
      <c r="T219" s="571"/>
    </row>
    <row r="220" spans="1:24" x14ac:dyDescent="0.25">
      <c r="S220" s="303"/>
    </row>
    <row r="221" spans="1:24" x14ac:dyDescent="0.25">
      <c r="R221" s="189"/>
      <c r="S221" s="189"/>
      <c r="T221" s="189"/>
    </row>
    <row r="222" spans="1:24" x14ac:dyDescent="0.25">
      <c r="R222" s="189"/>
      <c r="S222" s="303"/>
    </row>
    <row r="223" spans="1:24" x14ac:dyDescent="0.25">
      <c r="S223" s="303"/>
    </row>
    <row r="224" spans="1:24" x14ac:dyDescent="0.25">
      <c r="S224" s="303"/>
    </row>
    <row r="225" spans="19:19" x14ac:dyDescent="0.25">
      <c r="S225" s="303"/>
    </row>
    <row r="226" spans="19:19" x14ac:dyDescent="0.25">
      <c r="S226" s="303"/>
    </row>
    <row r="227" spans="19:19" x14ac:dyDescent="0.25">
      <c r="S227" s="303"/>
    </row>
    <row r="228" spans="19:19" x14ac:dyDescent="0.25">
      <c r="S228" s="303"/>
    </row>
    <row r="229" spans="19:19" x14ac:dyDescent="0.25">
      <c r="S229" s="303"/>
    </row>
    <row r="230" spans="19:19" x14ac:dyDescent="0.25">
      <c r="S230" s="303"/>
    </row>
    <row r="231" spans="19:19" x14ac:dyDescent="0.25">
      <c r="S231" s="303"/>
    </row>
    <row r="232" spans="19:19" x14ac:dyDescent="0.25">
      <c r="S232" s="303"/>
    </row>
    <row r="233" spans="19:19" x14ac:dyDescent="0.25">
      <c r="S233" s="303"/>
    </row>
    <row r="234" spans="19:19" x14ac:dyDescent="0.25">
      <c r="S234" s="303"/>
    </row>
    <row r="235" spans="19:19" x14ac:dyDescent="0.25">
      <c r="S235" s="303"/>
    </row>
    <row r="236" spans="19:19" x14ac:dyDescent="0.25">
      <c r="S236" s="303"/>
    </row>
    <row r="237" spans="19:19" x14ac:dyDescent="0.25">
      <c r="S237" s="303"/>
    </row>
    <row r="238" spans="19:19" x14ac:dyDescent="0.25">
      <c r="S238" s="303"/>
    </row>
    <row r="239" spans="19:19" x14ac:dyDescent="0.25">
      <c r="S239" s="303"/>
    </row>
    <row r="240" spans="19:19" x14ac:dyDescent="0.25">
      <c r="S240" s="303"/>
    </row>
    <row r="241" spans="19:19" x14ac:dyDescent="0.25">
      <c r="S241" s="303"/>
    </row>
    <row r="242" spans="19:19" x14ac:dyDescent="0.25">
      <c r="S242" s="303"/>
    </row>
    <row r="243" spans="19:19" x14ac:dyDescent="0.25">
      <c r="S243" s="303"/>
    </row>
    <row r="244" spans="19:19" x14ac:dyDescent="0.25">
      <c r="S244" s="303"/>
    </row>
    <row r="245" spans="19:19" x14ac:dyDescent="0.25">
      <c r="S245" s="303"/>
    </row>
    <row r="246" spans="19:19" x14ac:dyDescent="0.25">
      <c r="S246" s="303"/>
    </row>
    <row r="247" spans="19:19" x14ac:dyDescent="0.25">
      <c r="S247" s="303"/>
    </row>
    <row r="248" spans="19:19" x14ac:dyDescent="0.25">
      <c r="S248" s="303"/>
    </row>
    <row r="249" spans="19:19" x14ac:dyDescent="0.25">
      <c r="S249" s="303"/>
    </row>
    <row r="250" spans="19:19" x14ac:dyDescent="0.25">
      <c r="S250" s="303"/>
    </row>
    <row r="251" spans="19:19" x14ac:dyDescent="0.25">
      <c r="S251" s="303"/>
    </row>
    <row r="252" spans="19:19" x14ac:dyDescent="0.25">
      <c r="S252" s="303"/>
    </row>
    <row r="253" spans="19:19" x14ac:dyDescent="0.25">
      <c r="S253" s="303"/>
    </row>
    <row r="254" spans="19:19" x14ac:dyDescent="0.25">
      <c r="S254" s="303"/>
    </row>
    <row r="255" spans="19:19" x14ac:dyDescent="0.25">
      <c r="S255" s="303"/>
    </row>
  </sheetData>
  <mergeCells count="87">
    <mergeCell ref="R2:R3"/>
    <mergeCell ref="S2:S3"/>
    <mergeCell ref="F2:F3"/>
    <mergeCell ref="N2:N3"/>
    <mergeCell ref="O2:O3"/>
    <mergeCell ref="P2:P3"/>
    <mergeCell ref="Q2:Q3"/>
    <mergeCell ref="A2:A3"/>
    <mergeCell ref="B2:B3"/>
    <mergeCell ref="C2:C3"/>
    <mergeCell ref="D2:D3"/>
    <mergeCell ref="E2:E3"/>
    <mergeCell ref="B25:C25"/>
    <mergeCell ref="B4:C4"/>
    <mergeCell ref="A5:A9"/>
    <mergeCell ref="B10:C10"/>
    <mergeCell ref="M2:M3"/>
    <mergeCell ref="G2:G3"/>
    <mergeCell ref="H2:H3"/>
    <mergeCell ref="I2:I3"/>
    <mergeCell ref="J2:J3"/>
    <mergeCell ref="K2:K3"/>
    <mergeCell ref="A11:A13"/>
    <mergeCell ref="B14:C14"/>
    <mergeCell ref="A15:A18"/>
    <mergeCell ref="B19:C19"/>
    <mergeCell ref="A20:A24"/>
    <mergeCell ref="L2:L3"/>
    <mergeCell ref="B56:C56"/>
    <mergeCell ref="B27:C27"/>
    <mergeCell ref="B29:C29"/>
    <mergeCell ref="A30:A33"/>
    <mergeCell ref="B34:C34"/>
    <mergeCell ref="B36:C36"/>
    <mergeCell ref="A37:A40"/>
    <mergeCell ref="B41:C41"/>
    <mergeCell ref="B43:C43"/>
    <mergeCell ref="A44:A49"/>
    <mergeCell ref="B50:C50"/>
    <mergeCell ref="A51:A55"/>
    <mergeCell ref="B91:C91"/>
    <mergeCell ref="A57:A69"/>
    <mergeCell ref="B57:C57"/>
    <mergeCell ref="B70:C70"/>
    <mergeCell ref="A71:A73"/>
    <mergeCell ref="B74:C74"/>
    <mergeCell ref="A75:A78"/>
    <mergeCell ref="B79:C79"/>
    <mergeCell ref="B81:C81"/>
    <mergeCell ref="A82:A85"/>
    <mergeCell ref="B86:C86"/>
    <mergeCell ref="A87:A90"/>
    <mergeCell ref="A143:A144"/>
    <mergeCell ref="A92:A109"/>
    <mergeCell ref="B110:C110"/>
    <mergeCell ref="B112:C112"/>
    <mergeCell ref="A113:A114"/>
    <mergeCell ref="B115:C115"/>
    <mergeCell ref="A116:A121"/>
    <mergeCell ref="B122:C122"/>
    <mergeCell ref="A123:A126"/>
    <mergeCell ref="B127:C127"/>
    <mergeCell ref="A128:A141"/>
    <mergeCell ref="B142:C142"/>
    <mergeCell ref="A146:A149"/>
    <mergeCell ref="B146:B149"/>
    <mergeCell ref="B150:C150"/>
    <mergeCell ref="A151:A168"/>
    <mergeCell ref="B151:C151"/>
    <mergeCell ref="B156:C156"/>
    <mergeCell ref="B157:B168"/>
    <mergeCell ref="A1:C1"/>
    <mergeCell ref="T2:T3"/>
    <mergeCell ref="A196:A209"/>
    <mergeCell ref="B196:C196"/>
    <mergeCell ref="B169:C169"/>
    <mergeCell ref="A170:A173"/>
    <mergeCell ref="B174:C174"/>
    <mergeCell ref="A175:A183"/>
    <mergeCell ref="B175:C175"/>
    <mergeCell ref="B182:C182"/>
    <mergeCell ref="B184:C184"/>
    <mergeCell ref="A185:A189"/>
    <mergeCell ref="B190:C190"/>
    <mergeCell ref="A191:A194"/>
    <mergeCell ref="B195:C195"/>
    <mergeCell ref="B145:C145"/>
  </mergeCells>
  <pageMargins left="0.11811023622047245" right="0.11811023622047245" top="0.35433070866141736" bottom="0.19685039370078741" header="0" footer="0"/>
  <pageSetup paperSize="9" scale="89" orientation="portrait" r:id="rId1"/>
  <rowBreaks count="3" manualBreakCount="3">
    <brk id="55" max="16383" man="1"/>
    <brk id="126" max="16383" man="1"/>
    <brk id="188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7"/>
  <sheetViews>
    <sheetView workbookViewId="0">
      <selection activeCell="S30" sqref="S30"/>
    </sheetView>
  </sheetViews>
  <sheetFormatPr defaultRowHeight="15" x14ac:dyDescent="0.25"/>
  <cols>
    <col min="2" max="2" width="7.5703125" customWidth="1"/>
    <col min="3" max="3" width="30" customWidth="1"/>
    <col min="4" max="11" width="11.7109375" hidden="1" customWidth="1"/>
    <col min="12" max="12" width="15.5703125" hidden="1" customWidth="1"/>
    <col min="13" max="14" width="14" hidden="1" customWidth="1"/>
    <col min="15" max="16" width="16.140625" hidden="1" customWidth="1"/>
    <col min="17" max="17" width="13" customWidth="1"/>
    <col min="18" max="18" width="12.5703125" customWidth="1"/>
    <col min="19" max="19" width="14.5703125" customWidth="1"/>
    <col min="20" max="20" width="12.140625" customWidth="1"/>
    <col min="258" max="258" width="37.5703125" customWidth="1"/>
    <col min="259" max="270" width="0" hidden="1" customWidth="1"/>
    <col min="271" max="271" width="16.140625" customWidth="1"/>
    <col min="272" max="272" width="14" customWidth="1"/>
    <col min="273" max="273" width="13" customWidth="1"/>
    <col min="274" max="274" width="10.140625" customWidth="1"/>
    <col min="275" max="276" width="10.42578125" customWidth="1"/>
    <col min="514" max="514" width="37.5703125" customWidth="1"/>
    <col min="515" max="526" width="0" hidden="1" customWidth="1"/>
    <col min="527" max="527" width="16.140625" customWidth="1"/>
    <col min="528" max="528" width="14" customWidth="1"/>
    <col min="529" max="529" width="13" customWidth="1"/>
    <col min="530" max="530" width="10.140625" customWidth="1"/>
    <col min="531" max="532" width="10.42578125" customWidth="1"/>
    <col min="770" max="770" width="37.5703125" customWidth="1"/>
    <col min="771" max="782" width="0" hidden="1" customWidth="1"/>
    <col min="783" max="783" width="16.140625" customWidth="1"/>
    <col min="784" max="784" width="14" customWidth="1"/>
    <col min="785" max="785" width="13" customWidth="1"/>
    <col min="786" max="786" width="10.140625" customWidth="1"/>
    <col min="787" max="788" width="10.42578125" customWidth="1"/>
    <col min="1026" max="1026" width="37.5703125" customWidth="1"/>
    <col min="1027" max="1038" width="0" hidden="1" customWidth="1"/>
    <col min="1039" max="1039" width="16.140625" customWidth="1"/>
    <col min="1040" max="1040" width="14" customWidth="1"/>
    <col min="1041" max="1041" width="13" customWidth="1"/>
    <col min="1042" max="1042" width="10.140625" customWidth="1"/>
    <col min="1043" max="1044" width="10.42578125" customWidth="1"/>
    <col min="1282" max="1282" width="37.5703125" customWidth="1"/>
    <col min="1283" max="1294" width="0" hidden="1" customWidth="1"/>
    <col min="1295" max="1295" width="16.140625" customWidth="1"/>
    <col min="1296" max="1296" width="14" customWidth="1"/>
    <col min="1297" max="1297" width="13" customWidth="1"/>
    <col min="1298" max="1298" width="10.140625" customWidth="1"/>
    <col min="1299" max="1300" width="10.42578125" customWidth="1"/>
    <col min="1538" max="1538" width="37.5703125" customWidth="1"/>
    <col min="1539" max="1550" width="0" hidden="1" customWidth="1"/>
    <col min="1551" max="1551" width="16.140625" customWidth="1"/>
    <col min="1552" max="1552" width="14" customWidth="1"/>
    <col min="1553" max="1553" width="13" customWidth="1"/>
    <col min="1554" max="1554" width="10.140625" customWidth="1"/>
    <col min="1555" max="1556" width="10.42578125" customWidth="1"/>
    <col min="1794" max="1794" width="37.5703125" customWidth="1"/>
    <col min="1795" max="1806" width="0" hidden="1" customWidth="1"/>
    <col min="1807" max="1807" width="16.140625" customWidth="1"/>
    <col min="1808" max="1808" width="14" customWidth="1"/>
    <col min="1809" max="1809" width="13" customWidth="1"/>
    <col min="1810" max="1810" width="10.140625" customWidth="1"/>
    <col min="1811" max="1812" width="10.42578125" customWidth="1"/>
    <col min="2050" max="2050" width="37.5703125" customWidth="1"/>
    <col min="2051" max="2062" width="0" hidden="1" customWidth="1"/>
    <col min="2063" max="2063" width="16.140625" customWidth="1"/>
    <col min="2064" max="2064" width="14" customWidth="1"/>
    <col min="2065" max="2065" width="13" customWidth="1"/>
    <col min="2066" max="2066" width="10.140625" customWidth="1"/>
    <col min="2067" max="2068" width="10.42578125" customWidth="1"/>
    <col min="2306" max="2306" width="37.5703125" customWidth="1"/>
    <col min="2307" max="2318" width="0" hidden="1" customWidth="1"/>
    <col min="2319" max="2319" width="16.140625" customWidth="1"/>
    <col min="2320" max="2320" width="14" customWidth="1"/>
    <col min="2321" max="2321" width="13" customWidth="1"/>
    <col min="2322" max="2322" width="10.140625" customWidth="1"/>
    <col min="2323" max="2324" width="10.42578125" customWidth="1"/>
    <col min="2562" max="2562" width="37.5703125" customWidth="1"/>
    <col min="2563" max="2574" width="0" hidden="1" customWidth="1"/>
    <col min="2575" max="2575" width="16.140625" customWidth="1"/>
    <col min="2576" max="2576" width="14" customWidth="1"/>
    <col min="2577" max="2577" width="13" customWidth="1"/>
    <col min="2578" max="2578" width="10.140625" customWidth="1"/>
    <col min="2579" max="2580" width="10.42578125" customWidth="1"/>
    <col min="2818" max="2818" width="37.5703125" customWidth="1"/>
    <col min="2819" max="2830" width="0" hidden="1" customWidth="1"/>
    <col min="2831" max="2831" width="16.140625" customWidth="1"/>
    <col min="2832" max="2832" width="14" customWidth="1"/>
    <col min="2833" max="2833" width="13" customWidth="1"/>
    <col min="2834" max="2834" width="10.140625" customWidth="1"/>
    <col min="2835" max="2836" width="10.42578125" customWidth="1"/>
    <col min="3074" max="3074" width="37.5703125" customWidth="1"/>
    <col min="3075" max="3086" width="0" hidden="1" customWidth="1"/>
    <col min="3087" max="3087" width="16.140625" customWidth="1"/>
    <col min="3088" max="3088" width="14" customWidth="1"/>
    <col min="3089" max="3089" width="13" customWidth="1"/>
    <col min="3090" max="3090" width="10.140625" customWidth="1"/>
    <col min="3091" max="3092" width="10.42578125" customWidth="1"/>
    <col min="3330" max="3330" width="37.5703125" customWidth="1"/>
    <col min="3331" max="3342" width="0" hidden="1" customWidth="1"/>
    <col min="3343" max="3343" width="16.140625" customWidth="1"/>
    <col min="3344" max="3344" width="14" customWidth="1"/>
    <col min="3345" max="3345" width="13" customWidth="1"/>
    <col min="3346" max="3346" width="10.140625" customWidth="1"/>
    <col min="3347" max="3348" width="10.42578125" customWidth="1"/>
    <col min="3586" max="3586" width="37.5703125" customWidth="1"/>
    <col min="3587" max="3598" width="0" hidden="1" customWidth="1"/>
    <col min="3599" max="3599" width="16.140625" customWidth="1"/>
    <col min="3600" max="3600" width="14" customWidth="1"/>
    <col min="3601" max="3601" width="13" customWidth="1"/>
    <col min="3602" max="3602" width="10.140625" customWidth="1"/>
    <col min="3603" max="3604" width="10.42578125" customWidth="1"/>
    <col min="3842" max="3842" width="37.5703125" customWidth="1"/>
    <col min="3843" max="3854" width="0" hidden="1" customWidth="1"/>
    <col min="3855" max="3855" width="16.140625" customWidth="1"/>
    <col min="3856" max="3856" width="14" customWidth="1"/>
    <col min="3857" max="3857" width="13" customWidth="1"/>
    <col min="3858" max="3858" width="10.140625" customWidth="1"/>
    <col min="3859" max="3860" width="10.42578125" customWidth="1"/>
    <col min="4098" max="4098" width="37.5703125" customWidth="1"/>
    <col min="4099" max="4110" width="0" hidden="1" customWidth="1"/>
    <col min="4111" max="4111" width="16.140625" customWidth="1"/>
    <col min="4112" max="4112" width="14" customWidth="1"/>
    <col min="4113" max="4113" width="13" customWidth="1"/>
    <col min="4114" max="4114" width="10.140625" customWidth="1"/>
    <col min="4115" max="4116" width="10.42578125" customWidth="1"/>
    <col min="4354" max="4354" width="37.5703125" customWidth="1"/>
    <col min="4355" max="4366" width="0" hidden="1" customWidth="1"/>
    <col min="4367" max="4367" width="16.140625" customWidth="1"/>
    <col min="4368" max="4368" width="14" customWidth="1"/>
    <col min="4369" max="4369" width="13" customWidth="1"/>
    <col min="4370" max="4370" width="10.140625" customWidth="1"/>
    <col min="4371" max="4372" width="10.42578125" customWidth="1"/>
    <col min="4610" max="4610" width="37.5703125" customWidth="1"/>
    <col min="4611" max="4622" width="0" hidden="1" customWidth="1"/>
    <col min="4623" max="4623" width="16.140625" customWidth="1"/>
    <col min="4624" max="4624" width="14" customWidth="1"/>
    <col min="4625" max="4625" width="13" customWidth="1"/>
    <col min="4626" max="4626" width="10.140625" customWidth="1"/>
    <col min="4627" max="4628" width="10.42578125" customWidth="1"/>
    <col min="4866" max="4866" width="37.5703125" customWidth="1"/>
    <col min="4867" max="4878" width="0" hidden="1" customWidth="1"/>
    <col min="4879" max="4879" width="16.140625" customWidth="1"/>
    <col min="4880" max="4880" width="14" customWidth="1"/>
    <col min="4881" max="4881" width="13" customWidth="1"/>
    <col min="4882" max="4882" width="10.140625" customWidth="1"/>
    <col min="4883" max="4884" width="10.42578125" customWidth="1"/>
    <col min="5122" max="5122" width="37.5703125" customWidth="1"/>
    <col min="5123" max="5134" width="0" hidden="1" customWidth="1"/>
    <col min="5135" max="5135" width="16.140625" customWidth="1"/>
    <col min="5136" max="5136" width="14" customWidth="1"/>
    <col min="5137" max="5137" width="13" customWidth="1"/>
    <col min="5138" max="5138" width="10.140625" customWidth="1"/>
    <col min="5139" max="5140" width="10.42578125" customWidth="1"/>
    <col min="5378" max="5378" width="37.5703125" customWidth="1"/>
    <col min="5379" max="5390" width="0" hidden="1" customWidth="1"/>
    <col min="5391" max="5391" width="16.140625" customWidth="1"/>
    <col min="5392" max="5392" width="14" customWidth="1"/>
    <col min="5393" max="5393" width="13" customWidth="1"/>
    <col min="5394" max="5394" width="10.140625" customWidth="1"/>
    <col min="5395" max="5396" width="10.42578125" customWidth="1"/>
    <col min="5634" max="5634" width="37.5703125" customWidth="1"/>
    <col min="5635" max="5646" width="0" hidden="1" customWidth="1"/>
    <col min="5647" max="5647" width="16.140625" customWidth="1"/>
    <col min="5648" max="5648" width="14" customWidth="1"/>
    <col min="5649" max="5649" width="13" customWidth="1"/>
    <col min="5650" max="5650" width="10.140625" customWidth="1"/>
    <col min="5651" max="5652" width="10.42578125" customWidth="1"/>
    <col min="5890" max="5890" width="37.5703125" customWidth="1"/>
    <col min="5891" max="5902" width="0" hidden="1" customWidth="1"/>
    <col min="5903" max="5903" width="16.140625" customWidth="1"/>
    <col min="5904" max="5904" width="14" customWidth="1"/>
    <col min="5905" max="5905" width="13" customWidth="1"/>
    <col min="5906" max="5906" width="10.140625" customWidth="1"/>
    <col min="5907" max="5908" width="10.42578125" customWidth="1"/>
    <col min="6146" max="6146" width="37.5703125" customWidth="1"/>
    <col min="6147" max="6158" width="0" hidden="1" customWidth="1"/>
    <col min="6159" max="6159" width="16.140625" customWidth="1"/>
    <col min="6160" max="6160" width="14" customWidth="1"/>
    <col min="6161" max="6161" width="13" customWidth="1"/>
    <col min="6162" max="6162" width="10.140625" customWidth="1"/>
    <col min="6163" max="6164" width="10.42578125" customWidth="1"/>
    <col min="6402" max="6402" width="37.5703125" customWidth="1"/>
    <col min="6403" max="6414" width="0" hidden="1" customWidth="1"/>
    <col min="6415" max="6415" width="16.140625" customWidth="1"/>
    <col min="6416" max="6416" width="14" customWidth="1"/>
    <col min="6417" max="6417" width="13" customWidth="1"/>
    <col min="6418" max="6418" width="10.140625" customWidth="1"/>
    <col min="6419" max="6420" width="10.42578125" customWidth="1"/>
    <col min="6658" max="6658" width="37.5703125" customWidth="1"/>
    <col min="6659" max="6670" width="0" hidden="1" customWidth="1"/>
    <col min="6671" max="6671" width="16.140625" customWidth="1"/>
    <col min="6672" max="6672" width="14" customWidth="1"/>
    <col min="6673" max="6673" width="13" customWidth="1"/>
    <col min="6674" max="6674" width="10.140625" customWidth="1"/>
    <col min="6675" max="6676" width="10.42578125" customWidth="1"/>
    <col min="6914" max="6914" width="37.5703125" customWidth="1"/>
    <col min="6915" max="6926" width="0" hidden="1" customWidth="1"/>
    <col min="6927" max="6927" width="16.140625" customWidth="1"/>
    <col min="6928" max="6928" width="14" customWidth="1"/>
    <col min="6929" max="6929" width="13" customWidth="1"/>
    <col min="6930" max="6930" width="10.140625" customWidth="1"/>
    <col min="6931" max="6932" width="10.42578125" customWidth="1"/>
    <col min="7170" max="7170" width="37.5703125" customWidth="1"/>
    <col min="7171" max="7182" width="0" hidden="1" customWidth="1"/>
    <col min="7183" max="7183" width="16.140625" customWidth="1"/>
    <col min="7184" max="7184" width="14" customWidth="1"/>
    <col min="7185" max="7185" width="13" customWidth="1"/>
    <col min="7186" max="7186" width="10.140625" customWidth="1"/>
    <col min="7187" max="7188" width="10.42578125" customWidth="1"/>
    <col min="7426" max="7426" width="37.5703125" customWidth="1"/>
    <col min="7427" max="7438" width="0" hidden="1" customWidth="1"/>
    <col min="7439" max="7439" width="16.140625" customWidth="1"/>
    <col min="7440" max="7440" width="14" customWidth="1"/>
    <col min="7441" max="7441" width="13" customWidth="1"/>
    <col min="7442" max="7442" width="10.140625" customWidth="1"/>
    <col min="7443" max="7444" width="10.42578125" customWidth="1"/>
    <col min="7682" max="7682" width="37.5703125" customWidth="1"/>
    <col min="7683" max="7694" width="0" hidden="1" customWidth="1"/>
    <col min="7695" max="7695" width="16.140625" customWidth="1"/>
    <col min="7696" max="7696" width="14" customWidth="1"/>
    <col min="7697" max="7697" width="13" customWidth="1"/>
    <col min="7698" max="7698" width="10.140625" customWidth="1"/>
    <col min="7699" max="7700" width="10.42578125" customWidth="1"/>
    <col min="7938" max="7938" width="37.5703125" customWidth="1"/>
    <col min="7939" max="7950" width="0" hidden="1" customWidth="1"/>
    <col min="7951" max="7951" width="16.140625" customWidth="1"/>
    <col min="7952" max="7952" width="14" customWidth="1"/>
    <col min="7953" max="7953" width="13" customWidth="1"/>
    <col min="7954" max="7954" width="10.140625" customWidth="1"/>
    <col min="7955" max="7956" width="10.42578125" customWidth="1"/>
    <col min="8194" max="8194" width="37.5703125" customWidth="1"/>
    <col min="8195" max="8206" width="0" hidden="1" customWidth="1"/>
    <col min="8207" max="8207" width="16.140625" customWidth="1"/>
    <col min="8208" max="8208" width="14" customWidth="1"/>
    <col min="8209" max="8209" width="13" customWidth="1"/>
    <col min="8210" max="8210" width="10.140625" customWidth="1"/>
    <col min="8211" max="8212" width="10.42578125" customWidth="1"/>
    <col min="8450" max="8450" width="37.5703125" customWidth="1"/>
    <col min="8451" max="8462" width="0" hidden="1" customWidth="1"/>
    <col min="8463" max="8463" width="16.140625" customWidth="1"/>
    <col min="8464" max="8464" width="14" customWidth="1"/>
    <col min="8465" max="8465" width="13" customWidth="1"/>
    <col min="8466" max="8466" width="10.140625" customWidth="1"/>
    <col min="8467" max="8468" width="10.42578125" customWidth="1"/>
    <col min="8706" max="8706" width="37.5703125" customWidth="1"/>
    <col min="8707" max="8718" width="0" hidden="1" customWidth="1"/>
    <col min="8719" max="8719" width="16.140625" customWidth="1"/>
    <col min="8720" max="8720" width="14" customWidth="1"/>
    <col min="8721" max="8721" width="13" customWidth="1"/>
    <col min="8722" max="8722" width="10.140625" customWidth="1"/>
    <col min="8723" max="8724" width="10.42578125" customWidth="1"/>
    <col min="8962" max="8962" width="37.5703125" customWidth="1"/>
    <col min="8963" max="8974" width="0" hidden="1" customWidth="1"/>
    <col min="8975" max="8975" width="16.140625" customWidth="1"/>
    <col min="8976" max="8976" width="14" customWidth="1"/>
    <col min="8977" max="8977" width="13" customWidth="1"/>
    <col min="8978" max="8978" width="10.140625" customWidth="1"/>
    <col min="8979" max="8980" width="10.42578125" customWidth="1"/>
    <col min="9218" max="9218" width="37.5703125" customWidth="1"/>
    <col min="9219" max="9230" width="0" hidden="1" customWidth="1"/>
    <col min="9231" max="9231" width="16.140625" customWidth="1"/>
    <col min="9232" max="9232" width="14" customWidth="1"/>
    <col min="9233" max="9233" width="13" customWidth="1"/>
    <col min="9234" max="9234" width="10.140625" customWidth="1"/>
    <col min="9235" max="9236" width="10.42578125" customWidth="1"/>
    <col min="9474" max="9474" width="37.5703125" customWidth="1"/>
    <col min="9475" max="9486" width="0" hidden="1" customWidth="1"/>
    <col min="9487" max="9487" width="16.140625" customWidth="1"/>
    <col min="9488" max="9488" width="14" customWidth="1"/>
    <col min="9489" max="9489" width="13" customWidth="1"/>
    <col min="9490" max="9490" width="10.140625" customWidth="1"/>
    <col min="9491" max="9492" width="10.42578125" customWidth="1"/>
    <col min="9730" max="9730" width="37.5703125" customWidth="1"/>
    <col min="9731" max="9742" width="0" hidden="1" customWidth="1"/>
    <col min="9743" max="9743" width="16.140625" customWidth="1"/>
    <col min="9744" max="9744" width="14" customWidth="1"/>
    <col min="9745" max="9745" width="13" customWidth="1"/>
    <col min="9746" max="9746" width="10.140625" customWidth="1"/>
    <col min="9747" max="9748" width="10.42578125" customWidth="1"/>
    <col min="9986" max="9986" width="37.5703125" customWidth="1"/>
    <col min="9987" max="9998" width="0" hidden="1" customWidth="1"/>
    <col min="9999" max="9999" width="16.140625" customWidth="1"/>
    <col min="10000" max="10000" width="14" customWidth="1"/>
    <col min="10001" max="10001" width="13" customWidth="1"/>
    <col min="10002" max="10002" width="10.140625" customWidth="1"/>
    <col min="10003" max="10004" width="10.42578125" customWidth="1"/>
    <col min="10242" max="10242" width="37.5703125" customWidth="1"/>
    <col min="10243" max="10254" width="0" hidden="1" customWidth="1"/>
    <col min="10255" max="10255" width="16.140625" customWidth="1"/>
    <col min="10256" max="10256" width="14" customWidth="1"/>
    <col min="10257" max="10257" width="13" customWidth="1"/>
    <col min="10258" max="10258" width="10.140625" customWidth="1"/>
    <col min="10259" max="10260" width="10.42578125" customWidth="1"/>
    <col min="10498" max="10498" width="37.5703125" customWidth="1"/>
    <col min="10499" max="10510" width="0" hidden="1" customWidth="1"/>
    <col min="10511" max="10511" width="16.140625" customWidth="1"/>
    <col min="10512" max="10512" width="14" customWidth="1"/>
    <col min="10513" max="10513" width="13" customWidth="1"/>
    <col min="10514" max="10514" width="10.140625" customWidth="1"/>
    <col min="10515" max="10516" width="10.42578125" customWidth="1"/>
    <col min="10754" max="10754" width="37.5703125" customWidth="1"/>
    <col min="10755" max="10766" width="0" hidden="1" customWidth="1"/>
    <col min="10767" max="10767" width="16.140625" customWidth="1"/>
    <col min="10768" max="10768" width="14" customWidth="1"/>
    <col min="10769" max="10769" width="13" customWidth="1"/>
    <col min="10770" max="10770" width="10.140625" customWidth="1"/>
    <col min="10771" max="10772" width="10.42578125" customWidth="1"/>
    <col min="11010" max="11010" width="37.5703125" customWidth="1"/>
    <col min="11011" max="11022" width="0" hidden="1" customWidth="1"/>
    <col min="11023" max="11023" width="16.140625" customWidth="1"/>
    <col min="11024" max="11024" width="14" customWidth="1"/>
    <col min="11025" max="11025" width="13" customWidth="1"/>
    <col min="11026" max="11026" width="10.140625" customWidth="1"/>
    <col min="11027" max="11028" width="10.42578125" customWidth="1"/>
    <col min="11266" max="11266" width="37.5703125" customWidth="1"/>
    <col min="11267" max="11278" width="0" hidden="1" customWidth="1"/>
    <col min="11279" max="11279" width="16.140625" customWidth="1"/>
    <col min="11280" max="11280" width="14" customWidth="1"/>
    <col min="11281" max="11281" width="13" customWidth="1"/>
    <col min="11282" max="11282" width="10.140625" customWidth="1"/>
    <col min="11283" max="11284" width="10.42578125" customWidth="1"/>
    <col min="11522" max="11522" width="37.5703125" customWidth="1"/>
    <col min="11523" max="11534" width="0" hidden="1" customWidth="1"/>
    <col min="11535" max="11535" width="16.140625" customWidth="1"/>
    <col min="11536" max="11536" width="14" customWidth="1"/>
    <col min="11537" max="11537" width="13" customWidth="1"/>
    <col min="11538" max="11538" width="10.140625" customWidth="1"/>
    <col min="11539" max="11540" width="10.42578125" customWidth="1"/>
    <col min="11778" max="11778" width="37.5703125" customWidth="1"/>
    <col min="11779" max="11790" width="0" hidden="1" customWidth="1"/>
    <col min="11791" max="11791" width="16.140625" customWidth="1"/>
    <col min="11792" max="11792" width="14" customWidth="1"/>
    <col min="11793" max="11793" width="13" customWidth="1"/>
    <col min="11794" max="11794" width="10.140625" customWidth="1"/>
    <col min="11795" max="11796" width="10.42578125" customWidth="1"/>
    <col min="12034" max="12034" width="37.5703125" customWidth="1"/>
    <col min="12035" max="12046" width="0" hidden="1" customWidth="1"/>
    <col min="12047" max="12047" width="16.140625" customWidth="1"/>
    <col min="12048" max="12048" width="14" customWidth="1"/>
    <col min="12049" max="12049" width="13" customWidth="1"/>
    <col min="12050" max="12050" width="10.140625" customWidth="1"/>
    <col min="12051" max="12052" width="10.42578125" customWidth="1"/>
    <col min="12290" max="12290" width="37.5703125" customWidth="1"/>
    <col min="12291" max="12302" width="0" hidden="1" customWidth="1"/>
    <col min="12303" max="12303" width="16.140625" customWidth="1"/>
    <col min="12304" max="12304" width="14" customWidth="1"/>
    <col min="12305" max="12305" width="13" customWidth="1"/>
    <col min="12306" max="12306" width="10.140625" customWidth="1"/>
    <col min="12307" max="12308" width="10.42578125" customWidth="1"/>
    <col min="12546" max="12546" width="37.5703125" customWidth="1"/>
    <col min="12547" max="12558" width="0" hidden="1" customWidth="1"/>
    <col min="12559" max="12559" width="16.140625" customWidth="1"/>
    <col min="12560" max="12560" width="14" customWidth="1"/>
    <col min="12561" max="12561" width="13" customWidth="1"/>
    <col min="12562" max="12562" width="10.140625" customWidth="1"/>
    <col min="12563" max="12564" width="10.42578125" customWidth="1"/>
    <col min="12802" max="12802" width="37.5703125" customWidth="1"/>
    <col min="12803" max="12814" width="0" hidden="1" customWidth="1"/>
    <col min="12815" max="12815" width="16.140625" customWidth="1"/>
    <col min="12816" max="12816" width="14" customWidth="1"/>
    <col min="12817" max="12817" width="13" customWidth="1"/>
    <col min="12818" max="12818" width="10.140625" customWidth="1"/>
    <col min="12819" max="12820" width="10.42578125" customWidth="1"/>
    <col min="13058" max="13058" width="37.5703125" customWidth="1"/>
    <col min="13059" max="13070" width="0" hidden="1" customWidth="1"/>
    <col min="13071" max="13071" width="16.140625" customWidth="1"/>
    <col min="13072" max="13072" width="14" customWidth="1"/>
    <col min="13073" max="13073" width="13" customWidth="1"/>
    <col min="13074" max="13074" width="10.140625" customWidth="1"/>
    <col min="13075" max="13076" width="10.42578125" customWidth="1"/>
    <col min="13314" max="13314" width="37.5703125" customWidth="1"/>
    <col min="13315" max="13326" width="0" hidden="1" customWidth="1"/>
    <col min="13327" max="13327" width="16.140625" customWidth="1"/>
    <col min="13328" max="13328" width="14" customWidth="1"/>
    <col min="13329" max="13329" width="13" customWidth="1"/>
    <col min="13330" max="13330" width="10.140625" customWidth="1"/>
    <col min="13331" max="13332" width="10.42578125" customWidth="1"/>
    <col min="13570" max="13570" width="37.5703125" customWidth="1"/>
    <col min="13571" max="13582" width="0" hidden="1" customWidth="1"/>
    <col min="13583" max="13583" width="16.140625" customWidth="1"/>
    <col min="13584" max="13584" width="14" customWidth="1"/>
    <col min="13585" max="13585" width="13" customWidth="1"/>
    <col min="13586" max="13586" width="10.140625" customWidth="1"/>
    <col min="13587" max="13588" width="10.42578125" customWidth="1"/>
    <col min="13826" max="13826" width="37.5703125" customWidth="1"/>
    <col min="13827" max="13838" width="0" hidden="1" customWidth="1"/>
    <col min="13839" max="13839" width="16.140625" customWidth="1"/>
    <col min="13840" max="13840" width="14" customWidth="1"/>
    <col min="13841" max="13841" width="13" customWidth="1"/>
    <col min="13842" max="13842" width="10.140625" customWidth="1"/>
    <col min="13843" max="13844" width="10.42578125" customWidth="1"/>
    <col min="14082" max="14082" width="37.5703125" customWidth="1"/>
    <col min="14083" max="14094" width="0" hidden="1" customWidth="1"/>
    <col min="14095" max="14095" width="16.140625" customWidth="1"/>
    <col min="14096" max="14096" width="14" customWidth="1"/>
    <col min="14097" max="14097" width="13" customWidth="1"/>
    <col min="14098" max="14098" width="10.140625" customWidth="1"/>
    <col min="14099" max="14100" width="10.42578125" customWidth="1"/>
    <col min="14338" max="14338" width="37.5703125" customWidth="1"/>
    <col min="14339" max="14350" width="0" hidden="1" customWidth="1"/>
    <col min="14351" max="14351" width="16.140625" customWidth="1"/>
    <col min="14352" max="14352" width="14" customWidth="1"/>
    <col min="14353" max="14353" width="13" customWidth="1"/>
    <col min="14354" max="14354" width="10.140625" customWidth="1"/>
    <col min="14355" max="14356" width="10.42578125" customWidth="1"/>
    <col min="14594" max="14594" width="37.5703125" customWidth="1"/>
    <col min="14595" max="14606" width="0" hidden="1" customWidth="1"/>
    <col min="14607" max="14607" width="16.140625" customWidth="1"/>
    <col min="14608" max="14608" width="14" customWidth="1"/>
    <col min="14609" max="14609" width="13" customWidth="1"/>
    <col min="14610" max="14610" width="10.140625" customWidth="1"/>
    <col min="14611" max="14612" width="10.42578125" customWidth="1"/>
    <col min="14850" max="14850" width="37.5703125" customWidth="1"/>
    <col min="14851" max="14862" width="0" hidden="1" customWidth="1"/>
    <col min="14863" max="14863" width="16.140625" customWidth="1"/>
    <col min="14864" max="14864" width="14" customWidth="1"/>
    <col min="14865" max="14865" width="13" customWidth="1"/>
    <col min="14866" max="14866" width="10.140625" customWidth="1"/>
    <col min="14867" max="14868" width="10.42578125" customWidth="1"/>
    <col min="15106" max="15106" width="37.5703125" customWidth="1"/>
    <col min="15107" max="15118" width="0" hidden="1" customWidth="1"/>
    <col min="15119" max="15119" width="16.140625" customWidth="1"/>
    <col min="15120" max="15120" width="14" customWidth="1"/>
    <col min="15121" max="15121" width="13" customWidth="1"/>
    <col min="15122" max="15122" width="10.140625" customWidth="1"/>
    <col min="15123" max="15124" width="10.42578125" customWidth="1"/>
    <col min="15362" max="15362" width="37.5703125" customWidth="1"/>
    <col min="15363" max="15374" width="0" hidden="1" customWidth="1"/>
    <col min="15375" max="15375" width="16.140625" customWidth="1"/>
    <col min="15376" max="15376" width="14" customWidth="1"/>
    <col min="15377" max="15377" width="13" customWidth="1"/>
    <col min="15378" max="15378" width="10.140625" customWidth="1"/>
    <col min="15379" max="15380" width="10.42578125" customWidth="1"/>
    <col min="15618" max="15618" width="37.5703125" customWidth="1"/>
    <col min="15619" max="15630" width="0" hidden="1" customWidth="1"/>
    <col min="15631" max="15631" width="16.140625" customWidth="1"/>
    <col min="15632" max="15632" width="14" customWidth="1"/>
    <col min="15633" max="15633" width="13" customWidth="1"/>
    <col min="15634" max="15634" width="10.140625" customWidth="1"/>
    <col min="15635" max="15636" width="10.42578125" customWidth="1"/>
    <col min="15874" max="15874" width="37.5703125" customWidth="1"/>
    <col min="15875" max="15886" width="0" hidden="1" customWidth="1"/>
    <col min="15887" max="15887" width="16.140625" customWidth="1"/>
    <col min="15888" max="15888" width="14" customWidth="1"/>
    <col min="15889" max="15889" width="13" customWidth="1"/>
    <col min="15890" max="15890" width="10.140625" customWidth="1"/>
    <col min="15891" max="15892" width="10.42578125" customWidth="1"/>
    <col min="16130" max="16130" width="37.5703125" customWidth="1"/>
    <col min="16131" max="16142" width="0" hidden="1" customWidth="1"/>
    <col min="16143" max="16143" width="16.140625" customWidth="1"/>
    <col min="16144" max="16144" width="14" customWidth="1"/>
    <col min="16145" max="16145" width="13" customWidth="1"/>
    <col min="16146" max="16146" width="10.140625" customWidth="1"/>
    <col min="16147" max="16148" width="10.42578125" customWidth="1"/>
  </cols>
  <sheetData>
    <row r="1" spans="1:24" x14ac:dyDescent="0.25">
      <c r="A1" s="832" t="s">
        <v>387</v>
      </c>
      <c r="B1" s="832"/>
      <c r="C1" s="832"/>
    </row>
    <row r="2" spans="1:24" ht="15.75" thickBot="1" x14ac:dyDescent="0.3">
      <c r="A2" s="784" t="s">
        <v>388</v>
      </c>
      <c r="B2" s="784"/>
      <c r="C2" s="784"/>
    </row>
    <row r="3" spans="1:24" ht="14.25" customHeight="1" thickTop="1" x14ac:dyDescent="0.25">
      <c r="A3" s="758" t="s">
        <v>0</v>
      </c>
      <c r="B3" s="760" t="s">
        <v>1</v>
      </c>
      <c r="C3" s="756" t="s">
        <v>2</v>
      </c>
      <c r="D3" s="756" t="s">
        <v>107</v>
      </c>
      <c r="E3" s="756" t="s">
        <v>108</v>
      </c>
      <c r="F3" s="756" t="s">
        <v>109</v>
      </c>
      <c r="G3" s="756" t="s">
        <v>110</v>
      </c>
      <c r="H3" s="756" t="s">
        <v>111</v>
      </c>
      <c r="I3" s="756" t="s">
        <v>8</v>
      </c>
      <c r="J3" s="756" t="s">
        <v>9</v>
      </c>
      <c r="K3" s="756" t="s">
        <v>10</v>
      </c>
      <c r="L3" s="756" t="s">
        <v>11</v>
      </c>
      <c r="M3" s="756" t="s">
        <v>12</v>
      </c>
      <c r="N3" s="756" t="s">
        <v>13</v>
      </c>
      <c r="O3" s="756" t="s">
        <v>14</v>
      </c>
      <c r="P3" s="756" t="s">
        <v>15</v>
      </c>
      <c r="Q3" s="756" t="s">
        <v>429</v>
      </c>
      <c r="R3" s="734" t="s">
        <v>400</v>
      </c>
      <c r="S3" s="734" t="s">
        <v>463</v>
      </c>
      <c r="T3" s="738" t="s">
        <v>464</v>
      </c>
    </row>
    <row r="4" spans="1:24" ht="27.75" customHeight="1" thickBot="1" x14ac:dyDescent="0.3">
      <c r="A4" s="759"/>
      <c r="B4" s="761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735"/>
      <c r="S4" s="735"/>
      <c r="T4" s="739"/>
    </row>
    <row r="5" spans="1:24" ht="17.25" thickTop="1" thickBot="1" x14ac:dyDescent="0.3">
      <c r="A5" s="361">
        <v>200</v>
      </c>
      <c r="B5" s="744" t="s">
        <v>37</v>
      </c>
      <c r="C5" s="745"/>
      <c r="D5" s="362">
        <f>D6</f>
        <v>355009</v>
      </c>
      <c r="E5" s="362">
        <f>E6</f>
        <v>311359</v>
      </c>
      <c r="F5" s="362">
        <f>F6</f>
        <v>955255</v>
      </c>
      <c r="G5" s="362">
        <f>G6</f>
        <v>1090339</v>
      </c>
      <c r="H5" s="362">
        <f>H6</f>
        <v>496614</v>
      </c>
      <c r="I5" s="362">
        <f t="shared" ref="I5:O5" si="0">I6</f>
        <v>174771</v>
      </c>
      <c r="J5" s="362">
        <f t="shared" si="0"/>
        <v>74221</v>
      </c>
      <c r="K5" s="362">
        <f t="shared" si="0"/>
        <v>98051</v>
      </c>
      <c r="L5" s="362">
        <f t="shared" si="0"/>
        <v>223532.5</v>
      </c>
      <c r="M5" s="363">
        <f t="shared" si="0"/>
        <v>61991.15</v>
      </c>
      <c r="N5" s="362">
        <f t="shared" si="0"/>
        <v>87107.9</v>
      </c>
      <c r="O5" s="363">
        <f t="shared" si="0"/>
        <v>542510.87</v>
      </c>
      <c r="P5" s="363">
        <f>P6</f>
        <v>47974.47</v>
      </c>
      <c r="Q5" s="363">
        <f>Q6</f>
        <v>147766.67000000001</v>
      </c>
      <c r="R5" s="362">
        <f>R6</f>
        <v>177036</v>
      </c>
      <c r="S5" s="363">
        <f>S6</f>
        <v>652299.32999999996</v>
      </c>
      <c r="T5" s="655">
        <f t="shared" ref="T5:T42" si="1">IF(R5=0,0,ROUND(S5/R5*100,2))</f>
        <v>368.46</v>
      </c>
    </row>
    <row r="6" spans="1:24" ht="15.75" thickBot="1" x14ac:dyDescent="0.3">
      <c r="A6" s="364">
        <v>230</v>
      </c>
      <c r="B6" s="746" t="s">
        <v>269</v>
      </c>
      <c r="C6" s="747"/>
      <c r="D6" s="86">
        <f t="shared" ref="D6:R6" si="2">D7+D11</f>
        <v>355009</v>
      </c>
      <c r="E6" s="86">
        <f t="shared" si="2"/>
        <v>311359</v>
      </c>
      <c r="F6" s="86">
        <f t="shared" si="2"/>
        <v>955255</v>
      </c>
      <c r="G6" s="86">
        <f t="shared" si="2"/>
        <v>1090339</v>
      </c>
      <c r="H6" s="86">
        <f t="shared" si="2"/>
        <v>496614</v>
      </c>
      <c r="I6" s="86">
        <f t="shared" si="2"/>
        <v>174771</v>
      </c>
      <c r="J6" s="86">
        <f t="shared" si="2"/>
        <v>74221</v>
      </c>
      <c r="K6" s="86">
        <f t="shared" si="2"/>
        <v>98051</v>
      </c>
      <c r="L6" s="86">
        <f t="shared" si="2"/>
        <v>223532.5</v>
      </c>
      <c r="M6" s="119">
        <f t="shared" si="2"/>
        <v>61991.15</v>
      </c>
      <c r="N6" s="86">
        <f t="shared" si="2"/>
        <v>87107.9</v>
      </c>
      <c r="O6" s="119">
        <f t="shared" si="2"/>
        <v>542510.87</v>
      </c>
      <c r="P6" s="119">
        <f t="shared" si="2"/>
        <v>47974.47</v>
      </c>
      <c r="Q6" s="119">
        <f t="shared" si="2"/>
        <v>147766.67000000001</v>
      </c>
      <c r="R6" s="84">
        <f t="shared" si="2"/>
        <v>177036</v>
      </c>
      <c r="S6" s="85">
        <f>S7+S11</f>
        <v>652299.32999999996</v>
      </c>
      <c r="T6" s="640">
        <f t="shared" si="1"/>
        <v>368.46</v>
      </c>
    </row>
    <row r="7" spans="1:24" ht="15.75" thickBot="1" x14ac:dyDescent="0.3">
      <c r="A7" s="740"/>
      <c r="B7" s="365">
        <v>231</v>
      </c>
      <c r="C7" s="78" t="s">
        <v>270</v>
      </c>
      <c r="D7" s="82">
        <f t="shared" ref="D7:R7" si="3">SUM(D8:D10)</f>
        <v>351125</v>
      </c>
      <c r="E7" s="82">
        <f t="shared" si="3"/>
        <v>106121</v>
      </c>
      <c r="F7" s="82">
        <f t="shared" si="3"/>
        <v>227246</v>
      </c>
      <c r="G7" s="82">
        <f t="shared" si="3"/>
        <v>45397</v>
      </c>
      <c r="H7" s="82">
        <f t="shared" si="3"/>
        <v>103200</v>
      </c>
      <c r="I7" s="82">
        <f t="shared" si="3"/>
        <v>85320</v>
      </c>
      <c r="J7" s="82">
        <f t="shared" si="3"/>
        <v>21933</v>
      </c>
      <c r="K7" s="82">
        <f t="shared" si="3"/>
        <v>32153</v>
      </c>
      <c r="L7" s="82">
        <f>SUM(L8:L10)</f>
        <v>84811.72</v>
      </c>
      <c r="M7" s="87">
        <f>SUM(M8:M10)</f>
        <v>23898.959999999999</v>
      </c>
      <c r="N7" s="82">
        <f>SUM(N8:N10)</f>
        <v>33003</v>
      </c>
      <c r="O7" s="87">
        <f>SUM(O8:O10)</f>
        <v>255643.36</v>
      </c>
      <c r="P7" s="87">
        <v>0</v>
      </c>
      <c r="Q7" s="87">
        <v>0</v>
      </c>
      <c r="R7" s="80">
        <f t="shared" si="3"/>
        <v>38955</v>
      </c>
      <c r="S7" s="81">
        <f>SUM(S8:S10)</f>
        <v>38955</v>
      </c>
      <c r="T7" s="638">
        <f t="shared" si="1"/>
        <v>100</v>
      </c>
    </row>
    <row r="8" spans="1:24" x14ac:dyDescent="0.25">
      <c r="A8" s="741"/>
      <c r="B8" s="765"/>
      <c r="C8" s="366" t="s">
        <v>271</v>
      </c>
      <c r="D8" s="367">
        <v>192923</v>
      </c>
      <c r="E8" s="367">
        <v>101839</v>
      </c>
      <c r="F8" s="367">
        <v>227246</v>
      </c>
      <c r="G8" s="367">
        <v>45397</v>
      </c>
      <c r="H8" s="367">
        <v>103200</v>
      </c>
      <c r="I8" s="111">
        <v>85320</v>
      </c>
      <c r="J8" s="44">
        <v>21933</v>
      </c>
      <c r="K8" s="46">
        <v>23657</v>
      </c>
      <c r="L8" s="46">
        <v>83346.52</v>
      </c>
      <c r="M8" s="45">
        <v>19336.16</v>
      </c>
      <c r="N8" s="46">
        <v>33003</v>
      </c>
      <c r="O8" s="45">
        <v>251642.36</v>
      </c>
      <c r="P8" s="45"/>
      <c r="Q8" s="45"/>
      <c r="R8" s="73"/>
      <c r="S8" s="92"/>
      <c r="T8" s="573">
        <f t="shared" si="1"/>
        <v>0</v>
      </c>
    </row>
    <row r="9" spans="1:24" x14ac:dyDescent="0.25">
      <c r="A9" s="741"/>
      <c r="B9" s="766"/>
      <c r="C9" s="59" t="s">
        <v>272</v>
      </c>
      <c r="D9" s="368"/>
      <c r="E9" s="368"/>
      <c r="F9" s="368"/>
      <c r="G9" s="368"/>
      <c r="H9" s="368"/>
      <c r="I9" s="369"/>
      <c r="J9" s="370"/>
      <c r="K9" s="90"/>
      <c r="L9" s="125"/>
      <c r="M9" s="45">
        <v>4562.8</v>
      </c>
      <c r="N9" s="46"/>
      <c r="O9" s="45"/>
      <c r="P9" s="45"/>
      <c r="Q9" s="45"/>
      <c r="R9" s="73">
        <v>38955</v>
      </c>
      <c r="S9" s="92">
        <v>38955</v>
      </c>
      <c r="T9" s="573">
        <f t="shared" si="1"/>
        <v>100</v>
      </c>
    </row>
    <row r="10" spans="1:24" ht="15.75" thickBot="1" x14ac:dyDescent="0.3">
      <c r="A10" s="741"/>
      <c r="B10" s="767"/>
      <c r="C10" s="190" t="s">
        <v>273</v>
      </c>
      <c r="D10" s="75">
        <v>158202</v>
      </c>
      <c r="E10" s="75">
        <v>4282</v>
      </c>
      <c r="F10" s="75">
        <v>0</v>
      </c>
      <c r="G10" s="75"/>
      <c r="H10" s="75"/>
      <c r="I10" s="75"/>
      <c r="J10" s="75"/>
      <c r="K10" s="32">
        <v>8496</v>
      </c>
      <c r="L10" s="46">
        <v>1465.2</v>
      </c>
      <c r="M10" s="90"/>
      <c r="N10" s="90"/>
      <c r="O10" s="89">
        <v>4001</v>
      </c>
      <c r="P10" s="89"/>
      <c r="Q10" s="89"/>
      <c r="R10" s="73"/>
      <c r="S10" s="92"/>
      <c r="T10" s="573">
        <f t="shared" si="1"/>
        <v>0</v>
      </c>
    </row>
    <row r="11" spans="1:24" ht="15.75" thickBot="1" x14ac:dyDescent="0.3">
      <c r="A11" s="741"/>
      <c r="B11" s="371">
        <v>233</v>
      </c>
      <c r="C11" s="77" t="s">
        <v>274</v>
      </c>
      <c r="D11" s="82">
        <f t="shared" ref="D11:R11" si="4">SUM(D12:D16)</f>
        <v>3884</v>
      </c>
      <c r="E11" s="82">
        <f t="shared" si="4"/>
        <v>205238</v>
      </c>
      <c r="F11" s="82">
        <f t="shared" si="4"/>
        <v>728009</v>
      </c>
      <c r="G11" s="82">
        <f t="shared" si="4"/>
        <v>1044942</v>
      </c>
      <c r="H11" s="82">
        <f t="shared" si="4"/>
        <v>393414</v>
      </c>
      <c r="I11" s="82">
        <f t="shared" si="4"/>
        <v>89451</v>
      </c>
      <c r="J11" s="82">
        <f t="shared" si="4"/>
        <v>52288</v>
      </c>
      <c r="K11" s="82">
        <f t="shared" si="4"/>
        <v>65898</v>
      </c>
      <c r="L11" s="82">
        <f t="shared" si="4"/>
        <v>138720.78</v>
      </c>
      <c r="M11" s="87">
        <f t="shared" si="4"/>
        <v>38092.19</v>
      </c>
      <c r="N11" s="82">
        <f t="shared" si="4"/>
        <v>54104.9</v>
      </c>
      <c r="O11" s="87">
        <f>SUM(O12:O16)</f>
        <v>286867.51</v>
      </c>
      <c r="P11" s="82">
        <f>SUM(P12:P16)</f>
        <v>47974.47</v>
      </c>
      <c r="Q11" s="87">
        <f>SUM(Q12:Q16)</f>
        <v>147766.67000000001</v>
      </c>
      <c r="R11" s="80">
        <f t="shared" si="4"/>
        <v>138081</v>
      </c>
      <c r="S11" s="81">
        <f>SUM(S12:S16)</f>
        <v>613344.32999999996</v>
      </c>
      <c r="T11" s="638">
        <f t="shared" si="1"/>
        <v>444.19</v>
      </c>
    </row>
    <row r="12" spans="1:24" ht="15.75" thickBot="1" x14ac:dyDescent="0.3">
      <c r="A12" s="741"/>
      <c r="B12" s="765"/>
      <c r="C12" s="57" t="s">
        <v>275</v>
      </c>
      <c r="D12" s="72">
        <v>3884</v>
      </c>
      <c r="E12" s="72">
        <v>205238</v>
      </c>
      <c r="F12" s="72">
        <v>728009</v>
      </c>
      <c r="G12" s="72">
        <v>98695</v>
      </c>
      <c r="H12" s="72">
        <v>393414</v>
      </c>
      <c r="I12" s="72">
        <v>89451</v>
      </c>
      <c r="J12" s="46">
        <v>52288</v>
      </c>
      <c r="K12" s="46">
        <v>65898</v>
      </c>
      <c r="L12" s="46">
        <v>138720.78</v>
      </c>
      <c r="M12" s="372">
        <v>38092.19</v>
      </c>
      <c r="N12" s="373">
        <v>54104.9</v>
      </c>
      <c r="O12" s="374">
        <v>286867.51</v>
      </c>
      <c r="P12" s="374">
        <v>47974.47</v>
      </c>
      <c r="Q12" s="374">
        <v>147766.67000000001</v>
      </c>
      <c r="R12" s="73">
        <v>138081</v>
      </c>
      <c r="S12" s="92">
        <v>613344.32999999996</v>
      </c>
      <c r="T12" s="573">
        <f t="shared" si="1"/>
        <v>444.19</v>
      </c>
      <c r="V12" s="623"/>
      <c r="X12" s="189"/>
    </row>
    <row r="13" spans="1:24" ht="15.75" hidden="1" thickBot="1" x14ac:dyDescent="0.3">
      <c r="A13" s="741"/>
      <c r="B13" s="766"/>
      <c r="C13" s="375" t="s">
        <v>276</v>
      </c>
      <c r="D13" s="376"/>
      <c r="E13" s="376"/>
      <c r="F13" s="376"/>
      <c r="G13" s="376"/>
      <c r="H13" s="376"/>
      <c r="I13" s="376"/>
      <c r="J13" s="376"/>
      <c r="K13" s="127"/>
      <c r="L13" s="377"/>
      <c r="M13" s="377"/>
      <c r="N13" s="377"/>
      <c r="O13" s="378"/>
      <c r="P13" s="378"/>
      <c r="Q13" s="378"/>
      <c r="R13" s="379"/>
      <c r="S13" s="679"/>
      <c r="T13" s="656">
        <f t="shared" si="1"/>
        <v>0</v>
      </c>
    </row>
    <row r="14" spans="1:24" ht="15.75" hidden="1" thickBot="1" x14ac:dyDescent="0.3">
      <c r="A14" s="741"/>
      <c r="B14" s="766"/>
      <c r="C14" s="375" t="s">
        <v>277</v>
      </c>
      <c r="D14" s="376"/>
      <c r="E14" s="376"/>
      <c r="F14" s="376"/>
      <c r="G14" s="376"/>
      <c r="H14" s="376"/>
      <c r="I14" s="376"/>
      <c r="J14" s="376"/>
      <c r="K14" s="127"/>
      <c r="L14" s="45"/>
      <c r="M14" s="377"/>
      <c r="N14" s="377"/>
      <c r="O14" s="378"/>
      <c r="P14" s="378"/>
      <c r="Q14" s="378"/>
      <c r="R14" s="379"/>
      <c r="S14" s="679"/>
      <c r="T14" s="656">
        <f t="shared" si="1"/>
        <v>0</v>
      </c>
    </row>
    <row r="15" spans="1:24" ht="15.75" hidden="1" thickBot="1" x14ac:dyDescent="0.3">
      <c r="A15" s="741"/>
      <c r="B15" s="766"/>
      <c r="C15" s="375" t="s">
        <v>278</v>
      </c>
      <c r="D15" s="376"/>
      <c r="E15" s="376"/>
      <c r="F15" s="376"/>
      <c r="G15" s="376"/>
      <c r="H15" s="376"/>
      <c r="I15" s="376"/>
      <c r="J15" s="376"/>
      <c r="K15" s="127"/>
      <c r="L15" s="377"/>
      <c r="M15" s="377"/>
      <c r="N15" s="377"/>
      <c r="O15" s="378"/>
      <c r="P15" s="378"/>
      <c r="Q15" s="378"/>
      <c r="R15" s="379"/>
      <c r="S15" s="679"/>
      <c r="T15" s="656">
        <f t="shared" si="1"/>
        <v>0</v>
      </c>
    </row>
    <row r="16" spans="1:24" ht="15.75" hidden="1" thickBot="1" x14ac:dyDescent="0.3">
      <c r="A16" s="741"/>
      <c r="B16" s="767"/>
      <c r="C16" s="380" t="s">
        <v>279</v>
      </c>
      <c r="D16" s="75"/>
      <c r="E16" s="75"/>
      <c r="F16" s="75"/>
      <c r="G16" s="75">
        <v>946247</v>
      </c>
      <c r="H16" s="75"/>
      <c r="I16" s="75"/>
      <c r="J16" s="75"/>
      <c r="K16" s="32"/>
      <c r="L16" s="90"/>
      <c r="M16" s="90"/>
      <c r="N16" s="90"/>
      <c r="O16" s="89"/>
      <c r="P16" s="89"/>
      <c r="Q16" s="89"/>
      <c r="R16" s="73"/>
      <c r="S16" s="92"/>
      <c r="T16" s="573">
        <f t="shared" si="1"/>
        <v>0</v>
      </c>
    </row>
    <row r="17" spans="1:25" ht="16.5" thickBot="1" x14ac:dyDescent="0.3">
      <c r="A17" s="381">
        <v>300</v>
      </c>
      <c r="B17" s="772" t="s">
        <v>76</v>
      </c>
      <c r="C17" s="836"/>
      <c r="D17" s="382">
        <f>D18+D38</f>
        <v>1758083</v>
      </c>
      <c r="E17" s="382">
        <f>E18+E38</f>
        <v>706599</v>
      </c>
      <c r="F17" s="382">
        <f>F18+F38</f>
        <v>290114</v>
      </c>
      <c r="G17" s="382">
        <f>G18+G38</f>
        <v>3301074</v>
      </c>
      <c r="H17" s="382">
        <v>2959527</v>
      </c>
      <c r="I17" s="382">
        <f t="shared" ref="I17:S17" si="5">I18+I38</f>
        <v>4474942</v>
      </c>
      <c r="J17" s="382">
        <f t="shared" si="5"/>
        <v>4428553.0599999996</v>
      </c>
      <c r="K17" s="382">
        <f t="shared" si="5"/>
        <v>3580446</v>
      </c>
      <c r="L17" s="382">
        <f t="shared" si="5"/>
        <v>994806.09</v>
      </c>
      <c r="M17" s="383">
        <f t="shared" si="5"/>
        <v>488271.14</v>
      </c>
      <c r="N17" s="382">
        <f t="shared" si="5"/>
        <v>360221.4</v>
      </c>
      <c r="O17" s="383">
        <f t="shared" si="5"/>
        <v>1153730.93</v>
      </c>
      <c r="P17" s="383">
        <f t="shared" si="5"/>
        <v>2075273.05</v>
      </c>
      <c r="Q17" s="119">
        <f t="shared" si="5"/>
        <v>1378895.97</v>
      </c>
      <c r="R17" s="384">
        <f t="shared" si="5"/>
        <v>2714114</v>
      </c>
      <c r="S17" s="680">
        <f t="shared" si="5"/>
        <v>1784333.91</v>
      </c>
      <c r="T17" s="657">
        <f t="shared" si="1"/>
        <v>65.739999999999995</v>
      </c>
    </row>
    <row r="18" spans="1:25" ht="15.75" thickBot="1" x14ac:dyDescent="0.3">
      <c r="A18" s="364">
        <v>320</v>
      </c>
      <c r="B18" s="746" t="s">
        <v>280</v>
      </c>
      <c r="C18" s="747"/>
      <c r="D18" s="385">
        <f>D19</f>
        <v>1758083</v>
      </c>
      <c r="E18" s="385">
        <f>E19</f>
        <v>706599</v>
      </c>
      <c r="F18" s="385">
        <f>F19</f>
        <v>290114</v>
      </c>
      <c r="G18" s="385">
        <f>G19</f>
        <v>3301074</v>
      </c>
      <c r="H18" s="385">
        <v>2959527</v>
      </c>
      <c r="I18" s="385">
        <f t="shared" ref="I18:R18" si="6">I19</f>
        <v>4417142</v>
      </c>
      <c r="J18" s="385">
        <f t="shared" si="6"/>
        <v>4408068.0599999996</v>
      </c>
      <c r="K18" s="385">
        <f t="shared" si="6"/>
        <v>3580446</v>
      </c>
      <c r="L18" s="385">
        <f t="shared" si="6"/>
        <v>994806.09</v>
      </c>
      <c r="M18" s="386">
        <f t="shared" si="6"/>
        <v>488271.14</v>
      </c>
      <c r="N18" s="387">
        <f t="shared" si="6"/>
        <v>360221.4</v>
      </c>
      <c r="O18" s="388">
        <f t="shared" si="6"/>
        <v>1153730.93</v>
      </c>
      <c r="P18" s="387">
        <f t="shared" si="6"/>
        <v>2075273.05</v>
      </c>
      <c r="Q18" s="123">
        <v>1378895.97</v>
      </c>
      <c r="R18" s="387">
        <f t="shared" si="6"/>
        <v>2714114</v>
      </c>
      <c r="S18" s="388">
        <f>S19</f>
        <v>1784333.91</v>
      </c>
      <c r="T18" s="658">
        <f t="shared" si="1"/>
        <v>65.739999999999995</v>
      </c>
    </row>
    <row r="19" spans="1:25" ht="13.5" customHeight="1" thickBot="1" x14ac:dyDescent="0.3">
      <c r="A19" s="834"/>
      <c r="B19" s="371">
        <v>321</v>
      </c>
      <c r="C19" s="77" t="s">
        <v>78</v>
      </c>
      <c r="D19" s="78">
        <v>1758083</v>
      </c>
      <c r="E19" s="78">
        <v>706599</v>
      </c>
      <c r="F19" s="78">
        <v>290114</v>
      </c>
      <c r="G19" s="78">
        <v>3301074</v>
      </c>
      <c r="H19" s="78">
        <v>2959527</v>
      </c>
      <c r="I19" s="56">
        <v>4417142</v>
      </c>
      <c r="J19" s="56">
        <v>4408068.0599999996</v>
      </c>
      <c r="K19" s="56">
        <v>3580446</v>
      </c>
      <c r="L19" s="56">
        <v>994806.09</v>
      </c>
      <c r="M19" s="123">
        <f>SUM(M20:M37)</f>
        <v>488271.14</v>
      </c>
      <c r="N19" s="56">
        <f>SUM(N20:N37)</f>
        <v>360221.4</v>
      </c>
      <c r="O19" s="123">
        <v>1153730.93</v>
      </c>
      <c r="P19" s="123">
        <v>2075273.05</v>
      </c>
      <c r="Q19" s="123">
        <v>1378895.97</v>
      </c>
      <c r="R19" s="54">
        <f>SUM(R20:R37)</f>
        <v>2714114</v>
      </c>
      <c r="S19" s="55">
        <f>SUM(S20:S37)</f>
        <v>1784333.91</v>
      </c>
      <c r="T19" s="635">
        <f t="shared" si="1"/>
        <v>65.739999999999995</v>
      </c>
    </row>
    <row r="20" spans="1:25" ht="15.75" customHeight="1" x14ac:dyDescent="0.25">
      <c r="A20" s="835"/>
      <c r="B20" s="833"/>
      <c r="C20" s="16" t="s">
        <v>281</v>
      </c>
      <c r="D20" s="111"/>
      <c r="E20" s="111"/>
      <c r="F20" s="111"/>
      <c r="G20" s="111"/>
      <c r="H20" s="111"/>
      <c r="I20" s="111"/>
      <c r="J20" s="111"/>
      <c r="K20" s="44"/>
      <c r="L20" s="214"/>
      <c r="M20" s="214">
        <v>66064.149999999994</v>
      </c>
      <c r="N20" s="44"/>
      <c r="O20" s="44"/>
      <c r="P20" s="44"/>
      <c r="Q20" s="214"/>
      <c r="R20" s="73">
        <v>150000</v>
      </c>
      <c r="S20" s="92">
        <v>150000</v>
      </c>
      <c r="T20" s="573">
        <f t="shared" si="1"/>
        <v>100</v>
      </c>
      <c r="X20" s="189"/>
    </row>
    <row r="21" spans="1:25" s="624" customFormat="1" ht="15.75" customHeight="1" x14ac:dyDescent="0.25">
      <c r="A21" s="835"/>
      <c r="B21" s="833"/>
      <c r="C21" s="43" t="s">
        <v>459</v>
      </c>
      <c r="D21" s="111"/>
      <c r="E21" s="111"/>
      <c r="F21" s="111"/>
      <c r="G21" s="111"/>
      <c r="H21" s="111"/>
      <c r="I21" s="111"/>
      <c r="J21" s="111"/>
      <c r="K21" s="44"/>
      <c r="L21" s="214"/>
      <c r="M21" s="214"/>
      <c r="N21" s="44"/>
      <c r="O21" s="44"/>
      <c r="P21" s="44"/>
      <c r="Q21" s="214"/>
      <c r="R21" s="73">
        <v>3803</v>
      </c>
      <c r="S21" s="92">
        <v>3803</v>
      </c>
      <c r="T21" s="573">
        <f t="shared" si="1"/>
        <v>100</v>
      </c>
    </row>
    <row r="22" spans="1:25" ht="15.75" customHeight="1" x14ac:dyDescent="0.25">
      <c r="A22" s="835"/>
      <c r="B22" s="833"/>
      <c r="C22" s="43" t="s">
        <v>282</v>
      </c>
      <c r="D22" s="111"/>
      <c r="E22" s="111"/>
      <c r="F22" s="111"/>
      <c r="G22" s="111"/>
      <c r="H22" s="111"/>
      <c r="I22" s="111"/>
      <c r="J22" s="111"/>
      <c r="K22" s="44"/>
      <c r="L22" s="214"/>
      <c r="M22" s="214">
        <v>58454.17</v>
      </c>
      <c r="N22" s="44"/>
      <c r="O22" s="44"/>
      <c r="P22" s="44"/>
      <c r="Q22" s="214"/>
      <c r="R22" s="73">
        <v>0</v>
      </c>
      <c r="S22" s="92"/>
      <c r="T22" s="573">
        <f t="shared" si="1"/>
        <v>0</v>
      </c>
    </row>
    <row r="23" spans="1:25" ht="15.75" customHeight="1" x14ac:dyDescent="0.25">
      <c r="A23" s="835"/>
      <c r="B23" s="833"/>
      <c r="C23" s="43" t="s">
        <v>391</v>
      </c>
      <c r="D23" s="72"/>
      <c r="E23" s="72"/>
      <c r="F23" s="72"/>
      <c r="G23" s="72"/>
      <c r="H23" s="72"/>
      <c r="I23" s="72"/>
      <c r="J23" s="72"/>
      <c r="K23" s="44"/>
      <c r="L23" s="214"/>
      <c r="M23" s="214"/>
      <c r="N23" s="44"/>
      <c r="O23" s="44"/>
      <c r="P23" s="44"/>
      <c r="Q23" s="214"/>
      <c r="R23" s="73">
        <v>25900</v>
      </c>
      <c r="S23" s="92">
        <v>25900</v>
      </c>
      <c r="T23" s="573">
        <f t="shared" si="1"/>
        <v>100</v>
      </c>
      <c r="X23" s="189"/>
    </row>
    <row r="24" spans="1:25" ht="15.75" customHeight="1" x14ac:dyDescent="0.25">
      <c r="A24" s="835"/>
      <c r="B24" s="833"/>
      <c r="C24" s="43" t="s">
        <v>398</v>
      </c>
      <c r="D24" s="43"/>
      <c r="E24" s="43"/>
      <c r="F24" s="43"/>
      <c r="G24" s="43"/>
      <c r="H24" s="43">
        <v>341897</v>
      </c>
      <c r="I24" s="112">
        <v>341897</v>
      </c>
      <c r="J24" s="112">
        <v>344900</v>
      </c>
      <c r="K24" s="24">
        <v>341900</v>
      </c>
      <c r="L24" s="46">
        <v>341900</v>
      </c>
      <c r="M24" s="214">
        <v>340000</v>
      </c>
      <c r="N24" s="44">
        <v>340000</v>
      </c>
      <c r="O24" s="44"/>
      <c r="P24" s="44"/>
      <c r="Q24" s="214"/>
      <c r="R24" s="73">
        <v>86330</v>
      </c>
      <c r="S24" s="92"/>
      <c r="T24" s="573">
        <f t="shared" si="1"/>
        <v>0</v>
      </c>
    </row>
    <row r="25" spans="1:25" ht="15.75" customHeight="1" x14ac:dyDescent="0.25">
      <c r="A25" s="835"/>
      <c r="B25" s="833"/>
      <c r="C25" s="59" t="s">
        <v>399</v>
      </c>
      <c r="D25" s="74"/>
      <c r="E25" s="74"/>
      <c r="F25" s="74"/>
      <c r="G25" s="74"/>
      <c r="H25" s="74"/>
      <c r="I25" s="74"/>
      <c r="J25" s="74"/>
      <c r="K25" s="24"/>
      <c r="L25" s="46">
        <v>68448.02</v>
      </c>
      <c r="M25" s="214">
        <v>6610.12</v>
      </c>
      <c r="N25" s="44"/>
      <c r="O25" s="44"/>
      <c r="P25" s="44"/>
      <c r="Q25" s="214">
        <v>0</v>
      </c>
      <c r="R25" s="73">
        <v>834950</v>
      </c>
      <c r="S25" s="92"/>
      <c r="T25" s="573">
        <f t="shared" si="1"/>
        <v>0</v>
      </c>
      <c r="W25" s="189"/>
    </row>
    <row r="26" spans="1:25" ht="15.75" customHeight="1" x14ac:dyDescent="0.25">
      <c r="A26" s="835"/>
      <c r="B26" s="833"/>
      <c r="C26" s="59" t="s">
        <v>407</v>
      </c>
      <c r="D26" s="74"/>
      <c r="E26" s="74"/>
      <c r="F26" s="74"/>
      <c r="G26" s="74"/>
      <c r="H26" s="74"/>
      <c r="I26" s="74"/>
      <c r="J26" s="74"/>
      <c r="K26" s="24"/>
      <c r="L26" s="214"/>
      <c r="M26" s="214">
        <v>9000</v>
      </c>
      <c r="N26" s="44"/>
      <c r="O26" s="44"/>
      <c r="P26" s="44"/>
      <c r="Q26" s="214">
        <v>0</v>
      </c>
      <c r="R26" s="73">
        <v>169278</v>
      </c>
      <c r="S26" s="92">
        <v>169278.15</v>
      </c>
      <c r="T26" s="573">
        <f t="shared" si="1"/>
        <v>100</v>
      </c>
      <c r="W26" s="189"/>
    </row>
    <row r="27" spans="1:25" ht="15.75" customHeight="1" x14ac:dyDescent="0.25">
      <c r="A27" s="835"/>
      <c r="B27" s="833"/>
      <c r="C27" s="59" t="s">
        <v>432</v>
      </c>
      <c r="D27" s="88"/>
      <c r="E27" s="88"/>
      <c r="F27" s="88"/>
      <c r="G27" s="88"/>
      <c r="H27" s="88"/>
      <c r="I27" s="74"/>
      <c r="J27" s="74"/>
      <c r="K27" s="24"/>
      <c r="L27" s="214"/>
      <c r="M27" s="214"/>
      <c r="N27" s="44"/>
      <c r="O27" s="44"/>
      <c r="P27" s="44"/>
      <c r="Q27" s="214"/>
      <c r="R27" s="73">
        <v>8500</v>
      </c>
      <c r="S27" s="92"/>
      <c r="T27" s="573">
        <f t="shared" si="1"/>
        <v>0</v>
      </c>
    </row>
    <row r="28" spans="1:25" ht="15.75" customHeight="1" x14ac:dyDescent="0.25">
      <c r="A28" s="835"/>
      <c r="B28" s="833"/>
      <c r="C28" s="59" t="s">
        <v>440</v>
      </c>
      <c r="D28" s="88"/>
      <c r="E28" s="88"/>
      <c r="F28" s="88"/>
      <c r="G28" s="88"/>
      <c r="H28" s="88"/>
      <c r="I28" s="74"/>
      <c r="J28" s="74"/>
      <c r="K28" s="24"/>
      <c r="L28" s="214"/>
      <c r="M28" s="214"/>
      <c r="N28" s="44"/>
      <c r="O28" s="44"/>
      <c r="P28" s="44"/>
      <c r="Q28" s="214"/>
      <c r="R28" s="73">
        <v>32400</v>
      </c>
      <c r="S28" s="92">
        <v>32400</v>
      </c>
      <c r="T28" s="573">
        <f t="shared" si="1"/>
        <v>100</v>
      </c>
      <c r="X28" s="189"/>
    </row>
    <row r="29" spans="1:25" ht="15.75" customHeight="1" x14ac:dyDescent="0.25">
      <c r="A29" s="835"/>
      <c r="B29" s="833"/>
      <c r="C29" s="375" t="s">
        <v>412</v>
      </c>
      <c r="D29" s="390"/>
      <c r="E29" s="390"/>
      <c r="F29" s="390"/>
      <c r="G29" s="390"/>
      <c r="H29" s="390"/>
      <c r="I29" s="74"/>
      <c r="J29" s="74"/>
      <c r="K29" s="24"/>
      <c r="L29" s="214"/>
      <c r="M29" s="214">
        <v>8142.7</v>
      </c>
      <c r="N29" s="44"/>
      <c r="O29" s="44"/>
      <c r="P29" s="44"/>
      <c r="Q29" s="214">
        <v>0</v>
      </c>
      <c r="R29" s="73">
        <v>1100000</v>
      </c>
      <c r="S29" s="92">
        <v>1100000</v>
      </c>
      <c r="T29" s="573">
        <f t="shared" si="1"/>
        <v>100</v>
      </c>
      <c r="Y29" s="189"/>
    </row>
    <row r="30" spans="1:25" ht="15.75" customHeight="1" x14ac:dyDescent="0.25">
      <c r="A30" s="835"/>
      <c r="B30" s="833"/>
      <c r="C30" s="389" t="s">
        <v>460</v>
      </c>
      <c r="D30" s="74"/>
      <c r="E30" s="74"/>
      <c r="F30" s="74"/>
      <c r="G30" s="74"/>
      <c r="H30" s="74"/>
      <c r="I30" s="74"/>
      <c r="J30" s="74"/>
      <c r="K30" s="24"/>
      <c r="L30" s="113"/>
      <c r="M30" s="24"/>
      <c r="N30" s="24">
        <v>5221.3999999999996</v>
      </c>
      <c r="O30" s="60"/>
      <c r="P30" s="60"/>
      <c r="Q30" s="125">
        <v>0</v>
      </c>
      <c r="R30" s="60">
        <v>249953</v>
      </c>
      <c r="S30" s="125">
        <v>249952.76</v>
      </c>
      <c r="T30" s="573">
        <f t="shared" si="1"/>
        <v>100</v>
      </c>
    </row>
    <row r="31" spans="1:25" ht="15.75" customHeight="1" x14ac:dyDescent="0.25">
      <c r="A31" s="835"/>
      <c r="B31" s="833"/>
      <c r="C31" s="59" t="s">
        <v>420</v>
      </c>
      <c r="D31" s="74"/>
      <c r="E31" s="74"/>
      <c r="F31" s="74"/>
      <c r="G31" s="74"/>
      <c r="H31" s="74"/>
      <c r="I31" s="74"/>
      <c r="J31" s="74"/>
      <c r="K31" s="24"/>
      <c r="L31" s="113"/>
      <c r="M31" s="24"/>
      <c r="N31" s="24"/>
      <c r="O31" s="24"/>
      <c r="P31" s="24"/>
      <c r="Q31" s="113">
        <v>0</v>
      </c>
      <c r="R31" s="60">
        <v>23000</v>
      </c>
      <c r="S31" s="125">
        <v>23000</v>
      </c>
      <c r="T31" s="573">
        <f t="shared" si="1"/>
        <v>100</v>
      </c>
    </row>
    <row r="32" spans="1:25" ht="15.75" customHeight="1" thickBot="1" x14ac:dyDescent="0.3">
      <c r="A32" s="835"/>
      <c r="B32" s="833"/>
      <c r="C32" s="59" t="s">
        <v>424</v>
      </c>
      <c r="D32" s="74"/>
      <c r="E32" s="74"/>
      <c r="F32" s="74"/>
      <c r="G32" s="74"/>
      <c r="H32" s="74"/>
      <c r="I32" s="74"/>
      <c r="J32" s="74"/>
      <c r="K32" s="24"/>
      <c r="L32" s="113"/>
      <c r="M32" s="24"/>
      <c r="N32" s="24"/>
      <c r="O32" s="24"/>
      <c r="P32" s="24"/>
      <c r="Q32" s="113">
        <v>0</v>
      </c>
      <c r="R32" s="60">
        <v>30000</v>
      </c>
      <c r="S32" s="125">
        <v>30000</v>
      </c>
      <c r="T32" s="573">
        <f t="shared" si="1"/>
        <v>100</v>
      </c>
    </row>
    <row r="33" spans="1:20" ht="15.75" hidden="1" customHeight="1" x14ac:dyDescent="0.25">
      <c r="A33" s="835"/>
      <c r="B33" s="833"/>
      <c r="C33" s="59"/>
      <c r="D33" s="74"/>
      <c r="E33" s="74"/>
      <c r="F33" s="74"/>
      <c r="G33" s="74"/>
      <c r="H33" s="74"/>
      <c r="I33" s="74"/>
      <c r="J33" s="74"/>
      <c r="K33" s="24"/>
      <c r="L33" s="113"/>
      <c r="M33" s="24"/>
      <c r="N33" s="24"/>
      <c r="O33" s="24"/>
      <c r="P33" s="24"/>
      <c r="Q33" s="113">
        <v>0</v>
      </c>
      <c r="R33" s="60"/>
      <c r="S33" s="125"/>
      <c r="T33" s="572">
        <f t="shared" si="1"/>
        <v>0</v>
      </c>
    </row>
    <row r="34" spans="1:20" ht="15.75" hidden="1" customHeight="1" x14ac:dyDescent="0.25">
      <c r="A34" s="835"/>
      <c r="B34" s="833"/>
      <c r="C34" s="91"/>
      <c r="D34" s="83"/>
      <c r="E34" s="83"/>
      <c r="F34" s="83"/>
      <c r="G34" s="83"/>
      <c r="H34" s="83"/>
      <c r="I34" s="74"/>
      <c r="J34" s="74"/>
      <c r="K34" s="24"/>
      <c r="L34" s="113"/>
      <c r="M34" s="24"/>
      <c r="N34" s="24"/>
      <c r="O34" s="24"/>
      <c r="P34" s="24"/>
      <c r="Q34" s="113">
        <v>0</v>
      </c>
      <c r="R34" s="125"/>
      <c r="S34" s="125"/>
      <c r="T34" s="572">
        <f t="shared" si="1"/>
        <v>0</v>
      </c>
    </row>
    <row r="35" spans="1:20" ht="15.75" hidden="1" customHeight="1" x14ac:dyDescent="0.25">
      <c r="A35" s="835"/>
      <c r="B35" s="833"/>
      <c r="C35" s="91"/>
      <c r="D35" s="72"/>
      <c r="E35" s="72"/>
      <c r="F35" s="72"/>
      <c r="G35" s="72"/>
      <c r="H35" s="72"/>
      <c r="I35" s="74"/>
      <c r="J35" s="74"/>
      <c r="K35" s="24"/>
      <c r="L35" s="113"/>
      <c r="M35" s="24"/>
      <c r="N35" s="24"/>
      <c r="O35" s="24"/>
      <c r="P35" s="24"/>
      <c r="Q35" s="113">
        <v>0</v>
      </c>
      <c r="R35" s="125"/>
      <c r="S35" s="125"/>
      <c r="T35" s="572">
        <f t="shared" si="1"/>
        <v>0</v>
      </c>
    </row>
    <row r="36" spans="1:20" ht="15.75" hidden="1" customHeight="1" x14ac:dyDescent="0.25">
      <c r="A36" s="835"/>
      <c r="B36" s="833"/>
      <c r="C36" s="59"/>
      <c r="D36" s="74"/>
      <c r="E36" s="74"/>
      <c r="F36" s="74"/>
      <c r="G36" s="74"/>
      <c r="H36" s="74"/>
      <c r="I36" s="74"/>
      <c r="J36" s="74"/>
      <c r="K36" s="24"/>
      <c r="L36" s="113"/>
      <c r="M36" s="24"/>
      <c r="N36" s="24">
        <v>15000</v>
      </c>
      <c r="O36" s="24"/>
      <c r="P36" s="24"/>
      <c r="Q36" s="113">
        <v>0</v>
      </c>
      <c r="R36" s="60"/>
      <c r="S36" s="125"/>
      <c r="T36" s="572">
        <f t="shared" si="1"/>
        <v>0</v>
      </c>
    </row>
    <row r="37" spans="1:20" ht="15.75" hidden="1" customHeight="1" thickBot="1" x14ac:dyDescent="0.3">
      <c r="A37" s="835"/>
      <c r="B37" s="833"/>
      <c r="C37" s="59"/>
      <c r="D37" s="74"/>
      <c r="E37" s="74"/>
      <c r="F37" s="74"/>
      <c r="G37" s="74"/>
      <c r="H37" s="74"/>
      <c r="I37" s="74"/>
      <c r="J37" s="74"/>
      <c r="K37" s="24"/>
      <c r="L37" s="113"/>
      <c r="M37" s="24"/>
      <c r="N37" s="24"/>
      <c r="O37" s="24"/>
      <c r="P37" s="24"/>
      <c r="Q37" s="113"/>
      <c r="R37" s="60"/>
      <c r="S37" s="125"/>
      <c r="T37" s="572">
        <f t="shared" si="1"/>
        <v>0</v>
      </c>
    </row>
    <row r="38" spans="1:20" ht="15.75" thickBot="1" x14ac:dyDescent="0.3">
      <c r="A38" s="391">
        <v>330</v>
      </c>
      <c r="B38" s="746" t="s">
        <v>102</v>
      </c>
      <c r="C38" s="747"/>
      <c r="D38" s="392">
        <f t="shared" ref="D38:S39" si="7">D39</f>
        <v>0</v>
      </c>
      <c r="E38" s="392">
        <f t="shared" si="7"/>
        <v>0</v>
      </c>
      <c r="F38" s="392">
        <f t="shared" si="7"/>
        <v>0</v>
      </c>
      <c r="G38" s="392">
        <f t="shared" si="7"/>
        <v>0</v>
      </c>
      <c r="H38" s="392">
        <f t="shared" si="7"/>
        <v>0</v>
      </c>
      <c r="I38" s="392">
        <f t="shared" si="7"/>
        <v>57800</v>
      </c>
      <c r="J38" s="393">
        <f t="shared" si="7"/>
        <v>20485</v>
      </c>
      <c r="K38" s="392">
        <f t="shared" si="7"/>
        <v>0</v>
      </c>
      <c r="L38" s="394"/>
      <c r="M38" s="392">
        <f t="shared" si="7"/>
        <v>0</v>
      </c>
      <c r="N38" s="392">
        <f t="shared" si="7"/>
        <v>0</v>
      </c>
      <c r="O38" s="392">
        <f t="shared" si="7"/>
        <v>0</v>
      </c>
      <c r="P38" s="392"/>
      <c r="Q38" s="394">
        <f t="shared" si="7"/>
        <v>0</v>
      </c>
      <c r="R38" s="395">
        <f t="shared" si="7"/>
        <v>0</v>
      </c>
      <c r="S38" s="681">
        <f t="shared" si="7"/>
        <v>0</v>
      </c>
      <c r="T38" s="659">
        <f t="shared" si="1"/>
        <v>0</v>
      </c>
    </row>
    <row r="39" spans="1:20" ht="15.75" thickBot="1" x14ac:dyDescent="0.3">
      <c r="A39" s="748"/>
      <c r="B39" s="371">
        <v>332</v>
      </c>
      <c r="C39" s="77" t="s">
        <v>283</v>
      </c>
      <c r="D39" s="78">
        <f t="shared" si="7"/>
        <v>0</v>
      </c>
      <c r="E39" s="78">
        <f t="shared" si="7"/>
        <v>0</v>
      </c>
      <c r="F39" s="78">
        <f t="shared" si="7"/>
        <v>0</v>
      </c>
      <c r="G39" s="78">
        <f t="shared" si="7"/>
        <v>0</v>
      </c>
      <c r="H39" s="78">
        <f t="shared" si="7"/>
        <v>0</v>
      </c>
      <c r="I39" s="78">
        <f>I40</f>
        <v>57800</v>
      </c>
      <c r="J39" s="82">
        <f>J40</f>
        <v>20485</v>
      </c>
      <c r="K39" s="78">
        <f>K40</f>
        <v>0</v>
      </c>
      <c r="L39" s="87"/>
      <c r="M39" s="78">
        <f>M40</f>
        <v>0</v>
      </c>
      <c r="N39" s="78">
        <f>N40</f>
        <v>0</v>
      </c>
      <c r="O39" s="78">
        <f>O40</f>
        <v>0</v>
      </c>
      <c r="P39" s="78"/>
      <c r="Q39" s="87">
        <f>Q40</f>
        <v>0</v>
      </c>
      <c r="R39" s="82">
        <f>R40</f>
        <v>0</v>
      </c>
      <c r="S39" s="81"/>
      <c r="T39" s="638">
        <f t="shared" si="1"/>
        <v>0</v>
      </c>
    </row>
    <row r="40" spans="1:20" x14ac:dyDescent="0.25">
      <c r="A40" s="749"/>
      <c r="B40" s="765"/>
      <c r="C40" s="16" t="s">
        <v>284</v>
      </c>
      <c r="D40" s="110"/>
      <c r="E40" s="110"/>
      <c r="F40" s="110"/>
      <c r="G40" s="110"/>
      <c r="H40" s="110"/>
      <c r="I40" s="110">
        <v>57800</v>
      </c>
      <c r="J40" s="18">
        <v>20485</v>
      </c>
      <c r="K40" s="18"/>
      <c r="L40" s="44"/>
      <c r="M40" s="44"/>
      <c r="N40" s="44"/>
      <c r="O40" s="44"/>
      <c r="P40" s="44"/>
      <c r="Q40" s="214"/>
      <c r="R40" s="92"/>
      <c r="S40" s="92"/>
      <c r="T40" s="573">
        <f t="shared" si="1"/>
        <v>0</v>
      </c>
    </row>
    <row r="41" spans="1:20" ht="15.75" thickBot="1" x14ac:dyDescent="0.3">
      <c r="A41" s="749"/>
      <c r="B41" s="766"/>
      <c r="C41" s="173"/>
      <c r="D41" s="88"/>
      <c r="E41" s="88"/>
      <c r="F41" s="88"/>
      <c r="G41" s="88"/>
      <c r="H41" s="88"/>
      <c r="I41" s="88"/>
      <c r="J41" s="88"/>
      <c r="K41" s="90"/>
      <c r="L41" s="90"/>
      <c r="M41" s="90"/>
      <c r="N41" s="90"/>
      <c r="O41" s="90"/>
      <c r="P41" s="90"/>
      <c r="Q41" s="89"/>
      <c r="R41" s="92"/>
      <c r="S41" s="92"/>
      <c r="T41" s="573">
        <f t="shared" si="1"/>
        <v>0</v>
      </c>
    </row>
    <row r="42" spans="1:20" ht="17.25" thickTop="1" thickBot="1" x14ac:dyDescent="0.3">
      <c r="A42" s="396"/>
      <c r="B42" s="397"/>
      <c r="C42" s="359" t="s">
        <v>285</v>
      </c>
      <c r="D42" s="133">
        <f t="shared" ref="D42:R42" si="8">D17+D5</f>
        <v>2113092</v>
      </c>
      <c r="E42" s="133">
        <f t="shared" si="8"/>
        <v>1017958</v>
      </c>
      <c r="F42" s="133">
        <f t="shared" si="8"/>
        <v>1245369</v>
      </c>
      <c r="G42" s="133">
        <f t="shared" si="8"/>
        <v>4391413</v>
      </c>
      <c r="H42" s="133">
        <f t="shared" si="8"/>
        <v>3456141</v>
      </c>
      <c r="I42" s="133">
        <f t="shared" si="8"/>
        <v>4649713</v>
      </c>
      <c r="J42" s="133">
        <f t="shared" si="8"/>
        <v>4502774.0599999996</v>
      </c>
      <c r="K42" s="133">
        <f t="shared" si="8"/>
        <v>3678497</v>
      </c>
      <c r="L42" s="133">
        <f t="shared" si="8"/>
        <v>1218338.5899999999</v>
      </c>
      <c r="M42" s="134">
        <f t="shared" si="8"/>
        <v>550262.29</v>
      </c>
      <c r="N42" s="133">
        <f t="shared" si="8"/>
        <v>447329.30000000005</v>
      </c>
      <c r="O42" s="133">
        <f>O17+O5</f>
        <v>1696241.7999999998</v>
      </c>
      <c r="P42" s="133">
        <f>P17+P5</f>
        <v>2123247.52</v>
      </c>
      <c r="Q42" s="622">
        <f>Q17+Q5</f>
        <v>1526662.64</v>
      </c>
      <c r="R42" s="133">
        <f t="shared" si="8"/>
        <v>2891150</v>
      </c>
      <c r="S42" s="134">
        <f>S17+S5</f>
        <v>2436633.2399999998</v>
      </c>
      <c r="T42" s="660">
        <f t="shared" si="1"/>
        <v>84.28</v>
      </c>
    </row>
    <row r="43" spans="1:20" ht="15.75" thickTop="1" x14ac:dyDescent="0.25"/>
    <row r="44" spans="1:20" x14ac:dyDescent="0.25">
      <c r="S44" s="189"/>
    </row>
    <row r="45" spans="1:20" x14ac:dyDescent="0.25">
      <c r="S45" s="189"/>
    </row>
    <row r="46" spans="1:20" x14ac:dyDescent="0.25">
      <c r="T46" s="189"/>
    </row>
    <row r="47" spans="1:20" x14ac:dyDescent="0.25">
      <c r="T47" s="189"/>
    </row>
  </sheetData>
  <mergeCells count="34">
    <mergeCell ref="B38:C38"/>
    <mergeCell ref="A39:A41"/>
    <mergeCell ref="B40:B41"/>
    <mergeCell ref="B5:C5"/>
    <mergeCell ref="B6:C6"/>
    <mergeCell ref="A7:A16"/>
    <mergeCell ref="B8:B10"/>
    <mergeCell ref="B12:B16"/>
    <mergeCell ref="R3:R4"/>
    <mergeCell ref="A19:A37"/>
    <mergeCell ref="T3:T4"/>
    <mergeCell ref="B17:C17"/>
    <mergeCell ref="B18:C18"/>
    <mergeCell ref="K3:K4"/>
    <mergeCell ref="L3:L4"/>
    <mergeCell ref="F3:F4"/>
    <mergeCell ref="J3:J4"/>
    <mergeCell ref="G3:G4"/>
    <mergeCell ref="M3:M4"/>
    <mergeCell ref="N3:N4"/>
    <mergeCell ref="O3:O4"/>
    <mergeCell ref="P3:P4"/>
    <mergeCell ref="Q3:Q4"/>
    <mergeCell ref="S3:S4"/>
    <mergeCell ref="A1:C1"/>
    <mergeCell ref="A2:C2"/>
    <mergeCell ref="B20:B37"/>
    <mergeCell ref="H3:H4"/>
    <mergeCell ref="I3:I4"/>
    <mergeCell ref="A3:A4"/>
    <mergeCell ref="B3:B4"/>
    <mergeCell ref="C3:C4"/>
    <mergeCell ref="D3:D4"/>
    <mergeCell ref="E3:E4"/>
  </mergeCells>
  <pageMargins left="0.11811023622047245" right="0.11811023622047245" top="0.55118110236220474" bottom="0.74803149606299213" header="0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62"/>
  <sheetViews>
    <sheetView zoomScaleNormal="100" workbookViewId="0">
      <selection activeCell="V139" sqref="V139"/>
    </sheetView>
  </sheetViews>
  <sheetFormatPr defaultRowHeight="15" x14ac:dyDescent="0.25"/>
  <cols>
    <col min="1" max="1" width="10.85546875" customWidth="1"/>
    <col min="2" max="2" width="8.5703125" customWidth="1"/>
    <col min="3" max="3" width="31.140625" customWidth="1"/>
    <col min="4" max="11" width="9.140625" hidden="1" customWidth="1"/>
    <col min="12" max="12" width="14.42578125" hidden="1" customWidth="1"/>
    <col min="13" max="14" width="14.7109375" hidden="1" customWidth="1"/>
    <col min="15" max="16" width="15.28515625" hidden="1" customWidth="1"/>
    <col min="17" max="17" width="11.42578125" customWidth="1"/>
    <col min="18" max="18" width="12.85546875" customWidth="1"/>
    <col min="19" max="19" width="14.7109375" customWidth="1"/>
    <col min="20" max="20" width="12.42578125" customWidth="1"/>
    <col min="22" max="22" width="12.28515625" customWidth="1"/>
    <col min="23" max="23" width="10" bestFit="1" customWidth="1"/>
    <col min="246" max="246" width="10.85546875" customWidth="1"/>
    <col min="248" max="248" width="34.140625" customWidth="1"/>
    <col min="249" max="260" width="0" hidden="1" customWidth="1"/>
    <col min="261" max="262" width="15.28515625" customWidth="1"/>
    <col min="263" max="263" width="13.7109375" customWidth="1"/>
    <col min="264" max="264" width="10.5703125" customWidth="1"/>
    <col min="265" max="266" width="14.140625" customWidth="1"/>
    <col min="269" max="269" width="11.28515625" customWidth="1"/>
    <col min="502" max="502" width="10.85546875" customWidth="1"/>
    <col min="504" max="504" width="34.140625" customWidth="1"/>
    <col min="505" max="516" width="0" hidden="1" customWidth="1"/>
    <col min="517" max="518" width="15.28515625" customWidth="1"/>
    <col min="519" max="519" width="13.7109375" customWidth="1"/>
    <col min="520" max="520" width="10.5703125" customWidth="1"/>
    <col min="521" max="522" width="14.140625" customWidth="1"/>
    <col min="525" max="525" width="11.28515625" customWidth="1"/>
    <col min="758" max="758" width="10.85546875" customWidth="1"/>
    <col min="760" max="760" width="34.140625" customWidth="1"/>
    <col min="761" max="772" width="0" hidden="1" customWidth="1"/>
    <col min="773" max="774" width="15.28515625" customWidth="1"/>
    <col min="775" max="775" width="13.7109375" customWidth="1"/>
    <col min="776" max="776" width="10.5703125" customWidth="1"/>
    <col min="777" max="778" width="14.140625" customWidth="1"/>
    <col min="781" max="781" width="11.28515625" customWidth="1"/>
    <col min="1014" max="1014" width="10.85546875" customWidth="1"/>
    <col min="1016" max="1016" width="34.140625" customWidth="1"/>
    <col min="1017" max="1028" width="0" hidden="1" customWidth="1"/>
    <col min="1029" max="1030" width="15.28515625" customWidth="1"/>
    <col min="1031" max="1031" width="13.7109375" customWidth="1"/>
    <col min="1032" max="1032" width="10.5703125" customWidth="1"/>
    <col min="1033" max="1034" width="14.140625" customWidth="1"/>
    <col min="1037" max="1037" width="11.28515625" customWidth="1"/>
    <col min="1270" max="1270" width="10.85546875" customWidth="1"/>
    <col min="1272" max="1272" width="34.140625" customWidth="1"/>
    <col min="1273" max="1284" width="0" hidden="1" customWidth="1"/>
    <col min="1285" max="1286" width="15.28515625" customWidth="1"/>
    <col min="1287" max="1287" width="13.7109375" customWidth="1"/>
    <col min="1288" max="1288" width="10.5703125" customWidth="1"/>
    <col min="1289" max="1290" width="14.140625" customWidth="1"/>
    <col min="1293" max="1293" width="11.28515625" customWidth="1"/>
    <col min="1526" max="1526" width="10.85546875" customWidth="1"/>
    <col min="1528" max="1528" width="34.140625" customWidth="1"/>
    <col min="1529" max="1540" width="0" hidden="1" customWidth="1"/>
    <col min="1541" max="1542" width="15.28515625" customWidth="1"/>
    <col min="1543" max="1543" width="13.7109375" customWidth="1"/>
    <col min="1544" max="1544" width="10.5703125" customWidth="1"/>
    <col min="1545" max="1546" width="14.140625" customWidth="1"/>
    <col min="1549" max="1549" width="11.28515625" customWidth="1"/>
    <col min="1782" max="1782" width="10.85546875" customWidth="1"/>
    <col min="1784" max="1784" width="34.140625" customWidth="1"/>
    <col min="1785" max="1796" width="0" hidden="1" customWidth="1"/>
    <col min="1797" max="1798" width="15.28515625" customWidth="1"/>
    <col min="1799" max="1799" width="13.7109375" customWidth="1"/>
    <col min="1800" max="1800" width="10.5703125" customWidth="1"/>
    <col min="1801" max="1802" width="14.140625" customWidth="1"/>
    <col min="1805" max="1805" width="11.28515625" customWidth="1"/>
    <col min="2038" max="2038" width="10.85546875" customWidth="1"/>
    <col min="2040" max="2040" width="34.140625" customWidth="1"/>
    <col min="2041" max="2052" width="0" hidden="1" customWidth="1"/>
    <col min="2053" max="2054" width="15.28515625" customWidth="1"/>
    <col min="2055" max="2055" width="13.7109375" customWidth="1"/>
    <col min="2056" max="2056" width="10.5703125" customWidth="1"/>
    <col min="2057" max="2058" width="14.140625" customWidth="1"/>
    <col min="2061" max="2061" width="11.28515625" customWidth="1"/>
    <col min="2294" max="2294" width="10.85546875" customWidth="1"/>
    <col min="2296" max="2296" width="34.140625" customWidth="1"/>
    <col min="2297" max="2308" width="0" hidden="1" customWidth="1"/>
    <col min="2309" max="2310" width="15.28515625" customWidth="1"/>
    <col min="2311" max="2311" width="13.7109375" customWidth="1"/>
    <col min="2312" max="2312" width="10.5703125" customWidth="1"/>
    <col min="2313" max="2314" width="14.140625" customWidth="1"/>
    <col min="2317" max="2317" width="11.28515625" customWidth="1"/>
    <col min="2550" max="2550" width="10.85546875" customWidth="1"/>
    <col min="2552" max="2552" width="34.140625" customWidth="1"/>
    <col min="2553" max="2564" width="0" hidden="1" customWidth="1"/>
    <col min="2565" max="2566" width="15.28515625" customWidth="1"/>
    <col min="2567" max="2567" width="13.7109375" customWidth="1"/>
    <col min="2568" max="2568" width="10.5703125" customWidth="1"/>
    <col min="2569" max="2570" width="14.140625" customWidth="1"/>
    <col min="2573" max="2573" width="11.28515625" customWidth="1"/>
    <col min="2806" max="2806" width="10.85546875" customWidth="1"/>
    <col min="2808" max="2808" width="34.140625" customWidth="1"/>
    <col min="2809" max="2820" width="0" hidden="1" customWidth="1"/>
    <col min="2821" max="2822" width="15.28515625" customWidth="1"/>
    <col min="2823" max="2823" width="13.7109375" customWidth="1"/>
    <col min="2824" max="2824" width="10.5703125" customWidth="1"/>
    <col min="2825" max="2826" width="14.140625" customWidth="1"/>
    <col min="2829" max="2829" width="11.28515625" customWidth="1"/>
    <col min="3062" max="3062" width="10.85546875" customWidth="1"/>
    <col min="3064" max="3064" width="34.140625" customWidth="1"/>
    <col min="3065" max="3076" width="0" hidden="1" customWidth="1"/>
    <col min="3077" max="3078" width="15.28515625" customWidth="1"/>
    <col min="3079" max="3079" width="13.7109375" customWidth="1"/>
    <col min="3080" max="3080" width="10.5703125" customWidth="1"/>
    <col min="3081" max="3082" width="14.140625" customWidth="1"/>
    <col min="3085" max="3085" width="11.28515625" customWidth="1"/>
    <col min="3318" max="3318" width="10.85546875" customWidth="1"/>
    <col min="3320" max="3320" width="34.140625" customWidth="1"/>
    <col min="3321" max="3332" width="0" hidden="1" customWidth="1"/>
    <col min="3333" max="3334" width="15.28515625" customWidth="1"/>
    <col min="3335" max="3335" width="13.7109375" customWidth="1"/>
    <col min="3336" max="3336" width="10.5703125" customWidth="1"/>
    <col min="3337" max="3338" width="14.140625" customWidth="1"/>
    <col min="3341" max="3341" width="11.28515625" customWidth="1"/>
    <col min="3574" max="3574" width="10.85546875" customWidth="1"/>
    <col min="3576" max="3576" width="34.140625" customWidth="1"/>
    <col min="3577" max="3588" width="0" hidden="1" customWidth="1"/>
    <col min="3589" max="3590" width="15.28515625" customWidth="1"/>
    <col min="3591" max="3591" width="13.7109375" customWidth="1"/>
    <col min="3592" max="3592" width="10.5703125" customWidth="1"/>
    <col min="3593" max="3594" width="14.140625" customWidth="1"/>
    <col min="3597" max="3597" width="11.28515625" customWidth="1"/>
    <col min="3830" max="3830" width="10.85546875" customWidth="1"/>
    <col min="3832" max="3832" width="34.140625" customWidth="1"/>
    <col min="3833" max="3844" width="0" hidden="1" customWidth="1"/>
    <col min="3845" max="3846" width="15.28515625" customWidth="1"/>
    <col min="3847" max="3847" width="13.7109375" customWidth="1"/>
    <col min="3848" max="3848" width="10.5703125" customWidth="1"/>
    <col min="3849" max="3850" width="14.140625" customWidth="1"/>
    <col min="3853" max="3853" width="11.28515625" customWidth="1"/>
    <col min="4086" max="4086" width="10.85546875" customWidth="1"/>
    <col min="4088" max="4088" width="34.140625" customWidth="1"/>
    <col min="4089" max="4100" width="0" hidden="1" customWidth="1"/>
    <col min="4101" max="4102" width="15.28515625" customWidth="1"/>
    <col min="4103" max="4103" width="13.7109375" customWidth="1"/>
    <col min="4104" max="4104" width="10.5703125" customWidth="1"/>
    <col min="4105" max="4106" width="14.140625" customWidth="1"/>
    <col min="4109" max="4109" width="11.28515625" customWidth="1"/>
    <col min="4342" max="4342" width="10.85546875" customWidth="1"/>
    <col min="4344" max="4344" width="34.140625" customWidth="1"/>
    <col min="4345" max="4356" width="0" hidden="1" customWidth="1"/>
    <col min="4357" max="4358" width="15.28515625" customWidth="1"/>
    <col min="4359" max="4359" width="13.7109375" customWidth="1"/>
    <col min="4360" max="4360" width="10.5703125" customWidth="1"/>
    <col min="4361" max="4362" width="14.140625" customWidth="1"/>
    <col min="4365" max="4365" width="11.28515625" customWidth="1"/>
    <col min="4598" max="4598" width="10.85546875" customWidth="1"/>
    <col min="4600" max="4600" width="34.140625" customWidth="1"/>
    <col min="4601" max="4612" width="0" hidden="1" customWidth="1"/>
    <col min="4613" max="4614" width="15.28515625" customWidth="1"/>
    <col min="4615" max="4615" width="13.7109375" customWidth="1"/>
    <col min="4616" max="4616" width="10.5703125" customWidth="1"/>
    <col min="4617" max="4618" width="14.140625" customWidth="1"/>
    <col min="4621" max="4621" width="11.28515625" customWidth="1"/>
    <col min="4854" max="4854" width="10.85546875" customWidth="1"/>
    <col min="4856" max="4856" width="34.140625" customWidth="1"/>
    <col min="4857" max="4868" width="0" hidden="1" customWidth="1"/>
    <col min="4869" max="4870" width="15.28515625" customWidth="1"/>
    <col min="4871" max="4871" width="13.7109375" customWidth="1"/>
    <col min="4872" max="4872" width="10.5703125" customWidth="1"/>
    <col min="4873" max="4874" width="14.140625" customWidth="1"/>
    <col min="4877" max="4877" width="11.28515625" customWidth="1"/>
    <col min="5110" max="5110" width="10.85546875" customWidth="1"/>
    <col min="5112" max="5112" width="34.140625" customWidth="1"/>
    <col min="5113" max="5124" width="0" hidden="1" customWidth="1"/>
    <col min="5125" max="5126" width="15.28515625" customWidth="1"/>
    <col min="5127" max="5127" width="13.7109375" customWidth="1"/>
    <col min="5128" max="5128" width="10.5703125" customWidth="1"/>
    <col min="5129" max="5130" width="14.140625" customWidth="1"/>
    <col min="5133" max="5133" width="11.28515625" customWidth="1"/>
    <col min="5366" max="5366" width="10.85546875" customWidth="1"/>
    <col min="5368" max="5368" width="34.140625" customWidth="1"/>
    <col min="5369" max="5380" width="0" hidden="1" customWidth="1"/>
    <col min="5381" max="5382" width="15.28515625" customWidth="1"/>
    <col min="5383" max="5383" width="13.7109375" customWidth="1"/>
    <col min="5384" max="5384" width="10.5703125" customWidth="1"/>
    <col min="5385" max="5386" width="14.140625" customWidth="1"/>
    <col min="5389" max="5389" width="11.28515625" customWidth="1"/>
    <col min="5622" max="5622" width="10.85546875" customWidth="1"/>
    <col min="5624" max="5624" width="34.140625" customWidth="1"/>
    <col min="5625" max="5636" width="0" hidden="1" customWidth="1"/>
    <col min="5637" max="5638" width="15.28515625" customWidth="1"/>
    <col min="5639" max="5639" width="13.7109375" customWidth="1"/>
    <col min="5640" max="5640" width="10.5703125" customWidth="1"/>
    <col min="5641" max="5642" width="14.140625" customWidth="1"/>
    <col min="5645" max="5645" width="11.28515625" customWidth="1"/>
    <col min="5878" max="5878" width="10.85546875" customWidth="1"/>
    <col min="5880" max="5880" width="34.140625" customWidth="1"/>
    <col min="5881" max="5892" width="0" hidden="1" customWidth="1"/>
    <col min="5893" max="5894" width="15.28515625" customWidth="1"/>
    <col min="5895" max="5895" width="13.7109375" customWidth="1"/>
    <col min="5896" max="5896" width="10.5703125" customWidth="1"/>
    <col min="5897" max="5898" width="14.140625" customWidth="1"/>
    <col min="5901" max="5901" width="11.28515625" customWidth="1"/>
    <col min="6134" max="6134" width="10.85546875" customWidth="1"/>
    <col min="6136" max="6136" width="34.140625" customWidth="1"/>
    <col min="6137" max="6148" width="0" hidden="1" customWidth="1"/>
    <col min="6149" max="6150" width="15.28515625" customWidth="1"/>
    <col min="6151" max="6151" width="13.7109375" customWidth="1"/>
    <col min="6152" max="6152" width="10.5703125" customWidth="1"/>
    <col min="6153" max="6154" width="14.140625" customWidth="1"/>
    <col min="6157" max="6157" width="11.28515625" customWidth="1"/>
    <col min="6390" max="6390" width="10.85546875" customWidth="1"/>
    <col min="6392" max="6392" width="34.140625" customWidth="1"/>
    <col min="6393" max="6404" width="0" hidden="1" customWidth="1"/>
    <col min="6405" max="6406" width="15.28515625" customWidth="1"/>
    <col min="6407" max="6407" width="13.7109375" customWidth="1"/>
    <col min="6408" max="6408" width="10.5703125" customWidth="1"/>
    <col min="6409" max="6410" width="14.140625" customWidth="1"/>
    <col min="6413" max="6413" width="11.28515625" customWidth="1"/>
    <col min="6646" max="6646" width="10.85546875" customWidth="1"/>
    <col min="6648" max="6648" width="34.140625" customWidth="1"/>
    <col min="6649" max="6660" width="0" hidden="1" customWidth="1"/>
    <col min="6661" max="6662" width="15.28515625" customWidth="1"/>
    <col min="6663" max="6663" width="13.7109375" customWidth="1"/>
    <col min="6664" max="6664" width="10.5703125" customWidth="1"/>
    <col min="6665" max="6666" width="14.140625" customWidth="1"/>
    <col min="6669" max="6669" width="11.28515625" customWidth="1"/>
    <col min="6902" max="6902" width="10.85546875" customWidth="1"/>
    <col min="6904" max="6904" width="34.140625" customWidth="1"/>
    <col min="6905" max="6916" width="0" hidden="1" customWidth="1"/>
    <col min="6917" max="6918" width="15.28515625" customWidth="1"/>
    <col min="6919" max="6919" width="13.7109375" customWidth="1"/>
    <col min="6920" max="6920" width="10.5703125" customWidth="1"/>
    <col min="6921" max="6922" width="14.140625" customWidth="1"/>
    <col min="6925" max="6925" width="11.28515625" customWidth="1"/>
    <col min="7158" max="7158" width="10.85546875" customWidth="1"/>
    <col min="7160" max="7160" width="34.140625" customWidth="1"/>
    <col min="7161" max="7172" width="0" hidden="1" customWidth="1"/>
    <col min="7173" max="7174" width="15.28515625" customWidth="1"/>
    <col min="7175" max="7175" width="13.7109375" customWidth="1"/>
    <col min="7176" max="7176" width="10.5703125" customWidth="1"/>
    <col min="7177" max="7178" width="14.140625" customWidth="1"/>
    <col min="7181" max="7181" width="11.28515625" customWidth="1"/>
    <col min="7414" max="7414" width="10.85546875" customWidth="1"/>
    <col min="7416" max="7416" width="34.140625" customWidth="1"/>
    <col min="7417" max="7428" width="0" hidden="1" customWidth="1"/>
    <col min="7429" max="7430" width="15.28515625" customWidth="1"/>
    <col min="7431" max="7431" width="13.7109375" customWidth="1"/>
    <col min="7432" max="7432" width="10.5703125" customWidth="1"/>
    <col min="7433" max="7434" width="14.140625" customWidth="1"/>
    <col min="7437" max="7437" width="11.28515625" customWidth="1"/>
    <col min="7670" max="7670" width="10.85546875" customWidth="1"/>
    <col min="7672" max="7672" width="34.140625" customWidth="1"/>
    <col min="7673" max="7684" width="0" hidden="1" customWidth="1"/>
    <col min="7685" max="7686" width="15.28515625" customWidth="1"/>
    <col min="7687" max="7687" width="13.7109375" customWidth="1"/>
    <col min="7688" max="7688" width="10.5703125" customWidth="1"/>
    <col min="7689" max="7690" width="14.140625" customWidth="1"/>
    <col min="7693" max="7693" width="11.28515625" customWidth="1"/>
    <col min="7926" max="7926" width="10.85546875" customWidth="1"/>
    <col min="7928" max="7928" width="34.140625" customWidth="1"/>
    <col min="7929" max="7940" width="0" hidden="1" customWidth="1"/>
    <col min="7941" max="7942" width="15.28515625" customWidth="1"/>
    <col min="7943" max="7943" width="13.7109375" customWidth="1"/>
    <col min="7944" max="7944" width="10.5703125" customWidth="1"/>
    <col min="7945" max="7946" width="14.140625" customWidth="1"/>
    <col min="7949" max="7949" width="11.28515625" customWidth="1"/>
    <col min="8182" max="8182" width="10.85546875" customWidth="1"/>
    <col min="8184" max="8184" width="34.140625" customWidth="1"/>
    <col min="8185" max="8196" width="0" hidden="1" customWidth="1"/>
    <col min="8197" max="8198" width="15.28515625" customWidth="1"/>
    <col min="8199" max="8199" width="13.7109375" customWidth="1"/>
    <col min="8200" max="8200" width="10.5703125" customWidth="1"/>
    <col min="8201" max="8202" width="14.140625" customWidth="1"/>
    <col min="8205" max="8205" width="11.28515625" customWidth="1"/>
    <col min="8438" max="8438" width="10.85546875" customWidth="1"/>
    <col min="8440" max="8440" width="34.140625" customWidth="1"/>
    <col min="8441" max="8452" width="0" hidden="1" customWidth="1"/>
    <col min="8453" max="8454" width="15.28515625" customWidth="1"/>
    <col min="8455" max="8455" width="13.7109375" customWidth="1"/>
    <col min="8456" max="8456" width="10.5703125" customWidth="1"/>
    <col min="8457" max="8458" width="14.140625" customWidth="1"/>
    <col min="8461" max="8461" width="11.28515625" customWidth="1"/>
    <col min="8694" max="8694" width="10.85546875" customWidth="1"/>
    <col min="8696" max="8696" width="34.140625" customWidth="1"/>
    <col min="8697" max="8708" width="0" hidden="1" customWidth="1"/>
    <col min="8709" max="8710" width="15.28515625" customWidth="1"/>
    <col min="8711" max="8711" width="13.7109375" customWidth="1"/>
    <col min="8712" max="8712" width="10.5703125" customWidth="1"/>
    <col min="8713" max="8714" width="14.140625" customWidth="1"/>
    <col min="8717" max="8717" width="11.28515625" customWidth="1"/>
    <col min="8950" max="8950" width="10.85546875" customWidth="1"/>
    <col min="8952" max="8952" width="34.140625" customWidth="1"/>
    <col min="8953" max="8964" width="0" hidden="1" customWidth="1"/>
    <col min="8965" max="8966" width="15.28515625" customWidth="1"/>
    <col min="8967" max="8967" width="13.7109375" customWidth="1"/>
    <col min="8968" max="8968" width="10.5703125" customWidth="1"/>
    <col min="8969" max="8970" width="14.140625" customWidth="1"/>
    <col min="8973" max="8973" width="11.28515625" customWidth="1"/>
    <col min="9206" max="9206" width="10.85546875" customWidth="1"/>
    <col min="9208" max="9208" width="34.140625" customWidth="1"/>
    <col min="9209" max="9220" width="0" hidden="1" customWidth="1"/>
    <col min="9221" max="9222" width="15.28515625" customWidth="1"/>
    <col min="9223" max="9223" width="13.7109375" customWidth="1"/>
    <col min="9224" max="9224" width="10.5703125" customWidth="1"/>
    <col min="9225" max="9226" width="14.140625" customWidth="1"/>
    <col min="9229" max="9229" width="11.28515625" customWidth="1"/>
    <col min="9462" max="9462" width="10.85546875" customWidth="1"/>
    <col min="9464" max="9464" width="34.140625" customWidth="1"/>
    <col min="9465" max="9476" width="0" hidden="1" customWidth="1"/>
    <col min="9477" max="9478" width="15.28515625" customWidth="1"/>
    <col min="9479" max="9479" width="13.7109375" customWidth="1"/>
    <col min="9480" max="9480" width="10.5703125" customWidth="1"/>
    <col min="9481" max="9482" width="14.140625" customWidth="1"/>
    <col min="9485" max="9485" width="11.28515625" customWidth="1"/>
    <col min="9718" max="9718" width="10.85546875" customWidth="1"/>
    <col min="9720" max="9720" width="34.140625" customWidth="1"/>
    <col min="9721" max="9732" width="0" hidden="1" customWidth="1"/>
    <col min="9733" max="9734" width="15.28515625" customWidth="1"/>
    <col min="9735" max="9735" width="13.7109375" customWidth="1"/>
    <col min="9736" max="9736" width="10.5703125" customWidth="1"/>
    <col min="9737" max="9738" width="14.140625" customWidth="1"/>
    <col min="9741" max="9741" width="11.28515625" customWidth="1"/>
    <col min="9974" max="9974" width="10.85546875" customWidth="1"/>
    <col min="9976" max="9976" width="34.140625" customWidth="1"/>
    <col min="9977" max="9988" width="0" hidden="1" customWidth="1"/>
    <col min="9989" max="9990" width="15.28515625" customWidth="1"/>
    <col min="9991" max="9991" width="13.7109375" customWidth="1"/>
    <col min="9992" max="9992" width="10.5703125" customWidth="1"/>
    <col min="9993" max="9994" width="14.140625" customWidth="1"/>
    <col min="9997" max="9997" width="11.28515625" customWidth="1"/>
    <col min="10230" max="10230" width="10.85546875" customWidth="1"/>
    <col min="10232" max="10232" width="34.140625" customWidth="1"/>
    <col min="10233" max="10244" width="0" hidden="1" customWidth="1"/>
    <col min="10245" max="10246" width="15.28515625" customWidth="1"/>
    <col min="10247" max="10247" width="13.7109375" customWidth="1"/>
    <col min="10248" max="10248" width="10.5703125" customWidth="1"/>
    <col min="10249" max="10250" width="14.140625" customWidth="1"/>
    <col min="10253" max="10253" width="11.28515625" customWidth="1"/>
    <col min="10486" max="10486" width="10.85546875" customWidth="1"/>
    <col min="10488" max="10488" width="34.140625" customWidth="1"/>
    <col min="10489" max="10500" width="0" hidden="1" customWidth="1"/>
    <col min="10501" max="10502" width="15.28515625" customWidth="1"/>
    <col min="10503" max="10503" width="13.7109375" customWidth="1"/>
    <col min="10504" max="10504" width="10.5703125" customWidth="1"/>
    <col min="10505" max="10506" width="14.140625" customWidth="1"/>
    <col min="10509" max="10509" width="11.28515625" customWidth="1"/>
    <col min="10742" max="10742" width="10.85546875" customWidth="1"/>
    <col min="10744" max="10744" width="34.140625" customWidth="1"/>
    <col min="10745" max="10756" width="0" hidden="1" customWidth="1"/>
    <col min="10757" max="10758" width="15.28515625" customWidth="1"/>
    <col min="10759" max="10759" width="13.7109375" customWidth="1"/>
    <col min="10760" max="10760" width="10.5703125" customWidth="1"/>
    <col min="10761" max="10762" width="14.140625" customWidth="1"/>
    <col min="10765" max="10765" width="11.28515625" customWidth="1"/>
    <col min="10998" max="10998" width="10.85546875" customWidth="1"/>
    <col min="11000" max="11000" width="34.140625" customWidth="1"/>
    <col min="11001" max="11012" width="0" hidden="1" customWidth="1"/>
    <col min="11013" max="11014" width="15.28515625" customWidth="1"/>
    <col min="11015" max="11015" width="13.7109375" customWidth="1"/>
    <col min="11016" max="11016" width="10.5703125" customWidth="1"/>
    <col min="11017" max="11018" width="14.140625" customWidth="1"/>
    <col min="11021" max="11021" width="11.28515625" customWidth="1"/>
    <col min="11254" max="11254" width="10.85546875" customWidth="1"/>
    <col min="11256" max="11256" width="34.140625" customWidth="1"/>
    <col min="11257" max="11268" width="0" hidden="1" customWidth="1"/>
    <col min="11269" max="11270" width="15.28515625" customWidth="1"/>
    <col min="11271" max="11271" width="13.7109375" customWidth="1"/>
    <col min="11272" max="11272" width="10.5703125" customWidth="1"/>
    <col min="11273" max="11274" width="14.140625" customWidth="1"/>
    <col min="11277" max="11277" width="11.28515625" customWidth="1"/>
    <col min="11510" max="11510" width="10.85546875" customWidth="1"/>
    <col min="11512" max="11512" width="34.140625" customWidth="1"/>
    <col min="11513" max="11524" width="0" hidden="1" customWidth="1"/>
    <col min="11525" max="11526" width="15.28515625" customWidth="1"/>
    <col min="11527" max="11527" width="13.7109375" customWidth="1"/>
    <col min="11528" max="11528" width="10.5703125" customWidth="1"/>
    <col min="11529" max="11530" width="14.140625" customWidth="1"/>
    <col min="11533" max="11533" width="11.28515625" customWidth="1"/>
    <col min="11766" max="11766" width="10.85546875" customWidth="1"/>
    <col min="11768" max="11768" width="34.140625" customWidth="1"/>
    <col min="11769" max="11780" width="0" hidden="1" customWidth="1"/>
    <col min="11781" max="11782" width="15.28515625" customWidth="1"/>
    <col min="11783" max="11783" width="13.7109375" customWidth="1"/>
    <col min="11784" max="11784" width="10.5703125" customWidth="1"/>
    <col min="11785" max="11786" width="14.140625" customWidth="1"/>
    <col min="11789" max="11789" width="11.28515625" customWidth="1"/>
    <col min="12022" max="12022" width="10.85546875" customWidth="1"/>
    <col min="12024" max="12024" width="34.140625" customWidth="1"/>
    <col min="12025" max="12036" width="0" hidden="1" customWidth="1"/>
    <col min="12037" max="12038" width="15.28515625" customWidth="1"/>
    <col min="12039" max="12039" width="13.7109375" customWidth="1"/>
    <col min="12040" max="12040" width="10.5703125" customWidth="1"/>
    <col min="12041" max="12042" width="14.140625" customWidth="1"/>
    <col min="12045" max="12045" width="11.28515625" customWidth="1"/>
    <col min="12278" max="12278" width="10.85546875" customWidth="1"/>
    <col min="12280" max="12280" width="34.140625" customWidth="1"/>
    <col min="12281" max="12292" width="0" hidden="1" customWidth="1"/>
    <col min="12293" max="12294" width="15.28515625" customWidth="1"/>
    <col min="12295" max="12295" width="13.7109375" customWidth="1"/>
    <col min="12296" max="12296" width="10.5703125" customWidth="1"/>
    <col min="12297" max="12298" width="14.140625" customWidth="1"/>
    <col min="12301" max="12301" width="11.28515625" customWidth="1"/>
    <col min="12534" max="12534" width="10.85546875" customWidth="1"/>
    <col min="12536" max="12536" width="34.140625" customWidth="1"/>
    <col min="12537" max="12548" width="0" hidden="1" customWidth="1"/>
    <col min="12549" max="12550" width="15.28515625" customWidth="1"/>
    <col min="12551" max="12551" width="13.7109375" customWidth="1"/>
    <col min="12552" max="12552" width="10.5703125" customWidth="1"/>
    <col min="12553" max="12554" width="14.140625" customWidth="1"/>
    <col min="12557" max="12557" width="11.28515625" customWidth="1"/>
    <col min="12790" max="12790" width="10.85546875" customWidth="1"/>
    <col min="12792" max="12792" width="34.140625" customWidth="1"/>
    <col min="12793" max="12804" width="0" hidden="1" customWidth="1"/>
    <col min="12805" max="12806" width="15.28515625" customWidth="1"/>
    <col min="12807" max="12807" width="13.7109375" customWidth="1"/>
    <col min="12808" max="12808" width="10.5703125" customWidth="1"/>
    <col min="12809" max="12810" width="14.140625" customWidth="1"/>
    <col min="12813" max="12813" width="11.28515625" customWidth="1"/>
    <col min="13046" max="13046" width="10.85546875" customWidth="1"/>
    <col min="13048" max="13048" width="34.140625" customWidth="1"/>
    <col min="13049" max="13060" width="0" hidden="1" customWidth="1"/>
    <col min="13061" max="13062" width="15.28515625" customWidth="1"/>
    <col min="13063" max="13063" width="13.7109375" customWidth="1"/>
    <col min="13064" max="13064" width="10.5703125" customWidth="1"/>
    <col min="13065" max="13066" width="14.140625" customWidth="1"/>
    <col min="13069" max="13069" width="11.28515625" customWidth="1"/>
    <col min="13302" max="13302" width="10.85546875" customWidth="1"/>
    <col min="13304" max="13304" width="34.140625" customWidth="1"/>
    <col min="13305" max="13316" width="0" hidden="1" customWidth="1"/>
    <col min="13317" max="13318" width="15.28515625" customWidth="1"/>
    <col min="13319" max="13319" width="13.7109375" customWidth="1"/>
    <col min="13320" max="13320" width="10.5703125" customWidth="1"/>
    <col min="13321" max="13322" width="14.140625" customWidth="1"/>
    <col min="13325" max="13325" width="11.28515625" customWidth="1"/>
    <col min="13558" max="13558" width="10.85546875" customWidth="1"/>
    <col min="13560" max="13560" width="34.140625" customWidth="1"/>
    <col min="13561" max="13572" width="0" hidden="1" customWidth="1"/>
    <col min="13573" max="13574" width="15.28515625" customWidth="1"/>
    <col min="13575" max="13575" width="13.7109375" customWidth="1"/>
    <col min="13576" max="13576" width="10.5703125" customWidth="1"/>
    <col min="13577" max="13578" width="14.140625" customWidth="1"/>
    <col min="13581" max="13581" width="11.28515625" customWidth="1"/>
    <col min="13814" max="13814" width="10.85546875" customWidth="1"/>
    <col min="13816" max="13816" width="34.140625" customWidth="1"/>
    <col min="13817" max="13828" width="0" hidden="1" customWidth="1"/>
    <col min="13829" max="13830" width="15.28515625" customWidth="1"/>
    <col min="13831" max="13831" width="13.7109375" customWidth="1"/>
    <col min="13832" max="13832" width="10.5703125" customWidth="1"/>
    <col min="13833" max="13834" width="14.140625" customWidth="1"/>
    <col min="13837" max="13837" width="11.28515625" customWidth="1"/>
    <col min="14070" max="14070" width="10.85546875" customWidth="1"/>
    <col min="14072" max="14072" width="34.140625" customWidth="1"/>
    <col min="14073" max="14084" width="0" hidden="1" customWidth="1"/>
    <col min="14085" max="14086" width="15.28515625" customWidth="1"/>
    <col min="14087" max="14087" width="13.7109375" customWidth="1"/>
    <col min="14088" max="14088" width="10.5703125" customWidth="1"/>
    <col min="14089" max="14090" width="14.140625" customWidth="1"/>
    <col min="14093" max="14093" width="11.28515625" customWidth="1"/>
    <col min="14326" max="14326" width="10.85546875" customWidth="1"/>
    <col min="14328" max="14328" width="34.140625" customWidth="1"/>
    <col min="14329" max="14340" width="0" hidden="1" customWidth="1"/>
    <col min="14341" max="14342" width="15.28515625" customWidth="1"/>
    <col min="14343" max="14343" width="13.7109375" customWidth="1"/>
    <col min="14344" max="14344" width="10.5703125" customWidth="1"/>
    <col min="14345" max="14346" width="14.140625" customWidth="1"/>
    <col min="14349" max="14349" width="11.28515625" customWidth="1"/>
    <col min="14582" max="14582" width="10.85546875" customWidth="1"/>
    <col min="14584" max="14584" width="34.140625" customWidth="1"/>
    <col min="14585" max="14596" width="0" hidden="1" customWidth="1"/>
    <col min="14597" max="14598" width="15.28515625" customWidth="1"/>
    <col min="14599" max="14599" width="13.7109375" customWidth="1"/>
    <col min="14600" max="14600" width="10.5703125" customWidth="1"/>
    <col min="14601" max="14602" width="14.140625" customWidth="1"/>
    <col min="14605" max="14605" width="11.28515625" customWidth="1"/>
    <col min="14838" max="14838" width="10.85546875" customWidth="1"/>
    <col min="14840" max="14840" width="34.140625" customWidth="1"/>
    <col min="14841" max="14852" width="0" hidden="1" customWidth="1"/>
    <col min="14853" max="14854" width="15.28515625" customWidth="1"/>
    <col min="14855" max="14855" width="13.7109375" customWidth="1"/>
    <col min="14856" max="14856" width="10.5703125" customWidth="1"/>
    <col min="14857" max="14858" width="14.140625" customWidth="1"/>
    <col min="14861" max="14861" width="11.28515625" customWidth="1"/>
    <col min="15094" max="15094" width="10.85546875" customWidth="1"/>
    <col min="15096" max="15096" width="34.140625" customWidth="1"/>
    <col min="15097" max="15108" width="0" hidden="1" customWidth="1"/>
    <col min="15109" max="15110" width="15.28515625" customWidth="1"/>
    <col min="15111" max="15111" width="13.7109375" customWidth="1"/>
    <col min="15112" max="15112" width="10.5703125" customWidth="1"/>
    <col min="15113" max="15114" width="14.140625" customWidth="1"/>
    <col min="15117" max="15117" width="11.28515625" customWidth="1"/>
    <col min="15350" max="15350" width="10.85546875" customWidth="1"/>
    <col min="15352" max="15352" width="34.140625" customWidth="1"/>
    <col min="15353" max="15364" width="0" hidden="1" customWidth="1"/>
    <col min="15365" max="15366" width="15.28515625" customWidth="1"/>
    <col min="15367" max="15367" width="13.7109375" customWidth="1"/>
    <col min="15368" max="15368" width="10.5703125" customWidth="1"/>
    <col min="15369" max="15370" width="14.140625" customWidth="1"/>
    <col min="15373" max="15373" width="11.28515625" customWidth="1"/>
    <col min="15606" max="15606" width="10.85546875" customWidth="1"/>
    <col min="15608" max="15608" width="34.140625" customWidth="1"/>
    <col min="15609" max="15620" width="0" hidden="1" customWidth="1"/>
    <col min="15621" max="15622" width="15.28515625" customWidth="1"/>
    <col min="15623" max="15623" width="13.7109375" customWidth="1"/>
    <col min="15624" max="15624" width="10.5703125" customWidth="1"/>
    <col min="15625" max="15626" width="14.140625" customWidth="1"/>
    <col min="15629" max="15629" width="11.28515625" customWidth="1"/>
    <col min="15862" max="15862" width="10.85546875" customWidth="1"/>
    <col min="15864" max="15864" width="34.140625" customWidth="1"/>
    <col min="15865" max="15876" width="0" hidden="1" customWidth="1"/>
    <col min="15877" max="15878" width="15.28515625" customWidth="1"/>
    <col min="15879" max="15879" width="13.7109375" customWidth="1"/>
    <col min="15880" max="15880" width="10.5703125" customWidth="1"/>
    <col min="15881" max="15882" width="14.140625" customWidth="1"/>
    <col min="15885" max="15885" width="11.28515625" customWidth="1"/>
    <col min="16118" max="16118" width="10.85546875" customWidth="1"/>
    <col min="16120" max="16120" width="34.140625" customWidth="1"/>
    <col min="16121" max="16132" width="0" hidden="1" customWidth="1"/>
    <col min="16133" max="16134" width="15.28515625" customWidth="1"/>
    <col min="16135" max="16135" width="13.7109375" customWidth="1"/>
    <col min="16136" max="16136" width="10.5703125" customWidth="1"/>
    <col min="16137" max="16138" width="14.140625" customWidth="1"/>
    <col min="16141" max="16141" width="11.28515625" customWidth="1"/>
  </cols>
  <sheetData>
    <row r="1" spans="1:22" ht="15.75" thickBot="1" x14ac:dyDescent="0.3">
      <c r="A1" s="837" t="s">
        <v>286</v>
      </c>
      <c r="B1" s="837"/>
      <c r="C1" s="837"/>
      <c r="D1" s="837"/>
      <c r="E1" s="837"/>
      <c r="F1" s="837"/>
      <c r="G1" s="837"/>
      <c r="H1" s="837"/>
      <c r="I1" s="837"/>
      <c r="J1" s="837"/>
      <c r="K1" s="837"/>
      <c r="L1" s="837"/>
      <c r="M1" s="837"/>
      <c r="N1" s="837"/>
      <c r="O1" s="837"/>
      <c r="P1" s="837"/>
      <c r="Q1" s="837"/>
      <c r="R1" s="837"/>
      <c r="S1" s="837"/>
      <c r="T1" s="837"/>
    </row>
    <row r="2" spans="1:22" ht="13.5" customHeight="1" thickTop="1" x14ac:dyDescent="0.25">
      <c r="A2" s="824" t="s">
        <v>105</v>
      </c>
      <c r="B2" s="857" t="s">
        <v>1</v>
      </c>
      <c r="C2" s="828" t="s">
        <v>106</v>
      </c>
      <c r="D2" s="756" t="s">
        <v>107</v>
      </c>
      <c r="E2" s="756" t="s">
        <v>108</v>
      </c>
      <c r="F2" s="756" t="s">
        <v>109</v>
      </c>
      <c r="G2" s="756" t="s">
        <v>110</v>
      </c>
      <c r="H2" s="756" t="s">
        <v>111</v>
      </c>
      <c r="I2" s="756" t="s">
        <v>8</v>
      </c>
      <c r="J2" s="756" t="s">
        <v>9</v>
      </c>
      <c r="K2" s="756" t="s">
        <v>10</v>
      </c>
      <c r="L2" s="756" t="s">
        <v>11</v>
      </c>
      <c r="M2" s="854" t="s">
        <v>287</v>
      </c>
      <c r="N2" s="854" t="s">
        <v>13</v>
      </c>
      <c r="O2" s="756" t="s">
        <v>14</v>
      </c>
      <c r="P2" s="756" t="s">
        <v>15</v>
      </c>
      <c r="Q2" s="756" t="s">
        <v>429</v>
      </c>
      <c r="R2" s="830" t="s">
        <v>400</v>
      </c>
      <c r="S2" s="734" t="s">
        <v>463</v>
      </c>
      <c r="T2" s="738" t="s">
        <v>464</v>
      </c>
      <c r="V2" s="398"/>
    </row>
    <row r="3" spans="1:22" ht="30" customHeight="1" thickBot="1" x14ac:dyDescent="0.3">
      <c r="A3" s="825"/>
      <c r="B3" s="858"/>
      <c r="C3" s="829"/>
      <c r="D3" s="757"/>
      <c r="E3" s="757"/>
      <c r="F3" s="757"/>
      <c r="G3" s="757"/>
      <c r="H3" s="757"/>
      <c r="I3" s="757"/>
      <c r="J3" s="757"/>
      <c r="K3" s="757"/>
      <c r="L3" s="757"/>
      <c r="M3" s="855"/>
      <c r="N3" s="855"/>
      <c r="O3" s="757"/>
      <c r="P3" s="757"/>
      <c r="Q3" s="757"/>
      <c r="R3" s="831"/>
      <c r="S3" s="735"/>
      <c r="T3" s="739"/>
      <c r="V3" s="398"/>
    </row>
    <row r="4" spans="1:22" ht="16.5" thickTop="1" thickBot="1" x14ac:dyDescent="0.3">
      <c r="A4" s="220" t="s">
        <v>112</v>
      </c>
      <c r="B4" s="856" t="s">
        <v>288</v>
      </c>
      <c r="C4" s="856"/>
      <c r="D4" s="399">
        <v>372735</v>
      </c>
      <c r="E4" s="399">
        <v>64629</v>
      </c>
      <c r="F4" s="399">
        <v>39833</v>
      </c>
      <c r="G4" s="399">
        <v>3383</v>
      </c>
      <c r="H4" s="399"/>
      <c r="I4" s="400">
        <v>18260</v>
      </c>
      <c r="J4" s="400">
        <v>0</v>
      </c>
      <c r="K4" s="400">
        <v>0</v>
      </c>
      <c r="L4" s="400">
        <v>0</v>
      </c>
      <c r="M4" s="400">
        <v>0</v>
      </c>
      <c r="N4" s="399">
        <v>6946.8</v>
      </c>
      <c r="O4" s="399">
        <v>10541.5</v>
      </c>
      <c r="P4" s="399">
        <v>23813.83</v>
      </c>
      <c r="Q4" s="399">
        <v>0</v>
      </c>
      <c r="R4" s="399">
        <f>R5+R6</f>
        <v>28560</v>
      </c>
      <c r="S4" s="695">
        <f>S5+S6</f>
        <v>27286.1</v>
      </c>
      <c r="T4" s="661">
        <f t="shared" ref="T4:T35" si="0">IF(R4=0,0,ROUND(S4/R4*100,2))</f>
        <v>95.54</v>
      </c>
    </row>
    <row r="5" spans="1:22" x14ac:dyDescent="0.25">
      <c r="A5" s="808"/>
      <c r="B5" s="838"/>
      <c r="C5" s="91" t="s">
        <v>393</v>
      </c>
      <c r="D5" s="46"/>
      <c r="E5" s="46"/>
      <c r="F5" s="46"/>
      <c r="G5" s="46"/>
      <c r="H5" s="72"/>
      <c r="I5" s="72"/>
      <c r="J5" s="72"/>
      <c r="K5" s="46"/>
      <c r="L5" s="46"/>
      <c r="M5" s="46"/>
      <c r="N5" s="46"/>
      <c r="O5" s="46"/>
      <c r="P5" s="46"/>
      <c r="Q5" s="46"/>
      <c r="R5" s="73">
        <v>16560</v>
      </c>
      <c r="S5" s="92">
        <v>15300</v>
      </c>
      <c r="T5" s="573">
        <f t="shared" si="0"/>
        <v>92.39</v>
      </c>
    </row>
    <row r="6" spans="1:22" ht="15.75" thickBot="1" x14ac:dyDescent="0.3">
      <c r="A6" s="813"/>
      <c r="B6" s="839"/>
      <c r="C6" s="91" t="s">
        <v>461</v>
      </c>
      <c r="D6" s="46"/>
      <c r="E6" s="46"/>
      <c r="F6" s="46"/>
      <c r="G6" s="46"/>
      <c r="H6" s="72"/>
      <c r="I6" s="72"/>
      <c r="J6" s="72"/>
      <c r="K6" s="46"/>
      <c r="L6" s="46"/>
      <c r="M6" s="46"/>
      <c r="N6" s="46"/>
      <c r="O6" s="46"/>
      <c r="P6" s="46"/>
      <c r="Q6" s="46"/>
      <c r="R6" s="73">
        <v>12000</v>
      </c>
      <c r="S6" s="92">
        <v>11986.1</v>
      </c>
      <c r="T6" s="573">
        <f t="shared" si="0"/>
        <v>99.88</v>
      </c>
    </row>
    <row r="7" spans="1:22" ht="15.75" hidden="1" thickBot="1" x14ac:dyDescent="0.3">
      <c r="A7" s="813"/>
      <c r="B7" s="839"/>
      <c r="C7" s="91"/>
      <c r="D7" s="46"/>
      <c r="E7" s="46"/>
      <c r="F7" s="46"/>
      <c r="G7" s="46"/>
      <c r="H7" s="72"/>
      <c r="I7" s="72"/>
      <c r="J7" s="72"/>
      <c r="K7" s="46"/>
      <c r="L7" s="46"/>
      <c r="M7" s="46"/>
      <c r="N7" s="46"/>
      <c r="O7" s="46"/>
      <c r="P7" s="46"/>
      <c r="Q7" s="46"/>
      <c r="R7" s="73"/>
      <c r="S7" s="92"/>
      <c r="T7" s="573">
        <f t="shared" si="0"/>
        <v>0</v>
      </c>
    </row>
    <row r="8" spans="1:22" ht="15.75" hidden="1" thickBot="1" x14ac:dyDescent="0.3">
      <c r="A8" s="809"/>
      <c r="B8" s="840"/>
      <c r="C8" s="91"/>
      <c r="D8" s="46"/>
      <c r="E8" s="46"/>
      <c r="F8" s="46"/>
      <c r="G8" s="46"/>
      <c r="H8" s="72"/>
      <c r="I8" s="72"/>
      <c r="J8" s="72"/>
      <c r="K8" s="46"/>
      <c r="L8" s="46"/>
      <c r="M8" s="46"/>
      <c r="N8" s="46"/>
      <c r="O8" s="46"/>
      <c r="P8" s="46"/>
      <c r="Q8" s="46"/>
      <c r="R8" s="73"/>
      <c r="S8" s="92"/>
      <c r="T8" s="573">
        <f t="shared" si="0"/>
        <v>0</v>
      </c>
    </row>
    <row r="9" spans="1:22" ht="15.75" thickBot="1" x14ac:dyDescent="0.3">
      <c r="A9" s="151" t="s">
        <v>134</v>
      </c>
      <c r="B9" s="846" t="s">
        <v>289</v>
      </c>
      <c r="C9" s="846"/>
      <c r="D9" s="179">
        <v>17958</v>
      </c>
      <c r="E9" s="179">
        <v>0</v>
      </c>
      <c r="F9" s="179">
        <v>19916</v>
      </c>
      <c r="G9" s="179">
        <v>18253</v>
      </c>
      <c r="H9" s="179">
        <v>16675</v>
      </c>
      <c r="I9" s="392">
        <v>3031</v>
      </c>
      <c r="J9" s="392">
        <v>0</v>
      </c>
      <c r="K9" s="84">
        <f>SUM(K10:K11)</f>
        <v>10398</v>
      </c>
      <c r="L9" s="84"/>
      <c r="M9" s="84">
        <f>SUM(M10:M11)</f>
        <v>0</v>
      </c>
      <c r="N9" s="84">
        <v>5666.4</v>
      </c>
      <c r="O9" s="84">
        <v>10703.82</v>
      </c>
      <c r="P9" s="84">
        <v>12513.86</v>
      </c>
      <c r="Q9" s="85">
        <v>14947.44</v>
      </c>
      <c r="R9" s="84">
        <f t="shared" ref="R9:S9" si="1">R10</f>
        <v>8000</v>
      </c>
      <c r="S9" s="85">
        <f t="shared" si="1"/>
        <v>13076.5</v>
      </c>
      <c r="T9" s="640">
        <f t="shared" si="0"/>
        <v>163.46</v>
      </c>
    </row>
    <row r="10" spans="1:22" ht="15.75" thickBot="1" x14ac:dyDescent="0.3">
      <c r="A10" s="401"/>
      <c r="B10" s="838"/>
      <c r="C10" s="57" t="s">
        <v>290</v>
      </c>
      <c r="D10" s="20"/>
      <c r="E10" s="20"/>
      <c r="F10" s="20"/>
      <c r="G10" s="20"/>
      <c r="H10" s="71"/>
      <c r="I10" s="71"/>
      <c r="J10" s="71"/>
      <c r="K10" s="20">
        <v>10398</v>
      </c>
      <c r="L10" s="20"/>
      <c r="M10" s="20"/>
      <c r="N10" s="20"/>
      <c r="O10" s="20"/>
      <c r="P10" s="20"/>
      <c r="Q10" s="20"/>
      <c r="R10" s="58">
        <v>8000</v>
      </c>
      <c r="S10" s="124">
        <v>13076.5</v>
      </c>
      <c r="T10" s="642">
        <f t="shared" si="0"/>
        <v>163.46</v>
      </c>
    </row>
    <row r="11" spans="1:22" ht="15.75" hidden="1" thickBot="1" x14ac:dyDescent="0.3">
      <c r="A11" s="401"/>
      <c r="B11" s="840"/>
      <c r="C11" s="173" t="s">
        <v>291</v>
      </c>
      <c r="D11" s="90"/>
      <c r="E11" s="90"/>
      <c r="F11" s="90"/>
      <c r="G11" s="90"/>
      <c r="H11" s="88"/>
      <c r="I11" s="88"/>
      <c r="J11" s="88"/>
      <c r="K11" s="90"/>
      <c r="L11" s="90"/>
      <c r="M11" s="90"/>
      <c r="N11" s="90"/>
      <c r="O11" s="90"/>
      <c r="P11" s="90"/>
      <c r="Q11" s="90"/>
      <c r="R11" s="73"/>
      <c r="S11" s="92"/>
      <c r="T11" s="573">
        <f t="shared" si="0"/>
        <v>0</v>
      </c>
    </row>
    <row r="12" spans="1:22" ht="15.75" thickBot="1" x14ac:dyDescent="0.3">
      <c r="A12" s="151" t="s">
        <v>144</v>
      </c>
      <c r="B12" s="846" t="s">
        <v>292</v>
      </c>
      <c r="C12" s="846"/>
      <c r="D12" s="179">
        <v>894211</v>
      </c>
      <c r="E12" s="179">
        <v>382958</v>
      </c>
      <c r="F12" s="179">
        <v>343590</v>
      </c>
      <c r="G12" s="179">
        <v>610914</v>
      </c>
      <c r="H12" s="179">
        <v>1718795</v>
      </c>
      <c r="I12" s="392">
        <v>495900</v>
      </c>
      <c r="J12" s="179">
        <v>421522</v>
      </c>
      <c r="K12" s="84">
        <f>SUM(K19:K35)</f>
        <v>2058954</v>
      </c>
      <c r="L12" s="84">
        <v>108548.12</v>
      </c>
      <c r="M12" s="85">
        <f>SUM(M19:M35)</f>
        <v>187078.06</v>
      </c>
      <c r="N12" s="84">
        <v>923357.06</v>
      </c>
      <c r="O12" s="84">
        <v>421573.23</v>
      </c>
      <c r="P12" s="84">
        <v>904828.37</v>
      </c>
      <c r="Q12" s="81">
        <v>1191812.5499999998</v>
      </c>
      <c r="R12" s="84">
        <f>SUM(R18:R26)</f>
        <v>1949425</v>
      </c>
      <c r="S12" s="85">
        <f t="shared" ref="S12" si="2">SUM(S19:S26)</f>
        <v>902832.48</v>
      </c>
      <c r="T12" s="640">
        <f t="shared" si="0"/>
        <v>46.31</v>
      </c>
      <c r="V12" s="303"/>
    </row>
    <row r="13" spans="1:22" hidden="1" x14ac:dyDescent="0.25">
      <c r="A13" s="605"/>
      <c r="B13" s="606"/>
      <c r="C13" s="606"/>
      <c r="D13" s="607"/>
      <c r="E13" s="607"/>
      <c r="F13" s="607"/>
      <c r="G13" s="607"/>
      <c r="H13" s="607"/>
      <c r="I13" s="608"/>
      <c r="J13" s="607"/>
      <c r="K13" s="8"/>
      <c r="L13" s="8"/>
      <c r="M13" s="609"/>
      <c r="N13" s="8"/>
      <c r="O13" s="8"/>
      <c r="P13" s="8"/>
      <c r="Q13" s="8"/>
      <c r="R13" s="6"/>
      <c r="S13" s="7"/>
      <c r="T13" s="662">
        <f t="shared" si="0"/>
        <v>0</v>
      </c>
    </row>
    <row r="14" spans="1:22" hidden="1" x14ac:dyDescent="0.25">
      <c r="A14" s="605"/>
      <c r="B14" s="606"/>
      <c r="C14" s="606"/>
      <c r="D14" s="607"/>
      <c r="E14" s="607"/>
      <c r="F14" s="607"/>
      <c r="G14" s="607"/>
      <c r="H14" s="607"/>
      <c r="I14" s="608"/>
      <c r="J14" s="607"/>
      <c r="K14" s="8"/>
      <c r="L14" s="8"/>
      <c r="M14" s="609"/>
      <c r="N14" s="8"/>
      <c r="O14" s="8"/>
      <c r="P14" s="8"/>
      <c r="Q14" s="8"/>
      <c r="R14" s="6"/>
      <c r="S14" s="7"/>
      <c r="T14" s="662">
        <f t="shared" si="0"/>
        <v>0</v>
      </c>
    </row>
    <row r="15" spans="1:22" hidden="1" x14ac:dyDescent="0.25">
      <c r="A15" s="605"/>
      <c r="B15" s="606"/>
      <c r="C15" s="606"/>
      <c r="D15" s="607"/>
      <c r="E15" s="607"/>
      <c r="F15" s="607"/>
      <c r="G15" s="607"/>
      <c r="H15" s="607"/>
      <c r="I15" s="608"/>
      <c r="J15" s="607"/>
      <c r="K15" s="8"/>
      <c r="L15" s="8"/>
      <c r="M15" s="609"/>
      <c r="N15" s="8"/>
      <c r="O15" s="8"/>
      <c r="P15" s="8"/>
      <c r="Q15" s="8"/>
      <c r="R15" s="6"/>
      <c r="S15" s="7"/>
      <c r="T15" s="662">
        <f t="shared" si="0"/>
        <v>0</v>
      </c>
    </row>
    <row r="16" spans="1:22" hidden="1" x14ac:dyDescent="0.25">
      <c r="A16" s="605"/>
      <c r="B16" s="606"/>
      <c r="C16" s="606"/>
      <c r="D16" s="607"/>
      <c r="E16" s="607"/>
      <c r="F16" s="607"/>
      <c r="G16" s="607"/>
      <c r="H16" s="607"/>
      <c r="I16" s="608"/>
      <c r="J16" s="607"/>
      <c r="K16" s="8"/>
      <c r="L16" s="8"/>
      <c r="M16" s="609"/>
      <c r="N16" s="8"/>
      <c r="O16" s="8"/>
      <c r="P16" s="8"/>
      <c r="Q16" s="8"/>
      <c r="R16" s="6"/>
      <c r="S16" s="7"/>
      <c r="T16" s="662">
        <f t="shared" si="0"/>
        <v>0</v>
      </c>
    </row>
    <row r="17" spans="1:20" hidden="1" x14ac:dyDescent="0.25">
      <c r="A17" s="605"/>
      <c r="B17" s="606"/>
      <c r="C17" s="606"/>
      <c r="D17" s="607"/>
      <c r="E17" s="607"/>
      <c r="F17" s="607"/>
      <c r="G17" s="607"/>
      <c r="H17" s="607"/>
      <c r="I17" s="608"/>
      <c r="J17" s="607"/>
      <c r="K17" s="8"/>
      <c r="L17" s="8"/>
      <c r="M17" s="609"/>
      <c r="N17" s="8"/>
      <c r="O17" s="8"/>
      <c r="P17" s="8"/>
      <c r="Q17" s="8"/>
      <c r="R17" s="6"/>
      <c r="S17" s="7"/>
      <c r="T17" s="662">
        <f t="shared" si="0"/>
        <v>0</v>
      </c>
    </row>
    <row r="18" spans="1:20" hidden="1" x14ac:dyDescent="0.25">
      <c r="A18" s="811"/>
      <c r="B18" s="848"/>
      <c r="C18" s="430"/>
      <c r="D18" s="610"/>
      <c r="E18" s="610"/>
      <c r="F18" s="610"/>
      <c r="G18" s="610"/>
      <c r="H18" s="610"/>
      <c r="I18" s="611"/>
      <c r="J18" s="610"/>
      <c r="K18" s="285"/>
      <c r="L18" s="285"/>
      <c r="M18" s="284"/>
      <c r="N18" s="285"/>
      <c r="O18" s="285"/>
      <c r="P18" s="285"/>
      <c r="Q18" s="285"/>
      <c r="R18" s="283"/>
      <c r="S18" s="696"/>
      <c r="T18" s="663">
        <f t="shared" si="0"/>
        <v>0</v>
      </c>
    </row>
    <row r="19" spans="1:20" x14ac:dyDescent="0.25">
      <c r="A19" s="811"/>
      <c r="B19" s="848"/>
      <c r="C19" s="91" t="s">
        <v>293</v>
      </c>
      <c r="D19" s="46"/>
      <c r="E19" s="46"/>
      <c r="F19" s="46"/>
      <c r="G19" s="46"/>
      <c r="H19" s="72"/>
      <c r="I19" s="72"/>
      <c r="J19" s="46"/>
      <c r="K19" s="46">
        <v>47371</v>
      </c>
      <c r="L19" s="46">
        <v>31209.200000000001</v>
      </c>
      <c r="M19" s="45">
        <v>11397.78</v>
      </c>
      <c r="N19" s="46"/>
      <c r="O19" s="46"/>
      <c r="P19" s="46"/>
      <c r="Q19" s="46"/>
      <c r="R19" s="73">
        <v>51297</v>
      </c>
      <c r="S19" s="92">
        <f>22301.96+3000+18199.2+2088</f>
        <v>45589.16</v>
      </c>
      <c r="T19" s="573">
        <f t="shared" si="0"/>
        <v>88.87</v>
      </c>
    </row>
    <row r="20" spans="1:20" ht="15" hidden="1" customHeight="1" x14ac:dyDescent="0.25">
      <c r="A20" s="811"/>
      <c r="B20" s="848"/>
      <c r="C20" s="91" t="s">
        <v>294</v>
      </c>
      <c r="D20" s="46"/>
      <c r="E20" s="46"/>
      <c r="F20" s="46"/>
      <c r="G20" s="46"/>
      <c r="H20" s="72"/>
      <c r="I20" s="72"/>
      <c r="J20" s="46"/>
      <c r="K20" s="46"/>
      <c r="L20" s="46"/>
      <c r="M20" s="45"/>
      <c r="N20" s="46"/>
      <c r="O20" s="46"/>
      <c r="P20" s="46"/>
      <c r="Q20" s="46"/>
      <c r="R20" s="73">
        <v>0</v>
      </c>
      <c r="S20" s="92"/>
      <c r="T20" s="573">
        <f t="shared" si="0"/>
        <v>0</v>
      </c>
    </row>
    <row r="21" spans="1:20" ht="15" hidden="1" customHeight="1" x14ac:dyDescent="0.25">
      <c r="A21" s="811"/>
      <c r="B21" s="848"/>
      <c r="C21" s="59" t="s">
        <v>295</v>
      </c>
      <c r="D21" s="26"/>
      <c r="E21" s="26"/>
      <c r="F21" s="26"/>
      <c r="G21" s="26"/>
      <c r="H21" s="74"/>
      <c r="I21" s="74"/>
      <c r="J21" s="26"/>
      <c r="K21" s="26"/>
      <c r="L21" s="46"/>
      <c r="M21" s="45">
        <v>4562.8</v>
      </c>
      <c r="N21" s="46"/>
      <c r="O21" s="46"/>
      <c r="P21" s="46"/>
      <c r="Q21" s="46"/>
      <c r="R21" s="73">
        <v>0</v>
      </c>
      <c r="S21" s="92"/>
      <c r="T21" s="573">
        <f t="shared" si="0"/>
        <v>0</v>
      </c>
    </row>
    <row r="22" spans="1:20" ht="15" hidden="1" customHeight="1" x14ac:dyDescent="0.25">
      <c r="A22" s="811"/>
      <c r="B22" s="848"/>
      <c r="C22" s="62" t="s">
        <v>296</v>
      </c>
      <c r="D22" s="49"/>
      <c r="E22" s="49"/>
      <c r="F22" s="49"/>
      <c r="G22" s="49"/>
      <c r="H22" s="83"/>
      <c r="I22" s="83"/>
      <c r="J22" s="49"/>
      <c r="K22" s="49"/>
      <c r="L22" s="46"/>
      <c r="M22" s="45"/>
      <c r="N22" s="46"/>
      <c r="O22" s="46"/>
      <c r="P22" s="46"/>
      <c r="Q22" s="46"/>
      <c r="R22" s="73">
        <v>0</v>
      </c>
      <c r="S22" s="92"/>
      <c r="T22" s="573">
        <f t="shared" si="0"/>
        <v>0</v>
      </c>
    </row>
    <row r="23" spans="1:20" ht="15" hidden="1" customHeight="1" x14ac:dyDescent="0.25">
      <c r="A23" s="811"/>
      <c r="B23" s="848"/>
      <c r="C23" s="62" t="s">
        <v>297</v>
      </c>
      <c r="D23" s="49"/>
      <c r="E23" s="49"/>
      <c r="F23" s="49"/>
      <c r="G23" s="49"/>
      <c r="H23" s="83"/>
      <c r="I23" s="83"/>
      <c r="J23" s="49"/>
      <c r="K23" s="49">
        <v>282056</v>
      </c>
      <c r="L23" s="46"/>
      <c r="M23" s="125">
        <v>0</v>
      </c>
      <c r="N23" s="73"/>
      <c r="O23" s="73"/>
      <c r="P23" s="73"/>
      <c r="Q23" s="73"/>
      <c r="R23" s="402">
        <v>0</v>
      </c>
      <c r="S23" s="92"/>
      <c r="T23" s="573">
        <f t="shared" si="0"/>
        <v>0</v>
      </c>
    </row>
    <row r="24" spans="1:20" x14ac:dyDescent="0.25">
      <c r="A24" s="811"/>
      <c r="B24" s="848"/>
      <c r="C24" s="59" t="s">
        <v>414</v>
      </c>
      <c r="D24" s="26"/>
      <c r="E24" s="26"/>
      <c r="F24" s="26"/>
      <c r="G24" s="26"/>
      <c r="H24" s="74"/>
      <c r="I24" s="74"/>
      <c r="J24" s="26"/>
      <c r="K24" s="26">
        <v>881052</v>
      </c>
      <c r="L24" s="46">
        <v>70504.899999999994</v>
      </c>
      <c r="M24" s="45"/>
      <c r="N24" s="46"/>
      <c r="O24" s="46"/>
      <c r="P24" s="46"/>
      <c r="Q24" s="46"/>
      <c r="R24" s="73">
        <v>37833</v>
      </c>
      <c r="S24" s="92"/>
      <c r="T24" s="573">
        <f t="shared" si="0"/>
        <v>0</v>
      </c>
    </row>
    <row r="25" spans="1:20" x14ac:dyDescent="0.25">
      <c r="A25" s="811"/>
      <c r="B25" s="848"/>
      <c r="C25" s="59" t="s">
        <v>405</v>
      </c>
      <c r="D25" s="26"/>
      <c r="E25" s="26"/>
      <c r="F25" s="26"/>
      <c r="G25" s="26"/>
      <c r="H25" s="74"/>
      <c r="I25" s="74"/>
      <c r="J25" s="26"/>
      <c r="K25" s="26">
        <v>100004</v>
      </c>
      <c r="L25" s="46"/>
      <c r="M25" s="45">
        <v>13200</v>
      </c>
      <c r="N25" s="46"/>
      <c r="O25" s="46"/>
      <c r="P25" s="46"/>
      <c r="Q25" s="46"/>
      <c r="R25" s="73">
        <v>898000</v>
      </c>
      <c r="S25" s="92">
        <f>21360+36118.91</f>
        <v>57478.91</v>
      </c>
      <c r="T25" s="573">
        <f t="shared" si="0"/>
        <v>6.4</v>
      </c>
    </row>
    <row r="26" spans="1:20" ht="15.75" thickBot="1" x14ac:dyDescent="0.3">
      <c r="A26" s="811"/>
      <c r="B26" s="848"/>
      <c r="C26" s="59" t="s">
        <v>298</v>
      </c>
      <c r="D26" s="26"/>
      <c r="E26" s="26"/>
      <c r="F26" s="26"/>
      <c r="G26" s="26"/>
      <c r="H26" s="74"/>
      <c r="I26" s="74"/>
      <c r="J26" s="26"/>
      <c r="K26" s="26">
        <v>0</v>
      </c>
      <c r="L26" s="46"/>
      <c r="M26" s="45"/>
      <c r="N26" s="46"/>
      <c r="O26" s="46"/>
      <c r="P26" s="46"/>
      <c r="Q26" s="46"/>
      <c r="R26" s="73">
        <v>962295</v>
      </c>
      <c r="S26" s="92">
        <f>455628+4308+339828.41</f>
        <v>799764.40999999992</v>
      </c>
      <c r="T26" s="573">
        <f t="shared" si="0"/>
        <v>83.11</v>
      </c>
    </row>
    <row r="27" spans="1:20" ht="15.75" hidden="1" customHeight="1" thickBot="1" x14ac:dyDescent="0.3">
      <c r="A27" s="811"/>
      <c r="B27" s="848"/>
      <c r="C27" s="59" t="s">
        <v>299</v>
      </c>
      <c r="D27" s="26"/>
      <c r="E27" s="26"/>
      <c r="F27" s="26"/>
      <c r="G27" s="26"/>
      <c r="H27" s="74"/>
      <c r="I27" s="74"/>
      <c r="J27" s="26"/>
      <c r="K27" s="26"/>
      <c r="L27" s="46"/>
      <c r="M27" s="45">
        <v>144897.48000000001</v>
      </c>
      <c r="N27" s="46"/>
      <c r="O27" s="46"/>
      <c r="P27" s="46"/>
      <c r="Q27" s="46"/>
      <c r="R27" s="73"/>
      <c r="S27" s="92"/>
      <c r="T27" s="573">
        <f t="shared" si="0"/>
        <v>0</v>
      </c>
    </row>
    <row r="28" spans="1:20" ht="15.75" hidden="1" customHeight="1" thickBot="1" x14ac:dyDescent="0.3">
      <c r="A28" s="811"/>
      <c r="B28" s="848"/>
      <c r="C28" s="59" t="s">
        <v>300</v>
      </c>
      <c r="D28" s="26"/>
      <c r="E28" s="26"/>
      <c r="F28" s="26"/>
      <c r="G28" s="26"/>
      <c r="H28" s="74"/>
      <c r="I28" s="74"/>
      <c r="J28" s="26"/>
      <c r="K28" s="26"/>
      <c r="L28" s="46"/>
      <c r="M28" s="45"/>
      <c r="N28" s="46"/>
      <c r="O28" s="46"/>
      <c r="P28" s="46"/>
      <c r="Q28" s="46"/>
      <c r="R28" s="73"/>
      <c r="S28" s="92"/>
      <c r="T28" s="573">
        <f t="shared" si="0"/>
        <v>0</v>
      </c>
    </row>
    <row r="29" spans="1:20" ht="15.75" hidden="1" customHeight="1" thickBot="1" x14ac:dyDescent="0.3">
      <c r="A29" s="811"/>
      <c r="B29" s="848"/>
      <c r="C29" s="59" t="s">
        <v>301</v>
      </c>
      <c r="D29" s="26"/>
      <c r="E29" s="26"/>
      <c r="F29" s="26"/>
      <c r="G29" s="26"/>
      <c r="H29" s="74"/>
      <c r="I29" s="74"/>
      <c r="J29" s="26"/>
      <c r="K29" s="26"/>
      <c r="L29" s="26"/>
      <c r="M29" s="25"/>
      <c r="N29" s="26"/>
      <c r="O29" s="26"/>
      <c r="P29" s="26"/>
      <c r="Q29" s="26"/>
      <c r="R29" s="403"/>
      <c r="S29" s="92"/>
      <c r="T29" s="572">
        <f t="shared" si="0"/>
        <v>0</v>
      </c>
    </row>
    <row r="30" spans="1:20" ht="15.75" hidden="1" customHeight="1" thickBot="1" x14ac:dyDescent="0.3">
      <c r="A30" s="811"/>
      <c r="B30" s="848"/>
      <c r="C30" s="59" t="s">
        <v>302</v>
      </c>
      <c r="D30" s="26"/>
      <c r="E30" s="26"/>
      <c r="F30" s="26"/>
      <c r="G30" s="26"/>
      <c r="H30" s="74"/>
      <c r="I30" s="74"/>
      <c r="J30" s="26"/>
      <c r="K30" s="26"/>
      <c r="L30" s="26"/>
      <c r="M30" s="25"/>
      <c r="N30" s="26"/>
      <c r="O30" s="26"/>
      <c r="P30" s="26"/>
      <c r="Q30" s="26"/>
      <c r="R30" s="60"/>
      <c r="S30" s="92"/>
      <c r="T30" s="572">
        <f t="shared" si="0"/>
        <v>0</v>
      </c>
    </row>
    <row r="31" spans="1:20" ht="15.75" hidden="1" customHeight="1" thickBot="1" x14ac:dyDescent="0.3">
      <c r="A31" s="811"/>
      <c r="B31" s="848"/>
      <c r="C31" s="59" t="s">
        <v>303</v>
      </c>
      <c r="D31" s="26"/>
      <c r="E31" s="26"/>
      <c r="F31" s="26"/>
      <c r="G31" s="26"/>
      <c r="H31" s="74"/>
      <c r="I31" s="74"/>
      <c r="J31" s="26"/>
      <c r="K31" s="26"/>
      <c r="L31" s="26"/>
      <c r="M31" s="25">
        <v>1500</v>
      </c>
      <c r="N31" s="26"/>
      <c r="O31" s="26"/>
      <c r="P31" s="26"/>
      <c r="Q31" s="26"/>
      <c r="R31" s="60"/>
      <c r="S31" s="125"/>
      <c r="T31" s="572">
        <f t="shared" si="0"/>
        <v>0</v>
      </c>
    </row>
    <row r="32" spans="1:20" ht="15.75" hidden="1" customHeight="1" thickBot="1" x14ac:dyDescent="0.3">
      <c r="A32" s="811"/>
      <c r="B32" s="848"/>
      <c r="C32" s="59" t="s">
        <v>304</v>
      </c>
      <c r="D32" s="26"/>
      <c r="E32" s="26"/>
      <c r="F32" s="26"/>
      <c r="G32" s="26"/>
      <c r="H32" s="74"/>
      <c r="I32" s="74"/>
      <c r="J32" s="26"/>
      <c r="K32" s="26"/>
      <c r="L32" s="26"/>
      <c r="M32" s="25"/>
      <c r="N32" s="26"/>
      <c r="O32" s="26"/>
      <c r="P32" s="26"/>
      <c r="Q32" s="26"/>
      <c r="R32" s="60"/>
      <c r="S32" s="125"/>
      <c r="T32" s="573">
        <f t="shared" si="0"/>
        <v>0</v>
      </c>
    </row>
    <row r="33" spans="1:23" ht="15.75" hidden="1" customHeight="1" thickBot="1" x14ac:dyDescent="0.3">
      <c r="A33" s="811"/>
      <c r="B33" s="848"/>
      <c r="C33" s="59" t="s">
        <v>305</v>
      </c>
      <c r="D33" s="26"/>
      <c r="E33" s="26"/>
      <c r="F33" s="26"/>
      <c r="G33" s="26"/>
      <c r="H33" s="74"/>
      <c r="I33" s="74"/>
      <c r="J33" s="26"/>
      <c r="K33" s="26"/>
      <c r="L33" s="26"/>
      <c r="M33" s="25"/>
      <c r="N33" s="26"/>
      <c r="O33" s="26"/>
      <c r="P33" s="26"/>
      <c r="Q33" s="26"/>
      <c r="R33" s="60"/>
      <c r="S33" s="125"/>
      <c r="T33" s="573">
        <f t="shared" si="0"/>
        <v>0</v>
      </c>
    </row>
    <row r="34" spans="1:23" ht="15.75" hidden="1" customHeight="1" thickBot="1" x14ac:dyDescent="0.3">
      <c r="A34" s="811"/>
      <c r="B34" s="848"/>
      <c r="C34" s="59" t="s">
        <v>302</v>
      </c>
      <c r="D34" s="26"/>
      <c r="E34" s="26"/>
      <c r="F34" s="26"/>
      <c r="G34" s="26"/>
      <c r="H34" s="74"/>
      <c r="I34" s="74"/>
      <c r="J34" s="26"/>
      <c r="K34" s="26"/>
      <c r="L34" s="26"/>
      <c r="M34" s="25"/>
      <c r="N34" s="26"/>
      <c r="O34" s="26"/>
      <c r="P34" s="26"/>
      <c r="Q34" s="26"/>
      <c r="R34" s="60"/>
      <c r="S34" s="125"/>
      <c r="T34" s="573">
        <f t="shared" si="0"/>
        <v>0</v>
      </c>
    </row>
    <row r="35" spans="1:23" ht="15.75" hidden="1" customHeight="1" thickBot="1" x14ac:dyDescent="0.3">
      <c r="A35" s="812"/>
      <c r="B35" s="849"/>
      <c r="C35" s="173" t="s">
        <v>306</v>
      </c>
      <c r="D35" s="90"/>
      <c r="E35" s="90"/>
      <c r="F35" s="90"/>
      <c r="G35" s="90"/>
      <c r="H35" s="88"/>
      <c r="I35" s="88"/>
      <c r="J35" s="90"/>
      <c r="K35" s="90">
        <v>748471</v>
      </c>
      <c r="L35" s="90"/>
      <c r="M35" s="89">
        <v>11520</v>
      </c>
      <c r="N35" s="90"/>
      <c r="O35" s="90"/>
      <c r="P35" s="90"/>
      <c r="Q35" s="90"/>
      <c r="R35" s="73"/>
      <c r="S35" s="92"/>
      <c r="T35" s="573">
        <f t="shared" si="0"/>
        <v>0</v>
      </c>
    </row>
    <row r="36" spans="1:23" ht="15.75" thickBot="1" x14ac:dyDescent="0.3">
      <c r="A36" s="404" t="s">
        <v>147</v>
      </c>
      <c r="B36" s="746" t="s">
        <v>307</v>
      </c>
      <c r="C36" s="747"/>
      <c r="D36" s="179">
        <v>154053</v>
      </c>
      <c r="E36" s="179">
        <v>194317</v>
      </c>
      <c r="F36" s="179">
        <v>340238</v>
      </c>
      <c r="G36" s="179">
        <v>484191</v>
      </c>
      <c r="H36" s="179">
        <v>181309</v>
      </c>
      <c r="I36" s="392">
        <v>33695</v>
      </c>
      <c r="J36" s="179">
        <v>79908</v>
      </c>
      <c r="K36" s="84">
        <f>SUM(K37:K56)</f>
        <v>0</v>
      </c>
      <c r="L36" s="84">
        <f>SUM(L37:L56)</f>
        <v>75693</v>
      </c>
      <c r="M36" s="85">
        <f>SUM(M37:M52)</f>
        <v>71880.010000000009</v>
      </c>
      <c r="N36" s="84">
        <v>206988.84</v>
      </c>
      <c r="O36" s="84">
        <v>350387.76999999996</v>
      </c>
      <c r="P36" s="84">
        <v>405936.13</v>
      </c>
      <c r="Q36" s="85">
        <v>500251.95999999996</v>
      </c>
      <c r="R36" s="84">
        <f>SUM(R43:R55)</f>
        <v>637934</v>
      </c>
      <c r="S36" s="85">
        <f>SUM(S43:S55)</f>
        <v>456247.63</v>
      </c>
      <c r="T36" s="640">
        <f t="shared" ref="T36:T67" si="3">IF(R36=0,0,ROUND(S36/R36*100,2))</f>
        <v>71.52</v>
      </c>
      <c r="W36" s="303"/>
    </row>
    <row r="37" spans="1:23" hidden="1" x14ac:dyDescent="0.25">
      <c r="A37" s="401"/>
      <c r="B37" s="405"/>
      <c r="C37" s="59" t="s">
        <v>308</v>
      </c>
      <c r="D37" s="26"/>
      <c r="E37" s="26"/>
      <c r="F37" s="26"/>
      <c r="G37" s="26"/>
      <c r="H37" s="74"/>
      <c r="I37" s="406"/>
      <c r="J37" s="407"/>
      <c r="K37" s="26"/>
      <c r="L37" s="46">
        <v>23757.119999999999</v>
      </c>
      <c r="M37" s="45"/>
      <c r="N37" s="46"/>
      <c r="O37" s="46"/>
      <c r="P37" s="46"/>
      <c r="Q37" s="46"/>
      <c r="R37" s="73"/>
      <c r="S37" s="92"/>
      <c r="T37" s="573">
        <f t="shared" si="3"/>
        <v>0</v>
      </c>
    </row>
    <row r="38" spans="1:23" hidden="1" x14ac:dyDescent="0.25">
      <c r="A38" s="401"/>
      <c r="B38" s="405"/>
      <c r="C38" s="59" t="s">
        <v>309</v>
      </c>
      <c r="D38" s="26"/>
      <c r="E38" s="26"/>
      <c r="F38" s="26"/>
      <c r="G38" s="26"/>
      <c r="H38" s="74"/>
      <c r="I38" s="406"/>
      <c r="J38" s="407"/>
      <c r="K38" s="26"/>
      <c r="L38" s="46"/>
      <c r="M38" s="45"/>
      <c r="N38" s="46"/>
      <c r="O38" s="46"/>
      <c r="P38" s="46"/>
      <c r="Q38" s="46"/>
      <c r="R38" s="73"/>
      <c r="S38" s="92"/>
      <c r="T38" s="573">
        <f t="shared" si="3"/>
        <v>0</v>
      </c>
    </row>
    <row r="39" spans="1:23" hidden="1" x14ac:dyDescent="0.25">
      <c r="A39" s="401"/>
      <c r="B39" s="405"/>
      <c r="C39" s="59" t="s">
        <v>310</v>
      </c>
      <c r="D39" s="26"/>
      <c r="E39" s="26"/>
      <c r="F39" s="26"/>
      <c r="G39" s="26"/>
      <c r="H39" s="74"/>
      <c r="I39" s="406"/>
      <c r="J39" s="407"/>
      <c r="K39" s="26"/>
      <c r="L39" s="46"/>
      <c r="M39" s="45"/>
      <c r="N39" s="46"/>
      <c r="O39" s="46"/>
      <c r="P39" s="46"/>
      <c r="Q39" s="46"/>
      <c r="R39" s="73"/>
      <c r="S39" s="92"/>
      <c r="T39" s="573">
        <f t="shared" si="3"/>
        <v>0</v>
      </c>
    </row>
    <row r="40" spans="1:23" hidden="1" x14ac:dyDescent="0.25">
      <c r="A40" s="401"/>
      <c r="B40" s="405"/>
      <c r="C40" s="59" t="s">
        <v>311</v>
      </c>
      <c r="D40" s="26"/>
      <c r="E40" s="26"/>
      <c r="F40" s="26"/>
      <c r="G40" s="26"/>
      <c r="H40" s="74"/>
      <c r="I40" s="406"/>
      <c r="J40" s="407"/>
      <c r="K40" s="26"/>
      <c r="L40" s="46"/>
      <c r="M40" s="45"/>
      <c r="N40" s="46"/>
      <c r="O40" s="46"/>
      <c r="P40" s="46"/>
      <c r="Q40" s="46"/>
      <c r="R40" s="73"/>
      <c r="S40" s="92"/>
      <c r="T40" s="573">
        <f t="shared" si="3"/>
        <v>0</v>
      </c>
    </row>
    <row r="41" spans="1:23" hidden="1" x14ac:dyDescent="0.25">
      <c r="A41" s="401"/>
      <c r="B41" s="405"/>
      <c r="C41" s="59" t="s">
        <v>312</v>
      </c>
      <c r="D41" s="26"/>
      <c r="E41" s="26"/>
      <c r="F41" s="26"/>
      <c r="G41" s="26"/>
      <c r="H41" s="74"/>
      <c r="I41" s="406"/>
      <c r="J41" s="407"/>
      <c r="K41" s="26"/>
      <c r="L41" s="46"/>
      <c r="M41" s="45"/>
      <c r="N41" s="46"/>
      <c r="O41" s="46"/>
      <c r="P41" s="46"/>
      <c r="Q41" s="46"/>
      <c r="R41" s="73"/>
      <c r="S41" s="92"/>
      <c r="T41" s="573">
        <f t="shared" si="3"/>
        <v>0</v>
      </c>
    </row>
    <row r="42" spans="1:23" hidden="1" x14ac:dyDescent="0.25">
      <c r="A42" s="401"/>
      <c r="B42" s="405"/>
      <c r="C42" s="59" t="s">
        <v>101</v>
      </c>
      <c r="D42" s="26"/>
      <c r="E42" s="26"/>
      <c r="F42" s="26"/>
      <c r="G42" s="26"/>
      <c r="H42" s="74"/>
      <c r="I42" s="406"/>
      <c r="J42" s="407"/>
      <c r="K42" s="26"/>
      <c r="L42" s="46"/>
      <c r="M42" s="45"/>
      <c r="N42" s="46"/>
      <c r="O42" s="46"/>
      <c r="P42" s="46"/>
      <c r="Q42" s="46"/>
      <c r="R42" s="73"/>
      <c r="S42" s="92"/>
      <c r="T42" s="573">
        <f t="shared" si="3"/>
        <v>0</v>
      </c>
    </row>
    <row r="43" spans="1:23" x14ac:dyDescent="0.25">
      <c r="A43" s="813"/>
      <c r="B43" s="839"/>
      <c r="C43" s="59" t="s">
        <v>313</v>
      </c>
      <c r="D43" s="26"/>
      <c r="E43" s="26"/>
      <c r="F43" s="26"/>
      <c r="G43" s="26"/>
      <c r="H43" s="74"/>
      <c r="I43" s="406"/>
      <c r="J43" s="407"/>
      <c r="K43" s="26"/>
      <c r="L43" s="46"/>
      <c r="M43" s="45"/>
      <c r="N43" s="46"/>
      <c r="O43" s="46"/>
      <c r="P43" s="46"/>
      <c r="Q43" s="46"/>
      <c r="R43" s="73">
        <v>411934</v>
      </c>
      <c r="S43" s="92">
        <f>30999.22+3600+153570.4+96562.14</f>
        <v>284731.76</v>
      </c>
      <c r="T43" s="573">
        <f t="shared" si="3"/>
        <v>69.12</v>
      </c>
    </row>
    <row r="44" spans="1:23" x14ac:dyDescent="0.25">
      <c r="A44" s="813"/>
      <c r="B44" s="839"/>
      <c r="C44" s="59" t="s">
        <v>425</v>
      </c>
      <c r="D44" s="26"/>
      <c r="E44" s="26"/>
      <c r="F44" s="26"/>
      <c r="G44" s="26"/>
      <c r="H44" s="74"/>
      <c r="I44" s="406"/>
      <c r="J44" s="407"/>
      <c r="K44" s="26"/>
      <c r="L44" s="46"/>
      <c r="M44" s="45"/>
      <c r="N44" s="46"/>
      <c r="O44" s="46"/>
      <c r="P44" s="46"/>
      <c r="Q44" s="46"/>
      <c r="R44" s="73">
        <v>150000</v>
      </c>
      <c r="S44" s="92">
        <v>150000</v>
      </c>
      <c r="T44" s="573">
        <f t="shared" si="3"/>
        <v>100</v>
      </c>
    </row>
    <row r="45" spans="1:23" x14ac:dyDescent="0.25">
      <c r="A45" s="813"/>
      <c r="B45" s="839"/>
      <c r="C45" s="59" t="s">
        <v>314</v>
      </c>
      <c r="D45" s="26"/>
      <c r="E45" s="26"/>
      <c r="F45" s="26"/>
      <c r="G45" s="26"/>
      <c r="H45" s="74"/>
      <c r="I45" s="406"/>
      <c r="J45" s="407"/>
      <c r="K45" s="26"/>
      <c r="L45" s="46"/>
      <c r="M45" s="45"/>
      <c r="N45" s="46"/>
      <c r="O45" s="46"/>
      <c r="P45" s="46"/>
      <c r="Q45" s="46"/>
      <c r="R45" s="73">
        <v>22000</v>
      </c>
      <c r="S45" s="92">
        <v>21515.87</v>
      </c>
      <c r="T45" s="573">
        <f t="shared" si="3"/>
        <v>97.8</v>
      </c>
    </row>
    <row r="46" spans="1:23" ht="12.75" customHeight="1" x14ac:dyDescent="0.25">
      <c r="A46" s="813"/>
      <c r="B46" s="839"/>
      <c r="C46" s="59" t="s">
        <v>411</v>
      </c>
      <c r="D46" s="26"/>
      <c r="E46" s="26"/>
      <c r="F46" s="26"/>
      <c r="G46" s="26"/>
      <c r="H46" s="74"/>
      <c r="I46" s="406"/>
      <c r="J46" s="407"/>
      <c r="K46" s="26"/>
      <c r="L46" s="46"/>
      <c r="M46" s="45"/>
      <c r="N46" s="46"/>
      <c r="O46" s="46"/>
      <c r="P46" s="46"/>
      <c r="Q46" s="46"/>
      <c r="R46" s="73">
        <v>5000</v>
      </c>
      <c r="S46" s="92"/>
      <c r="T46" s="573">
        <f t="shared" si="3"/>
        <v>0</v>
      </c>
    </row>
    <row r="47" spans="1:23" ht="12.75" customHeight="1" x14ac:dyDescent="0.25">
      <c r="A47" s="813"/>
      <c r="B47" s="839"/>
      <c r="C47" s="59" t="s">
        <v>422</v>
      </c>
      <c r="D47" s="26"/>
      <c r="E47" s="26"/>
      <c r="F47" s="26"/>
      <c r="G47" s="26"/>
      <c r="H47" s="74"/>
      <c r="I47" s="406"/>
      <c r="J47" s="407"/>
      <c r="K47" s="26"/>
      <c r="L47" s="46">
        <v>29104.44</v>
      </c>
      <c r="M47" s="45"/>
      <c r="N47" s="46"/>
      <c r="O47" s="46"/>
      <c r="P47" s="46"/>
      <c r="Q47" s="46"/>
      <c r="R47" s="73">
        <v>3000</v>
      </c>
      <c r="S47" s="697"/>
      <c r="T47" s="573">
        <f t="shared" si="3"/>
        <v>0</v>
      </c>
    </row>
    <row r="48" spans="1:23" ht="12.75" hidden="1" customHeight="1" x14ac:dyDescent="0.25">
      <c r="A48" s="813"/>
      <c r="B48" s="839"/>
      <c r="C48" s="59" t="s">
        <v>315</v>
      </c>
      <c r="D48" s="49"/>
      <c r="E48" s="49"/>
      <c r="F48" s="49"/>
      <c r="G48" s="49"/>
      <c r="H48" s="83"/>
      <c r="I48" s="408"/>
      <c r="J48" s="409"/>
      <c r="K48" s="49"/>
      <c r="L48" s="49"/>
      <c r="M48" s="45">
        <v>2200</v>
      </c>
      <c r="N48" s="46"/>
      <c r="O48" s="46"/>
      <c r="P48" s="46"/>
      <c r="Q48" s="46"/>
      <c r="R48" s="73">
        <v>0</v>
      </c>
      <c r="S48" s="92"/>
      <c r="T48" s="573">
        <f t="shared" si="3"/>
        <v>0</v>
      </c>
    </row>
    <row r="49" spans="1:23" ht="12.75" hidden="1" customHeight="1" x14ac:dyDescent="0.25">
      <c r="A49" s="813"/>
      <c r="B49" s="839"/>
      <c r="C49" s="59" t="s">
        <v>316</v>
      </c>
      <c r="D49" s="49"/>
      <c r="E49" s="49"/>
      <c r="F49" s="49"/>
      <c r="G49" s="49"/>
      <c r="H49" s="83"/>
      <c r="I49" s="408"/>
      <c r="J49" s="409"/>
      <c r="K49" s="49"/>
      <c r="L49" s="49"/>
      <c r="M49" s="45">
        <v>28928.71</v>
      </c>
      <c r="N49" s="46"/>
      <c r="O49" s="46"/>
      <c r="P49" s="46"/>
      <c r="Q49" s="46"/>
      <c r="R49" s="73">
        <v>0</v>
      </c>
      <c r="S49" s="92"/>
      <c r="T49" s="573">
        <f t="shared" si="3"/>
        <v>0</v>
      </c>
    </row>
    <row r="50" spans="1:23" ht="12.75" hidden="1" customHeight="1" x14ac:dyDescent="0.25">
      <c r="A50" s="813"/>
      <c r="B50" s="839"/>
      <c r="C50" s="59" t="s">
        <v>317</v>
      </c>
      <c r="D50" s="49"/>
      <c r="E50" s="49"/>
      <c r="F50" s="49"/>
      <c r="G50" s="49"/>
      <c r="H50" s="83"/>
      <c r="I50" s="408"/>
      <c r="J50" s="409"/>
      <c r="K50" s="49"/>
      <c r="L50" s="49"/>
      <c r="M50" s="25">
        <v>19756.98</v>
      </c>
      <c r="N50" s="46"/>
      <c r="O50" s="46"/>
      <c r="P50" s="46"/>
      <c r="Q50" s="46"/>
      <c r="R50" s="73">
        <v>0</v>
      </c>
      <c r="S50" s="92"/>
      <c r="T50" s="573">
        <f t="shared" si="3"/>
        <v>0</v>
      </c>
    </row>
    <row r="51" spans="1:23" ht="12.75" hidden="1" customHeight="1" x14ac:dyDescent="0.25">
      <c r="A51" s="813"/>
      <c r="B51" s="839"/>
      <c r="C51" s="59" t="s">
        <v>318</v>
      </c>
      <c r="D51" s="49"/>
      <c r="E51" s="49"/>
      <c r="F51" s="49"/>
      <c r="G51" s="49"/>
      <c r="H51" s="83"/>
      <c r="I51" s="408"/>
      <c r="J51" s="409"/>
      <c r="K51" s="49"/>
      <c r="L51" s="49"/>
      <c r="M51" s="25">
        <v>20994.32</v>
      </c>
      <c r="N51" s="46"/>
      <c r="O51" s="46"/>
      <c r="P51" s="46"/>
      <c r="Q51" s="46"/>
      <c r="R51" s="73">
        <v>0</v>
      </c>
      <c r="S51" s="92"/>
      <c r="T51" s="573">
        <f t="shared" si="3"/>
        <v>0</v>
      </c>
    </row>
    <row r="52" spans="1:23" ht="12.75" hidden="1" customHeight="1" x14ac:dyDescent="0.25">
      <c r="A52" s="813"/>
      <c r="B52" s="839"/>
      <c r="C52" s="59" t="s">
        <v>319</v>
      </c>
      <c r="D52" s="49"/>
      <c r="E52" s="49"/>
      <c r="F52" s="49"/>
      <c r="G52" s="49"/>
      <c r="H52" s="83"/>
      <c r="I52" s="408"/>
      <c r="J52" s="409"/>
      <c r="K52" s="49"/>
      <c r="L52" s="49">
        <v>22831.440000000002</v>
      </c>
      <c r="M52" s="26">
        <v>0</v>
      </c>
      <c r="N52" s="46"/>
      <c r="O52" s="46"/>
      <c r="P52" s="46"/>
      <c r="Q52" s="46"/>
      <c r="R52" s="73">
        <v>0</v>
      </c>
      <c r="S52" s="92"/>
      <c r="T52" s="573">
        <f t="shared" si="3"/>
        <v>0</v>
      </c>
    </row>
    <row r="53" spans="1:23" ht="12.75" hidden="1" customHeight="1" x14ac:dyDescent="0.25">
      <c r="A53" s="813"/>
      <c r="B53" s="839"/>
      <c r="C53" s="59" t="s">
        <v>320</v>
      </c>
      <c r="D53" s="49"/>
      <c r="E53" s="49"/>
      <c r="F53" s="49"/>
      <c r="G53" s="49"/>
      <c r="H53" s="83"/>
      <c r="I53" s="408"/>
      <c r="J53" s="409"/>
      <c r="K53" s="49"/>
      <c r="L53" s="49"/>
      <c r="M53" s="26"/>
      <c r="N53" s="46"/>
      <c r="O53" s="46"/>
      <c r="P53" s="46"/>
      <c r="Q53" s="46"/>
      <c r="R53" s="73">
        <v>0</v>
      </c>
      <c r="S53" s="92"/>
      <c r="T53" s="573">
        <f t="shared" si="3"/>
        <v>0</v>
      </c>
    </row>
    <row r="54" spans="1:23" ht="12.75" hidden="1" customHeight="1" x14ac:dyDescent="0.25">
      <c r="A54" s="813"/>
      <c r="B54" s="839"/>
      <c r="C54" s="59" t="s">
        <v>321</v>
      </c>
      <c r="D54" s="49"/>
      <c r="E54" s="49"/>
      <c r="F54" s="49"/>
      <c r="G54" s="49"/>
      <c r="H54" s="83"/>
      <c r="I54" s="408"/>
      <c r="J54" s="409"/>
      <c r="K54" s="49"/>
      <c r="L54" s="49"/>
      <c r="M54" s="49"/>
      <c r="N54" s="26"/>
      <c r="O54" s="60"/>
      <c r="P54" s="73"/>
      <c r="Q54" s="73"/>
      <c r="R54" s="73">
        <v>0</v>
      </c>
      <c r="S54" s="92"/>
      <c r="T54" s="573">
        <f t="shared" si="3"/>
        <v>0</v>
      </c>
    </row>
    <row r="55" spans="1:23" ht="15.75" thickBot="1" x14ac:dyDescent="0.3">
      <c r="A55" s="813"/>
      <c r="B55" s="839"/>
      <c r="C55" s="59" t="s">
        <v>322</v>
      </c>
      <c r="D55" s="49"/>
      <c r="E55" s="49"/>
      <c r="F55" s="49"/>
      <c r="G55" s="49"/>
      <c r="H55" s="83"/>
      <c r="I55" s="408"/>
      <c r="J55" s="409"/>
      <c r="K55" s="49"/>
      <c r="L55" s="49"/>
      <c r="M55" s="49"/>
      <c r="N55" s="26"/>
      <c r="O55" s="60"/>
      <c r="P55" s="73"/>
      <c r="Q55" s="73"/>
      <c r="R55" s="73">
        <v>46000</v>
      </c>
      <c r="S55" s="92"/>
      <c r="T55" s="573">
        <f t="shared" si="3"/>
        <v>0</v>
      </c>
      <c r="W55" s="303"/>
    </row>
    <row r="56" spans="1:23" ht="15.75" hidden="1" thickBot="1" x14ac:dyDescent="0.3">
      <c r="A56" s="401"/>
      <c r="B56" s="405"/>
      <c r="C56" s="59"/>
      <c r="D56" s="49"/>
      <c r="E56" s="49"/>
      <c r="F56" s="49"/>
      <c r="G56" s="49"/>
      <c r="H56" s="83"/>
      <c r="I56" s="408"/>
      <c r="J56" s="409"/>
      <c r="K56" s="49"/>
      <c r="L56" s="49"/>
      <c r="M56" s="32"/>
      <c r="N56" s="32"/>
      <c r="O56" s="76"/>
      <c r="P56" s="188"/>
      <c r="Q56" s="188"/>
      <c r="R56" s="73"/>
      <c r="S56" s="92"/>
      <c r="T56" s="573">
        <f t="shared" si="3"/>
        <v>0</v>
      </c>
    </row>
    <row r="57" spans="1:23" ht="15.75" thickBot="1" x14ac:dyDescent="0.3">
      <c r="A57" s="410" t="s">
        <v>168</v>
      </c>
      <c r="B57" s="746" t="s">
        <v>323</v>
      </c>
      <c r="C57" s="747"/>
      <c r="D57" s="411">
        <v>80894</v>
      </c>
      <c r="E57" s="179">
        <v>8298</v>
      </c>
      <c r="F57" s="179">
        <v>71666</v>
      </c>
      <c r="G57" s="179">
        <v>1330064</v>
      </c>
      <c r="H57" s="179">
        <v>2147096</v>
      </c>
      <c r="I57" s="392">
        <v>8121</v>
      </c>
      <c r="J57" s="179">
        <v>93729</v>
      </c>
      <c r="K57" s="84">
        <f t="shared" ref="K57:M57" si="4">SUM(K58:K63)</f>
        <v>28919</v>
      </c>
      <c r="L57" s="84">
        <f t="shared" si="4"/>
        <v>0</v>
      </c>
      <c r="M57" s="85">
        <f t="shared" si="4"/>
        <v>69453.41</v>
      </c>
      <c r="N57" s="84">
        <v>5501</v>
      </c>
      <c r="O57" s="84">
        <v>396374.4</v>
      </c>
      <c r="P57" s="84">
        <v>215644.72</v>
      </c>
      <c r="Q57" s="84">
        <v>36876</v>
      </c>
      <c r="R57" s="84">
        <f>R58+R59</f>
        <v>19548</v>
      </c>
      <c r="S57" s="85">
        <f>S58+S59</f>
        <v>13188</v>
      </c>
      <c r="T57" s="640">
        <f t="shared" si="3"/>
        <v>67.459999999999994</v>
      </c>
    </row>
    <row r="58" spans="1:23" x14ac:dyDescent="0.25">
      <c r="A58" s="412"/>
      <c r="B58" s="413"/>
      <c r="C58" s="57" t="s">
        <v>441</v>
      </c>
      <c r="D58" s="20"/>
      <c r="E58" s="20"/>
      <c r="F58" s="20"/>
      <c r="G58" s="20"/>
      <c r="H58" s="71"/>
      <c r="I58" s="414"/>
      <c r="J58" s="415"/>
      <c r="K58" s="20">
        <v>28919</v>
      </c>
      <c r="L58" s="46"/>
      <c r="M58" s="45"/>
      <c r="N58" s="46"/>
      <c r="O58" s="46"/>
      <c r="P58" s="46"/>
      <c r="Q58" s="46"/>
      <c r="R58" s="73">
        <v>13188</v>
      </c>
      <c r="S58" s="92">
        <v>13188</v>
      </c>
      <c r="T58" s="573">
        <f t="shared" si="3"/>
        <v>100</v>
      </c>
      <c r="V58" s="189"/>
    </row>
    <row r="59" spans="1:23" ht="15.75" thickBot="1" x14ac:dyDescent="0.3">
      <c r="A59" s="401"/>
      <c r="B59" s="405"/>
      <c r="C59" s="91" t="s">
        <v>442</v>
      </c>
      <c r="D59" s="46"/>
      <c r="E59" s="46"/>
      <c r="F59" s="46"/>
      <c r="G59" s="46"/>
      <c r="H59" s="72"/>
      <c r="I59" s="416"/>
      <c r="J59" s="417"/>
      <c r="K59" s="46"/>
      <c r="L59" s="46"/>
      <c r="M59" s="45">
        <v>69453.41</v>
      </c>
      <c r="N59" s="46"/>
      <c r="O59" s="46"/>
      <c r="P59" s="46"/>
      <c r="Q59" s="46"/>
      <c r="R59" s="73">
        <v>6360</v>
      </c>
      <c r="S59" s="92"/>
      <c r="T59" s="573">
        <f t="shared" si="3"/>
        <v>0</v>
      </c>
    </row>
    <row r="60" spans="1:23" ht="15.75" hidden="1" thickBot="1" x14ac:dyDescent="0.3">
      <c r="A60" s="401"/>
      <c r="B60" s="405"/>
      <c r="C60" s="59" t="s">
        <v>95</v>
      </c>
      <c r="D60" s="46"/>
      <c r="E60" s="46"/>
      <c r="F60" s="46"/>
      <c r="G60" s="46"/>
      <c r="H60" s="72"/>
      <c r="I60" s="416"/>
      <c r="J60" s="417"/>
      <c r="K60" s="46"/>
      <c r="L60" s="46"/>
      <c r="M60" s="46"/>
      <c r="N60" s="46"/>
      <c r="O60" s="46"/>
      <c r="P60" s="46"/>
      <c r="Q60" s="46"/>
      <c r="R60" s="73"/>
      <c r="S60" s="92"/>
      <c r="T60" s="573">
        <f t="shared" si="3"/>
        <v>0</v>
      </c>
    </row>
    <row r="61" spans="1:23" ht="15.75" hidden="1" thickBot="1" x14ac:dyDescent="0.3">
      <c r="A61" s="401"/>
      <c r="B61" s="405"/>
      <c r="C61" s="59" t="s">
        <v>324</v>
      </c>
      <c r="D61" s="26"/>
      <c r="E61" s="26"/>
      <c r="F61" s="26"/>
      <c r="G61" s="26"/>
      <c r="H61" s="74"/>
      <c r="I61" s="406"/>
      <c r="J61" s="407"/>
      <c r="K61" s="26"/>
      <c r="L61" s="26"/>
      <c r="M61" s="26"/>
      <c r="N61" s="26"/>
      <c r="O61" s="26"/>
      <c r="P61" s="26"/>
      <c r="Q61" s="26"/>
      <c r="R61" s="60"/>
      <c r="S61" s="125"/>
      <c r="T61" s="572">
        <f t="shared" si="3"/>
        <v>0</v>
      </c>
    </row>
    <row r="62" spans="1:23" ht="15.75" hidden="1" thickBot="1" x14ac:dyDescent="0.3">
      <c r="A62" s="401"/>
      <c r="B62" s="405"/>
      <c r="C62" s="59" t="s">
        <v>325</v>
      </c>
      <c r="D62" s="26"/>
      <c r="E62" s="26"/>
      <c r="F62" s="26"/>
      <c r="G62" s="26"/>
      <c r="H62" s="74"/>
      <c r="I62" s="406"/>
      <c r="J62" s="407"/>
      <c r="K62" s="26"/>
      <c r="L62" s="26"/>
      <c r="M62" s="26"/>
      <c r="N62" s="26"/>
      <c r="O62" s="26"/>
      <c r="P62" s="26"/>
      <c r="Q62" s="26"/>
      <c r="R62" s="60"/>
      <c r="S62" s="125"/>
      <c r="T62" s="572">
        <f t="shared" si="3"/>
        <v>0</v>
      </c>
    </row>
    <row r="63" spans="1:23" ht="15.75" hidden="1" thickBot="1" x14ac:dyDescent="0.3">
      <c r="A63" s="418"/>
      <c r="B63" s="419"/>
      <c r="C63" s="91" t="s">
        <v>326</v>
      </c>
      <c r="D63" s="90"/>
      <c r="E63" s="90"/>
      <c r="F63" s="90"/>
      <c r="G63" s="90"/>
      <c r="H63" s="88"/>
      <c r="I63" s="420"/>
      <c r="J63" s="421"/>
      <c r="K63" s="97"/>
      <c r="L63" s="90"/>
      <c r="M63" s="90"/>
      <c r="N63" s="90"/>
      <c r="O63" s="90"/>
      <c r="P63" s="90"/>
      <c r="Q63" s="90"/>
      <c r="R63" s="188"/>
      <c r="S63" s="278"/>
      <c r="T63" s="641">
        <f t="shared" si="3"/>
        <v>0</v>
      </c>
    </row>
    <row r="64" spans="1:23" ht="15.75" hidden="1" thickBot="1" x14ac:dyDescent="0.3">
      <c r="A64" s="422" t="s">
        <v>181</v>
      </c>
      <c r="B64" s="846" t="s">
        <v>327</v>
      </c>
      <c r="C64" s="846"/>
      <c r="D64" s="423"/>
      <c r="E64" s="423"/>
      <c r="F64" s="423"/>
      <c r="G64" s="423"/>
      <c r="H64" s="424">
        <v>182399</v>
      </c>
      <c r="I64" s="424"/>
      <c r="J64" s="425"/>
      <c r="K64" s="86"/>
      <c r="L64" s="86"/>
      <c r="M64" s="86"/>
      <c r="N64" s="86"/>
      <c r="O64" s="86"/>
      <c r="P64" s="86"/>
      <c r="Q64" s="86"/>
      <c r="R64" s="84"/>
      <c r="S64" s="85"/>
      <c r="T64" s="640">
        <f t="shared" si="3"/>
        <v>0</v>
      </c>
    </row>
    <row r="65" spans="1:23" ht="15.75" hidden="1" thickBot="1" x14ac:dyDescent="0.3">
      <c r="A65" s="401"/>
      <c r="B65" s="405"/>
      <c r="C65" s="88"/>
      <c r="D65" s="90"/>
      <c r="E65" s="90"/>
      <c r="F65" s="90"/>
      <c r="G65" s="90"/>
      <c r="H65" s="88"/>
      <c r="I65" s="420"/>
      <c r="J65" s="421"/>
      <c r="K65" s="90"/>
      <c r="L65" s="90"/>
      <c r="M65" s="90"/>
      <c r="N65" s="90"/>
      <c r="O65" s="90"/>
      <c r="P65" s="90"/>
      <c r="Q65" s="90"/>
      <c r="R65" s="188"/>
      <c r="S65" s="278"/>
      <c r="T65" s="641">
        <f t="shared" si="3"/>
        <v>0</v>
      </c>
    </row>
    <row r="66" spans="1:23" ht="15.75" thickBot="1" x14ac:dyDescent="0.3">
      <c r="A66" s="151" t="s">
        <v>183</v>
      </c>
      <c r="B66" s="746" t="s">
        <v>184</v>
      </c>
      <c r="C66" s="747"/>
      <c r="D66" s="152">
        <v>0</v>
      </c>
      <c r="E66" s="152">
        <v>0</v>
      </c>
      <c r="F66" s="152">
        <v>6639</v>
      </c>
      <c r="G66" s="152">
        <v>113606</v>
      </c>
      <c r="H66" s="152">
        <v>254005</v>
      </c>
      <c r="I66" s="239">
        <v>2699311</v>
      </c>
      <c r="J66" s="152">
        <v>3603230</v>
      </c>
      <c r="K66" s="84">
        <f>SUM(K73:K73)</f>
        <v>1781346</v>
      </c>
      <c r="L66" s="84">
        <f t="shared" ref="L66:M66" si="5">SUM(L67:L73)</f>
        <v>11891.04</v>
      </c>
      <c r="M66" s="85">
        <f t="shared" si="5"/>
        <v>1099.52</v>
      </c>
      <c r="N66" s="84">
        <v>9688.17</v>
      </c>
      <c r="O66" s="84">
        <v>125008.29000000001</v>
      </c>
      <c r="P66" s="84">
        <v>30038.799999999999</v>
      </c>
      <c r="Q66" s="85">
        <v>3055</v>
      </c>
      <c r="R66" s="84">
        <f>R67+R68</f>
        <v>23579</v>
      </c>
      <c r="S66" s="85">
        <f>S67+S68</f>
        <v>14350.8</v>
      </c>
      <c r="T66" s="640">
        <f t="shared" si="3"/>
        <v>60.86</v>
      </c>
      <c r="V66" s="189"/>
    </row>
    <row r="67" spans="1:23" x14ac:dyDescent="0.25">
      <c r="A67" s="810"/>
      <c r="B67" s="847"/>
      <c r="C67" s="426" t="s">
        <v>329</v>
      </c>
      <c r="D67" s="427"/>
      <c r="E67" s="427"/>
      <c r="F67" s="427"/>
      <c r="G67" s="427"/>
      <c r="H67" s="426"/>
      <c r="I67" s="428"/>
      <c r="J67" s="429"/>
      <c r="K67" s="280"/>
      <c r="L67" s="17">
        <v>11891.04</v>
      </c>
      <c r="M67" s="157">
        <v>1099.52</v>
      </c>
      <c r="N67" s="157"/>
      <c r="O67" s="157"/>
      <c r="P67" s="157"/>
      <c r="Q67" s="157"/>
      <c r="R67" s="17">
        <v>15000</v>
      </c>
      <c r="S67" s="157">
        <v>5772</v>
      </c>
      <c r="T67" s="664">
        <f t="shared" si="3"/>
        <v>38.479999999999997</v>
      </c>
    </row>
    <row r="68" spans="1:23" ht="15.75" thickBot="1" x14ac:dyDescent="0.3">
      <c r="A68" s="811"/>
      <c r="B68" s="848"/>
      <c r="C68" s="430" t="s">
        <v>445</v>
      </c>
      <c r="D68" s="431"/>
      <c r="E68" s="431"/>
      <c r="F68" s="431"/>
      <c r="G68" s="431"/>
      <c r="H68" s="430"/>
      <c r="I68" s="432"/>
      <c r="J68" s="433"/>
      <c r="K68" s="283"/>
      <c r="L68" s="112"/>
      <c r="M68" s="231"/>
      <c r="N68" s="231"/>
      <c r="O68" s="112"/>
      <c r="P68" s="112"/>
      <c r="Q68" s="112"/>
      <c r="R68" s="112">
        <v>8579</v>
      </c>
      <c r="S68" s="231">
        <v>8578.7999999999993</v>
      </c>
      <c r="T68" s="663">
        <f t="shared" ref="T68:T99" si="6">IF(R68=0,0,ROUND(S68/R68*100,2))</f>
        <v>100</v>
      </c>
    </row>
    <row r="69" spans="1:23" ht="15.75" hidden="1" thickBot="1" x14ac:dyDescent="0.3">
      <c r="A69" s="811"/>
      <c r="B69" s="848"/>
      <c r="C69" s="430" t="s">
        <v>328</v>
      </c>
      <c r="D69" s="431"/>
      <c r="E69" s="431"/>
      <c r="F69" s="431"/>
      <c r="G69" s="431"/>
      <c r="H69" s="430"/>
      <c r="I69" s="432"/>
      <c r="J69" s="433"/>
      <c r="K69" s="283"/>
      <c r="L69" s="283"/>
      <c r="M69" s="435"/>
      <c r="N69" s="112"/>
      <c r="O69" s="435"/>
      <c r="P69" s="435"/>
      <c r="Q69" s="435"/>
      <c r="R69" s="435"/>
      <c r="S69" s="698"/>
      <c r="T69" s="665">
        <f t="shared" si="6"/>
        <v>0</v>
      </c>
    </row>
    <row r="70" spans="1:23" ht="15.75" hidden="1" thickBot="1" x14ac:dyDescent="0.3">
      <c r="A70" s="811"/>
      <c r="B70" s="848"/>
      <c r="C70" s="430" t="s">
        <v>329</v>
      </c>
      <c r="D70" s="431"/>
      <c r="E70" s="431"/>
      <c r="F70" s="431"/>
      <c r="G70" s="431"/>
      <c r="H70" s="430"/>
      <c r="I70" s="432"/>
      <c r="J70" s="433"/>
      <c r="K70" s="283"/>
      <c r="L70" s="283"/>
      <c r="M70" s="283"/>
      <c r="N70" s="434"/>
      <c r="O70" s="112"/>
      <c r="P70" s="112"/>
      <c r="Q70" s="112"/>
      <c r="R70" s="112"/>
      <c r="S70" s="231"/>
      <c r="T70" s="666">
        <f t="shared" si="6"/>
        <v>0</v>
      </c>
    </row>
    <row r="71" spans="1:23" ht="15.75" hidden="1" thickBot="1" x14ac:dyDescent="0.3">
      <c r="A71" s="811"/>
      <c r="B71" s="848"/>
      <c r="C71" s="436" t="s">
        <v>188</v>
      </c>
      <c r="D71" s="437"/>
      <c r="E71" s="437"/>
      <c r="F71" s="437"/>
      <c r="G71" s="437"/>
      <c r="H71" s="436"/>
      <c r="I71" s="438"/>
      <c r="J71" s="439"/>
      <c r="K71" s="440"/>
      <c r="L71" s="440"/>
      <c r="M71" s="440"/>
      <c r="N71" s="440"/>
      <c r="O71" s="440"/>
      <c r="P71" s="440"/>
      <c r="Q71" s="440"/>
      <c r="R71" s="441"/>
      <c r="S71" s="162"/>
      <c r="T71" s="667">
        <f t="shared" si="6"/>
        <v>0</v>
      </c>
    </row>
    <row r="72" spans="1:23" ht="15.75" hidden="1" thickBot="1" x14ac:dyDescent="0.3">
      <c r="A72" s="811"/>
      <c r="B72" s="848"/>
      <c r="C72" s="436" t="s">
        <v>189</v>
      </c>
      <c r="D72" s="437"/>
      <c r="E72" s="437"/>
      <c r="F72" s="437"/>
      <c r="G72" s="437"/>
      <c r="H72" s="436"/>
      <c r="I72" s="438"/>
      <c r="J72" s="439"/>
      <c r="K72" s="440"/>
      <c r="L72" s="440"/>
      <c r="M72" s="440"/>
      <c r="N72" s="440"/>
      <c r="O72" s="440"/>
      <c r="P72" s="440"/>
      <c r="Q72" s="440"/>
      <c r="R72" s="441"/>
      <c r="S72" s="162"/>
      <c r="T72" s="667">
        <f t="shared" si="6"/>
        <v>0</v>
      </c>
    </row>
    <row r="73" spans="1:23" ht="15.75" hidden="1" thickBot="1" x14ac:dyDescent="0.3">
      <c r="A73" s="812"/>
      <c r="B73" s="849"/>
      <c r="C73" s="61" t="s">
        <v>330</v>
      </c>
      <c r="D73" s="32"/>
      <c r="E73" s="32"/>
      <c r="F73" s="32"/>
      <c r="G73" s="32"/>
      <c r="H73" s="75"/>
      <c r="I73" s="442"/>
      <c r="J73" s="443"/>
      <c r="K73" s="32">
        <v>1781346</v>
      </c>
      <c r="L73" s="97"/>
      <c r="M73" s="97"/>
      <c r="N73" s="97"/>
      <c r="O73" s="97"/>
      <c r="P73" s="97"/>
      <c r="Q73" s="97"/>
      <c r="R73" s="149"/>
      <c r="S73" s="326"/>
      <c r="T73" s="668">
        <f t="shared" si="6"/>
        <v>0</v>
      </c>
    </row>
    <row r="74" spans="1:23" ht="15.75" thickBot="1" x14ac:dyDescent="0.3">
      <c r="A74" s="404" t="s">
        <v>203</v>
      </c>
      <c r="B74" s="846" t="s">
        <v>204</v>
      </c>
      <c r="C74" s="846"/>
      <c r="D74" s="179">
        <v>38040</v>
      </c>
      <c r="E74" s="179">
        <v>144792</v>
      </c>
      <c r="F74" s="179">
        <v>36414</v>
      </c>
      <c r="G74" s="179">
        <v>3228</v>
      </c>
      <c r="H74" s="179">
        <v>15058</v>
      </c>
      <c r="I74" s="424"/>
      <c r="J74" s="425"/>
      <c r="K74" s="86">
        <f>SUM(K75:K77)</f>
        <v>5000</v>
      </c>
      <c r="L74" s="86">
        <f>SUM(L75:L77)</f>
        <v>35480.800000000003</v>
      </c>
      <c r="M74" s="119">
        <f>SUM(M75:M77)</f>
        <v>555131.6</v>
      </c>
      <c r="N74" s="86">
        <v>10197.6</v>
      </c>
      <c r="O74" s="86">
        <v>323.60000000000002</v>
      </c>
      <c r="P74" s="86">
        <v>16171.269999999999</v>
      </c>
      <c r="Q74" s="119">
        <v>27465.02</v>
      </c>
      <c r="R74" s="84">
        <f>R75+R76</f>
        <v>159050</v>
      </c>
      <c r="S74" s="85">
        <f>S75+S76</f>
        <v>153985</v>
      </c>
      <c r="T74" s="640">
        <f t="shared" si="6"/>
        <v>96.82</v>
      </c>
    </row>
    <row r="75" spans="1:23" x14ac:dyDescent="0.25">
      <c r="A75" s="810"/>
      <c r="B75" s="850"/>
      <c r="C75" s="57" t="s">
        <v>331</v>
      </c>
      <c r="D75" s="20"/>
      <c r="E75" s="20"/>
      <c r="F75" s="20"/>
      <c r="G75" s="20"/>
      <c r="H75" s="71"/>
      <c r="I75" s="414"/>
      <c r="J75" s="415"/>
      <c r="K75" s="444">
        <v>5000</v>
      </c>
      <c r="L75" s="444">
        <v>20503.12</v>
      </c>
      <c r="M75" s="445"/>
      <c r="N75" s="444"/>
      <c r="O75" s="444"/>
      <c r="P75" s="444"/>
      <c r="Q75" s="444"/>
      <c r="R75" s="58">
        <v>150535</v>
      </c>
      <c r="S75" s="124">
        <v>145535</v>
      </c>
      <c r="T75" s="642">
        <f t="shared" si="6"/>
        <v>96.68</v>
      </c>
    </row>
    <row r="76" spans="1:23" ht="15.75" thickBot="1" x14ac:dyDescent="0.3">
      <c r="A76" s="811"/>
      <c r="B76" s="851"/>
      <c r="C76" s="91" t="s">
        <v>444</v>
      </c>
      <c r="D76" s="90"/>
      <c r="E76" s="90"/>
      <c r="F76" s="90"/>
      <c r="G76" s="90"/>
      <c r="H76" s="88"/>
      <c r="I76" s="420"/>
      <c r="J76" s="421"/>
      <c r="K76" s="446"/>
      <c r="L76" s="447"/>
      <c r="M76" s="448">
        <v>555131.6</v>
      </c>
      <c r="N76" s="447"/>
      <c r="O76" s="447"/>
      <c r="P76" s="447"/>
      <c r="Q76" s="447"/>
      <c r="R76" s="449">
        <v>8515</v>
      </c>
      <c r="S76" s="125">
        <v>8450</v>
      </c>
      <c r="T76" s="572">
        <f t="shared" si="6"/>
        <v>99.24</v>
      </c>
    </row>
    <row r="77" spans="1:23" ht="15.75" hidden="1" thickBot="1" x14ac:dyDescent="0.3">
      <c r="A77" s="812"/>
      <c r="B77" s="852"/>
      <c r="C77" s="59"/>
      <c r="D77" s="90"/>
      <c r="E77" s="90"/>
      <c r="F77" s="90"/>
      <c r="G77" s="90"/>
      <c r="H77" s="88"/>
      <c r="I77" s="420"/>
      <c r="J77" s="421"/>
      <c r="K77" s="90"/>
      <c r="L77" s="90">
        <v>14977.68</v>
      </c>
      <c r="M77" s="89"/>
      <c r="N77" s="90"/>
      <c r="O77" s="90"/>
      <c r="P77" s="90"/>
      <c r="Q77" s="90"/>
      <c r="R77" s="188"/>
      <c r="S77" s="278"/>
      <c r="T77" s="641">
        <f t="shared" si="6"/>
        <v>0</v>
      </c>
    </row>
    <row r="78" spans="1:23" ht="15.75" thickBot="1" x14ac:dyDescent="0.3">
      <c r="A78" s="404" t="s">
        <v>207</v>
      </c>
      <c r="B78" s="846" t="s">
        <v>208</v>
      </c>
      <c r="C78" s="846"/>
      <c r="D78" s="179">
        <v>326960</v>
      </c>
      <c r="E78" s="179">
        <v>144858</v>
      </c>
      <c r="F78" s="179">
        <v>123880</v>
      </c>
      <c r="G78" s="179">
        <v>20761</v>
      </c>
      <c r="H78" s="179">
        <v>158221</v>
      </c>
      <c r="I78" s="392">
        <v>92051</v>
      </c>
      <c r="J78" s="179">
        <v>68225</v>
      </c>
      <c r="K78" s="84">
        <f>SUM(K79:K108)</f>
        <v>16198</v>
      </c>
      <c r="L78" s="84">
        <f>SUM(L79:L108)</f>
        <v>1305435.6399999999</v>
      </c>
      <c r="M78" s="85">
        <f>SUM(M79:M108)</f>
        <v>139207.66</v>
      </c>
      <c r="N78" s="84">
        <v>44614.21</v>
      </c>
      <c r="O78" s="85">
        <v>60675.760000000009</v>
      </c>
      <c r="P78" s="85">
        <v>54775.5</v>
      </c>
      <c r="Q78" s="85">
        <v>566821.34</v>
      </c>
      <c r="R78" s="84">
        <f>SUM(R80:R105)</f>
        <v>6378069</v>
      </c>
      <c r="S78" s="85">
        <f t="shared" ref="S78" si="7">SUM(S80:S105)</f>
        <v>879183.79</v>
      </c>
      <c r="T78" s="640">
        <f t="shared" si="6"/>
        <v>13.78</v>
      </c>
      <c r="V78" s="303"/>
    </row>
    <row r="79" spans="1:23" hidden="1" x14ac:dyDescent="0.25">
      <c r="A79" s="808"/>
      <c r="B79" s="838"/>
      <c r="C79" s="450" t="s">
        <v>332</v>
      </c>
      <c r="D79" s="451"/>
      <c r="E79" s="451"/>
      <c r="F79" s="451"/>
      <c r="G79" s="451"/>
      <c r="H79" s="452"/>
      <c r="I79" s="453"/>
      <c r="J79" s="454"/>
      <c r="K79" s="20"/>
      <c r="L79" s="20"/>
      <c r="M79" s="19">
        <v>1289.08</v>
      </c>
      <c r="N79" s="46"/>
      <c r="O79" s="46"/>
      <c r="P79" s="46"/>
      <c r="Q79" s="46"/>
      <c r="R79" s="60"/>
      <c r="S79" s="125"/>
      <c r="T79" s="572">
        <f t="shared" si="6"/>
        <v>0</v>
      </c>
    </row>
    <row r="80" spans="1:23" x14ac:dyDescent="0.25">
      <c r="A80" s="813"/>
      <c r="B80" s="839"/>
      <c r="C80" s="170" t="s">
        <v>333</v>
      </c>
      <c r="D80" s="455"/>
      <c r="E80" s="455"/>
      <c r="F80" s="455"/>
      <c r="G80" s="455"/>
      <c r="H80" s="456"/>
      <c r="I80" s="457"/>
      <c r="J80" s="251"/>
      <c r="K80" s="26"/>
      <c r="L80" s="46"/>
      <c r="M80" s="45">
        <v>0</v>
      </c>
      <c r="N80" s="46"/>
      <c r="O80" s="46"/>
      <c r="P80" s="46"/>
      <c r="Q80" s="46"/>
      <c r="R80" s="60">
        <v>273693</v>
      </c>
      <c r="S80" s="125">
        <v>273692.19</v>
      </c>
      <c r="T80" s="572">
        <f t="shared" si="6"/>
        <v>100</v>
      </c>
      <c r="W80" s="303"/>
    </row>
    <row r="81" spans="1:20" x14ac:dyDescent="0.25">
      <c r="A81" s="813"/>
      <c r="B81" s="839"/>
      <c r="C81" s="170" t="s">
        <v>409</v>
      </c>
      <c r="D81" s="455"/>
      <c r="E81" s="455"/>
      <c r="F81" s="455"/>
      <c r="G81" s="455"/>
      <c r="H81" s="456"/>
      <c r="I81" s="457"/>
      <c r="J81" s="251"/>
      <c r="K81" s="26"/>
      <c r="L81" s="46"/>
      <c r="M81" s="45"/>
      <c r="N81" s="46"/>
      <c r="O81" s="46"/>
      <c r="P81" s="46"/>
      <c r="Q81" s="46"/>
      <c r="R81" s="60">
        <v>4000</v>
      </c>
      <c r="S81" s="125">
        <v>4000</v>
      </c>
      <c r="T81" s="572">
        <f t="shared" si="6"/>
        <v>100</v>
      </c>
    </row>
    <row r="82" spans="1:20" x14ac:dyDescent="0.25">
      <c r="A82" s="813"/>
      <c r="B82" s="839"/>
      <c r="C82" s="170" t="s">
        <v>404</v>
      </c>
      <c r="D82" s="455"/>
      <c r="E82" s="455"/>
      <c r="F82" s="455"/>
      <c r="G82" s="455"/>
      <c r="H82" s="456"/>
      <c r="I82" s="457"/>
      <c r="J82" s="251"/>
      <c r="K82" s="26"/>
      <c r="L82" s="46"/>
      <c r="M82" s="45"/>
      <c r="N82" s="46"/>
      <c r="O82" s="46"/>
      <c r="P82" s="46"/>
      <c r="Q82" s="46"/>
      <c r="R82" s="60">
        <v>5983</v>
      </c>
      <c r="S82" s="125">
        <v>5983</v>
      </c>
      <c r="T82" s="572">
        <f t="shared" si="6"/>
        <v>100</v>
      </c>
    </row>
    <row r="83" spans="1:20" x14ac:dyDescent="0.25">
      <c r="A83" s="813"/>
      <c r="B83" s="839"/>
      <c r="C83" s="170" t="s">
        <v>420</v>
      </c>
      <c r="D83" s="455"/>
      <c r="E83" s="455"/>
      <c r="F83" s="455"/>
      <c r="G83" s="455"/>
      <c r="H83" s="456"/>
      <c r="I83" s="457"/>
      <c r="J83" s="251"/>
      <c r="K83" s="26"/>
      <c r="L83" s="46"/>
      <c r="M83" s="45"/>
      <c r="N83" s="46"/>
      <c r="O83" s="46"/>
      <c r="P83" s="46"/>
      <c r="Q83" s="46"/>
      <c r="R83" s="60">
        <v>30000</v>
      </c>
      <c r="S83" s="699"/>
      <c r="T83" s="572">
        <f t="shared" si="6"/>
        <v>0</v>
      </c>
    </row>
    <row r="84" spans="1:20" x14ac:dyDescent="0.25">
      <c r="A84" s="813"/>
      <c r="B84" s="839"/>
      <c r="C84" s="170" t="s">
        <v>417</v>
      </c>
      <c r="D84" s="455"/>
      <c r="E84" s="455"/>
      <c r="F84" s="455"/>
      <c r="G84" s="455"/>
      <c r="H84" s="456"/>
      <c r="I84" s="457"/>
      <c r="J84" s="251"/>
      <c r="K84" s="26"/>
      <c r="L84" s="46"/>
      <c r="M84" s="45">
        <v>0</v>
      </c>
      <c r="N84" s="46"/>
      <c r="O84" s="46"/>
      <c r="P84" s="46"/>
      <c r="Q84" s="46"/>
      <c r="R84" s="60">
        <v>8600</v>
      </c>
      <c r="S84" s="125"/>
      <c r="T84" s="572">
        <f t="shared" si="6"/>
        <v>0</v>
      </c>
    </row>
    <row r="85" spans="1:20" x14ac:dyDescent="0.25">
      <c r="A85" s="813"/>
      <c r="B85" s="839"/>
      <c r="C85" s="170" t="s">
        <v>334</v>
      </c>
      <c r="D85" s="455"/>
      <c r="E85" s="455"/>
      <c r="F85" s="455"/>
      <c r="G85" s="455"/>
      <c r="H85" s="456"/>
      <c r="I85" s="457"/>
      <c r="J85" s="251"/>
      <c r="K85" s="26"/>
      <c r="L85" s="46"/>
      <c r="M85" s="45">
        <v>0</v>
      </c>
      <c r="N85" s="46"/>
      <c r="O85" s="46"/>
      <c r="P85" s="46"/>
      <c r="Q85" s="46"/>
      <c r="R85" s="60">
        <v>1948202</v>
      </c>
      <c r="S85" s="125"/>
      <c r="T85" s="572">
        <f t="shared" si="6"/>
        <v>0</v>
      </c>
    </row>
    <row r="86" spans="1:20" x14ac:dyDescent="0.25">
      <c r="A86" s="813"/>
      <c r="B86" s="839"/>
      <c r="C86" s="170" t="s">
        <v>335</v>
      </c>
      <c r="D86" s="455"/>
      <c r="E86" s="455"/>
      <c r="F86" s="455"/>
      <c r="G86" s="455"/>
      <c r="H86" s="456"/>
      <c r="I86" s="457"/>
      <c r="J86" s="251"/>
      <c r="K86" s="26"/>
      <c r="L86" s="46"/>
      <c r="M86" s="45">
        <v>0</v>
      </c>
      <c r="N86" s="26"/>
      <c r="O86" s="60"/>
      <c r="P86" s="60"/>
      <c r="Q86" s="60"/>
      <c r="R86" s="60">
        <v>377143</v>
      </c>
      <c r="S86" s="125">
        <f>376421.15+208.63</f>
        <v>376629.78</v>
      </c>
      <c r="T86" s="572">
        <f t="shared" si="6"/>
        <v>99.86</v>
      </c>
    </row>
    <row r="87" spans="1:20" x14ac:dyDescent="0.25">
      <c r="A87" s="813"/>
      <c r="B87" s="839"/>
      <c r="C87" s="170" t="s">
        <v>424</v>
      </c>
      <c r="D87" s="463"/>
      <c r="E87" s="463"/>
      <c r="F87" s="463"/>
      <c r="G87" s="463"/>
      <c r="H87" s="464"/>
      <c r="I87" s="465"/>
      <c r="J87" s="256"/>
      <c r="K87" s="49"/>
      <c r="L87" s="90"/>
      <c r="M87" s="89"/>
      <c r="N87" s="26"/>
      <c r="O87" s="60"/>
      <c r="P87" s="60"/>
      <c r="Q87" s="60"/>
      <c r="R87" s="60">
        <v>41550</v>
      </c>
      <c r="S87" s="125"/>
      <c r="T87" s="572">
        <f t="shared" si="6"/>
        <v>0</v>
      </c>
    </row>
    <row r="88" spans="1:20" x14ac:dyDescent="0.25">
      <c r="A88" s="813"/>
      <c r="B88" s="839"/>
      <c r="C88" s="458" t="s">
        <v>336</v>
      </c>
      <c r="D88" s="459"/>
      <c r="E88" s="459"/>
      <c r="F88" s="459"/>
      <c r="G88" s="459"/>
      <c r="H88" s="460"/>
      <c r="I88" s="461"/>
      <c r="J88" s="462"/>
      <c r="K88" s="49"/>
      <c r="L88" s="90"/>
      <c r="M88" s="89">
        <v>0</v>
      </c>
      <c r="N88" s="26"/>
      <c r="O88" s="60"/>
      <c r="P88" s="60"/>
      <c r="Q88" s="60"/>
      <c r="R88" s="60">
        <v>21480</v>
      </c>
      <c r="S88" s="125">
        <v>18960</v>
      </c>
      <c r="T88" s="572">
        <f t="shared" si="6"/>
        <v>88.27</v>
      </c>
    </row>
    <row r="89" spans="1:20" x14ac:dyDescent="0.25">
      <c r="A89" s="813"/>
      <c r="B89" s="839"/>
      <c r="C89" s="350" t="s">
        <v>337</v>
      </c>
      <c r="D89" s="463"/>
      <c r="E89" s="463"/>
      <c r="F89" s="463"/>
      <c r="G89" s="463"/>
      <c r="H89" s="464"/>
      <c r="I89" s="465"/>
      <c r="J89" s="256"/>
      <c r="K89" s="49"/>
      <c r="L89" s="90"/>
      <c r="M89" s="89">
        <v>0</v>
      </c>
      <c r="N89" s="26"/>
      <c r="O89" s="60"/>
      <c r="P89" s="60"/>
      <c r="Q89" s="60"/>
      <c r="R89" s="60">
        <v>27991</v>
      </c>
      <c r="S89" s="125"/>
      <c r="T89" s="572">
        <f t="shared" si="6"/>
        <v>0</v>
      </c>
    </row>
    <row r="90" spans="1:20" x14ac:dyDescent="0.25">
      <c r="A90" s="813"/>
      <c r="B90" s="839"/>
      <c r="C90" s="170" t="s">
        <v>433</v>
      </c>
      <c r="D90" s="463"/>
      <c r="E90" s="463"/>
      <c r="F90" s="463"/>
      <c r="G90" s="463"/>
      <c r="H90" s="464"/>
      <c r="I90" s="465"/>
      <c r="J90" s="256"/>
      <c r="K90" s="49"/>
      <c r="L90" s="90"/>
      <c r="M90" s="89"/>
      <c r="N90" s="26"/>
      <c r="O90" s="60"/>
      <c r="P90" s="60"/>
      <c r="Q90" s="60"/>
      <c r="R90" s="60">
        <v>8500</v>
      </c>
      <c r="S90" s="125"/>
      <c r="T90" s="572">
        <f t="shared" si="6"/>
        <v>0</v>
      </c>
    </row>
    <row r="91" spans="1:20" hidden="1" x14ac:dyDescent="0.25">
      <c r="A91" s="813"/>
      <c r="B91" s="839"/>
      <c r="C91" s="170" t="s">
        <v>434</v>
      </c>
      <c r="D91" s="463"/>
      <c r="E91" s="463"/>
      <c r="F91" s="463"/>
      <c r="G91" s="463"/>
      <c r="H91" s="464"/>
      <c r="I91" s="465"/>
      <c r="J91" s="256"/>
      <c r="K91" s="49"/>
      <c r="L91" s="90"/>
      <c r="M91" s="89"/>
      <c r="N91" s="26"/>
      <c r="O91" s="60"/>
      <c r="P91" s="60"/>
      <c r="Q91" s="60"/>
      <c r="R91" s="60">
        <v>0</v>
      </c>
      <c r="S91" s="125"/>
      <c r="T91" s="572">
        <f t="shared" si="6"/>
        <v>0</v>
      </c>
    </row>
    <row r="92" spans="1:20" ht="12.75" customHeight="1" x14ac:dyDescent="0.25">
      <c r="A92" s="813"/>
      <c r="B92" s="839"/>
      <c r="C92" s="170" t="s">
        <v>338</v>
      </c>
      <c r="D92" s="463"/>
      <c r="E92" s="463"/>
      <c r="F92" s="463"/>
      <c r="G92" s="463"/>
      <c r="H92" s="464"/>
      <c r="I92" s="465"/>
      <c r="J92" s="256"/>
      <c r="K92" s="49"/>
      <c r="L92" s="90"/>
      <c r="M92" s="89">
        <v>0</v>
      </c>
      <c r="N92" s="26"/>
      <c r="O92" s="60"/>
      <c r="P92" s="60"/>
      <c r="Q92" s="60"/>
      <c r="R92" s="60">
        <v>21490</v>
      </c>
      <c r="S92" s="125">
        <v>20376</v>
      </c>
      <c r="T92" s="572">
        <f t="shared" si="6"/>
        <v>94.82</v>
      </c>
    </row>
    <row r="93" spans="1:20" ht="12.75" customHeight="1" x14ac:dyDescent="0.25">
      <c r="A93" s="813"/>
      <c r="B93" s="839"/>
      <c r="C93" s="170" t="s">
        <v>418</v>
      </c>
      <c r="D93" s="463"/>
      <c r="E93" s="463"/>
      <c r="F93" s="463"/>
      <c r="G93" s="463"/>
      <c r="H93" s="464"/>
      <c r="I93" s="465"/>
      <c r="J93" s="256"/>
      <c r="K93" s="49"/>
      <c r="L93" s="90"/>
      <c r="M93" s="89"/>
      <c r="N93" s="26"/>
      <c r="O93" s="60"/>
      <c r="P93" s="60"/>
      <c r="Q93" s="60"/>
      <c r="R93" s="60">
        <v>67930</v>
      </c>
      <c r="S93" s="125"/>
      <c r="T93" s="572">
        <f t="shared" si="6"/>
        <v>0</v>
      </c>
    </row>
    <row r="94" spans="1:20" ht="12.75" customHeight="1" x14ac:dyDescent="0.25">
      <c r="A94" s="813"/>
      <c r="B94" s="839"/>
      <c r="C94" s="170" t="s">
        <v>436</v>
      </c>
      <c r="D94" s="26"/>
      <c r="E94" s="26"/>
      <c r="F94" s="26"/>
      <c r="G94" s="26"/>
      <c r="H94" s="74"/>
      <c r="I94" s="406"/>
      <c r="J94" s="407"/>
      <c r="K94" s="26"/>
      <c r="L94" s="26"/>
      <c r="M94" s="25">
        <v>0</v>
      </c>
      <c r="N94" s="26"/>
      <c r="O94" s="60"/>
      <c r="P94" s="60"/>
      <c r="Q94" s="60"/>
      <c r="R94" s="60">
        <v>50000</v>
      </c>
      <c r="S94" s="125"/>
      <c r="T94" s="572">
        <f t="shared" si="6"/>
        <v>0</v>
      </c>
    </row>
    <row r="95" spans="1:20" ht="12.75" customHeight="1" x14ac:dyDescent="0.25">
      <c r="A95" s="813"/>
      <c r="B95" s="839"/>
      <c r="C95" s="170" t="s">
        <v>437</v>
      </c>
      <c r="D95" s="26"/>
      <c r="E95" s="26"/>
      <c r="F95" s="26"/>
      <c r="G95" s="26"/>
      <c r="H95" s="74"/>
      <c r="I95" s="406"/>
      <c r="J95" s="407"/>
      <c r="K95" s="26"/>
      <c r="L95" s="26"/>
      <c r="M95" s="25"/>
      <c r="N95" s="26"/>
      <c r="O95" s="60"/>
      <c r="P95" s="60"/>
      <c r="Q95" s="60"/>
      <c r="R95" s="60">
        <v>120000</v>
      </c>
      <c r="S95" s="125"/>
      <c r="T95" s="572">
        <f t="shared" si="6"/>
        <v>0</v>
      </c>
    </row>
    <row r="96" spans="1:20" ht="12.75" customHeight="1" x14ac:dyDescent="0.25">
      <c r="A96" s="813"/>
      <c r="B96" s="839"/>
      <c r="C96" s="59" t="s">
        <v>392</v>
      </c>
      <c r="D96" s="26"/>
      <c r="E96" s="26"/>
      <c r="F96" s="26"/>
      <c r="G96" s="26"/>
      <c r="H96" s="74"/>
      <c r="I96" s="406"/>
      <c r="J96" s="407"/>
      <c r="K96" s="26">
        <v>7632</v>
      </c>
      <c r="L96" s="26"/>
      <c r="M96" s="25">
        <v>0</v>
      </c>
      <c r="N96" s="26"/>
      <c r="O96" s="60"/>
      <c r="P96" s="60"/>
      <c r="Q96" s="60"/>
      <c r="R96" s="60">
        <v>135000</v>
      </c>
      <c r="S96" s="125">
        <f>134961.02</f>
        <v>134961.01999999999</v>
      </c>
      <c r="T96" s="572">
        <f t="shared" si="6"/>
        <v>99.97</v>
      </c>
    </row>
    <row r="97" spans="1:20" x14ac:dyDescent="0.25">
      <c r="A97" s="813"/>
      <c r="B97" s="839"/>
      <c r="C97" s="59" t="s">
        <v>396</v>
      </c>
      <c r="D97" s="26"/>
      <c r="E97" s="26"/>
      <c r="F97" s="26"/>
      <c r="G97" s="26"/>
      <c r="H97" s="74"/>
      <c r="I97" s="406"/>
      <c r="J97" s="407"/>
      <c r="K97" s="26"/>
      <c r="L97" s="26"/>
      <c r="M97" s="25">
        <v>0</v>
      </c>
      <c r="N97" s="26"/>
      <c r="O97" s="60"/>
      <c r="P97" s="60"/>
      <c r="Q97" s="60"/>
      <c r="R97" s="60">
        <v>2783178</v>
      </c>
      <c r="S97" s="125"/>
      <c r="T97" s="572">
        <f t="shared" si="6"/>
        <v>0</v>
      </c>
    </row>
    <row r="98" spans="1:20" ht="12.75" customHeight="1" x14ac:dyDescent="0.25">
      <c r="A98" s="813"/>
      <c r="B98" s="839"/>
      <c r="C98" s="59" t="s">
        <v>397</v>
      </c>
      <c r="D98" s="26"/>
      <c r="E98" s="26"/>
      <c r="F98" s="26"/>
      <c r="G98" s="26"/>
      <c r="H98" s="74"/>
      <c r="I98" s="406"/>
      <c r="J98" s="407"/>
      <c r="K98" s="26">
        <v>0</v>
      </c>
      <c r="L98" s="26"/>
      <c r="M98" s="25">
        <v>0</v>
      </c>
      <c r="N98" s="26"/>
      <c r="O98" s="26"/>
      <c r="P98" s="26"/>
      <c r="Q98" s="26"/>
      <c r="R98" s="60">
        <v>431829</v>
      </c>
      <c r="S98" s="125">
        <v>38782.800000000003</v>
      </c>
      <c r="T98" s="572">
        <f t="shared" si="6"/>
        <v>8.98</v>
      </c>
    </row>
    <row r="99" spans="1:20" x14ac:dyDescent="0.25">
      <c r="A99" s="813"/>
      <c r="B99" s="839"/>
      <c r="C99" s="59" t="s">
        <v>410</v>
      </c>
      <c r="D99" s="26"/>
      <c r="E99" s="26"/>
      <c r="F99" s="26"/>
      <c r="G99" s="26"/>
      <c r="H99" s="74"/>
      <c r="I99" s="406"/>
      <c r="J99" s="407"/>
      <c r="K99" s="26">
        <v>0</v>
      </c>
      <c r="L99" s="26">
        <v>1302435.6399999999</v>
      </c>
      <c r="M99" s="25">
        <v>95467.839999999997</v>
      </c>
      <c r="N99" s="26"/>
      <c r="O99" s="26"/>
      <c r="P99" s="26"/>
      <c r="Q99" s="26"/>
      <c r="R99" s="60">
        <v>5000</v>
      </c>
      <c r="S99" s="125"/>
      <c r="T99" s="572">
        <f t="shared" si="6"/>
        <v>0</v>
      </c>
    </row>
    <row r="100" spans="1:20" x14ac:dyDescent="0.25">
      <c r="A100" s="813"/>
      <c r="B100" s="839"/>
      <c r="C100" s="59" t="s">
        <v>426</v>
      </c>
      <c r="D100" s="26"/>
      <c r="E100" s="26"/>
      <c r="F100" s="26"/>
      <c r="G100" s="26"/>
      <c r="H100" s="74"/>
      <c r="I100" s="406"/>
      <c r="J100" s="407"/>
      <c r="K100" s="26"/>
      <c r="L100" s="26"/>
      <c r="M100" s="25">
        <v>38905.74</v>
      </c>
      <c r="N100" s="26"/>
      <c r="O100" s="26"/>
      <c r="P100" s="26"/>
      <c r="Q100" s="26"/>
      <c r="R100" s="60">
        <v>6500</v>
      </c>
      <c r="S100" s="125"/>
      <c r="T100" s="572">
        <f t="shared" ref="T100:T131" si="8">IF(R100=0,0,ROUND(S100/R100*100,2))</f>
        <v>0</v>
      </c>
    </row>
    <row r="101" spans="1:20" ht="12.75" hidden="1" customHeight="1" x14ac:dyDescent="0.25">
      <c r="A101" s="813"/>
      <c r="B101" s="839"/>
      <c r="C101" s="59"/>
      <c r="D101" s="26"/>
      <c r="E101" s="26"/>
      <c r="F101" s="26"/>
      <c r="G101" s="26"/>
      <c r="H101" s="74"/>
      <c r="I101" s="406"/>
      <c r="J101" s="407"/>
      <c r="K101" s="26"/>
      <c r="L101" s="26"/>
      <c r="M101" s="25">
        <v>0</v>
      </c>
      <c r="N101" s="26"/>
      <c r="O101" s="26"/>
      <c r="P101" s="26"/>
      <c r="Q101" s="26"/>
      <c r="R101" s="60">
        <v>0</v>
      </c>
      <c r="S101" s="125"/>
      <c r="T101" s="572">
        <f t="shared" si="8"/>
        <v>0</v>
      </c>
    </row>
    <row r="102" spans="1:20" ht="12.75" hidden="1" customHeight="1" x14ac:dyDescent="0.25">
      <c r="A102" s="813"/>
      <c r="B102" s="839"/>
      <c r="C102" s="59"/>
      <c r="D102" s="26"/>
      <c r="E102" s="26"/>
      <c r="F102" s="26"/>
      <c r="G102" s="26"/>
      <c r="H102" s="74"/>
      <c r="I102" s="406"/>
      <c r="J102" s="407"/>
      <c r="K102" s="26"/>
      <c r="L102" s="26"/>
      <c r="M102" s="25">
        <v>0</v>
      </c>
      <c r="N102" s="26"/>
      <c r="O102" s="26"/>
      <c r="P102" s="26"/>
      <c r="Q102" s="26"/>
      <c r="R102" s="60">
        <v>0</v>
      </c>
      <c r="S102" s="125"/>
      <c r="T102" s="572">
        <f t="shared" si="8"/>
        <v>0</v>
      </c>
    </row>
    <row r="103" spans="1:20" ht="12.75" hidden="1" customHeight="1" x14ac:dyDescent="0.25">
      <c r="A103" s="813"/>
      <c r="B103" s="839"/>
      <c r="C103" s="59"/>
      <c r="D103" s="26"/>
      <c r="E103" s="26"/>
      <c r="F103" s="26"/>
      <c r="G103" s="26"/>
      <c r="H103" s="74"/>
      <c r="I103" s="406"/>
      <c r="J103" s="407"/>
      <c r="K103" s="26">
        <v>8090</v>
      </c>
      <c r="L103" s="26"/>
      <c r="M103" s="25">
        <v>0</v>
      </c>
      <c r="N103" s="26"/>
      <c r="O103" s="26"/>
      <c r="P103" s="26"/>
      <c r="Q103" s="26"/>
      <c r="R103" s="60">
        <v>0</v>
      </c>
      <c r="S103" s="125"/>
      <c r="T103" s="572">
        <f t="shared" si="8"/>
        <v>0</v>
      </c>
    </row>
    <row r="104" spans="1:20" hidden="1" x14ac:dyDescent="0.25">
      <c r="A104" s="813"/>
      <c r="B104" s="839"/>
      <c r="C104" s="59"/>
      <c r="D104" s="26"/>
      <c r="E104" s="26"/>
      <c r="F104" s="26"/>
      <c r="G104" s="26"/>
      <c r="H104" s="74"/>
      <c r="I104" s="406"/>
      <c r="J104" s="407"/>
      <c r="K104" s="26"/>
      <c r="L104" s="26"/>
      <c r="M104" s="25"/>
      <c r="N104" s="26"/>
      <c r="O104" s="26"/>
      <c r="P104" s="26"/>
      <c r="Q104" s="26"/>
      <c r="R104" s="60">
        <v>0</v>
      </c>
      <c r="S104" s="125"/>
      <c r="T104" s="572">
        <f t="shared" si="8"/>
        <v>0</v>
      </c>
    </row>
    <row r="105" spans="1:20" x14ac:dyDescent="0.25">
      <c r="A105" s="813"/>
      <c r="B105" s="839"/>
      <c r="C105" s="59" t="s">
        <v>381</v>
      </c>
      <c r="D105" s="49"/>
      <c r="E105" s="49"/>
      <c r="F105" s="49"/>
      <c r="G105" s="49"/>
      <c r="H105" s="83"/>
      <c r="I105" s="408"/>
      <c r="J105" s="409"/>
      <c r="K105" s="49"/>
      <c r="L105" s="49"/>
      <c r="M105" s="48"/>
      <c r="N105" s="49"/>
      <c r="O105" s="49"/>
      <c r="P105" s="49"/>
      <c r="Q105" s="49"/>
      <c r="R105" s="60">
        <v>10000</v>
      </c>
      <c r="S105" s="125">
        <f>5799</f>
        <v>5799</v>
      </c>
      <c r="T105" s="572">
        <f t="shared" si="8"/>
        <v>57.99</v>
      </c>
    </row>
    <row r="106" spans="1:20" ht="0.75" customHeight="1" thickBot="1" x14ac:dyDescent="0.3">
      <c r="A106" s="809"/>
      <c r="B106" s="840"/>
      <c r="C106" s="173"/>
      <c r="D106" s="49"/>
      <c r="E106" s="49"/>
      <c r="F106" s="49"/>
      <c r="G106" s="49"/>
      <c r="H106" s="83"/>
      <c r="I106" s="408"/>
      <c r="J106" s="409"/>
      <c r="K106" s="49"/>
      <c r="L106" s="49"/>
      <c r="M106" s="48"/>
      <c r="N106" s="49"/>
      <c r="O106" s="49"/>
      <c r="P106" s="49"/>
      <c r="Q106" s="49"/>
      <c r="R106" s="93"/>
      <c r="S106" s="125"/>
      <c r="T106" s="639">
        <f t="shared" si="8"/>
        <v>0</v>
      </c>
    </row>
    <row r="107" spans="1:20" s="471" customFormat="1" ht="15.75" thickBot="1" x14ac:dyDescent="0.3">
      <c r="A107" s="263" t="s">
        <v>339</v>
      </c>
      <c r="B107" s="853" t="s">
        <v>340</v>
      </c>
      <c r="C107" s="817"/>
      <c r="D107" s="466"/>
      <c r="E107" s="466"/>
      <c r="F107" s="466"/>
      <c r="G107" s="466"/>
      <c r="H107" s="467"/>
      <c r="I107" s="468"/>
      <c r="J107" s="469"/>
      <c r="K107" s="466"/>
      <c r="L107" s="466"/>
      <c r="M107" s="470"/>
      <c r="N107" s="86"/>
      <c r="O107" s="86"/>
      <c r="P107" s="86">
        <v>5880</v>
      </c>
      <c r="Q107" s="119">
        <v>44123.79</v>
      </c>
      <c r="R107" s="84">
        <f>R108</f>
        <v>0</v>
      </c>
      <c r="S107" s="85">
        <f t="shared" ref="S107" si="9">S108</f>
        <v>0</v>
      </c>
      <c r="T107" s="640">
        <f t="shared" si="8"/>
        <v>0</v>
      </c>
    </row>
    <row r="108" spans="1:20" ht="15.75" hidden="1" thickBot="1" x14ac:dyDescent="0.3">
      <c r="A108" s="418"/>
      <c r="B108" s="419"/>
      <c r="C108" s="190" t="s">
        <v>341</v>
      </c>
      <c r="D108" s="32"/>
      <c r="E108" s="32"/>
      <c r="F108" s="32"/>
      <c r="G108" s="32"/>
      <c r="H108" s="75"/>
      <c r="I108" s="442"/>
      <c r="J108" s="443"/>
      <c r="K108" s="32">
        <v>476</v>
      </c>
      <c r="L108" s="32">
        <v>3000</v>
      </c>
      <c r="M108" s="31">
        <v>3545</v>
      </c>
      <c r="N108" s="15"/>
      <c r="O108" s="15"/>
      <c r="P108" s="15"/>
      <c r="Q108" s="103"/>
      <c r="R108" s="188"/>
      <c r="S108" s="278"/>
      <c r="T108" s="641">
        <f t="shared" si="8"/>
        <v>0</v>
      </c>
    </row>
    <row r="109" spans="1:20" ht="15.75" hidden="1" thickBot="1" x14ac:dyDescent="0.3">
      <c r="A109" s="263" t="s">
        <v>342</v>
      </c>
      <c r="B109" s="780" t="s">
        <v>230</v>
      </c>
      <c r="C109" s="781"/>
      <c r="D109" s="472"/>
      <c r="E109" s="472"/>
      <c r="F109" s="472"/>
      <c r="G109" s="472"/>
      <c r="H109" s="553"/>
      <c r="I109" s="473"/>
      <c r="J109" s="474"/>
      <c r="K109" s="101"/>
      <c r="L109" s="101"/>
      <c r="M109" s="101"/>
      <c r="N109" s="101"/>
      <c r="O109" s="101"/>
      <c r="P109" s="101"/>
      <c r="Q109" s="101"/>
      <c r="R109" s="84"/>
      <c r="S109" s="85"/>
      <c r="T109" s="640">
        <f t="shared" si="8"/>
        <v>0</v>
      </c>
    </row>
    <row r="110" spans="1:20" ht="15.75" hidden="1" thickBot="1" x14ac:dyDescent="0.3">
      <c r="A110" s="401"/>
      <c r="B110" s="405"/>
      <c r="C110" s="59"/>
      <c r="D110" s="26"/>
      <c r="E110" s="26"/>
      <c r="F110" s="26"/>
      <c r="G110" s="26"/>
      <c r="H110" s="74"/>
      <c r="I110" s="406"/>
      <c r="J110" s="407"/>
      <c r="K110" s="26"/>
      <c r="L110" s="26"/>
      <c r="M110" s="26"/>
      <c r="N110" s="26"/>
      <c r="O110" s="26"/>
      <c r="P110" s="26"/>
      <c r="Q110" s="26"/>
      <c r="R110" s="60"/>
      <c r="S110" s="125"/>
      <c r="T110" s="572">
        <f t="shared" si="8"/>
        <v>0</v>
      </c>
    </row>
    <row r="111" spans="1:20" ht="15.75" hidden="1" thickBot="1" x14ac:dyDescent="0.3">
      <c r="A111" s="401"/>
      <c r="B111" s="405"/>
      <c r="C111" s="59"/>
      <c r="D111" s="26"/>
      <c r="E111" s="26"/>
      <c r="F111" s="26"/>
      <c r="G111" s="26"/>
      <c r="H111" s="74"/>
      <c r="I111" s="406"/>
      <c r="J111" s="407"/>
      <c r="K111" s="26"/>
      <c r="L111" s="26"/>
      <c r="M111" s="26"/>
      <c r="N111" s="26"/>
      <c r="O111" s="26"/>
      <c r="P111" s="26"/>
      <c r="Q111" s="26"/>
      <c r="R111" s="60"/>
      <c r="S111" s="125"/>
      <c r="T111" s="572">
        <f t="shared" si="8"/>
        <v>0</v>
      </c>
    </row>
    <row r="112" spans="1:20" ht="15.75" hidden="1" thickBot="1" x14ac:dyDescent="0.3">
      <c r="A112" s="401"/>
      <c r="B112" s="405"/>
      <c r="C112" s="62"/>
      <c r="D112" s="49"/>
      <c r="E112" s="49"/>
      <c r="F112" s="49"/>
      <c r="G112" s="49"/>
      <c r="H112" s="83"/>
      <c r="I112" s="408"/>
      <c r="J112" s="409"/>
      <c r="K112" s="49"/>
      <c r="L112" s="49"/>
      <c r="M112" s="49"/>
      <c r="N112" s="49"/>
      <c r="O112" s="49"/>
      <c r="P112" s="49"/>
      <c r="Q112" s="49"/>
      <c r="R112" s="93"/>
      <c r="S112" s="201"/>
      <c r="T112" s="639">
        <f t="shared" si="8"/>
        <v>0</v>
      </c>
    </row>
    <row r="113" spans="1:20" ht="15.75" thickBot="1" x14ac:dyDescent="0.3">
      <c r="A113" s="404" t="s">
        <v>209</v>
      </c>
      <c r="B113" s="846" t="s">
        <v>343</v>
      </c>
      <c r="C113" s="846"/>
      <c r="D113" s="179">
        <v>8298</v>
      </c>
      <c r="E113" s="179">
        <v>3983</v>
      </c>
      <c r="F113" s="179">
        <v>175065</v>
      </c>
      <c r="G113" s="179">
        <v>138049</v>
      </c>
      <c r="H113" s="179">
        <v>127764</v>
      </c>
      <c r="I113" s="392">
        <v>149292</v>
      </c>
      <c r="J113" s="179">
        <v>3000</v>
      </c>
      <c r="K113" s="84">
        <f>SUM(K118:K120)</f>
        <v>6455</v>
      </c>
      <c r="L113" s="84">
        <f t="shared" ref="L113:M113" si="10">SUM(L114:L120)</f>
        <v>131475.39000000001</v>
      </c>
      <c r="M113" s="85">
        <f t="shared" si="10"/>
        <v>1775474.1500000001</v>
      </c>
      <c r="N113" s="84">
        <v>12967.75</v>
      </c>
      <c r="O113" s="85">
        <v>2000</v>
      </c>
      <c r="P113" s="85">
        <v>138793.75</v>
      </c>
      <c r="Q113" s="85">
        <v>36288</v>
      </c>
      <c r="R113" s="84">
        <f>R114+R115</f>
        <v>84304</v>
      </c>
      <c r="S113" s="85">
        <f>S114+S115</f>
        <v>84304.320000000007</v>
      </c>
      <c r="T113" s="640">
        <f t="shared" si="8"/>
        <v>100</v>
      </c>
    </row>
    <row r="114" spans="1:20" x14ac:dyDescent="0.25">
      <c r="A114" s="810"/>
      <c r="B114" s="847"/>
      <c r="C114" s="426" t="s">
        <v>391</v>
      </c>
      <c r="D114" s="475"/>
      <c r="E114" s="475"/>
      <c r="F114" s="475"/>
      <c r="G114" s="475"/>
      <c r="H114" s="476"/>
      <c r="I114" s="477"/>
      <c r="J114" s="478"/>
      <c r="K114" s="18"/>
      <c r="L114" s="18">
        <v>123141.28</v>
      </c>
      <c r="M114" s="158">
        <v>1602434.8900000001</v>
      </c>
      <c r="N114" s="18"/>
      <c r="O114" s="18"/>
      <c r="P114" s="18"/>
      <c r="Q114" s="18"/>
      <c r="R114" s="17">
        <v>51904</v>
      </c>
      <c r="S114" s="157">
        <v>51904.32</v>
      </c>
      <c r="T114" s="664">
        <f t="shared" si="8"/>
        <v>100</v>
      </c>
    </row>
    <row r="115" spans="1:20" ht="15.75" thickBot="1" x14ac:dyDescent="0.3">
      <c r="A115" s="811"/>
      <c r="B115" s="848"/>
      <c r="C115" s="430" t="s">
        <v>440</v>
      </c>
      <c r="D115" s="479"/>
      <c r="E115" s="479"/>
      <c r="F115" s="479"/>
      <c r="G115" s="479"/>
      <c r="H115" s="480"/>
      <c r="I115" s="481"/>
      <c r="J115" s="482"/>
      <c r="K115" s="44"/>
      <c r="L115" s="44"/>
      <c r="M115" s="214">
        <v>18092.39</v>
      </c>
      <c r="N115" s="44"/>
      <c r="O115" s="44"/>
      <c r="P115" s="44"/>
      <c r="Q115" s="44"/>
      <c r="R115" s="112">
        <v>32400</v>
      </c>
      <c r="S115" s="231">
        <v>32400</v>
      </c>
      <c r="T115" s="663">
        <f t="shared" si="8"/>
        <v>100</v>
      </c>
    </row>
    <row r="116" spans="1:20" ht="15.75" hidden="1" thickBot="1" x14ac:dyDescent="0.3">
      <c r="A116" s="811"/>
      <c r="B116" s="848"/>
      <c r="C116" s="430"/>
      <c r="D116" s="479"/>
      <c r="E116" s="479"/>
      <c r="F116" s="479"/>
      <c r="G116" s="479"/>
      <c r="H116" s="480"/>
      <c r="I116" s="481"/>
      <c r="J116" s="482"/>
      <c r="K116" s="44"/>
      <c r="L116" s="44"/>
      <c r="M116" s="214">
        <v>16624.5</v>
      </c>
      <c r="N116" s="44"/>
      <c r="O116" s="44"/>
      <c r="P116" s="44"/>
      <c r="Q116" s="44"/>
      <c r="R116" s="112"/>
      <c r="S116" s="231"/>
      <c r="T116" s="663">
        <f t="shared" si="8"/>
        <v>0</v>
      </c>
    </row>
    <row r="117" spans="1:20" ht="15.75" hidden="1" thickBot="1" x14ac:dyDescent="0.3">
      <c r="A117" s="811"/>
      <c r="B117" s="848"/>
      <c r="C117" s="430"/>
      <c r="D117" s="479"/>
      <c r="E117" s="479"/>
      <c r="F117" s="479"/>
      <c r="G117" s="479"/>
      <c r="H117" s="480"/>
      <c r="I117" s="481"/>
      <c r="J117" s="482"/>
      <c r="K117" s="44"/>
      <c r="L117" s="44"/>
      <c r="M117" s="214">
        <v>120000</v>
      </c>
      <c r="N117" s="44"/>
      <c r="O117" s="44"/>
      <c r="P117" s="44"/>
      <c r="Q117" s="44"/>
      <c r="R117" s="112"/>
      <c r="S117" s="231"/>
      <c r="T117" s="663">
        <f t="shared" si="8"/>
        <v>0</v>
      </c>
    </row>
    <row r="118" spans="1:20" ht="15.75" hidden="1" thickBot="1" x14ac:dyDescent="0.3">
      <c r="A118" s="811"/>
      <c r="B118" s="848"/>
      <c r="C118" s="91"/>
      <c r="D118" s="46"/>
      <c r="E118" s="46"/>
      <c r="F118" s="46"/>
      <c r="G118" s="46"/>
      <c r="H118" s="72"/>
      <c r="I118" s="416"/>
      <c r="J118" s="417"/>
      <c r="K118" s="46">
        <v>6455</v>
      </c>
      <c r="L118" s="46"/>
      <c r="M118" s="45">
        <v>14992.37</v>
      </c>
      <c r="N118" s="46"/>
      <c r="O118" s="46"/>
      <c r="P118" s="46"/>
      <c r="Q118" s="46"/>
      <c r="R118" s="73"/>
      <c r="S118" s="92"/>
      <c r="T118" s="573">
        <f t="shared" si="8"/>
        <v>0</v>
      </c>
    </row>
    <row r="119" spans="1:20" ht="15.75" hidden="1" thickBot="1" x14ac:dyDescent="0.3">
      <c r="A119" s="811"/>
      <c r="B119" s="848"/>
      <c r="C119" s="173"/>
      <c r="D119" s="90"/>
      <c r="E119" s="90"/>
      <c r="F119" s="90"/>
      <c r="G119" s="90"/>
      <c r="H119" s="88"/>
      <c r="I119" s="420"/>
      <c r="J119" s="421"/>
      <c r="K119" s="90"/>
      <c r="L119" s="60"/>
      <c r="M119" s="25"/>
      <c r="N119" s="46"/>
      <c r="O119" s="46"/>
      <c r="P119" s="46"/>
      <c r="Q119" s="46"/>
      <c r="R119" s="73"/>
      <c r="S119" s="92"/>
      <c r="T119" s="573">
        <f t="shared" si="8"/>
        <v>0</v>
      </c>
    </row>
    <row r="120" spans="1:20" ht="15.75" hidden="1" thickBot="1" x14ac:dyDescent="0.3">
      <c r="A120" s="812"/>
      <c r="B120" s="849"/>
      <c r="C120" s="61"/>
      <c r="D120" s="32"/>
      <c r="E120" s="32"/>
      <c r="F120" s="32"/>
      <c r="G120" s="32"/>
      <c r="H120" s="75"/>
      <c r="I120" s="442"/>
      <c r="J120" s="443"/>
      <c r="K120" s="32"/>
      <c r="L120" s="97">
        <v>8334.11</v>
      </c>
      <c r="M120" s="96">
        <v>3330</v>
      </c>
      <c r="N120" s="97"/>
      <c r="O120" s="97"/>
      <c r="P120" s="97"/>
      <c r="Q120" s="97"/>
      <c r="R120" s="149"/>
      <c r="S120" s="326"/>
      <c r="T120" s="668">
        <f t="shared" si="8"/>
        <v>0</v>
      </c>
    </row>
    <row r="121" spans="1:20" ht="15.75" hidden="1" thickBot="1" x14ac:dyDescent="0.3">
      <c r="A121" s="404" t="s">
        <v>344</v>
      </c>
      <c r="B121" s="846" t="s">
        <v>215</v>
      </c>
      <c r="C121" s="846"/>
      <c r="D121" s="179"/>
      <c r="E121" s="179">
        <v>22472</v>
      </c>
      <c r="F121" s="179">
        <v>20713</v>
      </c>
      <c r="G121" s="179">
        <v>11074</v>
      </c>
      <c r="H121" s="179">
        <v>15914</v>
      </c>
      <c r="I121" s="392">
        <v>116842</v>
      </c>
      <c r="J121" s="179">
        <v>38905</v>
      </c>
      <c r="K121" s="84">
        <f t="shared" ref="K121:M121" si="11">SUM(K122:K127)</f>
        <v>15848</v>
      </c>
      <c r="L121" s="84">
        <f t="shared" si="11"/>
        <v>26915.190000000002</v>
      </c>
      <c r="M121" s="85">
        <f t="shared" si="11"/>
        <v>9771.24</v>
      </c>
      <c r="N121" s="84">
        <v>62531.63</v>
      </c>
      <c r="O121" s="85">
        <v>193266.02</v>
      </c>
      <c r="P121" s="85">
        <v>3920.81</v>
      </c>
      <c r="Q121" s="84"/>
      <c r="R121" s="84">
        <f t="shared" ref="R121:S121" si="12">R122</f>
        <v>0</v>
      </c>
      <c r="S121" s="85">
        <f t="shared" si="12"/>
        <v>0</v>
      </c>
      <c r="T121" s="640">
        <f t="shared" si="8"/>
        <v>0</v>
      </c>
    </row>
    <row r="122" spans="1:20" ht="15.75" hidden="1" thickBot="1" x14ac:dyDescent="0.3">
      <c r="A122" s="808"/>
      <c r="B122" s="838"/>
      <c r="C122" s="57"/>
      <c r="D122" s="20"/>
      <c r="E122" s="20"/>
      <c r="F122" s="20"/>
      <c r="G122" s="20"/>
      <c r="H122" s="71"/>
      <c r="I122" s="414"/>
      <c r="J122" s="415"/>
      <c r="K122" s="20">
        <v>7000</v>
      </c>
      <c r="L122" s="46">
        <v>16662.2</v>
      </c>
      <c r="M122" s="45"/>
      <c r="N122" s="46"/>
      <c r="O122" s="46"/>
      <c r="P122" s="15"/>
      <c r="Q122" s="15"/>
      <c r="R122" s="103"/>
      <c r="S122" s="191"/>
      <c r="T122" s="669">
        <f t="shared" si="8"/>
        <v>0</v>
      </c>
    </row>
    <row r="123" spans="1:20" ht="15.75" hidden="1" thickBot="1" x14ac:dyDescent="0.3">
      <c r="A123" s="813"/>
      <c r="B123" s="839"/>
      <c r="C123" s="59"/>
      <c r="D123" s="26"/>
      <c r="E123" s="26"/>
      <c r="F123" s="26"/>
      <c r="G123" s="26"/>
      <c r="H123" s="74"/>
      <c r="I123" s="406"/>
      <c r="J123" s="407"/>
      <c r="K123" s="26"/>
      <c r="L123" s="26"/>
      <c r="M123" s="25"/>
      <c r="N123" s="26"/>
      <c r="O123" s="26"/>
      <c r="P123" s="46"/>
      <c r="Q123" s="46"/>
      <c r="R123" s="73"/>
      <c r="S123" s="92"/>
      <c r="T123" s="573">
        <f t="shared" si="8"/>
        <v>0</v>
      </c>
    </row>
    <row r="124" spans="1:20" ht="15.75" hidden="1" thickBot="1" x14ac:dyDescent="0.3">
      <c r="A124" s="813"/>
      <c r="B124" s="839"/>
      <c r="C124" s="59"/>
      <c r="D124" s="26"/>
      <c r="E124" s="26"/>
      <c r="F124" s="26"/>
      <c r="G124" s="26"/>
      <c r="H124" s="74"/>
      <c r="I124" s="406"/>
      <c r="J124" s="407"/>
      <c r="K124" s="26"/>
      <c r="L124" s="26"/>
      <c r="M124" s="25"/>
      <c r="N124" s="26"/>
      <c r="O124" s="26"/>
      <c r="P124" s="26"/>
      <c r="Q124" s="26"/>
      <c r="R124" s="60"/>
      <c r="S124" s="125"/>
      <c r="T124" s="572">
        <f t="shared" si="8"/>
        <v>0</v>
      </c>
    </row>
    <row r="125" spans="1:20" ht="15.75" hidden="1" thickBot="1" x14ac:dyDescent="0.3">
      <c r="A125" s="813"/>
      <c r="B125" s="839"/>
      <c r="C125" s="59"/>
      <c r="D125" s="26"/>
      <c r="E125" s="26"/>
      <c r="F125" s="26"/>
      <c r="G125" s="26"/>
      <c r="H125" s="74"/>
      <c r="I125" s="406"/>
      <c r="J125" s="407"/>
      <c r="K125" s="26"/>
      <c r="L125" s="26"/>
      <c r="M125" s="25"/>
      <c r="N125" s="26"/>
      <c r="O125" s="26"/>
      <c r="P125" s="26"/>
      <c r="Q125" s="26"/>
      <c r="R125" s="60"/>
      <c r="S125" s="125"/>
      <c r="T125" s="572">
        <f t="shared" si="8"/>
        <v>0</v>
      </c>
    </row>
    <row r="126" spans="1:20" ht="15.75" hidden="1" thickBot="1" x14ac:dyDescent="0.3">
      <c r="A126" s="813"/>
      <c r="B126" s="839"/>
      <c r="C126" s="61"/>
      <c r="D126" s="32"/>
      <c r="E126" s="32"/>
      <c r="F126" s="32"/>
      <c r="G126" s="32"/>
      <c r="H126" s="75"/>
      <c r="I126" s="442"/>
      <c r="J126" s="443"/>
      <c r="K126" s="32"/>
      <c r="L126" s="32"/>
      <c r="M126" s="31">
        <v>9771.24</v>
      </c>
      <c r="N126" s="32"/>
      <c r="O126" s="32"/>
      <c r="P126" s="32"/>
      <c r="Q126" s="32"/>
      <c r="R126" s="29"/>
      <c r="S126" s="700"/>
      <c r="T126" s="646">
        <f t="shared" si="8"/>
        <v>0</v>
      </c>
    </row>
    <row r="127" spans="1:20" ht="15.75" hidden="1" thickBot="1" x14ac:dyDescent="0.3">
      <c r="A127" s="809"/>
      <c r="B127" s="840"/>
      <c r="C127" s="190" t="s">
        <v>345</v>
      </c>
      <c r="D127" s="97"/>
      <c r="E127" s="97"/>
      <c r="F127" s="97"/>
      <c r="G127" s="97"/>
      <c r="H127" s="95"/>
      <c r="I127" s="483"/>
      <c r="J127" s="484"/>
      <c r="K127" s="97">
        <v>8848</v>
      </c>
      <c r="L127" s="97">
        <v>10252.99</v>
      </c>
      <c r="M127" s="96"/>
      <c r="N127" s="97"/>
      <c r="O127" s="97"/>
      <c r="P127" s="97"/>
      <c r="Q127" s="97"/>
      <c r="R127" s="149"/>
      <c r="S127" s="326"/>
      <c r="T127" s="668">
        <f t="shared" si="8"/>
        <v>0</v>
      </c>
    </row>
    <row r="128" spans="1:20" ht="17.25" customHeight="1" thickBot="1" x14ac:dyDescent="0.3">
      <c r="A128" s="404" t="s">
        <v>346</v>
      </c>
      <c r="B128" s="746" t="s">
        <v>234</v>
      </c>
      <c r="C128" s="747"/>
      <c r="D128" s="472"/>
      <c r="E128" s="472"/>
      <c r="F128" s="472"/>
      <c r="G128" s="472"/>
      <c r="H128" s="553"/>
      <c r="I128" s="473"/>
      <c r="J128" s="474"/>
      <c r="K128" s="101">
        <v>5500</v>
      </c>
      <c r="L128" s="101"/>
      <c r="M128" s="101">
        <f>M129</f>
        <v>0</v>
      </c>
      <c r="N128" s="101"/>
      <c r="O128" s="485">
        <v>10000</v>
      </c>
      <c r="P128" s="485">
        <v>2238</v>
      </c>
      <c r="Q128" s="119">
        <v>21924.400000000001</v>
      </c>
      <c r="R128" s="84">
        <f t="shared" ref="R128:S128" si="13">R129</f>
        <v>1080</v>
      </c>
      <c r="S128" s="85">
        <f t="shared" si="13"/>
        <v>1080</v>
      </c>
      <c r="T128" s="640">
        <f t="shared" si="8"/>
        <v>100</v>
      </c>
    </row>
    <row r="129" spans="1:22" ht="17.25" customHeight="1" thickBot="1" x14ac:dyDescent="0.3">
      <c r="A129" s="494"/>
      <c r="B129" s="592"/>
      <c r="C129" s="94" t="s">
        <v>443</v>
      </c>
      <c r="D129" s="15"/>
      <c r="E129" s="15"/>
      <c r="F129" s="15"/>
      <c r="G129" s="15"/>
      <c r="H129" s="593"/>
      <c r="I129" s="594"/>
      <c r="J129" s="595"/>
      <c r="K129" s="15">
        <v>5500</v>
      </c>
      <c r="L129" s="15"/>
      <c r="M129" s="15"/>
      <c r="N129" s="15"/>
      <c r="O129" s="14"/>
      <c r="P129" s="14"/>
      <c r="Q129" s="15"/>
      <c r="R129" s="103">
        <v>1080</v>
      </c>
      <c r="S129" s="191">
        <v>1080</v>
      </c>
      <c r="T129" s="669">
        <f t="shared" si="8"/>
        <v>100</v>
      </c>
    </row>
    <row r="130" spans="1:22" ht="17.25" customHeight="1" thickBot="1" x14ac:dyDescent="0.3">
      <c r="A130" s="486" t="s">
        <v>238</v>
      </c>
      <c r="B130" s="843" t="s">
        <v>239</v>
      </c>
      <c r="C130" s="843"/>
      <c r="D130" s="179">
        <v>666567</v>
      </c>
      <c r="E130" s="179">
        <v>223164</v>
      </c>
      <c r="F130" s="179">
        <v>527019</v>
      </c>
      <c r="G130" s="179">
        <v>279677</v>
      </c>
      <c r="H130" s="179">
        <v>1160065</v>
      </c>
      <c r="I130" s="487">
        <v>2097438</v>
      </c>
      <c r="J130" s="179">
        <v>344577</v>
      </c>
      <c r="K130" s="84">
        <f t="shared" ref="K130:M130" si="14">SUM(K131:K145)</f>
        <v>11076</v>
      </c>
      <c r="L130" s="84">
        <f t="shared" si="14"/>
        <v>22611.84</v>
      </c>
      <c r="M130" s="85">
        <f t="shared" si="14"/>
        <v>52135.360000000001</v>
      </c>
      <c r="N130" s="84">
        <v>60359.19</v>
      </c>
      <c r="O130" s="85">
        <v>319793.28999999998</v>
      </c>
      <c r="P130" s="85">
        <v>478985.9</v>
      </c>
      <c r="Q130" s="85">
        <v>204385.99</v>
      </c>
      <c r="R130" s="84">
        <f>SUM(R133:R145)</f>
        <v>195114</v>
      </c>
      <c r="S130" s="85">
        <f>SUM(S133:S145)</f>
        <v>183771.86</v>
      </c>
      <c r="T130" s="640">
        <f>IF(R130=0,0,ROUND(S130/R130*100,2))</f>
        <v>94.19</v>
      </c>
    </row>
    <row r="131" spans="1:22" hidden="1" x14ac:dyDescent="0.25">
      <c r="A131" s="808"/>
      <c r="B131" s="838"/>
      <c r="C131" s="59"/>
      <c r="D131" s="74"/>
      <c r="E131" s="74"/>
      <c r="F131" s="74"/>
      <c r="G131" s="74"/>
      <c r="H131" s="74"/>
      <c r="I131" s="406"/>
      <c r="J131" s="407"/>
      <c r="K131" s="26">
        <v>11076</v>
      </c>
      <c r="L131" s="46"/>
      <c r="M131" s="46"/>
      <c r="N131" s="46"/>
      <c r="O131" s="46"/>
      <c r="P131" s="46"/>
      <c r="Q131" s="46"/>
      <c r="R131" s="73"/>
      <c r="S131" s="92"/>
      <c r="T131" s="573">
        <f t="shared" si="8"/>
        <v>0</v>
      </c>
    </row>
    <row r="132" spans="1:22" hidden="1" x14ac:dyDescent="0.25">
      <c r="A132" s="813"/>
      <c r="B132" s="839"/>
      <c r="C132" s="59"/>
      <c r="D132" s="74"/>
      <c r="E132" s="74"/>
      <c r="F132" s="74"/>
      <c r="G132" s="74"/>
      <c r="H132" s="74"/>
      <c r="I132" s="406"/>
      <c r="J132" s="407"/>
      <c r="K132" s="26"/>
      <c r="L132" s="46"/>
      <c r="M132" s="46"/>
      <c r="N132" s="46"/>
      <c r="O132" s="46"/>
      <c r="P132" s="46"/>
      <c r="Q132" s="46"/>
      <c r="R132" s="73"/>
      <c r="S132" s="92"/>
      <c r="T132" s="573">
        <f t="shared" ref="T132:T153" si="15">IF(R132=0,0,ROUND(S132/R132*100,2))</f>
        <v>0</v>
      </c>
    </row>
    <row r="133" spans="1:22" x14ac:dyDescent="0.25">
      <c r="A133" s="813"/>
      <c r="B133" s="839"/>
      <c r="C133" s="59" t="s">
        <v>402</v>
      </c>
      <c r="D133" s="74"/>
      <c r="E133" s="74"/>
      <c r="F133" s="74"/>
      <c r="G133" s="74"/>
      <c r="H133" s="74"/>
      <c r="I133" s="406"/>
      <c r="J133" s="407"/>
      <c r="K133" s="26"/>
      <c r="L133" s="46"/>
      <c r="M133" s="46"/>
      <c r="N133" s="46"/>
      <c r="O133" s="46"/>
      <c r="P133" s="46"/>
      <c r="Q133" s="46"/>
      <c r="R133" s="73">
        <v>17000</v>
      </c>
      <c r="S133" s="92">
        <v>16979.3</v>
      </c>
      <c r="T133" s="573">
        <f t="shared" si="15"/>
        <v>99.88</v>
      </c>
      <c r="V133" s="303"/>
    </row>
    <row r="134" spans="1:22" x14ac:dyDescent="0.25">
      <c r="A134" s="813"/>
      <c r="B134" s="839"/>
      <c r="C134" s="59" t="s">
        <v>438</v>
      </c>
      <c r="D134" s="74"/>
      <c r="E134" s="74"/>
      <c r="F134" s="74"/>
      <c r="G134" s="74"/>
      <c r="H134" s="74"/>
      <c r="I134" s="406"/>
      <c r="J134" s="407"/>
      <c r="K134" s="26"/>
      <c r="L134" s="46"/>
      <c r="M134" s="46"/>
      <c r="N134" s="46"/>
      <c r="O134" s="46"/>
      <c r="P134" s="46"/>
      <c r="Q134" s="46"/>
      <c r="R134" s="73">
        <v>14253</v>
      </c>
      <c r="S134" s="92">
        <v>14253</v>
      </c>
      <c r="T134" s="573">
        <f t="shared" si="15"/>
        <v>100</v>
      </c>
    </row>
    <row r="135" spans="1:22" x14ac:dyDescent="0.25">
      <c r="A135" s="813"/>
      <c r="B135" s="839"/>
      <c r="C135" s="59" t="s">
        <v>430</v>
      </c>
      <c r="D135" s="74"/>
      <c r="E135" s="74"/>
      <c r="F135" s="74"/>
      <c r="G135" s="74"/>
      <c r="H135" s="74"/>
      <c r="I135" s="406"/>
      <c r="J135" s="407"/>
      <c r="K135" s="26"/>
      <c r="L135" s="46"/>
      <c r="M135" s="46"/>
      <c r="N135" s="46"/>
      <c r="O135" s="46"/>
      <c r="P135" s="46"/>
      <c r="Q135" s="46"/>
      <c r="R135" s="73">
        <v>5000</v>
      </c>
      <c r="S135" s="92">
        <v>4176</v>
      </c>
      <c r="T135" s="573">
        <f t="shared" si="15"/>
        <v>83.52</v>
      </c>
      <c r="V135" s="303"/>
    </row>
    <row r="136" spans="1:22" hidden="1" x14ac:dyDescent="0.25">
      <c r="A136" s="813"/>
      <c r="B136" s="839"/>
      <c r="C136" s="59"/>
      <c r="D136" s="74"/>
      <c r="E136" s="74"/>
      <c r="F136" s="74"/>
      <c r="G136" s="74"/>
      <c r="H136" s="74"/>
      <c r="I136" s="406"/>
      <c r="J136" s="407"/>
      <c r="K136" s="26"/>
      <c r="L136" s="46"/>
      <c r="M136" s="46"/>
      <c r="N136" s="46"/>
      <c r="O136" s="46"/>
      <c r="P136" s="46"/>
      <c r="Q136" s="46"/>
      <c r="R136" s="73">
        <v>0</v>
      </c>
      <c r="S136" s="92"/>
      <c r="T136" s="573">
        <f t="shared" si="15"/>
        <v>0</v>
      </c>
    </row>
    <row r="137" spans="1:22" hidden="1" x14ac:dyDescent="0.25">
      <c r="A137" s="813"/>
      <c r="B137" s="839"/>
      <c r="C137" s="59"/>
      <c r="D137" s="74"/>
      <c r="E137" s="74"/>
      <c r="F137" s="74"/>
      <c r="G137" s="74"/>
      <c r="H137" s="74"/>
      <c r="I137" s="406"/>
      <c r="J137" s="407"/>
      <c r="K137" s="26"/>
      <c r="L137" s="46"/>
      <c r="M137" s="46"/>
      <c r="N137" s="46"/>
      <c r="O137" s="46"/>
      <c r="P137" s="46"/>
      <c r="Q137" s="46"/>
      <c r="R137" s="73">
        <v>0</v>
      </c>
      <c r="S137" s="92"/>
      <c r="T137" s="573">
        <f t="shared" si="15"/>
        <v>0</v>
      </c>
    </row>
    <row r="138" spans="1:22" x14ac:dyDescent="0.25">
      <c r="A138" s="813"/>
      <c r="B138" s="839"/>
      <c r="C138" s="59" t="s">
        <v>439</v>
      </c>
      <c r="D138" s="74"/>
      <c r="E138" s="74"/>
      <c r="F138" s="74"/>
      <c r="G138" s="74"/>
      <c r="H138" s="74"/>
      <c r="I138" s="406"/>
      <c r="J138" s="407"/>
      <c r="K138" s="26"/>
      <c r="L138" s="46">
        <v>22611.84</v>
      </c>
      <c r="M138" s="45"/>
      <c r="N138" s="46"/>
      <c r="O138" s="46"/>
      <c r="P138" s="46"/>
      <c r="Q138" s="46"/>
      <c r="R138" s="73">
        <v>23000</v>
      </c>
      <c r="S138" s="92">
        <v>23000</v>
      </c>
      <c r="T138" s="573">
        <f t="shared" si="15"/>
        <v>100</v>
      </c>
    </row>
    <row r="139" spans="1:22" x14ac:dyDescent="0.25">
      <c r="A139" s="813"/>
      <c r="B139" s="839"/>
      <c r="C139" s="59" t="s">
        <v>348</v>
      </c>
      <c r="D139" s="74"/>
      <c r="E139" s="74"/>
      <c r="F139" s="74"/>
      <c r="G139" s="74"/>
      <c r="H139" s="74"/>
      <c r="I139" s="406"/>
      <c r="J139" s="407"/>
      <c r="K139" s="26"/>
      <c r="L139" s="46"/>
      <c r="M139" s="45"/>
      <c r="N139" s="46"/>
      <c r="O139" s="46"/>
      <c r="P139" s="46"/>
      <c r="Q139" s="46"/>
      <c r="R139" s="73">
        <v>113373</v>
      </c>
      <c r="S139" s="92">
        <f>48933.69+63373</f>
        <v>112306.69</v>
      </c>
      <c r="T139" s="573">
        <f t="shared" si="15"/>
        <v>99.06</v>
      </c>
    </row>
    <row r="140" spans="1:22" x14ac:dyDescent="0.25">
      <c r="A140" s="813"/>
      <c r="B140" s="839"/>
      <c r="C140" s="59" t="s">
        <v>423</v>
      </c>
      <c r="D140" s="74"/>
      <c r="E140" s="74"/>
      <c r="F140" s="74"/>
      <c r="G140" s="74"/>
      <c r="H140" s="74"/>
      <c r="I140" s="406"/>
      <c r="J140" s="407"/>
      <c r="K140" s="26"/>
      <c r="L140" s="46"/>
      <c r="M140" s="45">
        <v>31200</v>
      </c>
      <c r="N140" s="46"/>
      <c r="O140" s="46"/>
      <c r="P140" s="46"/>
      <c r="Q140" s="46"/>
      <c r="R140" s="73">
        <v>11334</v>
      </c>
      <c r="S140" s="92">
        <v>11334</v>
      </c>
      <c r="T140" s="573">
        <f t="shared" si="15"/>
        <v>100</v>
      </c>
    </row>
    <row r="141" spans="1:22" x14ac:dyDescent="0.25">
      <c r="A141" s="813"/>
      <c r="B141" s="839"/>
      <c r="C141" s="59" t="s">
        <v>349</v>
      </c>
      <c r="D141" s="74"/>
      <c r="E141" s="74"/>
      <c r="F141" s="74"/>
      <c r="G141" s="74"/>
      <c r="H141" s="74"/>
      <c r="I141" s="406"/>
      <c r="J141" s="407"/>
      <c r="K141" s="26"/>
      <c r="L141" s="46"/>
      <c r="M141" s="45">
        <v>12085.36</v>
      </c>
      <c r="N141" s="46"/>
      <c r="O141" s="46"/>
      <c r="P141" s="46"/>
      <c r="Q141" s="46"/>
      <c r="R141" s="73">
        <v>11154</v>
      </c>
      <c r="S141" s="92"/>
      <c r="T141" s="573">
        <f t="shared" si="15"/>
        <v>0</v>
      </c>
    </row>
    <row r="142" spans="1:22" x14ac:dyDescent="0.25">
      <c r="A142" s="813"/>
      <c r="B142" s="839"/>
      <c r="C142" s="59" t="s">
        <v>96</v>
      </c>
      <c r="D142" s="83"/>
      <c r="E142" s="83"/>
      <c r="F142" s="83"/>
      <c r="G142" s="83"/>
      <c r="H142" s="83"/>
      <c r="I142" s="408"/>
      <c r="J142" s="409"/>
      <c r="K142" s="49"/>
      <c r="L142" s="46"/>
      <c r="M142" s="45"/>
      <c r="N142" s="46"/>
      <c r="O142" s="46"/>
      <c r="P142" s="46"/>
      <c r="Q142" s="46"/>
      <c r="R142" s="73"/>
      <c r="S142" s="92">
        <v>1722.87</v>
      </c>
      <c r="T142" s="573">
        <f t="shared" si="15"/>
        <v>0</v>
      </c>
    </row>
    <row r="143" spans="1:22" x14ac:dyDescent="0.25">
      <c r="A143" s="813"/>
      <c r="B143" s="839"/>
      <c r="C143" s="59"/>
      <c r="D143" s="83"/>
      <c r="E143" s="83"/>
      <c r="F143" s="83"/>
      <c r="G143" s="83"/>
      <c r="H143" s="83"/>
      <c r="I143" s="408"/>
      <c r="J143" s="409"/>
      <c r="K143" s="49"/>
      <c r="L143" s="26"/>
      <c r="M143" s="25">
        <v>8850</v>
      </c>
      <c r="N143" s="60"/>
      <c r="O143" s="73"/>
      <c r="P143" s="73"/>
      <c r="Q143" s="73"/>
      <c r="R143" s="73"/>
      <c r="S143" s="92"/>
      <c r="T143" s="573">
        <f t="shared" si="15"/>
        <v>0</v>
      </c>
    </row>
    <row r="144" spans="1:22" x14ac:dyDescent="0.25">
      <c r="A144" s="813"/>
      <c r="B144" s="839"/>
      <c r="C144" s="62"/>
      <c r="D144" s="83"/>
      <c r="E144" s="83"/>
      <c r="F144" s="83"/>
      <c r="G144" s="83"/>
      <c r="H144" s="83"/>
      <c r="I144" s="408"/>
      <c r="J144" s="409"/>
      <c r="K144" s="49"/>
      <c r="L144" s="90"/>
      <c r="M144" s="89"/>
      <c r="N144" s="90"/>
      <c r="O144" s="90"/>
      <c r="P144" s="90"/>
      <c r="Q144" s="90"/>
      <c r="R144" s="73"/>
      <c r="S144" s="92"/>
      <c r="T144" s="573">
        <f t="shared" si="15"/>
        <v>0</v>
      </c>
    </row>
    <row r="145" spans="1:21" ht="15.75" thickBot="1" x14ac:dyDescent="0.3">
      <c r="A145" s="809"/>
      <c r="B145" s="840"/>
      <c r="C145" s="62"/>
      <c r="D145" s="83"/>
      <c r="E145" s="83"/>
      <c r="F145" s="83"/>
      <c r="G145" s="83"/>
      <c r="H145" s="83"/>
      <c r="I145" s="408"/>
      <c r="J145" s="409"/>
      <c r="K145" s="49"/>
      <c r="L145" s="49"/>
      <c r="M145" s="48"/>
      <c r="N145" s="49"/>
      <c r="O145" s="49"/>
      <c r="P145" s="49"/>
      <c r="Q145" s="49"/>
      <c r="R145" s="60"/>
      <c r="S145" s="125"/>
      <c r="T145" s="572">
        <f t="shared" si="15"/>
        <v>0</v>
      </c>
    </row>
    <row r="146" spans="1:21" ht="15.75" thickBot="1" x14ac:dyDescent="0.3">
      <c r="A146" s="151" t="s">
        <v>251</v>
      </c>
      <c r="B146" s="746" t="s">
        <v>252</v>
      </c>
      <c r="C146" s="747"/>
      <c r="D146" s="551"/>
      <c r="E146" s="551"/>
      <c r="F146" s="551"/>
      <c r="G146" s="551"/>
      <c r="H146" s="551"/>
      <c r="I146" s="239">
        <v>104542</v>
      </c>
      <c r="J146" s="152">
        <v>66000</v>
      </c>
      <c r="K146" s="84">
        <f>K147+K150</f>
        <v>0</v>
      </c>
      <c r="L146" s="86"/>
      <c r="M146" s="86"/>
      <c r="N146" s="86"/>
      <c r="O146" s="86"/>
      <c r="P146" s="86">
        <v>35641.19</v>
      </c>
      <c r="Q146" s="119">
        <v>17</v>
      </c>
      <c r="R146" s="84">
        <f t="shared" ref="R146" si="16">R147</f>
        <v>0</v>
      </c>
      <c r="S146" s="85">
        <f t="shared" ref="S146" si="17">S147</f>
        <v>0</v>
      </c>
      <c r="T146" s="640">
        <f t="shared" si="15"/>
        <v>0</v>
      </c>
    </row>
    <row r="147" spans="1:21" ht="15.75" hidden="1" thickBot="1" x14ac:dyDescent="0.3">
      <c r="A147" s="488"/>
      <c r="B147" s="489"/>
      <c r="C147" s="489"/>
      <c r="D147" s="490"/>
      <c r="E147" s="490"/>
      <c r="F147" s="490"/>
      <c r="G147" s="490"/>
      <c r="H147" s="490"/>
      <c r="I147" s="490"/>
      <c r="J147" s="490"/>
      <c r="K147" s="490"/>
      <c r="L147" s="491"/>
      <c r="M147" s="489"/>
      <c r="N147" s="492"/>
      <c r="O147" s="492"/>
      <c r="P147" s="489"/>
      <c r="Q147" s="489"/>
      <c r="R147" s="489"/>
      <c r="S147" s="701"/>
      <c r="T147" s="670">
        <f t="shared" si="15"/>
        <v>0</v>
      </c>
    </row>
    <row r="148" spans="1:21" ht="15.75" thickBot="1" x14ac:dyDescent="0.3">
      <c r="A148" s="486" t="s">
        <v>257</v>
      </c>
      <c r="B148" s="798" t="s">
        <v>258</v>
      </c>
      <c r="C148" s="781"/>
      <c r="D148" s="490"/>
      <c r="E148" s="490"/>
      <c r="F148" s="490"/>
      <c r="G148" s="490"/>
      <c r="H148" s="490"/>
      <c r="I148" s="490"/>
      <c r="J148" s="490"/>
      <c r="K148" s="490"/>
      <c r="L148" s="311"/>
      <c r="M148" s="390"/>
      <c r="N148" s="490"/>
      <c r="O148" s="591"/>
      <c r="P148" s="489"/>
      <c r="Q148" s="492"/>
      <c r="R148" s="325">
        <f t="shared" ref="R148" si="18">R149</f>
        <v>0</v>
      </c>
      <c r="S148" s="681">
        <f t="shared" ref="S148" si="19">S149</f>
        <v>0</v>
      </c>
      <c r="T148" s="670">
        <f t="shared" si="15"/>
        <v>0</v>
      </c>
    </row>
    <row r="149" spans="1:21" ht="15.75" hidden="1" thickBot="1" x14ac:dyDescent="0.3">
      <c r="A149" s="488"/>
      <c r="B149" s="490"/>
      <c r="C149" s="389" t="s">
        <v>350</v>
      </c>
      <c r="D149" s="490"/>
      <c r="E149" s="490"/>
      <c r="F149" s="490"/>
      <c r="G149" s="490"/>
      <c r="H149" s="490"/>
      <c r="I149" s="490"/>
      <c r="J149" s="490"/>
      <c r="K149" s="490"/>
      <c r="L149" s="311"/>
      <c r="M149" s="390"/>
      <c r="N149" s="490"/>
      <c r="O149" s="490"/>
      <c r="P149" s="489"/>
      <c r="Q149" s="493"/>
      <c r="R149" s="389">
        <v>0</v>
      </c>
      <c r="S149" s="310"/>
      <c r="T149" s="671">
        <f t="shared" si="15"/>
        <v>0</v>
      </c>
    </row>
    <row r="150" spans="1:21" ht="15.75" hidden="1" thickBot="1" x14ac:dyDescent="0.3">
      <c r="A150" s="401"/>
      <c r="B150" s="405"/>
      <c r="C150" s="173"/>
      <c r="D150" s="88"/>
      <c r="E150" s="88"/>
      <c r="F150" s="88"/>
      <c r="G150" s="88"/>
      <c r="H150" s="88"/>
      <c r="I150" s="88"/>
      <c r="J150" s="88"/>
      <c r="K150" s="90"/>
      <c r="L150" s="90"/>
      <c r="M150" s="90"/>
      <c r="N150" s="90"/>
      <c r="O150" s="90"/>
      <c r="P150" s="90"/>
      <c r="Q150" s="149"/>
      <c r="R150" s="188"/>
      <c r="S150" s="278"/>
      <c r="T150" s="641">
        <f t="shared" si="15"/>
        <v>0</v>
      </c>
    </row>
    <row r="151" spans="1:21" ht="15.75" thickBot="1" x14ac:dyDescent="0.3">
      <c r="A151" s="494" t="s">
        <v>351</v>
      </c>
      <c r="B151" s="844" t="s">
        <v>260</v>
      </c>
      <c r="C151" s="845"/>
      <c r="D151" s="495"/>
      <c r="E151" s="495"/>
      <c r="F151" s="495"/>
      <c r="G151" s="495"/>
      <c r="H151" s="495"/>
      <c r="I151" s="56">
        <f>I152</f>
        <v>0</v>
      </c>
      <c r="J151" s="56">
        <f>J152</f>
        <v>0</v>
      </c>
      <c r="K151" s="56">
        <f>K152</f>
        <v>0</v>
      </c>
      <c r="L151" s="56">
        <f>L152</f>
        <v>82887.77</v>
      </c>
      <c r="M151" s="123">
        <v>7399.64</v>
      </c>
      <c r="N151" s="496">
        <v>0</v>
      </c>
      <c r="O151" s="496">
        <f>O152</f>
        <v>0</v>
      </c>
      <c r="P151" s="496"/>
      <c r="Q151" s="55">
        <v>1550</v>
      </c>
      <c r="R151" s="496">
        <f t="shared" ref="R151" si="20">R152</f>
        <v>0</v>
      </c>
      <c r="S151" s="55">
        <f t="shared" ref="S151" si="21">S152</f>
        <v>0</v>
      </c>
      <c r="T151" s="635">
        <f t="shared" si="15"/>
        <v>0</v>
      </c>
    </row>
    <row r="152" spans="1:21" ht="15.75" hidden="1" thickBot="1" x14ac:dyDescent="0.3">
      <c r="A152" s="401"/>
      <c r="B152" s="405"/>
      <c r="C152" s="490" t="s">
        <v>352</v>
      </c>
      <c r="D152" s="490"/>
      <c r="E152" s="490"/>
      <c r="F152" s="490"/>
      <c r="G152" s="490"/>
      <c r="H152" s="490"/>
      <c r="I152" s="88"/>
      <c r="J152" s="88"/>
      <c r="K152" s="90"/>
      <c r="L152" s="90">
        <v>82887.77</v>
      </c>
      <c r="M152" s="89">
        <v>7399.64</v>
      </c>
      <c r="N152" s="90"/>
      <c r="O152" s="90"/>
      <c r="P152" s="90"/>
      <c r="Q152" s="90"/>
      <c r="R152" s="188"/>
      <c r="S152" s="278"/>
      <c r="T152" s="641">
        <f t="shared" si="15"/>
        <v>0</v>
      </c>
    </row>
    <row r="153" spans="1:21" ht="17.25" thickTop="1" thickBot="1" x14ac:dyDescent="0.3">
      <c r="A153" s="841" t="s">
        <v>353</v>
      </c>
      <c r="B153" s="842"/>
      <c r="C153" s="842"/>
      <c r="D153" s="133">
        <v>2988050</v>
      </c>
      <c r="E153" s="133">
        <v>1793069</v>
      </c>
      <c r="F153" s="133">
        <v>2942409</v>
      </c>
      <c r="G153" s="133">
        <v>4880528</v>
      </c>
      <c r="H153" s="133">
        <f t="shared" ref="H153:O153" si="22">H130+H113+H121+H109+H78+H74+H66+H64+H57+H36+H12+H9+H4+H128+H146+H151</f>
        <v>5977301</v>
      </c>
      <c r="I153" s="133">
        <f t="shared" si="22"/>
        <v>5818483</v>
      </c>
      <c r="J153" s="133">
        <f t="shared" si="22"/>
        <v>4719096</v>
      </c>
      <c r="K153" s="133">
        <f t="shared" si="22"/>
        <v>3939694</v>
      </c>
      <c r="L153" s="133">
        <f t="shared" si="22"/>
        <v>1800938.79</v>
      </c>
      <c r="M153" s="134">
        <f t="shared" si="22"/>
        <v>2868630.6500000004</v>
      </c>
      <c r="N153" s="133">
        <f t="shared" si="22"/>
        <v>1348818.6500000001</v>
      </c>
      <c r="O153" s="134">
        <f t="shared" si="22"/>
        <v>1900647.68</v>
      </c>
      <c r="P153" s="133">
        <v>2329182.13</v>
      </c>
      <c r="Q153" s="509">
        <f>Q4+Q9+Q12+Q36+Q57+Q66+Q74+Q78+Q107+Q113+Q128+Q130+Q146+Q151</f>
        <v>2649518.4899999993</v>
      </c>
      <c r="R153" s="133">
        <f>R151+R148+R146+R130+R128+R121+R113+R107+R78+R74+R66+R57+R36+R12+R9+R4</f>
        <v>9484663</v>
      </c>
      <c r="S153" s="134">
        <f>S151+S148+S146+S130+S128+S121+S113+S107+S78+S74+S66+S57+S36+S12+S9+S4</f>
        <v>2729306.48</v>
      </c>
      <c r="T153" s="660">
        <f t="shared" si="15"/>
        <v>28.78</v>
      </c>
    </row>
    <row r="154" spans="1:21" ht="15.75" thickTop="1" x14ac:dyDescent="0.25">
      <c r="S154" s="303"/>
    </row>
    <row r="155" spans="1:21" x14ac:dyDescent="0.25">
      <c r="T155" s="189"/>
    </row>
    <row r="156" spans="1:21" x14ac:dyDescent="0.25">
      <c r="R156" s="303"/>
      <c r="S156" s="303"/>
      <c r="T156" s="189"/>
    </row>
    <row r="157" spans="1:21" x14ac:dyDescent="0.25">
      <c r="R157" s="303"/>
      <c r="S157" s="303"/>
      <c r="T157" s="189"/>
    </row>
    <row r="158" spans="1:21" x14ac:dyDescent="0.25">
      <c r="R158" s="303"/>
      <c r="S158" s="303"/>
      <c r="T158" s="189"/>
      <c r="U158" s="189"/>
    </row>
    <row r="159" spans="1:21" x14ac:dyDescent="0.25">
      <c r="Q159" s="189"/>
      <c r="R159" s="189"/>
      <c r="S159" s="189"/>
      <c r="T159" s="189"/>
    </row>
    <row r="160" spans="1:21" x14ac:dyDescent="0.25">
      <c r="S160" s="303"/>
      <c r="T160" s="189"/>
    </row>
    <row r="162" spans="19:19" x14ac:dyDescent="0.25">
      <c r="S162" s="303"/>
    </row>
  </sheetData>
  <mergeCells count="59">
    <mergeCell ref="H2:H3"/>
    <mergeCell ref="I2:I3"/>
    <mergeCell ref="S2:S3"/>
    <mergeCell ref="B12:C12"/>
    <mergeCell ref="P2:P3"/>
    <mergeCell ref="Q2:Q3"/>
    <mergeCell ref="R2:R3"/>
    <mergeCell ref="J2:J3"/>
    <mergeCell ref="K2:K3"/>
    <mergeCell ref="L2:L3"/>
    <mergeCell ref="M2:M3"/>
    <mergeCell ref="N2:N3"/>
    <mergeCell ref="O2:O3"/>
    <mergeCell ref="B4:C4"/>
    <mergeCell ref="B2:B3"/>
    <mergeCell ref="D2:D3"/>
    <mergeCell ref="E2:E3"/>
    <mergeCell ref="F2:F3"/>
    <mergeCell ref="G2:G3"/>
    <mergeCell ref="A5:A8"/>
    <mergeCell ref="B5:B8"/>
    <mergeCell ref="B9:C9"/>
    <mergeCell ref="B10:B11"/>
    <mergeCell ref="A2:A3"/>
    <mergeCell ref="C2:C3"/>
    <mergeCell ref="B121:C121"/>
    <mergeCell ref="B109:C109"/>
    <mergeCell ref="B113:C113"/>
    <mergeCell ref="A75:A77"/>
    <mergeCell ref="B75:B77"/>
    <mergeCell ref="B107:C107"/>
    <mergeCell ref="A18:A35"/>
    <mergeCell ref="B18:B35"/>
    <mergeCell ref="A114:A120"/>
    <mergeCell ref="B114:B120"/>
    <mergeCell ref="B36:C36"/>
    <mergeCell ref="A43:A55"/>
    <mergeCell ref="B43:B55"/>
    <mergeCell ref="B57:C57"/>
    <mergeCell ref="B64:C64"/>
    <mergeCell ref="B66:C66"/>
    <mergeCell ref="A67:A73"/>
    <mergeCell ref="B67:B73"/>
    <mergeCell ref="A1:T1"/>
    <mergeCell ref="A122:A127"/>
    <mergeCell ref="B122:B127"/>
    <mergeCell ref="T2:T3"/>
    <mergeCell ref="A153:C153"/>
    <mergeCell ref="B130:C130"/>
    <mergeCell ref="A131:A145"/>
    <mergeCell ref="B131:B145"/>
    <mergeCell ref="B146:C146"/>
    <mergeCell ref="B148:C148"/>
    <mergeCell ref="B151:C151"/>
    <mergeCell ref="B74:C74"/>
    <mergeCell ref="B128:C128"/>
    <mergeCell ref="B78:C78"/>
    <mergeCell ref="A79:A106"/>
    <mergeCell ref="B79:B106"/>
  </mergeCells>
  <pageMargins left="0.11811023622047245" right="0.11811023622047245" top="0.15748031496062992" bottom="0.15748031496062992" header="0" footer="0"/>
  <pageSetup paperSize="9" scale="89" orientation="portrait" r:id="rId1"/>
  <rowBreaks count="1" manualBreakCount="1">
    <brk id="153" max="16383" man="1"/>
  </rowBreaks>
  <ignoredErrors>
    <ignoredError sqref="S12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3"/>
  <sheetViews>
    <sheetView workbookViewId="0">
      <selection activeCell="S20" sqref="S20"/>
    </sheetView>
  </sheetViews>
  <sheetFormatPr defaultRowHeight="15" x14ac:dyDescent="0.25"/>
  <cols>
    <col min="3" max="3" width="33.42578125" customWidth="1"/>
    <col min="4" max="10" width="11.7109375" hidden="1" customWidth="1"/>
    <col min="11" max="11" width="10.5703125" hidden="1" customWidth="1"/>
    <col min="12" max="12" width="13.7109375" hidden="1" customWidth="1"/>
    <col min="13" max="16" width="13.5703125" hidden="1" customWidth="1"/>
    <col min="17" max="17" width="12.85546875" customWidth="1"/>
    <col min="18" max="18" width="11.42578125" customWidth="1"/>
    <col min="19" max="20" width="11.7109375" customWidth="1"/>
    <col min="22" max="22" width="11.42578125" bestFit="1" customWidth="1"/>
    <col min="251" max="251" width="36" customWidth="1"/>
    <col min="252" max="263" width="0" hidden="1" customWidth="1"/>
    <col min="264" max="265" width="13.5703125" customWidth="1"/>
    <col min="266" max="266" width="11.42578125" customWidth="1"/>
    <col min="267" max="267" width="8.42578125" customWidth="1"/>
    <col min="268" max="269" width="11.7109375" customWidth="1"/>
    <col min="507" max="507" width="36" customWidth="1"/>
    <col min="508" max="519" width="0" hidden="1" customWidth="1"/>
    <col min="520" max="521" width="13.5703125" customWidth="1"/>
    <col min="522" max="522" width="11.42578125" customWidth="1"/>
    <col min="523" max="523" width="8.42578125" customWidth="1"/>
    <col min="524" max="525" width="11.7109375" customWidth="1"/>
    <col min="763" max="763" width="36" customWidth="1"/>
    <col min="764" max="775" width="0" hidden="1" customWidth="1"/>
    <col min="776" max="777" width="13.5703125" customWidth="1"/>
    <col min="778" max="778" width="11.42578125" customWidth="1"/>
    <col min="779" max="779" width="8.42578125" customWidth="1"/>
    <col min="780" max="781" width="11.7109375" customWidth="1"/>
    <col min="1019" max="1019" width="36" customWidth="1"/>
    <col min="1020" max="1031" width="0" hidden="1" customWidth="1"/>
    <col min="1032" max="1033" width="13.5703125" customWidth="1"/>
    <col min="1034" max="1034" width="11.42578125" customWidth="1"/>
    <col min="1035" max="1035" width="8.42578125" customWidth="1"/>
    <col min="1036" max="1037" width="11.7109375" customWidth="1"/>
    <col min="1275" max="1275" width="36" customWidth="1"/>
    <col min="1276" max="1287" width="0" hidden="1" customWidth="1"/>
    <col min="1288" max="1289" width="13.5703125" customWidth="1"/>
    <col min="1290" max="1290" width="11.42578125" customWidth="1"/>
    <col min="1291" max="1291" width="8.42578125" customWidth="1"/>
    <col min="1292" max="1293" width="11.7109375" customWidth="1"/>
    <col min="1531" max="1531" width="36" customWidth="1"/>
    <col min="1532" max="1543" width="0" hidden="1" customWidth="1"/>
    <col min="1544" max="1545" width="13.5703125" customWidth="1"/>
    <col min="1546" max="1546" width="11.42578125" customWidth="1"/>
    <col min="1547" max="1547" width="8.42578125" customWidth="1"/>
    <col min="1548" max="1549" width="11.7109375" customWidth="1"/>
    <col min="1787" max="1787" width="36" customWidth="1"/>
    <col min="1788" max="1799" width="0" hidden="1" customWidth="1"/>
    <col min="1800" max="1801" width="13.5703125" customWidth="1"/>
    <col min="1802" max="1802" width="11.42578125" customWidth="1"/>
    <col min="1803" max="1803" width="8.42578125" customWidth="1"/>
    <col min="1804" max="1805" width="11.7109375" customWidth="1"/>
    <col min="2043" max="2043" width="36" customWidth="1"/>
    <col min="2044" max="2055" width="0" hidden="1" customWidth="1"/>
    <col min="2056" max="2057" width="13.5703125" customWidth="1"/>
    <col min="2058" max="2058" width="11.42578125" customWidth="1"/>
    <col min="2059" max="2059" width="8.42578125" customWidth="1"/>
    <col min="2060" max="2061" width="11.7109375" customWidth="1"/>
    <col min="2299" max="2299" width="36" customWidth="1"/>
    <col min="2300" max="2311" width="0" hidden="1" customWidth="1"/>
    <col min="2312" max="2313" width="13.5703125" customWidth="1"/>
    <col min="2314" max="2314" width="11.42578125" customWidth="1"/>
    <col min="2315" max="2315" width="8.42578125" customWidth="1"/>
    <col min="2316" max="2317" width="11.7109375" customWidth="1"/>
    <col min="2555" max="2555" width="36" customWidth="1"/>
    <col min="2556" max="2567" width="0" hidden="1" customWidth="1"/>
    <col min="2568" max="2569" width="13.5703125" customWidth="1"/>
    <col min="2570" max="2570" width="11.42578125" customWidth="1"/>
    <col min="2571" max="2571" width="8.42578125" customWidth="1"/>
    <col min="2572" max="2573" width="11.7109375" customWidth="1"/>
    <col min="2811" max="2811" width="36" customWidth="1"/>
    <col min="2812" max="2823" width="0" hidden="1" customWidth="1"/>
    <col min="2824" max="2825" width="13.5703125" customWidth="1"/>
    <col min="2826" max="2826" width="11.42578125" customWidth="1"/>
    <col min="2827" max="2827" width="8.42578125" customWidth="1"/>
    <col min="2828" max="2829" width="11.7109375" customWidth="1"/>
    <col min="3067" max="3067" width="36" customWidth="1"/>
    <col min="3068" max="3079" width="0" hidden="1" customWidth="1"/>
    <col min="3080" max="3081" width="13.5703125" customWidth="1"/>
    <col min="3082" max="3082" width="11.42578125" customWidth="1"/>
    <col min="3083" max="3083" width="8.42578125" customWidth="1"/>
    <col min="3084" max="3085" width="11.7109375" customWidth="1"/>
    <col min="3323" max="3323" width="36" customWidth="1"/>
    <col min="3324" max="3335" width="0" hidden="1" customWidth="1"/>
    <col min="3336" max="3337" width="13.5703125" customWidth="1"/>
    <col min="3338" max="3338" width="11.42578125" customWidth="1"/>
    <col min="3339" max="3339" width="8.42578125" customWidth="1"/>
    <col min="3340" max="3341" width="11.7109375" customWidth="1"/>
    <col min="3579" max="3579" width="36" customWidth="1"/>
    <col min="3580" max="3591" width="0" hidden="1" customWidth="1"/>
    <col min="3592" max="3593" width="13.5703125" customWidth="1"/>
    <col min="3594" max="3594" width="11.42578125" customWidth="1"/>
    <col min="3595" max="3595" width="8.42578125" customWidth="1"/>
    <col min="3596" max="3597" width="11.7109375" customWidth="1"/>
    <col min="3835" max="3835" width="36" customWidth="1"/>
    <col min="3836" max="3847" width="0" hidden="1" customWidth="1"/>
    <col min="3848" max="3849" width="13.5703125" customWidth="1"/>
    <col min="3850" max="3850" width="11.42578125" customWidth="1"/>
    <col min="3851" max="3851" width="8.42578125" customWidth="1"/>
    <col min="3852" max="3853" width="11.7109375" customWidth="1"/>
    <col min="4091" max="4091" width="36" customWidth="1"/>
    <col min="4092" max="4103" width="0" hidden="1" customWidth="1"/>
    <col min="4104" max="4105" width="13.5703125" customWidth="1"/>
    <col min="4106" max="4106" width="11.42578125" customWidth="1"/>
    <col min="4107" max="4107" width="8.42578125" customWidth="1"/>
    <col min="4108" max="4109" width="11.7109375" customWidth="1"/>
    <col min="4347" max="4347" width="36" customWidth="1"/>
    <col min="4348" max="4359" width="0" hidden="1" customWidth="1"/>
    <col min="4360" max="4361" width="13.5703125" customWidth="1"/>
    <col min="4362" max="4362" width="11.42578125" customWidth="1"/>
    <col min="4363" max="4363" width="8.42578125" customWidth="1"/>
    <col min="4364" max="4365" width="11.7109375" customWidth="1"/>
    <col min="4603" max="4603" width="36" customWidth="1"/>
    <col min="4604" max="4615" width="0" hidden="1" customWidth="1"/>
    <col min="4616" max="4617" width="13.5703125" customWidth="1"/>
    <col min="4618" max="4618" width="11.42578125" customWidth="1"/>
    <col min="4619" max="4619" width="8.42578125" customWidth="1"/>
    <col min="4620" max="4621" width="11.7109375" customWidth="1"/>
    <col min="4859" max="4859" width="36" customWidth="1"/>
    <col min="4860" max="4871" width="0" hidden="1" customWidth="1"/>
    <col min="4872" max="4873" width="13.5703125" customWidth="1"/>
    <col min="4874" max="4874" width="11.42578125" customWidth="1"/>
    <col min="4875" max="4875" width="8.42578125" customWidth="1"/>
    <col min="4876" max="4877" width="11.7109375" customWidth="1"/>
    <col min="5115" max="5115" width="36" customWidth="1"/>
    <col min="5116" max="5127" width="0" hidden="1" customWidth="1"/>
    <col min="5128" max="5129" width="13.5703125" customWidth="1"/>
    <col min="5130" max="5130" width="11.42578125" customWidth="1"/>
    <col min="5131" max="5131" width="8.42578125" customWidth="1"/>
    <col min="5132" max="5133" width="11.7109375" customWidth="1"/>
    <col min="5371" max="5371" width="36" customWidth="1"/>
    <col min="5372" max="5383" width="0" hidden="1" customWidth="1"/>
    <col min="5384" max="5385" width="13.5703125" customWidth="1"/>
    <col min="5386" max="5386" width="11.42578125" customWidth="1"/>
    <col min="5387" max="5387" width="8.42578125" customWidth="1"/>
    <col min="5388" max="5389" width="11.7109375" customWidth="1"/>
    <col min="5627" max="5627" width="36" customWidth="1"/>
    <col min="5628" max="5639" width="0" hidden="1" customWidth="1"/>
    <col min="5640" max="5641" width="13.5703125" customWidth="1"/>
    <col min="5642" max="5642" width="11.42578125" customWidth="1"/>
    <col min="5643" max="5643" width="8.42578125" customWidth="1"/>
    <col min="5644" max="5645" width="11.7109375" customWidth="1"/>
    <col min="5883" max="5883" width="36" customWidth="1"/>
    <col min="5884" max="5895" width="0" hidden="1" customWidth="1"/>
    <col min="5896" max="5897" width="13.5703125" customWidth="1"/>
    <col min="5898" max="5898" width="11.42578125" customWidth="1"/>
    <col min="5899" max="5899" width="8.42578125" customWidth="1"/>
    <col min="5900" max="5901" width="11.7109375" customWidth="1"/>
    <col min="6139" max="6139" width="36" customWidth="1"/>
    <col min="6140" max="6151" width="0" hidden="1" customWidth="1"/>
    <col min="6152" max="6153" width="13.5703125" customWidth="1"/>
    <col min="6154" max="6154" width="11.42578125" customWidth="1"/>
    <col min="6155" max="6155" width="8.42578125" customWidth="1"/>
    <col min="6156" max="6157" width="11.7109375" customWidth="1"/>
    <col min="6395" max="6395" width="36" customWidth="1"/>
    <col min="6396" max="6407" width="0" hidden="1" customWidth="1"/>
    <col min="6408" max="6409" width="13.5703125" customWidth="1"/>
    <col min="6410" max="6410" width="11.42578125" customWidth="1"/>
    <col min="6411" max="6411" width="8.42578125" customWidth="1"/>
    <col min="6412" max="6413" width="11.7109375" customWidth="1"/>
    <col min="6651" max="6651" width="36" customWidth="1"/>
    <col min="6652" max="6663" width="0" hidden="1" customWidth="1"/>
    <col min="6664" max="6665" width="13.5703125" customWidth="1"/>
    <col min="6666" max="6666" width="11.42578125" customWidth="1"/>
    <col min="6667" max="6667" width="8.42578125" customWidth="1"/>
    <col min="6668" max="6669" width="11.7109375" customWidth="1"/>
    <col min="6907" max="6907" width="36" customWidth="1"/>
    <col min="6908" max="6919" width="0" hidden="1" customWidth="1"/>
    <col min="6920" max="6921" width="13.5703125" customWidth="1"/>
    <col min="6922" max="6922" width="11.42578125" customWidth="1"/>
    <col min="6923" max="6923" width="8.42578125" customWidth="1"/>
    <col min="6924" max="6925" width="11.7109375" customWidth="1"/>
    <col min="7163" max="7163" width="36" customWidth="1"/>
    <col min="7164" max="7175" width="0" hidden="1" customWidth="1"/>
    <col min="7176" max="7177" width="13.5703125" customWidth="1"/>
    <col min="7178" max="7178" width="11.42578125" customWidth="1"/>
    <col min="7179" max="7179" width="8.42578125" customWidth="1"/>
    <col min="7180" max="7181" width="11.7109375" customWidth="1"/>
    <col min="7419" max="7419" width="36" customWidth="1"/>
    <col min="7420" max="7431" width="0" hidden="1" customWidth="1"/>
    <col min="7432" max="7433" width="13.5703125" customWidth="1"/>
    <col min="7434" max="7434" width="11.42578125" customWidth="1"/>
    <col min="7435" max="7435" width="8.42578125" customWidth="1"/>
    <col min="7436" max="7437" width="11.7109375" customWidth="1"/>
    <col min="7675" max="7675" width="36" customWidth="1"/>
    <col min="7676" max="7687" width="0" hidden="1" customWidth="1"/>
    <col min="7688" max="7689" width="13.5703125" customWidth="1"/>
    <col min="7690" max="7690" width="11.42578125" customWidth="1"/>
    <col min="7691" max="7691" width="8.42578125" customWidth="1"/>
    <col min="7692" max="7693" width="11.7109375" customWidth="1"/>
    <col min="7931" max="7931" width="36" customWidth="1"/>
    <col min="7932" max="7943" width="0" hidden="1" customWidth="1"/>
    <col min="7944" max="7945" width="13.5703125" customWidth="1"/>
    <col min="7946" max="7946" width="11.42578125" customWidth="1"/>
    <col min="7947" max="7947" width="8.42578125" customWidth="1"/>
    <col min="7948" max="7949" width="11.7109375" customWidth="1"/>
    <col min="8187" max="8187" width="36" customWidth="1"/>
    <col min="8188" max="8199" width="0" hidden="1" customWidth="1"/>
    <col min="8200" max="8201" width="13.5703125" customWidth="1"/>
    <col min="8202" max="8202" width="11.42578125" customWidth="1"/>
    <col min="8203" max="8203" width="8.42578125" customWidth="1"/>
    <col min="8204" max="8205" width="11.7109375" customWidth="1"/>
    <col min="8443" max="8443" width="36" customWidth="1"/>
    <col min="8444" max="8455" width="0" hidden="1" customWidth="1"/>
    <col min="8456" max="8457" width="13.5703125" customWidth="1"/>
    <col min="8458" max="8458" width="11.42578125" customWidth="1"/>
    <col min="8459" max="8459" width="8.42578125" customWidth="1"/>
    <col min="8460" max="8461" width="11.7109375" customWidth="1"/>
    <col min="8699" max="8699" width="36" customWidth="1"/>
    <col min="8700" max="8711" width="0" hidden="1" customWidth="1"/>
    <col min="8712" max="8713" width="13.5703125" customWidth="1"/>
    <col min="8714" max="8714" width="11.42578125" customWidth="1"/>
    <col min="8715" max="8715" width="8.42578125" customWidth="1"/>
    <col min="8716" max="8717" width="11.7109375" customWidth="1"/>
    <col min="8955" max="8955" width="36" customWidth="1"/>
    <col min="8956" max="8967" width="0" hidden="1" customWidth="1"/>
    <col min="8968" max="8969" width="13.5703125" customWidth="1"/>
    <col min="8970" max="8970" width="11.42578125" customWidth="1"/>
    <col min="8971" max="8971" width="8.42578125" customWidth="1"/>
    <col min="8972" max="8973" width="11.7109375" customWidth="1"/>
    <col min="9211" max="9211" width="36" customWidth="1"/>
    <col min="9212" max="9223" width="0" hidden="1" customWidth="1"/>
    <col min="9224" max="9225" width="13.5703125" customWidth="1"/>
    <col min="9226" max="9226" width="11.42578125" customWidth="1"/>
    <col min="9227" max="9227" width="8.42578125" customWidth="1"/>
    <col min="9228" max="9229" width="11.7109375" customWidth="1"/>
    <col min="9467" max="9467" width="36" customWidth="1"/>
    <col min="9468" max="9479" width="0" hidden="1" customWidth="1"/>
    <col min="9480" max="9481" width="13.5703125" customWidth="1"/>
    <col min="9482" max="9482" width="11.42578125" customWidth="1"/>
    <col min="9483" max="9483" width="8.42578125" customWidth="1"/>
    <col min="9484" max="9485" width="11.7109375" customWidth="1"/>
    <col min="9723" max="9723" width="36" customWidth="1"/>
    <col min="9724" max="9735" width="0" hidden="1" customWidth="1"/>
    <col min="9736" max="9737" width="13.5703125" customWidth="1"/>
    <col min="9738" max="9738" width="11.42578125" customWidth="1"/>
    <col min="9739" max="9739" width="8.42578125" customWidth="1"/>
    <col min="9740" max="9741" width="11.7109375" customWidth="1"/>
    <col min="9979" max="9979" width="36" customWidth="1"/>
    <col min="9980" max="9991" width="0" hidden="1" customWidth="1"/>
    <col min="9992" max="9993" width="13.5703125" customWidth="1"/>
    <col min="9994" max="9994" width="11.42578125" customWidth="1"/>
    <col min="9995" max="9995" width="8.42578125" customWidth="1"/>
    <col min="9996" max="9997" width="11.7109375" customWidth="1"/>
    <col min="10235" max="10235" width="36" customWidth="1"/>
    <col min="10236" max="10247" width="0" hidden="1" customWidth="1"/>
    <col min="10248" max="10249" width="13.5703125" customWidth="1"/>
    <col min="10250" max="10250" width="11.42578125" customWidth="1"/>
    <col min="10251" max="10251" width="8.42578125" customWidth="1"/>
    <col min="10252" max="10253" width="11.7109375" customWidth="1"/>
    <col min="10491" max="10491" width="36" customWidth="1"/>
    <col min="10492" max="10503" width="0" hidden="1" customWidth="1"/>
    <col min="10504" max="10505" width="13.5703125" customWidth="1"/>
    <col min="10506" max="10506" width="11.42578125" customWidth="1"/>
    <col min="10507" max="10507" width="8.42578125" customWidth="1"/>
    <col min="10508" max="10509" width="11.7109375" customWidth="1"/>
    <col min="10747" max="10747" width="36" customWidth="1"/>
    <col min="10748" max="10759" width="0" hidden="1" customWidth="1"/>
    <col min="10760" max="10761" width="13.5703125" customWidth="1"/>
    <col min="10762" max="10762" width="11.42578125" customWidth="1"/>
    <col min="10763" max="10763" width="8.42578125" customWidth="1"/>
    <col min="10764" max="10765" width="11.7109375" customWidth="1"/>
    <col min="11003" max="11003" width="36" customWidth="1"/>
    <col min="11004" max="11015" width="0" hidden="1" customWidth="1"/>
    <col min="11016" max="11017" width="13.5703125" customWidth="1"/>
    <col min="11018" max="11018" width="11.42578125" customWidth="1"/>
    <col min="11019" max="11019" width="8.42578125" customWidth="1"/>
    <col min="11020" max="11021" width="11.7109375" customWidth="1"/>
    <col min="11259" max="11259" width="36" customWidth="1"/>
    <col min="11260" max="11271" width="0" hidden="1" customWidth="1"/>
    <col min="11272" max="11273" width="13.5703125" customWidth="1"/>
    <col min="11274" max="11274" width="11.42578125" customWidth="1"/>
    <col min="11275" max="11275" width="8.42578125" customWidth="1"/>
    <col min="11276" max="11277" width="11.7109375" customWidth="1"/>
    <col min="11515" max="11515" width="36" customWidth="1"/>
    <col min="11516" max="11527" width="0" hidden="1" customWidth="1"/>
    <col min="11528" max="11529" width="13.5703125" customWidth="1"/>
    <col min="11530" max="11530" width="11.42578125" customWidth="1"/>
    <col min="11531" max="11531" width="8.42578125" customWidth="1"/>
    <col min="11532" max="11533" width="11.7109375" customWidth="1"/>
    <col min="11771" max="11771" width="36" customWidth="1"/>
    <col min="11772" max="11783" width="0" hidden="1" customWidth="1"/>
    <col min="11784" max="11785" width="13.5703125" customWidth="1"/>
    <col min="11786" max="11786" width="11.42578125" customWidth="1"/>
    <col min="11787" max="11787" width="8.42578125" customWidth="1"/>
    <col min="11788" max="11789" width="11.7109375" customWidth="1"/>
    <col min="12027" max="12027" width="36" customWidth="1"/>
    <col min="12028" max="12039" width="0" hidden="1" customWidth="1"/>
    <col min="12040" max="12041" width="13.5703125" customWidth="1"/>
    <col min="12042" max="12042" width="11.42578125" customWidth="1"/>
    <col min="12043" max="12043" width="8.42578125" customWidth="1"/>
    <col min="12044" max="12045" width="11.7109375" customWidth="1"/>
    <col min="12283" max="12283" width="36" customWidth="1"/>
    <col min="12284" max="12295" width="0" hidden="1" customWidth="1"/>
    <col min="12296" max="12297" width="13.5703125" customWidth="1"/>
    <col min="12298" max="12298" width="11.42578125" customWidth="1"/>
    <col min="12299" max="12299" width="8.42578125" customWidth="1"/>
    <col min="12300" max="12301" width="11.7109375" customWidth="1"/>
    <col min="12539" max="12539" width="36" customWidth="1"/>
    <col min="12540" max="12551" width="0" hidden="1" customWidth="1"/>
    <col min="12552" max="12553" width="13.5703125" customWidth="1"/>
    <col min="12554" max="12554" width="11.42578125" customWidth="1"/>
    <col min="12555" max="12555" width="8.42578125" customWidth="1"/>
    <col min="12556" max="12557" width="11.7109375" customWidth="1"/>
    <col min="12795" max="12795" width="36" customWidth="1"/>
    <col min="12796" max="12807" width="0" hidden="1" customWidth="1"/>
    <col min="12808" max="12809" width="13.5703125" customWidth="1"/>
    <col min="12810" max="12810" width="11.42578125" customWidth="1"/>
    <col min="12811" max="12811" width="8.42578125" customWidth="1"/>
    <col min="12812" max="12813" width="11.7109375" customWidth="1"/>
    <col min="13051" max="13051" width="36" customWidth="1"/>
    <col min="13052" max="13063" width="0" hidden="1" customWidth="1"/>
    <col min="13064" max="13065" width="13.5703125" customWidth="1"/>
    <col min="13066" max="13066" width="11.42578125" customWidth="1"/>
    <col min="13067" max="13067" width="8.42578125" customWidth="1"/>
    <col min="13068" max="13069" width="11.7109375" customWidth="1"/>
    <col min="13307" max="13307" width="36" customWidth="1"/>
    <col min="13308" max="13319" width="0" hidden="1" customWidth="1"/>
    <col min="13320" max="13321" width="13.5703125" customWidth="1"/>
    <col min="13322" max="13322" width="11.42578125" customWidth="1"/>
    <col min="13323" max="13323" width="8.42578125" customWidth="1"/>
    <col min="13324" max="13325" width="11.7109375" customWidth="1"/>
    <col min="13563" max="13563" width="36" customWidth="1"/>
    <col min="13564" max="13575" width="0" hidden="1" customWidth="1"/>
    <col min="13576" max="13577" width="13.5703125" customWidth="1"/>
    <col min="13578" max="13578" width="11.42578125" customWidth="1"/>
    <col min="13579" max="13579" width="8.42578125" customWidth="1"/>
    <col min="13580" max="13581" width="11.7109375" customWidth="1"/>
    <col min="13819" max="13819" width="36" customWidth="1"/>
    <col min="13820" max="13831" width="0" hidden="1" customWidth="1"/>
    <col min="13832" max="13833" width="13.5703125" customWidth="1"/>
    <col min="13834" max="13834" width="11.42578125" customWidth="1"/>
    <col min="13835" max="13835" width="8.42578125" customWidth="1"/>
    <col min="13836" max="13837" width="11.7109375" customWidth="1"/>
    <col min="14075" max="14075" width="36" customWidth="1"/>
    <col min="14076" max="14087" width="0" hidden="1" customWidth="1"/>
    <col min="14088" max="14089" width="13.5703125" customWidth="1"/>
    <col min="14090" max="14090" width="11.42578125" customWidth="1"/>
    <col min="14091" max="14091" width="8.42578125" customWidth="1"/>
    <col min="14092" max="14093" width="11.7109375" customWidth="1"/>
    <col min="14331" max="14331" width="36" customWidth="1"/>
    <col min="14332" max="14343" width="0" hidden="1" customWidth="1"/>
    <col min="14344" max="14345" width="13.5703125" customWidth="1"/>
    <col min="14346" max="14346" width="11.42578125" customWidth="1"/>
    <col min="14347" max="14347" width="8.42578125" customWidth="1"/>
    <col min="14348" max="14349" width="11.7109375" customWidth="1"/>
    <col min="14587" max="14587" width="36" customWidth="1"/>
    <col min="14588" max="14599" width="0" hidden="1" customWidth="1"/>
    <col min="14600" max="14601" width="13.5703125" customWidth="1"/>
    <col min="14602" max="14602" width="11.42578125" customWidth="1"/>
    <col min="14603" max="14603" width="8.42578125" customWidth="1"/>
    <col min="14604" max="14605" width="11.7109375" customWidth="1"/>
    <col min="14843" max="14843" width="36" customWidth="1"/>
    <col min="14844" max="14855" width="0" hidden="1" customWidth="1"/>
    <col min="14856" max="14857" width="13.5703125" customWidth="1"/>
    <col min="14858" max="14858" width="11.42578125" customWidth="1"/>
    <col min="14859" max="14859" width="8.42578125" customWidth="1"/>
    <col min="14860" max="14861" width="11.7109375" customWidth="1"/>
    <col min="15099" max="15099" width="36" customWidth="1"/>
    <col min="15100" max="15111" width="0" hidden="1" customWidth="1"/>
    <col min="15112" max="15113" width="13.5703125" customWidth="1"/>
    <col min="15114" max="15114" width="11.42578125" customWidth="1"/>
    <col min="15115" max="15115" width="8.42578125" customWidth="1"/>
    <col min="15116" max="15117" width="11.7109375" customWidth="1"/>
    <col min="15355" max="15355" width="36" customWidth="1"/>
    <col min="15356" max="15367" width="0" hidden="1" customWidth="1"/>
    <col min="15368" max="15369" width="13.5703125" customWidth="1"/>
    <col min="15370" max="15370" width="11.42578125" customWidth="1"/>
    <col min="15371" max="15371" width="8.42578125" customWidth="1"/>
    <col min="15372" max="15373" width="11.7109375" customWidth="1"/>
    <col min="15611" max="15611" width="36" customWidth="1"/>
    <col min="15612" max="15623" width="0" hidden="1" customWidth="1"/>
    <col min="15624" max="15625" width="13.5703125" customWidth="1"/>
    <col min="15626" max="15626" width="11.42578125" customWidth="1"/>
    <col min="15627" max="15627" width="8.42578125" customWidth="1"/>
    <col min="15628" max="15629" width="11.7109375" customWidth="1"/>
    <col min="15867" max="15867" width="36" customWidth="1"/>
    <col min="15868" max="15879" width="0" hidden="1" customWidth="1"/>
    <col min="15880" max="15881" width="13.5703125" customWidth="1"/>
    <col min="15882" max="15882" width="11.42578125" customWidth="1"/>
    <col min="15883" max="15883" width="8.42578125" customWidth="1"/>
    <col min="15884" max="15885" width="11.7109375" customWidth="1"/>
    <col min="16123" max="16123" width="36" customWidth="1"/>
    <col min="16124" max="16135" width="0" hidden="1" customWidth="1"/>
    <col min="16136" max="16137" width="13.5703125" customWidth="1"/>
    <col min="16138" max="16138" width="11.42578125" customWidth="1"/>
    <col min="16139" max="16139" width="8.42578125" customWidth="1"/>
    <col min="16140" max="16141" width="11.7109375" customWidth="1"/>
  </cols>
  <sheetData>
    <row r="1" spans="1:23" x14ac:dyDescent="0.25">
      <c r="A1" s="832" t="s">
        <v>390</v>
      </c>
      <c r="B1" s="832"/>
      <c r="C1" s="832"/>
    </row>
    <row r="2" spans="1:23" ht="15.75" thickBot="1" x14ac:dyDescent="0.3">
      <c r="A2" s="784" t="s">
        <v>389</v>
      </c>
      <c r="B2" s="784"/>
      <c r="C2" s="784"/>
    </row>
    <row r="3" spans="1:23" ht="15.75" customHeight="1" thickTop="1" x14ac:dyDescent="0.25">
      <c r="A3" s="758" t="s">
        <v>0</v>
      </c>
      <c r="B3" s="760" t="s">
        <v>1</v>
      </c>
      <c r="C3" s="756" t="s">
        <v>2</v>
      </c>
      <c r="D3" s="756" t="s">
        <v>107</v>
      </c>
      <c r="E3" s="756" t="s">
        <v>108</v>
      </c>
      <c r="F3" s="756" t="s">
        <v>109</v>
      </c>
      <c r="G3" s="756" t="s">
        <v>110</v>
      </c>
      <c r="H3" s="756" t="s">
        <v>111</v>
      </c>
      <c r="I3" s="756" t="s">
        <v>8</v>
      </c>
      <c r="J3" s="756" t="s">
        <v>9</v>
      </c>
      <c r="K3" s="756" t="s">
        <v>10</v>
      </c>
      <c r="L3" s="756" t="s">
        <v>11</v>
      </c>
      <c r="M3" s="756" t="s">
        <v>12</v>
      </c>
      <c r="N3" s="756" t="s">
        <v>13</v>
      </c>
      <c r="O3" s="756" t="s">
        <v>14</v>
      </c>
      <c r="P3" s="756" t="s">
        <v>15</v>
      </c>
      <c r="Q3" s="756" t="s">
        <v>429</v>
      </c>
      <c r="R3" s="830" t="s">
        <v>400</v>
      </c>
      <c r="S3" s="734" t="s">
        <v>463</v>
      </c>
      <c r="T3" s="738" t="s">
        <v>464</v>
      </c>
    </row>
    <row r="4" spans="1:23" ht="23.25" customHeight="1" thickBot="1" x14ac:dyDescent="0.3">
      <c r="A4" s="759"/>
      <c r="B4" s="761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831"/>
      <c r="S4" s="735"/>
      <c r="T4" s="739"/>
    </row>
    <row r="5" spans="1:23" ht="16.5" thickTop="1" thickBot="1" x14ac:dyDescent="0.3">
      <c r="A5" s="549">
        <v>519</v>
      </c>
      <c r="B5" s="864" t="s">
        <v>354</v>
      </c>
      <c r="C5" s="865"/>
      <c r="D5" s="39">
        <f t="shared" ref="D5:Q5" si="0">SUM(D6:D12)</f>
        <v>0</v>
      </c>
      <c r="E5" s="39">
        <f t="shared" si="0"/>
        <v>0</v>
      </c>
      <c r="F5" s="39">
        <f t="shared" si="0"/>
        <v>806731</v>
      </c>
      <c r="G5" s="39">
        <f t="shared" si="0"/>
        <v>1932030</v>
      </c>
      <c r="H5" s="39">
        <f t="shared" si="0"/>
        <v>1218758</v>
      </c>
      <c r="I5" s="39">
        <f t="shared" si="0"/>
        <v>1712805</v>
      </c>
      <c r="J5" s="39">
        <f t="shared" si="0"/>
        <v>796126</v>
      </c>
      <c r="K5" s="39">
        <f t="shared" si="0"/>
        <v>889265</v>
      </c>
      <c r="L5" s="40">
        <f t="shared" si="0"/>
        <v>1041848.1</v>
      </c>
      <c r="M5" s="40">
        <f t="shared" si="0"/>
        <v>1842801.75</v>
      </c>
      <c r="N5" s="39">
        <f t="shared" si="0"/>
        <v>1578149.94</v>
      </c>
      <c r="O5" s="40">
        <f t="shared" si="0"/>
        <v>597135.81999999995</v>
      </c>
      <c r="P5" s="39">
        <f t="shared" si="0"/>
        <v>61339.119999999995</v>
      </c>
      <c r="Q5" s="40">
        <f t="shared" si="0"/>
        <v>493589.98</v>
      </c>
      <c r="R5" s="39">
        <f>SUM(R6:R12)</f>
        <v>6345941</v>
      </c>
      <c r="S5" s="40">
        <f>SUM(S6:S12)</f>
        <v>2007334.25</v>
      </c>
      <c r="T5" s="634">
        <f t="shared" ref="T5:T22" si="1">IF(R5=0,0,ROUND(S5/R5*100,2))</f>
        <v>31.63</v>
      </c>
    </row>
    <row r="6" spans="1:23" x14ac:dyDescent="0.25">
      <c r="A6" s="740"/>
      <c r="B6" s="497"/>
      <c r="C6" s="57" t="s">
        <v>355</v>
      </c>
      <c r="D6" s="57"/>
      <c r="E6" s="57"/>
      <c r="F6" s="57"/>
      <c r="G6" s="57">
        <v>186636</v>
      </c>
      <c r="H6" s="57">
        <v>1102901</v>
      </c>
      <c r="I6" s="57">
        <v>1052724</v>
      </c>
      <c r="J6" s="58">
        <v>232649</v>
      </c>
      <c r="K6" s="58">
        <v>638944</v>
      </c>
      <c r="L6" s="124">
        <v>96973.2</v>
      </c>
      <c r="M6" s="124">
        <v>633655.25</v>
      </c>
      <c r="N6" s="58">
        <v>1495900</v>
      </c>
      <c r="O6" s="124">
        <v>363308.49</v>
      </c>
      <c r="P6" s="124">
        <v>47962.559999999998</v>
      </c>
      <c r="Q6" s="124">
        <v>347415</v>
      </c>
      <c r="R6" s="58">
        <v>294910</v>
      </c>
      <c r="S6" s="124">
        <v>259501</v>
      </c>
      <c r="T6" s="642">
        <f t="shared" si="1"/>
        <v>87.99</v>
      </c>
      <c r="V6" s="303"/>
    </row>
    <row r="7" spans="1:23" x14ac:dyDescent="0.25">
      <c r="A7" s="741"/>
      <c r="B7" s="603"/>
      <c r="C7" s="91" t="s">
        <v>406</v>
      </c>
      <c r="D7" s="91"/>
      <c r="E7" s="91"/>
      <c r="F7" s="91"/>
      <c r="G7" s="91"/>
      <c r="H7" s="91"/>
      <c r="I7" s="91"/>
      <c r="J7" s="73"/>
      <c r="K7" s="73"/>
      <c r="L7" s="92"/>
      <c r="M7" s="92"/>
      <c r="N7" s="73"/>
      <c r="O7" s="92"/>
      <c r="P7" s="92"/>
      <c r="Q7" s="92"/>
      <c r="R7" s="73">
        <v>400000</v>
      </c>
      <c r="S7" s="92">
        <v>400000</v>
      </c>
      <c r="T7" s="573">
        <f t="shared" si="1"/>
        <v>100</v>
      </c>
    </row>
    <row r="8" spans="1:23" x14ac:dyDescent="0.25">
      <c r="A8" s="741"/>
      <c r="B8" s="603"/>
      <c r="C8" s="91" t="s">
        <v>408</v>
      </c>
      <c r="D8" s="91"/>
      <c r="E8" s="91"/>
      <c r="F8" s="91"/>
      <c r="G8" s="91"/>
      <c r="H8" s="91"/>
      <c r="I8" s="91"/>
      <c r="J8" s="73"/>
      <c r="K8" s="73"/>
      <c r="L8" s="92"/>
      <c r="M8" s="92"/>
      <c r="N8" s="73"/>
      <c r="O8" s="92"/>
      <c r="P8" s="92"/>
      <c r="Q8" s="92"/>
      <c r="R8" s="73">
        <v>1850792</v>
      </c>
      <c r="S8" s="92"/>
      <c r="T8" s="573">
        <f t="shared" si="1"/>
        <v>0</v>
      </c>
    </row>
    <row r="9" spans="1:23" x14ac:dyDescent="0.25">
      <c r="A9" s="741"/>
      <c r="B9" s="603"/>
      <c r="C9" s="91" t="s">
        <v>355</v>
      </c>
      <c r="D9" s="91"/>
      <c r="E9" s="91"/>
      <c r="F9" s="91"/>
      <c r="G9" s="91"/>
      <c r="H9" s="91"/>
      <c r="I9" s="91"/>
      <c r="J9" s="73"/>
      <c r="K9" s="73"/>
      <c r="L9" s="92"/>
      <c r="M9" s="92"/>
      <c r="N9" s="73"/>
      <c r="O9" s="92"/>
      <c r="P9" s="92"/>
      <c r="Q9" s="92"/>
      <c r="R9" s="73">
        <v>612642</v>
      </c>
      <c r="S9" s="92">
        <f>388705+45.48</f>
        <v>388750.48</v>
      </c>
      <c r="T9" s="573">
        <f t="shared" si="1"/>
        <v>63.45</v>
      </c>
      <c r="V9" s="189"/>
    </row>
    <row r="10" spans="1:23" x14ac:dyDescent="0.25">
      <c r="A10" s="741"/>
      <c r="B10" s="603"/>
      <c r="C10" s="59" t="s">
        <v>382</v>
      </c>
      <c r="D10" s="59"/>
      <c r="E10" s="59"/>
      <c r="F10" s="59">
        <v>806731</v>
      </c>
      <c r="G10" s="59">
        <v>1745394</v>
      </c>
      <c r="H10" s="59">
        <v>115857</v>
      </c>
      <c r="I10" s="59">
        <v>660081</v>
      </c>
      <c r="J10" s="60">
        <v>563477</v>
      </c>
      <c r="K10" s="60">
        <v>250321</v>
      </c>
      <c r="L10" s="125">
        <v>944874.9</v>
      </c>
      <c r="M10" s="125">
        <v>1209146.5</v>
      </c>
      <c r="N10" s="60">
        <v>82249.94</v>
      </c>
      <c r="O10" s="125">
        <v>233827.33</v>
      </c>
      <c r="P10" s="125">
        <v>13376.56</v>
      </c>
      <c r="Q10" s="125">
        <v>146174.98000000001</v>
      </c>
      <c r="R10" s="60">
        <v>893870</v>
      </c>
      <c r="S10" s="125">
        <f>652559.77+13819.2</f>
        <v>666378.97</v>
      </c>
      <c r="T10" s="572">
        <f t="shared" si="1"/>
        <v>74.55</v>
      </c>
      <c r="V10" s="189"/>
    </row>
    <row r="11" spans="1:23" x14ac:dyDescent="0.25">
      <c r="A11" s="741"/>
      <c r="B11" s="603"/>
      <c r="C11" s="173" t="s">
        <v>394</v>
      </c>
      <c r="D11" s="173"/>
      <c r="E11" s="173"/>
      <c r="F11" s="173"/>
      <c r="G11" s="173"/>
      <c r="H11" s="173"/>
      <c r="I11" s="173"/>
      <c r="J11" s="188"/>
      <c r="K11" s="188"/>
      <c r="L11" s="278"/>
      <c r="M11" s="278"/>
      <c r="N11" s="188"/>
      <c r="O11" s="278"/>
      <c r="P11" s="278"/>
      <c r="Q11" s="278"/>
      <c r="R11" s="188">
        <v>241477</v>
      </c>
      <c r="S11" s="278">
        <v>241477</v>
      </c>
      <c r="T11" s="641">
        <f t="shared" si="1"/>
        <v>100</v>
      </c>
      <c r="V11" s="189"/>
    </row>
    <row r="12" spans="1:23" ht="15.75" thickBot="1" x14ac:dyDescent="0.3">
      <c r="A12" s="768"/>
      <c r="B12" s="498"/>
      <c r="C12" s="28" t="s">
        <v>395</v>
      </c>
      <c r="D12" s="61"/>
      <c r="E12" s="61"/>
      <c r="F12" s="61"/>
      <c r="G12" s="61"/>
      <c r="H12" s="61"/>
      <c r="I12" s="61"/>
      <c r="J12" s="76"/>
      <c r="K12" s="204"/>
      <c r="L12" s="261"/>
      <c r="M12" s="261"/>
      <c r="N12" s="204"/>
      <c r="O12" s="261"/>
      <c r="P12" s="261"/>
      <c r="Q12" s="261"/>
      <c r="R12" s="76">
        <v>2052250</v>
      </c>
      <c r="S12" s="205">
        <v>51226.8</v>
      </c>
      <c r="T12" s="643">
        <f t="shared" si="1"/>
        <v>2.5</v>
      </c>
      <c r="V12" s="189"/>
    </row>
    <row r="13" spans="1:23" ht="15.75" thickBot="1" x14ac:dyDescent="0.3">
      <c r="A13" s="550">
        <v>450</v>
      </c>
      <c r="B13" s="866" t="s">
        <v>72</v>
      </c>
      <c r="C13" s="795"/>
      <c r="D13" s="80">
        <f>SUM(D14:D21)</f>
        <v>499436</v>
      </c>
      <c r="E13" s="80">
        <v>313085</v>
      </c>
      <c r="F13" s="80">
        <v>834018</v>
      </c>
      <c r="G13" s="80">
        <f t="shared" ref="G13:M13" si="2">SUM(G14:G21)</f>
        <v>822908</v>
      </c>
      <c r="H13" s="80">
        <f t="shared" si="2"/>
        <v>3260676</v>
      </c>
      <c r="I13" s="80">
        <f t="shared" si="2"/>
        <v>553863</v>
      </c>
      <c r="J13" s="80">
        <f t="shared" si="2"/>
        <v>509280</v>
      </c>
      <c r="K13" s="80">
        <f t="shared" si="2"/>
        <v>620269</v>
      </c>
      <c r="L13" s="81">
        <f t="shared" si="2"/>
        <v>259121.03000000003</v>
      </c>
      <c r="M13" s="81">
        <f t="shared" si="2"/>
        <v>923759.61</v>
      </c>
      <c r="N13" s="80">
        <f t="shared" ref="N13:S13" si="3">SUM(N14:N21)</f>
        <v>913983.99</v>
      </c>
      <c r="O13" s="81">
        <f t="shared" si="3"/>
        <v>670041.30000000005</v>
      </c>
      <c r="P13" s="80">
        <f t="shared" si="3"/>
        <v>1328239.53</v>
      </c>
      <c r="Q13" s="81">
        <f t="shared" si="3"/>
        <v>1106855.5900000001</v>
      </c>
      <c r="R13" s="80">
        <f t="shared" si="3"/>
        <v>1237073</v>
      </c>
      <c r="S13" s="81">
        <f t="shared" si="3"/>
        <v>1156705.6200000001</v>
      </c>
      <c r="T13" s="638">
        <f t="shared" si="1"/>
        <v>93.5</v>
      </c>
    </row>
    <row r="14" spans="1:23" x14ac:dyDescent="0.25">
      <c r="A14" s="740"/>
      <c r="B14" s="497"/>
      <c r="C14" s="499" t="s">
        <v>356</v>
      </c>
      <c r="D14" s="499">
        <v>190367</v>
      </c>
      <c r="E14" s="499"/>
      <c r="F14" s="499"/>
      <c r="G14" s="58">
        <f>265551+398</f>
        <v>265949</v>
      </c>
      <c r="H14" s="499">
        <v>1534133</v>
      </c>
      <c r="I14" s="499">
        <v>43800</v>
      </c>
      <c r="J14" s="500"/>
      <c r="K14" s="186">
        <v>9775</v>
      </c>
      <c r="L14" s="501">
        <v>16185.64</v>
      </c>
      <c r="M14" s="501"/>
      <c r="N14" s="186">
        <v>191699.89</v>
      </c>
      <c r="O14" s="501"/>
      <c r="P14" s="501">
        <v>0</v>
      </c>
      <c r="Q14" s="501"/>
      <c r="R14" s="58">
        <v>0</v>
      </c>
      <c r="S14" s="124"/>
      <c r="T14" s="642">
        <f t="shared" si="1"/>
        <v>0</v>
      </c>
      <c r="W14" s="189"/>
    </row>
    <row r="15" spans="1:23" x14ac:dyDescent="0.25">
      <c r="A15" s="741"/>
      <c r="B15" s="502"/>
      <c r="C15" s="503" t="s">
        <v>357</v>
      </c>
      <c r="D15" s="503"/>
      <c r="E15" s="503"/>
      <c r="F15" s="503"/>
      <c r="G15" s="73"/>
      <c r="H15" s="503">
        <v>921499</v>
      </c>
      <c r="I15" s="503">
        <v>220604</v>
      </c>
      <c r="J15" s="504">
        <v>192501</v>
      </c>
      <c r="K15" s="505">
        <v>494</v>
      </c>
      <c r="L15" s="252">
        <v>208144.39</v>
      </c>
      <c r="M15" s="252">
        <v>907789.61</v>
      </c>
      <c r="N15" s="505">
        <v>686557.48</v>
      </c>
      <c r="O15" s="252">
        <v>142213.04</v>
      </c>
      <c r="P15" s="252">
        <v>663985.27</v>
      </c>
      <c r="Q15" s="252">
        <v>756524.1</v>
      </c>
      <c r="R15" s="73">
        <v>1033501</v>
      </c>
      <c r="S15" s="92">
        <v>983800.42</v>
      </c>
      <c r="T15" s="573">
        <f t="shared" si="1"/>
        <v>95.19</v>
      </c>
    </row>
    <row r="16" spans="1:23" x14ac:dyDescent="0.25">
      <c r="A16" s="741"/>
      <c r="B16" s="502"/>
      <c r="C16" s="503" t="s">
        <v>403</v>
      </c>
      <c r="D16" s="503"/>
      <c r="E16" s="503"/>
      <c r="F16" s="503"/>
      <c r="G16" s="73">
        <v>545044</v>
      </c>
      <c r="H16" s="503">
        <v>545044</v>
      </c>
      <c r="I16" s="503"/>
      <c r="J16" s="504"/>
      <c r="K16" s="505"/>
      <c r="L16" s="252"/>
      <c r="M16" s="252">
        <v>12870</v>
      </c>
      <c r="N16" s="505">
        <v>1275.2</v>
      </c>
      <c r="O16" s="252">
        <v>132643.71</v>
      </c>
      <c r="P16" s="252">
        <v>34091.29</v>
      </c>
      <c r="Q16" s="252">
        <v>0</v>
      </c>
      <c r="R16" s="73">
        <v>17000</v>
      </c>
      <c r="S16" s="92">
        <v>16979.3</v>
      </c>
      <c r="T16" s="573">
        <f t="shared" si="1"/>
        <v>99.88</v>
      </c>
    </row>
    <row r="17" spans="1:23" x14ac:dyDescent="0.25">
      <c r="A17" s="741"/>
      <c r="B17" s="502"/>
      <c r="C17" s="503" t="s">
        <v>358</v>
      </c>
      <c r="D17" s="503"/>
      <c r="E17" s="503"/>
      <c r="F17" s="503"/>
      <c r="G17" s="73"/>
      <c r="H17" s="503"/>
      <c r="I17" s="503"/>
      <c r="J17" s="504"/>
      <c r="K17" s="505"/>
      <c r="L17" s="252"/>
      <c r="M17" s="252"/>
      <c r="N17" s="505">
        <v>34451.42</v>
      </c>
      <c r="O17" s="252"/>
      <c r="P17" s="252">
        <v>38214.900000000009</v>
      </c>
      <c r="Q17" s="252">
        <v>92167.17</v>
      </c>
      <c r="R17" s="73">
        <v>0</v>
      </c>
      <c r="S17" s="92">
        <v>62349.21</v>
      </c>
      <c r="T17" s="573">
        <f t="shared" si="1"/>
        <v>0</v>
      </c>
    </row>
    <row r="18" spans="1:23" x14ac:dyDescent="0.25">
      <c r="A18" s="741"/>
      <c r="B18" s="502"/>
      <c r="C18" s="503" t="s">
        <v>359</v>
      </c>
      <c r="D18" s="503">
        <v>309069</v>
      </c>
      <c r="E18" s="503"/>
      <c r="F18" s="503"/>
      <c r="G18" s="73"/>
      <c r="H18" s="503">
        <v>260000</v>
      </c>
      <c r="I18" s="503">
        <v>277803</v>
      </c>
      <c r="J18" s="504">
        <v>316779</v>
      </c>
      <c r="K18" s="505">
        <v>610000</v>
      </c>
      <c r="L18" s="252">
        <v>34791</v>
      </c>
      <c r="M18" s="252">
        <v>3100</v>
      </c>
      <c r="N18" s="505"/>
      <c r="O18" s="252">
        <v>365184.55000000005</v>
      </c>
      <c r="P18" s="252">
        <v>591948.06999999995</v>
      </c>
      <c r="Q18" s="252">
        <v>258164.32</v>
      </c>
      <c r="R18" s="73">
        <v>186572</v>
      </c>
      <c r="S18" s="92">
        <v>93576.69</v>
      </c>
      <c r="T18" s="573">
        <f t="shared" si="1"/>
        <v>50.16</v>
      </c>
      <c r="V18" s="189"/>
      <c r="W18" s="189"/>
    </row>
    <row r="19" spans="1:23" x14ac:dyDescent="0.25">
      <c r="A19" s="741"/>
      <c r="B19" s="502"/>
      <c r="C19" s="503" t="s">
        <v>360</v>
      </c>
      <c r="D19" s="503"/>
      <c r="E19" s="503"/>
      <c r="F19" s="503"/>
      <c r="G19" s="503">
        <v>11915</v>
      </c>
      <c r="H19" s="503"/>
      <c r="I19" s="503">
        <v>11656</v>
      </c>
      <c r="J19" s="504"/>
      <c r="K19" s="73"/>
      <c r="L19" s="92"/>
      <c r="M19" s="92">
        <v>0</v>
      </c>
      <c r="N19" s="73"/>
      <c r="O19" s="92">
        <v>30000</v>
      </c>
      <c r="P19" s="92">
        <v>0</v>
      </c>
      <c r="Q19" s="92"/>
      <c r="R19" s="73">
        <v>0</v>
      </c>
      <c r="S19" s="92"/>
      <c r="T19" s="573">
        <f t="shared" si="1"/>
        <v>0</v>
      </c>
    </row>
    <row r="20" spans="1:23" x14ac:dyDescent="0.25">
      <c r="A20" s="741"/>
      <c r="B20" s="506"/>
      <c r="C20" s="507"/>
      <c r="D20" s="507"/>
      <c r="E20" s="507"/>
      <c r="F20" s="507"/>
      <c r="G20" s="507"/>
      <c r="H20" s="507"/>
      <c r="I20" s="507"/>
      <c r="J20" s="507"/>
      <c r="K20" s="60"/>
      <c r="L20" s="125"/>
      <c r="M20" s="125"/>
      <c r="N20" s="60"/>
      <c r="O20" s="125"/>
      <c r="P20" s="125">
        <v>0</v>
      </c>
      <c r="Q20" s="125"/>
      <c r="R20" s="60">
        <v>0</v>
      </c>
      <c r="S20" s="699"/>
      <c r="T20" s="572">
        <f t="shared" si="1"/>
        <v>0</v>
      </c>
    </row>
    <row r="21" spans="1:23" ht="15.75" thickBot="1" x14ac:dyDescent="0.3">
      <c r="A21" s="859"/>
      <c r="B21" s="506"/>
      <c r="C21" s="507"/>
      <c r="D21" s="507"/>
      <c r="E21" s="507"/>
      <c r="F21" s="507"/>
      <c r="G21" s="507"/>
      <c r="H21" s="507"/>
      <c r="I21" s="507"/>
      <c r="J21" s="507"/>
      <c r="K21" s="60"/>
      <c r="L21" s="125"/>
      <c r="M21" s="125"/>
      <c r="N21" s="60"/>
      <c r="O21" s="125"/>
      <c r="P21" s="125">
        <v>0</v>
      </c>
      <c r="Q21" s="125"/>
      <c r="R21" s="60">
        <v>0</v>
      </c>
      <c r="S21" s="125"/>
      <c r="T21" s="572">
        <f t="shared" si="1"/>
        <v>0</v>
      </c>
    </row>
    <row r="22" spans="1:23" ht="16.5" thickTop="1" thickBot="1" x14ac:dyDescent="0.3">
      <c r="A22" s="860" t="s">
        <v>361</v>
      </c>
      <c r="B22" s="861"/>
      <c r="C22" s="862"/>
      <c r="D22" s="508">
        <f t="shared" ref="D22:S22" si="4">D13+D5</f>
        <v>499436</v>
      </c>
      <c r="E22" s="508">
        <f t="shared" si="4"/>
        <v>313085</v>
      </c>
      <c r="F22" s="508">
        <f t="shared" si="4"/>
        <v>1640749</v>
      </c>
      <c r="G22" s="508">
        <f t="shared" si="4"/>
        <v>2754938</v>
      </c>
      <c r="H22" s="508">
        <f t="shared" si="4"/>
        <v>4479434</v>
      </c>
      <c r="I22" s="508">
        <f t="shared" si="4"/>
        <v>2266668</v>
      </c>
      <c r="J22" s="508">
        <f t="shared" si="4"/>
        <v>1305406</v>
      </c>
      <c r="K22" s="508">
        <f t="shared" si="4"/>
        <v>1509534</v>
      </c>
      <c r="L22" s="509">
        <f t="shared" si="4"/>
        <v>1300969.1299999999</v>
      </c>
      <c r="M22" s="509">
        <f t="shared" si="4"/>
        <v>2766561.36</v>
      </c>
      <c r="N22" s="508">
        <f t="shared" si="4"/>
        <v>2492133.9299999997</v>
      </c>
      <c r="O22" s="509">
        <f t="shared" si="4"/>
        <v>1267177.1200000001</v>
      </c>
      <c r="P22" s="508">
        <f t="shared" si="4"/>
        <v>1389578.65</v>
      </c>
      <c r="Q22" s="509">
        <f t="shared" si="4"/>
        <v>1600445.57</v>
      </c>
      <c r="R22" s="508">
        <f t="shared" si="4"/>
        <v>7583014</v>
      </c>
      <c r="S22" s="509">
        <f t="shared" si="4"/>
        <v>3164039.87</v>
      </c>
      <c r="T22" s="672">
        <f t="shared" si="1"/>
        <v>41.73</v>
      </c>
    </row>
    <row r="23" spans="1:23" ht="15.75" thickTop="1" x14ac:dyDescent="0.25">
      <c r="A23" s="863"/>
      <c r="B23" s="863"/>
      <c r="C23" s="863"/>
      <c r="D23" s="863"/>
      <c r="E23" s="863"/>
      <c r="F23" s="863"/>
      <c r="G23" s="863"/>
      <c r="H23" s="863"/>
      <c r="I23" s="863"/>
      <c r="J23" s="863"/>
      <c r="K23" s="510"/>
      <c r="L23" s="510"/>
      <c r="M23" s="510"/>
      <c r="N23" s="510"/>
      <c r="O23" s="510"/>
      <c r="P23" s="510"/>
      <c r="Q23" s="510"/>
      <c r="R23" s="511"/>
    </row>
  </sheetData>
  <mergeCells count="28">
    <mergeCell ref="I3:I4"/>
    <mergeCell ref="Q3:Q4"/>
    <mergeCell ref="A22:C22"/>
    <mergeCell ref="A23:J23"/>
    <mergeCell ref="B5:C5"/>
    <mergeCell ref="A6:A12"/>
    <mergeCell ref="B13:C13"/>
    <mergeCell ref="J3:J4"/>
    <mergeCell ref="M3:M4"/>
    <mergeCell ref="N3:N4"/>
    <mergeCell ref="O3:O4"/>
    <mergeCell ref="P3:P4"/>
    <mergeCell ref="S3:S4"/>
    <mergeCell ref="A1:C1"/>
    <mergeCell ref="A2:C2"/>
    <mergeCell ref="T3:T4"/>
    <mergeCell ref="A14:A21"/>
    <mergeCell ref="K3:K4"/>
    <mergeCell ref="L3:L4"/>
    <mergeCell ref="F3:F4"/>
    <mergeCell ref="A3:A4"/>
    <mergeCell ref="B3:B4"/>
    <mergeCell ref="C3:C4"/>
    <mergeCell ref="D3:D4"/>
    <mergeCell ref="E3:E4"/>
    <mergeCell ref="R3:R4"/>
    <mergeCell ref="G3:G4"/>
    <mergeCell ref="H3:H4"/>
  </mergeCells>
  <pageMargins left="0.11811023622047245" right="0.11811023622047245" top="0.35433070866141736" bottom="0.74803149606299213" header="0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"/>
  <sheetViews>
    <sheetView topLeftCell="A2" workbookViewId="0">
      <selection activeCell="S11" sqref="S11"/>
    </sheetView>
  </sheetViews>
  <sheetFormatPr defaultRowHeight="15" x14ac:dyDescent="0.25"/>
  <cols>
    <col min="2" max="2" width="10.28515625" customWidth="1"/>
    <col min="3" max="3" width="31.5703125" customWidth="1"/>
    <col min="4" max="11" width="9.140625" hidden="1" customWidth="1"/>
    <col min="12" max="16" width="11.7109375" hidden="1" customWidth="1"/>
    <col min="17" max="17" width="11.5703125" customWidth="1"/>
    <col min="18" max="18" width="10.140625" customWidth="1"/>
    <col min="19" max="19" width="13.85546875" customWidth="1"/>
    <col min="20" max="20" width="10.140625" customWidth="1"/>
    <col min="22" max="22" width="10.140625" bestFit="1" customWidth="1"/>
    <col min="23" max="23" width="10" bestFit="1" customWidth="1"/>
    <col min="25" max="25" width="10" bestFit="1" customWidth="1"/>
    <col min="257" max="257" width="10.28515625" customWidth="1"/>
    <col min="258" max="258" width="36.85546875" customWidth="1"/>
    <col min="259" max="270" width="0" hidden="1" customWidth="1"/>
    <col min="271" max="272" width="11.7109375" customWidth="1"/>
    <col min="273" max="273" width="12.140625" customWidth="1"/>
    <col min="274" max="274" width="7.28515625" customWidth="1"/>
    <col min="278" max="278" width="10.140625" bestFit="1" customWidth="1"/>
    <col min="513" max="513" width="10.28515625" customWidth="1"/>
    <col min="514" max="514" width="36.85546875" customWidth="1"/>
    <col min="515" max="526" width="0" hidden="1" customWidth="1"/>
    <col min="527" max="528" width="11.7109375" customWidth="1"/>
    <col min="529" max="529" width="12.140625" customWidth="1"/>
    <col min="530" max="530" width="7.28515625" customWidth="1"/>
    <col min="534" max="534" width="10.140625" bestFit="1" customWidth="1"/>
    <col min="769" max="769" width="10.28515625" customWidth="1"/>
    <col min="770" max="770" width="36.85546875" customWidth="1"/>
    <col min="771" max="782" width="0" hidden="1" customWidth="1"/>
    <col min="783" max="784" width="11.7109375" customWidth="1"/>
    <col min="785" max="785" width="12.140625" customWidth="1"/>
    <col min="786" max="786" width="7.28515625" customWidth="1"/>
    <col min="790" max="790" width="10.140625" bestFit="1" customWidth="1"/>
    <col min="1025" max="1025" width="10.28515625" customWidth="1"/>
    <col min="1026" max="1026" width="36.85546875" customWidth="1"/>
    <col min="1027" max="1038" width="0" hidden="1" customWidth="1"/>
    <col min="1039" max="1040" width="11.7109375" customWidth="1"/>
    <col min="1041" max="1041" width="12.140625" customWidth="1"/>
    <col min="1042" max="1042" width="7.28515625" customWidth="1"/>
    <col min="1046" max="1046" width="10.140625" bestFit="1" customWidth="1"/>
    <col min="1281" max="1281" width="10.28515625" customWidth="1"/>
    <col min="1282" max="1282" width="36.85546875" customWidth="1"/>
    <col min="1283" max="1294" width="0" hidden="1" customWidth="1"/>
    <col min="1295" max="1296" width="11.7109375" customWidth="1"/>
    <col min="1297" max="1297" width="12.140625" customWidth="1"/>
    <col min="1298" max="1298" width="7.28515625" customWidth="1"/>
    <col min="1302" max="1302" width="10.140625" bestFit="1" customWidth="1"/>
    <col min="1537" max="1537" width="10.28515625" customWidth="1"/>
    <col min="1538" max="1538" width="36.85546875" customWidth="1"/>
    <col min="1539" max="1550" width="0" hidden="1" customWidth="1"/>
    <col min="1551" max="1552" width="11.7109375" customWidth="1"/>
    <col min="1553" max="1553" width="12.140625" customWidth="1"/>
    <col min="1554" max="1554" width="7.28515625" customWidth="1"/>
    <col min="1558" max="1558" width="10.140625" bestFit="1" customWidth="1"/>
    <col min="1793" max="1793" width="10.28515625" customWidth="1"/>
    <col min="1794" max="1794" width="36.85546875" customWidth="1"/>
    <col min="1795" max="1806" width="0" hidden="1" customWidth="1"/>
    <col min="1807" max="1808" width="11.7109375" customWidth="1"/>
    <col min="1809" max="1809" width="12.140625" customWidth="1"/>
    <col min="1810" max="1810" width="7.28515625" customWidth="1"/>
    <col min="1814" max="1814" width="10.140625" bestFit="1" customWidth="1"/>
    <col min="2049" max="2049" width="10.28515625" customWidth="1"/>
    <col min="2050" max="2050" width="36.85546875" customWidth="1"/>
    <col min="2051" max="2062" width="0" hidden="1" customWidth="1"/>
    <col min="2063" max="2064" width="11.7109375" customWidth="1"/>
    <col min="2065" max="2065" width="12.140625" customWidth="1"/>
    <col min="2066" max="2066" width="7.28515625" customWidth="1"/>
    <col min="2070" max="2070" width="10.140625" bestFit="1" customWidth="1"/>
    <col min="2305" max="2305" width="10.28515625" customWidth="1"/>
    <col min="2306" max="2306" width="36.85546875" customWidth="1"/>
    <col min="2307" max="2318" width="0" hidden="1" customWidth="1"/>
    <col min="2319" max="2320" width="11.7109375" customWidth="1"/>
    <col min="2321" max="2321" width="12.140625" customWidth="1"/>
    <col min="2322" max="2322" width="7.28515625" customWidth="1"/>
    <col min="2326" max="2326" width="10.140625" bestFit="1" customWidth="1"/>
    <col min="2561" max="2561" width="10.28515625" customWidth="1"/>
    <col min="2562" max="2562" width="36.85546875" customWidth="1"/>
    <col min="2563" max="2574" width="0" hidden="1" customWidth="1"/>
    <col min="2575" max="2576" width="11.7109375" customWidth="1"/>
    <col min="2577" max="2577" width="12.140625" customWidth="1"/>
    <col min="2578" max="2578" width="7.28515625" customWidth="1"/>
    <col min="2582" max="2582" width="10.140625" bestFit="1" customWidth="1"/>
    <col min="2817" max="2817" width="10.28515625" customWidth="1"/>
    <col min="2818" max="2818" width="36.85546875" customWidth="1"/>
    <col min="2819" max="2830" width="0" hidden="1" customWidth="1"/>
    <col min="2831" max="2832" width="11.7109375" customWidth="1"/>
    <col min="2833" max="2833" width="12.140625" customWidth="1"/>
    <col min="2834" max="2834" width="7.28515625" customWidth="1"/>
    <col min="2838" max="2838" width="10.140625" bestFit="1" customWidth="1"/>
    <col min="3073" max="3073" width="10.28515625" customWidth="1"/>
    <col min="3074" max="3074" width="36.85546875" customWidth="1"/>
    <col min="3075" max="3086" width="0" hidden="1" customWidth="1"/>
    <col min="3087" max="3088" width="11.7109375" customWidth="1"/>
    <col min="3089" max="3089" width="12.140625" customWidth="1"/>
    <col min="3090" max="3090" width="7.28515625" customWidth="1"/>
    <col min="3094" max="3094" width="10.140625" bestFit="1" customWidth="1"/>
    <col min="3329" max="3329" width="10.28515625" customWidth="1"/>
    <col min="3330" max="3330" width="36.85546875" customWidth="1"/>
    <col min="3331" max="3342" width="0" hidden="1" customWidth="1"/>
    <col min="3343" max="3344" width="11.7109375" customWidth="1"/>
    <col min="3345" max="3345" width="12.140625" customWidth="1"/>
    <col min="3346" max="3346" width="7.28515625" customWidth="1"/>
    <col min="3350" max="3350" width="10.140625" bestFit="1" customWidth="1"/>
    <col min="3585" max="3585" width="10.28515625" customWidth="1"/>
    <col min="3586" max="3586" width="36.85546875" customWidth="1"/>
    <col min="3587" max="3598" width="0" hidden="1" customWidth="1"/>
    <col min="3599" max="3600" width="11.7109375" customWidth="1"/>
    <col min="3601" max="3601" width="12.140625" customWidth="1"/>
    <col min="3602" max="3602" width="7.28515625" customWidth="1"/>
    <col min="3606" max="3606" width="10.140625" bestFit="1" customWidth="1"/>
    <col min="3841" max="3841" width="10.28515625" customWidth="1"/>
    <col min="3842" max="3842" width="36.85546875" customWidth="1"/>
    <col min="3843" max="3854" width="0" hidden="1" customWidth="1"/>
    <col min="3855" max="3856" width="11.7109375" customWidth="1"/>
    <col min="3857" max="3857" width="12.140625" customWidth="1"/>
    <col min="3858" max="3858" width="7.28515625" customWidth="1"/>
    <col min="3862" max="3862" width="10.140625" bestFit="1" customWidth="1"/>
    <col min="4097" max="4097" width="10.28515625" customWidth="1"/>
    <col min="4098" max="4098" width="36.85546875" customWidth="1"/>
    <col min="4099" max="4110" width="0" hidden="1" customWidth="1"/>
    <col min="4111" max="4112" width="11.7109375" customWidth="1"/>
    <col min="4113" max="4113" width="12.140625" customWidth="1"/>
    <col min="4114" max="4114" width="7.28515625" customWidth="1"/>
    <col min="4118" max="4118" width="10.140625" bestFit="1" customWidth="1"/>
    <col min="4353" max="4353" width="10.28515625" customWidth="1"/>
    <col min="4354" max="4354" width="36.85546875" customWidth="1"/>
    <col min="4355" max="4366" width="0" hidden="1" customWidth="1"/>
    <col min="4367" max="4368" width="11.7109375" customWidth="1"/>
    <col min="4369" max="4369" width="12.140625" customWidth="1"/>
    <col min="4370" max="4370" width="7.28515625" customWidth="1"/>
    <col min="4374" max="4374" width="10.140625" bestFit="1" customWidth="1"/>
    <col min="4609" max="4609" width="10.28515625" customWidth="1"/>
    <col min="4610" max="4610" width="36.85546875" customWidth="1"/>
    <col min="4611" max="4622" width="0" hidden="1" customWidth="1"/>
    <col min="4623" max="4624" width="11.7109375" customWidth="1"/>
    <col min="4625" max="4625" width="12.140625" customWidth="1"/>
    <col min="4626" max="4626" width="7.28515625" customWidth="1"/>
    <col min="4630" max="4630" width="10.140625" bestFit="1" customWidth="1"/>
    <col min="4865" max="4865" width="10.28515625" customWidth="1"/>
    <col min="4866" max="4866" width="36.85546875" customWidth="1"/>
    <col min="4867" max="4878" width="0" hidden="1" customWidth="1"/>
    <col min="4879" max="4880" width="11.7109375" customWidth="1"/>
    <col min="4881" max="4881" width="12.140625" customWidth="1"/>
    <col min="4882" max="4882" width="7.28515625" customWidth="1"/>
    <col min="4886" max="4886" width="10.140625" bestFit="1" customWidth="1"/>
    <col min="5121" max="5121" width="10.28515625" customWidth="1"/>
    <col min="5122" max="5122" width="36.85546875" customWidth="1"/>
    <col min="5123" max="5134" width="0" hidden="1" customWidth="1"/>
    <col min="5135" max="5136" width="11.7109375" customWidth="1"/>
    <col min="5137" max="5137" width="12.140625" customWidth="1"/>
    <col min="5138" max="5138" width="7.28515625" customWidth="1"/>
    <col min="5142" max="5142" width="10.140625" bestFit="1" customWidth="1"/>
    <col min="5377" max="5377" width="10.28515625" customWidth="1"/>
    <col min="5378" max="5378" width="36.85546875" customWidth="1"/>
    <col min="5379" max="5390" width="0" hidden="1" customWidth="1"/>
    <col min="5391" max="5392" width="11.7109375" customWidth="1"/>
    <col min="5393" max="5393" width="12.140625" customWidth="1"/>
    <col min="5394" max="5394" width="7.28515625" customWidth="1"/>
    <col min="5398" max="5398" width="10.140625" bestFit="1" customWidth="1"/>
    <col min="5633" max="5633" width="10.28515625" customWidth="1"/>
    <col min="5634" max="5634" width="36.85546875" customWidth="1"/>
    <col min="5635" max="5646" width="0" hidden="1" customWidth="1"/>
    <col min="5647" max="5648" width="11.7109375" customWidth="1"/>
    <col min="5649" max="5649" width="12.140625" customWidth="1"/>
    <col min="5650" max="5650" width="7.28515625" customWidth="1"/>
    <col min="5654" max="5654" width="10.140625" bestFit="1" customWidth="1"/>
    <col min="5889" max="5889" width="10.28515625" customWidth="1"/>
    <col min="5890" max="5890" width="36.85546875" customWidth="1"/>
    <col min="5891" max="5902" width="0" hidden="1" customWidth="1"/>
    <col min="5903" max="5904" width="11.7109375" customWidth="1"/>
    <col min="5905" max="5905" width="12.140625" customWidth="1"/>
    <col min="5906" max="5906" width="7.28515625" customWidth="1"/>
    <col min="5910" max="5910" width="10.140625" bestFit="1" customWidth="1"/>
    <col min="6145" max="6145" width="10.28515625" customWidth="1"/>
    <col min="6146" max="6146" width="36.85546875" customWidth="1"/>
    <col min="6147" max="6158" width="0" hidden="1" customWidth="1"/>
    <col min="6159" max="6160" width="11.7109375" customWidth="1"/>
    <col min="6161" max="6161" width="12.140625" customWidth="1"/>
    <col min="6162" max="6162" width="7.28515625" customWidth="1"/>
    <col min="6166" max="6166" width="10.140625" bestFit="1" customWidth="1"/>
    <col min="6401" max="6401" width="10.28515625" customWidth="1"/>
    <col min="6402" max="6402" width="36.85546875" customWidth="1"/>
    <col min="6403" max="6414" width="0" hidden="1" customWidth="1"/>
    <col min="6415" max="6416" width="11.7109375" customWidth="1"/>
    <col min="6417" max="6417" width="12.140625" customWidth="1"/>
    <col min="6418" max="6418" width="7.28515625" customWidth="1"/>
    <col min="6422" max="6422" width="10.140625" bestFit="1" customWidth="1"/>
    <col min="6657" max="6657" width="10.28515625" customWidth="1"/>
    <col min="6658" max="6658" width="36.85546875" customWidth="1"/>
    <col min="6659" max="6670" width="0" hidden="1" customWidth="1"/>
    <col min="6671" max="6672" width="11.7109375" customWidth="1"/>
    <col min="6673" max="6673" width="12.140625" customWidth="1"/>
    <col min="6674" max="6674" width="7.28515625" customWidth="1"/>
    <col min="6678" max="6678" width="10.140625" bestFit="1" customWidth="1"/>
    <col min="6913" max="6913" width="10.28515625" customWidth="1"/>
    <col min="6914" max="6914" width="36.85546875" customWidth="1"/>
    <col min="6915" max="6926" width="0" hidden="1" customWidth="1"/>
    <col min="6927" max="6928" width="11.7109375" customWidth="1"/>
    <col min="6929" max="6929" width="12.140625" customWidth="1"/>
    <col min="6930" max="6930" width="7.28515625" customWidth="1"/>
    <col min="6934" max="6934" width="10.140625" bestFit="1" customWidth="1"/>
    <col min="7169" max="7169" width="10.28515625" customWidth="1"/>
    <col min="7170" max="7170" width="36.85546875" customWidth="1"/>
    <col min="7171" max="7182" width="0" hidden="1" customWidth="1"/>
    <col min="7183" max="7184" width="11.7109375" customWidth="1"/>
    <col min="7185" max="7185" width="12.140625" customWidth="1"/>
    <col min="7186" max="7186" width="7.28515625" customWidth="1"/>
    <col min="7190" max="7190" width="10.140625" bestFit="1" customWidth="1"/>
    <col min="7425" max="7425" width="10.28515625" customWidth="1"/>
    <col min="7426" max="7426" width="36.85546875" customWidth="1"/>
    <col min="7427" max="7438" width="0" hidden="1" customWidth="1"/>
    <col min="7439" max="7440" width="11.7109375" customWidth="1"/>
    <col min="7441" max="7441" width="12.140625" customWidth="1"/>
    <col min="7442" max="7442" width="7.28515625" customWidth="1"/>
    <col min="7446" max="7446" width="10.140625" bestFit="1" customWidth="1"/>
    <col min="7681" max="7681" width="10.28515625" customWidth="1"/>
    <col min="7682" max="7682" width="36.85546875" customWidth="1"/>
    <col min="7683" max="7694" width="0" hidden="1" customWidth="1"/>
    <col min="7695" max="7696" width="11.7109375" customWidth="1"/>
    <col min="7697" max="7697" width="12.140625" customWidth="1"/>
    <col min="7698" max="7698" width="7.28515625" customWidth="1"/>
    <col min="7702" max="7702" width="10.140625" bestFit="1" customWidth="1"/>
    <col min="7937" max="7937" width="10.28515625" customWidth="1"/>
    <col min="7938" max="7938" width="36.85546875" customWidth="1"/>
    <col min="7939" max="7950" width="0" hidden="1" customWidth="1"/>
    <col min="7951" max="7952" width="11.7109375" customWidth="1"/>
    <col min="7953" max="7953" width="12.140625" customWidth="1"/>
    <col min="7954" max="7954" width="7.28515625" customWidth="1"/>
    <col min="7958" max="7958" width="10.140625" bestFit="1" customWidth="1"/>
    <col min="8193" max="8193" width="10.28515625" customWidth="1"/>
    <col min="8194" max="8194" width="36.85546875" customWidth="1"/>
    <col min="8195" max="8206" width="0" hidden="1" customWidth="1"/>
    <col min="8207" max="8208" width="11.7109375" customWidth="1"/>
    <col min="8209" max="8209" width="12.140625" customWidth="1"/>
    <col min="8210" max="8210" width="7.28515625" customWidth="1"/>
    <col min="8214" max="8214" width="10.140625" bestFit="1" customWidth="1"/>
    <col min="8449" max="8449" width="10.28515625" customWidth="1"/>
    <col min="8450" max="8450" width="36.85546875" customWidth="1"/>
    <col min="8451" max="8462" width="0" hidden="1" customWidth="1"/>
    <col min="8463" max="8464" width="11.7109375" customWidth="1"/>
    <col min="8465" max="8465" width="12.140625" customWidth="1"/>
    <col min="8466" max="8466" width="7.28515625" customWidth="1"/>
    <col min="8470" max="8470" width="10.140625" bestFit="1" customWidth="1"/>
    <col min="8705" max="8705" width="10.28515625" customWidth="1"/>
    <col min="8706" max="8706" width="36.85546875" customWidth="1"/>
    <col min="8707" max="8718" width="0" hidden="1" customWidth="1"/>
    <col min="8719" max="8720" width="11.7109375" customWidth="1"/>
    <col min="8721" max="8721" width="12.140625" customWidth="1"/>
    <col min="8722" max="8722" width="7.28515625" customWidth="1"/>
    <col min="8726" max="8726" width="10.140625" bestFit="1" customWidth="1"/>
    <col min="8961" max="8961" width="10.28515625" customWidth="1"/>
    <col min="8962" max="8962" width="36.85546875" customWidth="1"/>
    <col min="8963" max="8974" width="0" hidden="1" customWidth="1"/>
    <col min="8975" max="8976" width="11.7109375" customWidth="1"/>
    <col min="8977" max="8977" width="12.140625" customWidth="1"/>
    <col min="8978" max="8978" width="7.28515625" customWidth="1"/>
    <col min="8982" max="8982" width="10.140625" bestFit="1" customWidth="1"/>
    <col min="9217" max="9217" width="10.28515625" customWidth="1"/>
    <col min="9218" max="9218" width="36.85546875" customWidth="1"/>
    <col min="9219" max="9230" width="0" hidden="1" customWidth="1"/>
    <col min="9231" max="9232" width="11.7109375" customWidth="1"/>
    <col min="9233" max="9233" width="12.140625" customWidth="1"/>
    <col min="9234" max="9234" width="7.28515625" customWidth="1"/>
    <col min="9238" max="9238" width="10.140625" bestFit="1" customWidth="1"/>
    <col min="9473" max="9473" width="10.28515625" customWidth="1"/>
    <col min="9474" max="9474" width="36.85546875" customWidth="1"/>
    <col min="9475" max="9486" width="0" hidden="1" customWidth="1"/>
    <col min="9487" max="9488" width="11.7109375" customWidth="1"/>
    <col min="9489" max="9489" width="12.140625" customWidth="1"/>
    <col min="9490" max="9490" width="7.28515625" customWidth="1"/>
    <col min="9494" max="9494" width="10.140625" bestFit="1" customWidth="1"/>
    <col min="9729" max="9729" width="10.28515625" customWidth="1"/>
    <col min="9730" max="9730" width="36.85546875" customWidth="1"/>
    <col min="9731" max="9742" width="0" hidden="1" customWidth="1"/>
    <col min="9743" max="9744" width="11.7109375" customWidth="1"/>
    <col min="9745" max="9745" width="12.140625" customWidth="1"/>
    <col min="9746" max="9746" width="7.28515625" customWidth="1"/>
    <col min="9750" max="9750" width="10.140625" bestFit="1" customWidth="1"/>
    <col min="9985" max="9985" width="10.28515625" customWidth="1"/>
    <col min="9986" max="9986" width="36.85546875" customWidth="1"/>
    <col min="9987" max="9998" width="0" hidden="1" customWidth="1"/>
    <col min="9999" max="10000" width="11.7109375" customWidth="1"/>
    <col min="10001" max="10001" width="12.140625" customWidth="1"/>
    <col min="10002" max="10002" width="7.28515625" customWidth="1"/>
    <col min="10006" max="10006" width="10.140625" bestFit="1" customWidth="1"/>
    <col min="10241" max="10241" width="10.28515625" customWidth="1"/>
    <col min="10242" max="10242" width="36.85546875" customWidth="1"/>
    <col min="10243" max="10254" width="0" hidden="1" customWidth="1"/>
    <col min="10255" max="10256" width="11.7109375" customWidth="1"/>
    <col min="10257" max="10257" width="12.140625" customWidth="1"/>
    <col min="10258" max="10258" width="7.28515625" customWidth="1"/>
    <col min="10262" max="10262" width="10.140625" bestFit="1" customWidth="1"/>
    <col min="10497" max="10497" width="10.28515625" customWidth="1"/>
    <col min="10498" max="10498" width="36.85546875" customWidth="1"/>
    <col min="10499" max="10510" width="0" hidden="1" customWidth="1"/>
    <col min="10511" max="10512" width="11.7109375" customWidth="1"/>
    <col min="10513" max="10513" width="12.140625" customWidth="1"/>
    <col min="10514" max="10514" width="7.28515625" customWidth="1"/>
    <col min="10518" max="10518" width="10.140625" bestFit="1" customWidth="1"/>
    <col min="10753" max="10753" width="10.28515625" customWidth="1"/>
    <col min="10754" max="10754" width="36.85546875" customWidth="1"/>
    <col min="10755" max="10766" width="0" hidden="1" customWidth="1"/>
    <col min="10767" max="10768" width="11.7109375" customWidth="1"/>
    <col min="10769" max="10769" width="12.140625" customWidth="1"/>
    <col min="10770" max="10770" width="7.28515625" customWidth="1"/>
    <col min="10774" max="10774" width="10.140625" bestFit="1" customWidth="1"/>
    <col min="11009" max="11009" width="10.28515625" customWidth="1"/>
    <col min="11010" max="11010" width="36.85546875" customWidth="1"/>
    <col min="11011" max="11022" width="0" hidden="1" customWidth="1"/>
    <col min="11023" max="11024" width="11.7109375" customWidth="1"/>
    <col min="11025" max="11025" width="12.140625" customWidth="1"/>
    <col min="11026" max="11026" width="7.28515625" customWidth="1"/>
    <col min="11030" max="11030" width="10.140625" bestFit="1" customWidth="1"/>
    <col min="11265" max="11265" width="10.28515625" customWidth="1"/>
    <col min="11266" max="11266" width="36.85546875" customWidth="1"/>
    <col min="11267" max="11278" width="0" hidden="1" customWidth="1"/>
    <col min="11279" max="11280" width="11.7109375" customWidth="1"/>
    <col min="11281" max="11281" width="12.140625" customWidth="1"/>
    <col min="11282" max="11282" width="7.28515625" customWidth="1"/>
    <col min="11286" max="11286" width="10.140625" bestFit="1" customWidth="1"/>
    <col min="11521" max="11521" width="10.28515625" customWidth="1"/>
    <col min="11522" max="11522" width="36.85546875" customWidth="1"/>
    <col min="11523" max="11534" width="0" hidden="1" customWidth="1"/>
    <col min="11535" max="11536" width="11.7109375" customWidth="1"/>
    <col min="11537" max="11537" width="12.140625" customWidth="1"/>
    <col min="11538" max="11538" width="7.28515625" customWidth="1"/>
    <col min="11542" max="11542" width="10.140625" bestFit="1" customWidth="1"/>
    <col min="11777" max="11777" width="10.28515625" customWidth="1"/>
    <col min="11778" max="11778" width="36.85546875" customWidth="1"/>
    <col min="11779" max="11790" width="0" hidden="1" customWidth="1"/>
    <col min="11791" max="11792" width="11.7109375" customWidth="1"/>
    <col min="11793" max="11793" width="12.140625" customWidth="1"/>
    <col min="11794" max="11794" width="7.28515625" customWidth="1"/>
    <col min="11798" max="11798" width="10.140625" bestFit="1" customWidth="1"/>
    <col min="12033" max="12033" width="10.28515625" customWidth="1"/>
    <col min="12034" max="12034" width="36.85546875" customWidth="1"/>
    <col min="12035" max="12046" width="0" hidden="1" customWidth="1"/>
    <col min="12047" max="12048" width="11.7109375" customWidth="1"/>
    <col min="12049" max="12049" width="12.140625" customWidth="1"/>
    <col min="12050" max="12050" width="7.28515625" customWidth="1"/>
    <col min="12054" max="12054" width="10.140625" bestFit="1" customWidth="1"/>
    <col min="12289" max="12289" width="10.28515625" customWidth="1"/>
    <col min="12290" max="12290" width="36.85546875" customWidth="1"/>
    <col min="12291" max="12302" width="0" hidden="1" customWidth="1"/>
    <col min="12303" max="12304" width="11.7109375" customWidth="1"/>
    <col min="12305" max="12305" width="12.140625" customWidth="1"/>
    <col min="12306" max="12306" width="7.28515625" customWidth="1"/>
    <col min="12310" max="12310" width="10.140625" bestFit="1" customWidth="1"/>
    <col min="12545" max="12545" width="10.28515625" customWidth="1"/>
    <col min="12546" max="12546" width="36.85546875" customWidth="1"/>
    <col min="12547" max="12558" width="0" hidden="1" customWidth="1"/>
    <col min="12559" max="12560" width="11.7109375" customWidth="1"/>
    <col min="12561" max="12561" width="12.140625" customWidth="1"/>
    <col min="12562" max="12562" width="7.28515625" customWidth="1"/>
    <col min="12566" max="12566" width="10.140625" bestFit="1" customWidth="1"/>
    <col min="12801" max="12801" width="10.28515625" customWidth="1"/>
    <col min="12802" max="12802" width="36.85546875" customWidth="1"/>
    <col min="12803" max="12814" width="0" hidden="1" customWidth="1"/>
    <col min="12815" max="12816" width="11.7109375" customWidth="1"/>
    <col min="12817" max="12817" width="12.140625" customWidth="1"/>
    <col min="12818" max="12818" width="7.28515625" customWidth="1"/>
    <col min="12822" max="12822" width="10.140625" bestFit="1" customWidth="1"/>
    <col min="13057" max="13057" width="10.28515625" customWidth="1"/>
    <col min="13058" max="13058" width="36.85546875" customWidth="1"/>
    <col min="13059" max="13070" width="0" hidden="1" customWidth="1"/>
    <col min="13071" max="13072" width="11.7109375" customWidth="1"/>
    <col min="13073" max="13073" width="12.140625" customWidth="1"/>
    <col min="13074" max="13074" width="7.28515625" customWidth="1"/>
    <col min="13078" max="13078" width="10.140625" bestFit="1" customWidth="1"/>
    <col min="13313" max="13313" width="10.28515625" customWidth="1"/>
    <col min="13314" max="13314" width="36.85546875" customWidth="1"/>
    <col min="13315" max="13326" width="0" hidden="1" customWidth="1"/>
    <col min="13327" max="13328" width="11.7109375" customWidth="1"/>
    <col min="13329" max="13329" width="12.140625" customWidth="1"/>
    <col min="13330" max="13330" width="7.28515625" customWidth="1"/>
    <col min="13334" max="13334" width="10.140625" bestFit="1" customWidth="1"/>
    <col min="13569" max="13569" width="10.28515625" customWidth="1"/>
    <col min="13570" max="13570" width="36.85546875" customWidth="1"/>
    <col min="13571" max="13582" width="0" hidden="1" customWidth="1"/>
    <col min="13583" max="13584" width="11.7109375" customWidth="1"/>
    <col min="13585" max="13585" width="12.140625" customWidth="1"/>
    <col min="13586" max="13586" width="7.28515625" customWidth="1"/>
    <col min="13590" max="13590" width="10.140625" bestFit="1" customWidth="1"/>
    <col min="13825" max="13825" width="10.28515625" customWidth="1"/>
    <col min="13826" max="13826" width="36.85546875" customWidth="1"/>
    <col min="13827" max="13838" width="0" hidden="1" customWidth="1"/>
    <col min="13839" max="13840" width="11.7109375" customWidth="1"/>
    <col min="13841" max="13841" width="12.140625" customWidth="1"/>
    <col min="13842" max="13842" width="7.28515625" customWidth="1"/>
    <col min="13846" max="13846" width="10.140625" bestFit="1" customWidth="1"/>
    <col min="14081" max="14081" width="10.28515625" customWidth="1"/>
    <col min="14082" max="14082" width="36.85546875" customWidth="1"/>
    <col min="14083" max="14094" width="0" hidden="1" customWidth="1"/>
    <col min="14095" max="14096" width="11.7109375" customWidth="1"/>
    <col min="14097" max="14097" width="12.140625" customWidth="1"/>
    <col min="14098" max="14098" width="7.28515625" customWidth="1"/>
    <col min="14102" max="14102" width="10.140625" bestFit="1" customWidth="1"/>
    <col min="14337" max="14337" width="10.28515625" customWidth="1"/>
    <col min="14338" max="14338" width="36.85546875" customWidth="1"/>
    <col min="14339" max="14350" width="0" hidden="1" customWidth="1"/>
    <col min="14351" max="14352" width="11.7109375" customWidth="1"/>
    <col min="14353" max="14353" width="12.140625" customWidth="1"/>
    <col min="14354" max="14354" width="7.28515625" customWidth="1"/>
    <col min="14358" max="14358" width="10.140625" bestFit="1" customWidth="1"/>
    <col min="14593" max="14593" width="10.28515625" customWidth="1"/>
    <col min="14594" max="14594" width="36.85546875" customWidth="1"/>
    <col min="14595" max="14606" width="0" hidden="1" customWidth="1"/>
    <col min="14607" max="14608" width="11.7109375" customWidth="1"/>
    <col min="14609" max="14609" width="12.140625" customWidth="1"/>
    <col min="14610" max="14610" width="7.28515625" customWidth="1"/>
    <col min="14614" max="14614" width="10.140625" bestFit="1" customWidth="1"/>
    <col min="14849" max="14849" width="10.28515625" customWidth="1"/>
    <col min="14850" max="14850" width="36.85546875" customWidth="1"/>
    <col min="14851" max="14862" width="0" hidden="1" customWidth="1"/>
    <col min="14863" max="14864" width="11.7109375" customWidth="1"/>
    <col min="14865" max="14865" width="12.140625" customWidth="1"/>
    <col min="14866" max="14866" width="7.28515625" customWidth="1"/>
    <col min="14870" max="14870" width="10.140625" bestFit="1" customWidth="1"/>
    <col min="15105" max="15105" width="10.28515625" customWidth="1"/>
    <col min="15106" max="15106" width="36.85546875" customWidth="1"/>
    <col min="15107" max="15118" width="0" hidden="1" customWidth="1"/>
    <col min="15119" max="15120" width="11.7109375" customWidth="1"/>
    <col min="15121" max="15121" width="12.140625" customWidth="1"/>
    <col min="15122" max="15122" width="7.28515625" customWidth="1"/>
    <col min="15126" max="15126" width="10.140625" bestFit="1" customWidth="1"/>
    <col min="15361" max="15361" width="10.28515625" customWidth="1"/>
    <col min="15362" max="15362" width="36.85546875" customWidth="1"/>
    <col min="15363" max="15374" width="0" hidden="1" customWidth="1"/>
    <col min="15375" max="15376" width="11.7109375" customWidth="1"/>
    <col min="15377" max="15377" width="12.140625" customWidth="1"/>
    <col min="15378" max="15378" width="7.28515625" customWidth="1"/>
    <col min="15382" max="15382" width="10.140625" bestFit="1" customWidth="1"/>
    <col min="15617" max="15617" width="10.28515625" customWidth="1"/>
    <col min="15618" max="15618" width="36.85546875" customWidth="1"/>
    <col min="15619" max="15630" width="0" hidden="1" customWidth="1"/>
    <col min="15631" max="15632" width="11.7109375" customWidth="1"/>
    <col min="15633" max="15633" width="12.140625" customWidth="1"/>
    <col min="15634" max="15634" width="7.28515625" customWidth="1"/>
    <col min="15638" max="15638" width="10.140625" bestFit="1" customWidth="1"/>
    <col min="15873" max="15873" width="10.28515625" customWidth="1"/>
    <col min="15874" max="15874" width="36.85546875" customWidth="1"/>
    <col min="15875" max="15886" width="0" hidden="1" customWidth="1"/>
    <col min="15887" max="15888" width="11.7109375" customWidth="1"/>
    <col min="15889" max="15889" width="12.140625" customWidth="1"/>
    <col min="15890" max="15890" width="7.28515625" customWidth="1"/>
    <col min="15894" max="15894" width="10.140625" bestFit="1" customWidth="1"/>
    <col min="16129" max="16129" width="10.28515625" customWidth="1"/>
    <col min="16130" max="16130" width="36.85546875" customWidth="1"/>
    <col min="16131" max="16142" width="0" hidden="1" customWidth="1"/>
    <col min="16143" max="16144" width="11.7109375" customWidth="1"/>
    <col min="16145" max="16145" width="12.140625" customWidth="1"/>
    <col min="16146" max="16146" width="7.28515625" customWidth="1"/>
    <col min="16150" max="16150" width="10.140625" bestFit="1" customWidth="1"/>
  </cols>
  <sheetData>
    <row r="1" spans="1:25" hidden="1" x14ac:dyDescent="0.25"/>
    <row r="2" spans="1:25" ht="15.75" thickBot="1" x14ac:dyDescent="0.3">
      <c r="A2" s="837" t="s">
        <v>362</v>
      </c>
      <c r="B2" s="837"/>
      <c r="C2" s="837"/>
      <c r="D2" s="837"/>
      <c r="E2" s="837"/>
      <c r="F2" s="837"/>
      <c r="G2" s="837"/>
      <c r="H2" s="837"/>
      <c r="I2" s="837"/>
      <c r="J2" s="837"/>
      <c r="K2" s="512"/>
      <c r="L2" s="512"/>
      <c r="M2" s="512"/>
      <c r="N2" s="512"/>
      <c r="O2" s="512"/>
      <c r="P2" s="512"/>
      <c r="Q2" s="512"/>
      <c r="R2" s="511"/>
      <c r="S2" s="511"/>
    </row>
    <row r="3" spans="1:25" ht="15.75" customHeight="1" thickTop="1" x14ac:dyDescent="0.25">
      <c r="A3" s="870" t="s">
        <v>105</v>
      </c>
      <c r="B3" s="857" t="s">
        <v>1</v>
      </c>
      <c r="C3" s="828" t="s">
        <v>106</v>
      </c>
      <c r="D3" s="756" t="s">
        <v>107</v>
      </c>
      <c r="E3" s="756" t="s">
        <v>108</v>
      </c>
      <c r="F3" s="756" t="s">
        <v>109</v>
      </c>
      <c r="G3" s="756" t="s">
        <v>110</v>
      </c>
      <c r="H3" s="756" t="s">
        <v>111</v>
      </c>
      <c r="I3" s="756" t="s">
        <v>8</v>
      </c>
      <c r="J3" s="756" t="s">
        <v>9</v>
      </c>
      <c r="K3" s="756" t="s">
        <v>10</v>
      </c>
      <c r="L3" s="756" t="s">
        <v>11</v>
      </c>
      <c r="M3" s="756" t="s">
        <v>12</v>
      </c>
      <c r="N3" s="756" t="s">
        <v>13</v>
      </c>
      <c r="O3" s="756" t="s">
        <v>14</v>
      </c>
      <c r="P3" s="756" t="s">
        <v>15</v>
      </c>
      <c r="Q3" s="756" t="s">
        <v>429</v>
      </c>
      <c r="R3" s="830" t="s">
        <v>400</v>
      </c>
      <c r="S3" s="734" t="s">
        <v>463</v>
      </c>
      <c r="T3" s="738" t="s">
        <v>464</v>
      </c>
    </row>
    <row r="4" spans="1:25" ht="31.5" customHeight="1" thickBot="1" x14ac:dyDescent="0.3">
      <c r="A4" s="871"/>
      <c r="B4" s="858"/>
      <c r="C4" s="829"/>
      <c r="D4" s="757"/>
      <c r="E4" s="757"/>
      <c r="F4" s="757"/>
      <c r="G4" s="757"/>
      <c r="H4" s="757"/>
      <c r="I4" s="757"/>
      <c r="J4" s="757"/>
      <c r="K4" s="757"/>
      <c r="L4" s="757"/>
      <c r="M4" s="757"/>
      <c r="N4" s="757"/>
      <c r="O4" s="757"/>
      <c r="P4" s="757"/>
      <c r="Q4" s="757"/>
      <c r="R4" s="831"/>
      <c r="S4" s="735"/>
      <c r="T4" s="739"/>
    </row>
    <row r="5" spans="1:25" ht="16.5" thickTop="1" thickBot="1" x14ac:dyDescent="0.3">
      <c r="A5" s="513" t="s">
        <v>363</v>
      </c>
      <c r="B5" s="864" t="s">
        <v>354</v>
      </c>
      <c r="C5" s="865"/>
      <c r="D5" s="514">
        <f t="shared" ref="D5:R5" si="0">SUM(D6:D12)</f>
        <v>477793</v>
      </c>
      <c r="E5" s="514">
        <f t="shared" si="0"/>
        <v>470856</v>
      </c>
      <c r="F5" s="514">
        <f t="shared" si="0"/>
        <v>334085</v>
      </c>
      <c r="G5" s="514">
        <f t="shared" si="0"/>
        <v>1303204</v>
      </c>
      <c r="H5" s="514">
        <f t="shared" si="0"/>
        <v>978096</v>
      </c>
      <c r="I5" s="514">
        <f t="shared" si="0"/>
        <v>1356608</v>
      </c>
      <c r="J5" s="514">
        <f t="shared" si="0"/>
        <v>1191263</v>
      </c>
      <c r="K5" s="514">
        <f t="shared" si="0"/>
        <v>977990</v>
      </c>
      <c r="L5" s="515">
        <f t="shared" si="0"/>
        <v>439019.94999999995</v>
      </c>
      <c r="M5" s="515">
        <f t="shared" si="0"/>
        <v>540080.30000000005</v>
      </c>
      <c r="N5" s="516">
        <f>SUM(N6:N12)</f>
        <v>2548753.6599999997</v>
      </c>
      <c r="O5" s="516">
        <f>SUM(O6:O12)</f>
        <v>484835.82</v>
      </c>
      <c r="P5" s="517">
        <f>SUM(P6:P12)</f>
        <v>849215.54</v>
      </c>
      <c r="Q5" s="516">
        <f>SUM(Q6:Q12)</f>
        <v>553837.26</v>
      </c>
      <c r="R5" s="517">
        <f t="shared" si="0"/>
        <v>1160319</v>
      </c>
      <c r="S5" s="702">
        <f>SUM(S6:S12)</f>
        <v>1236893.72</v>
      </c>
      <c r="T5" s="673">
        <f t="shared" ref="T5:T13" si="1">IF(R5=0,0,ROUND(S5/R5*100,2))</f>
        <v>106.6</v>
      </c>
    </row>
    <row r="6" spans="1:25" x14ac:dyDescent="0.25">
      <c r="A6" s="867"/>
      <c r="B6" s="518"/>
      <c r="C6" s="518" t="s">
        <v>364</v>
      </c>
      <c r="D6" s="518">
        <v>307741</v>
      </c>
      <c r="E6" s="518">
        <v>188873</v>
      </c>
      <c r="F6" s="518">
        <v>209516</v>
      </c>
      <c r="G6" s="518">
        <v>326854</v>
      </c>
      <c r="H6" s="518">
        <v>199897</v>
      </c>
      <c r="I6" s="518">
        <v>22394</v>
      </c>
      <c r="J6" s="519">
        <v>122620</v>
      </c>
      <c r="K6" s="520">
        <v>207083</v>
      </c>
      <c r="L6" s="521">
        <v>173080.99</v>
      </c>
      <c r="M6" s="521">
        <v>233161.19</v>
      </c>
      <c r="N6" s="522">
        <v>1839260.43</v>
      </c>
      <c r="O6" s="522">
        <v>338571.97</v>
      </c>
      <c r="P6" s="522">
        <v>367612.56</v>
      </c>
      <c r="Q6" s="522">
        <v>378931.96</v>
      </c>
      <c r="R6" s="523">
        <v>428301</v>
      </c>
      <c r="S6" s="703">
        <v>428301.19</v>
      </c>
      <c r="T6" s="674">
        <f t="shared" si="1"/>
        <v>100</v>
      </c>
      <c r="V6" s="303"/>
      <c r="Y6" s="303"/>
    </row>
    <row r="7" spans="1:25" x14ac:dyDescent="0.25">
      <c r="A7" s="868"/>
      <c r="B7" s="524"/>
      <c r="C7" s="525" t="s">
        <v>365</v>
      </c>
      <c r="D7" s="525"/>
      <c r="E7" s="525"/>
      <c r="F7" s="525"/>
      <c r="G7" s="525"/>
      <c r="H7" s="525">
        <v>490783</v>
      </c>
      <c r="I7" s="525">
        <v>1098574</v>
      </c>
      <c r="J7" s="379">
        <v>733308</v>
      </c>
      <c r="K7" s="526">
        <v>631012</v>
      </c>
      <c r="L7" s="527">
        <v>171789.61</v>
      </c>
      <c r="M7" s="527">
        <v>233027.7</v>
      </c>
      <c r="N7" s="528">
        <v>497600.75</v>
      </c>
      <c r="O7" s="528"/>
      <c r="P7" s="528">
        <v>363308.49</v>
      </c>
      <c r="Q7" s="528"/>
      <c r="R7" s="126">
        <v>240541</v>
      </c>
      <c r="S7" s="704">
        <v>240541</v>
      </c>
      <c r="T7" s="675">
        <f t="shared" si="1"/>
        <v>100</v>
      </c>
    </row>
    <row r="8" spans="1:25" x14ac:dyDescent="0.25">
      <c r="A8" s="868"/>
      <c r="B8" s="529"/>
      <c r="C8" s="375" t="s">
        <v>366</v>
      </c>
      <c r="D8" s="375"/>
      <c r="E8" s="375"/>
      <c r="F8" s="375"/>
      <c r="G8" s="375"/>
      <c r="H8" s="375">
        <v>52527</v>
      </c>
      <c r="I8" s="375">
        <v>53214</v>
      </c>
      <c r="J8" s="126">
        <v>53736</v>
      </c>
      <c r="K8" s="526">
        <v>54692</v>
      </c>
      <c r="L8" s="527">
        <v>59829.25</v>
      </c>
      <c r="M8" s="527">
        <v>73891.41</v>
      </c>
      <c r="N8" s="528">
        <v>74759.429999999993</v>
      </c>
      <c r="O8" s="528">
        <v>75808.05</v>
      </c>
      <c r="P8" s="528">
        <v>76653.59</v>
      </c>
      <c r="Q8" s="528">
        <v>77863.88</v>
      </c>
      <c r="R8" s="526">
        <v>91477</v>
      </c>
      <c r="S8" s="705">
        <v>92149.07</v>
      </c>
      <c r="T8" s="676">
        <f t="shared" si="1"/>
        <v>100.73</v>
      </c>
      <c r="W8" s="303"/>
    </row>
    <row r="9" spans="1:25" x14ac:dyDescent="0.25">
      <c r="A9" s="868"/>
      <c r="B9" s="530"/>
      <c r="C9" s="531" t="s">
        <v>406</v>
      </c>
      <c r="D9" s="532">
        <v>2622</v>
      </c>
      <c r="E9" s="532">
        <v>6805</v>
      </c>
      <c r="F9" s="532">
        <v>5206</v>
      </c>
      <c r="G9" s="532">
        <v>73230</v>
      </c>
      <c r="H9" s="532">
        <v>22330</v>
      </c>
      <c r="I9" s="532">
        <v>7462</v>
      </c>
      <c r="J9" s="533"/>
      <c r="K9" s="126"/>
      <c r="L9" s="314"/>
      <c r="M9" s="314"/>
      <c r="N9" s="128">
        <v>114400.25</v>
      </c>
      <c r="O9" s="128"/>
      <c r="P9" s="128"/>
      <c r="Q9" s="128">
        <v>47962.559999999998</v>
      </c>
      <c r="R9" s="126">
        <v>400000</v>
      </c>
      <c r="S9" s="704">
        <v>400000</v>
      </c>
      <c r="T9" s="675">
        <f t="shared" si="1"/>
        <v>100</v>
      </c>
      <c r="V9" s="189"/>
    </row>
    <row r="10" spans="1:25" x14ac:dyDescent="0.25">
      <c r="A10" s="868"/>
      <c r="B10" s="530"/>
      <c r="C10" s="531" t="s">
        <v>367</v>
      </c>
      <c r="D10" s="532"/>
      <c r="E10" s="532"/>
      <c r="F10" s="532"/>
      <c r="G10" s="532"/>
      <c r="H10" s="532"/>
      <c r="I10" s="532"/>
      <c r="J10" s="533"/>
      <c r="K10" s="126"/>
      <c r="L10" s="314"/>
      <c r="M10" s="314"/>
      <c r="N10" s="128">
        <v>11332.8</v>
      </c>
      <c r="O10" s="128"/>
      <c r="P10" s="128">
        <v>14992.5</v>
      </c>
      <c r="Q10" s="128"/>
      <c r="R10" s="126"/>
      <c r="S10" s="704"/>
      <c r="T10" s="675">
        <f t="shared" si="1"/>
        <v>0</v>
      </c>
      <c r="V10" s="189"/>
    </row>
    <row r="11" spans="1:25" x14ac:dyDescent="0.25">
      <c r="A11" s="868"/>
      <c r="B11" s="529"/>
      <c r="C11" s="529" t="s">
        <v>368</v>
      </c>
      <c r="D11" s="529"/>
      <c r="E11" s="529">
        <v>275178</v>
      </c>
      <c r="F11" s="529"/>
      <c r="G11" s="529">
        <v>903120</v>
      </c>
      <c r="H11" s="529">
        <v>212559</v>
      </c>
      <c r="I11" s="529">
        <v>174964</v>
      </c>
      <c r="J11" s="534">
        <v>281599</v>
      </c>
      <c r="K11" s="534">
        <v>85203</v>
      </c>
      <c r="L11" s="535">
        <v>34320.1</v>
      </c>
      <c r="M11" s="535">
        <v>0</v>
      </c>
      <c r="N11" s="536"/>
      <c r="O11" s="536">
        <v>70455.800000000047</v>
      </c>
      <c r="P11" s="536"/>
      <c r="Q11" s="536">
        <v>5000</v>
      </c>
      <c r="R11" s="534"/>
      <c r="S11" s="733"/>
      <c r="T11" s="677">
        <f t="shared" si="1"/>
        <v>0</v>
      </c>
    </row>
    <row r="12" spans="1:25" ht="15.75" thickBot="1" x14ac:dyDescent="0.3">
      <c r="A12" s="869"/>
      <c r="B12" s="537"/>
      <c r="C12" s="529" t="s">
        <v>358</v>
      </c>
      <c r="D12" s="537">
        <v>167430</v>
      </c>
      <c r="E12" s="537">
        <v>0</v>
      </c>
      <c r="F12" s="537">
        <v>119363</v>
      </c>
      <c r="G12" s="537"/>
      <c r="H12" s="537"/>
      <c r="I12" s="537"/>
      <c r="J12" s="538"/>
      <c r="K12" s="538"/>
      <c r="L12" s="539"/>
      <c r="M12" s="539">
        <v>0</v>
      </c>
      <c r="N12" s="540">
        <v>11400</v>
      </c>
      <c r="O12" s="540"/>
      <c r="P12" s="540">
        <v>26648.400000000001</v>
      </c>
      <c r="Q12" s="540">
        <v>44078.86</v>
      </c>
      <c r="R12" s="538">
        <v>0</v>
      </c>
      <c r="S12" s="706">
        <f>57231.36+18375.62+45.48+250</f>
        <v>75902.459999999992</v>
      </c>
      <c r="T12" s="678">
        <f t="shared" si="1"/>
        <v>0</v>
      </c>
    </row>
    <row r="13" spans="1:25" ht="16.5" thickTop="1" thickBot="1" x14ac:dyDescent="0.3">
      <c r="A13" s="860" t="s">
        <v>361</v>
      </c>
      <c r="B13" s="861"/>
      <c r="C13" s="862"/>
      <c r="D13" s="508">
        <f t="shared" ref="D13:R13" si="2">D5</f>
        <v>477793</v>
      </c>
      <c r="E13" s="508">
        <f t="shared" si="2"/>
        <v>470856</v>
      </c>
      <c r="F13" s="508">
        <f t="shared" si="2"/>
        <v>334085</v>
      </c>
      <c r="G13" s="508">
        <f t="shared" si="2"/>
        <v>1303204</v>
      </c>
      <c r="H13" s="508">
        <f t="shared" si="2"/>
        <v>978096</v>
      </c>
      <c r="I13" s="508">
        <f t="shared" si="2"/>
        <v>1356608</v>
      </c>
      <c r="J13" s="508">
        <f t="shared" si="2"/>
        <v>1191263</v>
      </c>
      <c r="K13" s="508">
        <f t="shared" si="2"/>
        <v>977990</v>
      </c>
      <c r="L13" s="509">
        <f t="shared" si="2"/>
        <v>439019.94999999995</v>
      </c>
      <c r="M13" s="509">
        <f t="shared" si="2"/>
        <v>540080.30000000005</v>
      </c>
      <c r="N13" s="541">
        <f t="shared" si="2"/>
        <v>2548753.6599999997</v>
      </c>
      <c r="O13" s="509">
        <f t="shared" si="2"/>
        <v>484835.82</v>
      </c>
      <c r="P13" s="542">
        <f t="shared" si="2"/>
        <v>849215.54</v>
      </c>
      <c r="Q13" s="509">
        <f t="shared" si="2"/>
        <v>553837.26</v>
      </c>
      <c r="R13" s="508">
        <f t="shared" si="2"/>
        <v>1160319</v>
      </c>
      <c r="S13" s="707">
        <f>S5</f>
        <v>1236893.72</v>
      </c>
      <c r="T13" s="672">
        <f t="shared" si="1"/>
        <v>106.6</v>
      </c>
    </row>
    <row r="14" spans="1:25" ht="15.75" thickTop="1" x14ac:dyDescent="0.25"/>
  </sheetData>
  <mergeCells count="24"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T3:T4"/>
    <mergeCell ref="A6:A12"/>
    <mergeCell ref="A13:C13"/>
    <mergeCell ref="Q3:Q4"/>
    <mergeCell ref="R3:R4"/>
    <mergeCell ref="B5:C5"/>
    <mergeCell ref="J3:J4"/>
    <mergeCell ref="K3:K4"/>
    <mergeCell ref="L3:L4"/>
    <mergeCell ref="M3:M4"/>
    <mergeCell ref="N3:N4"/>
    <mergeCell ref="O3:O4"/>
    <mergeCell ref="P3:P4"/>
    <mergeCell ref="S3:S4"/>
  </mergeCells>
  <pageMargins left="0.11811023622047245" right="0.11811023622047245" top="0.35433070866141736" bottom="0.74803149606299213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7"/>
  <sheetViews>
    <sheetView tabSelected="1" workbookViewId="0">
      <selection sqref="A1:R1"/>
    </sheetView>
  </sheetViews>
  <sheetFormatPr defaultRowHeight="15" x14ac:dyDescent="0.25"/>
  <cols>
    <col min="1" max="1" width="52.42578125" customWidth="1"/>
    <col min="2" max="14" width="14.42578125" hidden="1" customWidth="1"/>
    <col min="15" max="15" width="15.5703125" customWidth="1"/>
    <col min="16" max="16" width="14.42578125" customWidth="1"/>
    <col min="17" max="17" width="19" customWidth="1"/>
    <col min="18" max="18" width="14.28515625" customWidth="1"/>
    <col min="20" max="20" width="10.140625" bestFit="1" customWidth="1"/>
    <col min="21" max="21" width="11.42578125" bestFit="1" customWidth="1"/>
    <col min="245" max="245" width="47" customWidth="1"/>
    <col min="246" max="257" width="0" hidden="1" customWidth="1"/>
    <col min="258" max="259" width="14.42578125" customWidth="1"/>
    <col min="260" max="260" width="13.140625" customWidth="1"/>
    <col min="261" max="261" width="10.85546875" customWidth="1"/>
    <col min="262" max="263" width="13.28515625" customWidth="1"/>
    <col min="266" max="266" width="10.140625" bestFit="1" customWidth="1"/>
    <col min="267" max="267" width="11.42578125" bestFit="1" customWidth="1"/>
    <col min="269" max="269" width="12.140625" customWidth="1"/>
    <col min="501" max="501" width="47" customWidth="1"/>
    <col min="502" max="513" width="0" hidden="1" customWidth="1"/>
    <col min="514" max="515" width="14.42578125" customWidth="1"/>
    <col min="516" max="516" width="13.140625" customWidth="1"/>
    <col min="517" max="517" width="10.85546875" customWidth="1"/>
    <col min="518" max="519" width="13.28515625" customWidth="1"/>
    <col min="522" max="522" width="10.140625" bestFit="1" customWidth="1"/>
    <col min="523" max="523" width="11.42578125" bestFit="1" customWidth="1"/>
    <col min="525" max="525" width="12.140625" customWidth="1"/>
    <col min="757" max="757" width="47" customWidth="1"/>
    <col min="758" max="769" width="0" hidden="1" customWidth="1"/>
    <col min="770" max="771" width="14.42578125" customWidth="1"/>
    <col min="772" max="772" width="13.140625" customWidth="1"/>
    <col min="773" max="773" width="10.85546875" customWidth="1"/>
    <col min="774" max="775" width="13.28515625" customWidth="1"/>
    <col min="778" max="778" width="10.140625" bestFit="1" customWidth="1"/>
    <col min="779" max="779" width="11.42578125" bestFit="1" customWidth="1"/>
    <col min="781" max="781" width="12.140625" customWidth="1"/>
    <col min="1013" max="1013" width="47" customWidth="1"/>
    <col min="1014" max="1025" width="0" hidden="1" customWidth="1"/>
    <col min="1026" max="1027" width="14.42578125" customWidth="1"/>
    <col min="1028" max="1028" width="13.140625" customWidth="1"/>
    <col min="1029" max="1029" width="10.85546875" customWidth="1"/>
    <col min="1030" max="1031" width="13.28515625" customWidth="1"/>
    <col min="1034" max="1034" width="10.140625" bestFit="1" customWidth="1"/>
    <col min="1035" max="1035" width="11.42578125" bestFit="1" customWidth="1"/>
    <col min="1037" max="1037" width="12.140625" customWidth="1"/>
    <col min="1269" max="1269" width="47" customWidth="1"/>
    <col min="1270" max="1281" width="0" hidden="1" customWidth="1"/>
    <col min="1282" max="1283" width="14.42578125" customWidth="1"/>
    <col min="1284" max="1284" width="13.140625" customWidth="1"/>
    <col min="1285" max="1285" width="10.85546875" customWidth="1"/>
    <col min="1286" max="1287" width="13.28515625" customWidth="1"/>
    <col min="1290" max="1290" width="10.140625" bestFit="1" customWidth="1"/>
    <col min="1291" max="1291" width="11.42578125" bestFit="1" customWidth="1"/>
    <col min="1293" max="1293" width="12.140625" customWidth="1"/>
    <col min="1525" max="1525" width="47" customWidth="1"/>
    <col min="1526" max="1537" width="0" hidden="1" customWidth="1"/>
    <col min="1538" max="1539" width="14.42578125" customWidth="1"/>
    <col min="1540" max="1540" width="13.140625" customWidth="1"/>
    <col min="1541" max="1541" width="10.85546875" customWidth="1"/>
    <col min="1542" max="1543" width="13.28515625" customWidth="1"/>
    <col min="1546" max="1546" width="10.140625" bestFit="1" customWidth="1"/>
    <col min="1547" max="1547" width="11.42578125" bestFit="1" customWidth="1"/>
    <col min="1549" max="1549" width="12.140625" customWidth="1"/>
    <col min="1781" max="1781" width="47" customWidth="1"/>
    <col min="1782" max="1793" width="0" hidden="1" customWidth="1"/>
    <col min="1794" max="1795" width="14.42578125" customWidth="1"/>
    <col min="1796" max="1796" width="13.140625" customWidth="1"/>
    <col min="1797" max="1797" width="10.85546875" customWidth="1"/>
    <col min="1798" max="1799" width="13.28515625" customWidth="1"/>
    <col min="1802" max="1802" width="10.140625" bestFit="1" customWidth="1"/>
    <col min="1803" max="1803" width="11.42578125" bestFit="1" customWidth="1"/>
    <col min="1805" max="1805" width="12.140625" customWidth="1"/>
    <col min="2037" max="2037" width="47" customWidth="1"/>
    <col min="2038" max="2049" width="0" hidden="1" customWidth="1"/>
    <col min="2050" max="2051" width="14.42578125" customWidth="1"/>
    <col min="2052" max="2052" width="13.140625" customWidth="1"/>
    <col min="2053" max="2053" width="10.85546875" customWidth="1"/>
    <col min="2054" max="2055" width="13.28515625" customWidth="1"/>
    <col min="2058" max="2058" width="10.140625" bestFit="1" customWidth="1"/>
    <col min="2059" max="2059" width="11.42578125" bestFit="1" customWidth="1"/>
    <col min="2061" max="2061" width="12.140625" customWidth="1"/>
    <col min="2293" max="2293" width="47" customWidth="1"/>
    <col min="2294" max="2305" width="0" hidden="1" customWidth="1"/>
    <col min="2306" max="2307" width="14.42578125" customWidth="1"/>
    <col min="2308" max="2308" width="13.140625" customWidth="1"/>
    <col min="2309" max="2309" width="10.85546875" customWidth="1"/>
    <col min="2310" max="2311" width="13.28515625" customWidth="1"/>
    <col min="2314" max="2314" width="10.140625" bestFit="1" customWidth="1"/>
    <col min="2315" max="2315" width="11.42578125" bestFit="1" customWidth="1"/>
    <col min="2317" max="2317" width="12.140625" customWidth="1"/>
    <col min="2549" max="2549" width="47" customWidth="1"/>
    <col min="2550" max="2561" width="0" hidden="1" customWidth="1"/>
    <col min="2562" max="2563" width="14.42578125" customWidth="1"/>
    <col min="2564" max="2564" width="13.140625" customWidth="1"/>
    <col min="2565" max="2565" width="10.85546875" customWidth="1"/>
    <col min="2566" max="2567" width="13.28515625" customWidth="1"/>
    <col min="2570" max="2570" width="10.140625" bestFit="1" customWidth="1"/>
    <col min="2571" max="2571" width="11.42578125" bestFit="1" customWidth="1"/>
    <col min="2573" max="2573" width="12.140625" customWidth="1"/>
    <col min="2805" max="2805" width="47" customWidth="1"/>
    <col min="2806" max="2817" width="0" hidden="1" customWidth="1"/>
    <col min="2818" max="2819" width="14.42578125" customWidth="1"/>
    <col min="2820" max="2820" width="13.140625" customWidth="1"/>
    <col min="2821" max="2821" width="10.85546875" customWidth="1"/>
    <col min="2822" max="2823" width="13.28515625" customWidth="1"/>
    <col min="2826" max="2826" width="10.140625" bestFit="1" customWidth="1"/>
    <col min="2827" max="2827" width="11.42578125" bestFit="1" customWidth="1"/>
    <col min="2829" max="2829" width="12.140625" customWidth="1"/>
    <col min="3061" max="3061" width="47" customWidth="1"/>
    <col min="3062" max="3073" width="0" hidden="1" customWidth="1"/>
    <col min="3074" max="3075" width="14.42578125" customWidth="1"/>
    <col min="3076" max="3076" width="13.140625" customWidth="1"/>
    <col min="3077" max="3077" width="10.85546875" customWidth="1"/>
    <col min="3078" max="3079" width="13.28515625" customWidth="1"/>
    <col min="3082" max="3082" width="10.140625" bestFit="1" customWidth="1"/>
    <col min="3083" max="3083" width="11.42578125" bestFit="1" customWidth="1"/>
    <col min="3085" max="3085" width="12.140625" customWidth="1"/>
    <col min="3317" max="3317" width="47" customWidth="1"/>
    <col min="3318" max="3329" width="0" hidden="1" customWidth="1"/>
    <col min="3330" max="3331" width="14.42578125" customWidth="1"/>
    <col min="3332" max="3332" width="13.140625" customWidth="1"/>
    <col min="3333" max="3333" width="10.85546875" customWidth="1"/>
    <col min="3334" max="3335" width="13.28515625" customWidth="1"/>
    <col min="3338" max="3338" width="10.140625" bestFit="1" customWidth="1"/>
    <col min="3339" max="3339" width="11.42578125" bestFit="1" customWidth="1"/>
    <col min="3341" max="3341" width="12.140625" customWidth="1"/>
    <col min="3573" max="3573" width="47" customWidth="1"/>
    <col min="3574" max="3585" width="0" hidden="1" customWidth="1"/>
    <col min="3586" max="3587" width="14.42578125" customWidth="1"/>
    <col min="3588" max="3588" width="13.140625" customWidth="1"/>
    <col min="3589" max="3589" width="10.85546875" customWidth="1"/>
    <col min="3590" max="3591" width="13.28515625" customWidth="1"/>
    <col min="3594" max="3594" width="10.140625" bestFit="1" customWidth="1"/>
    <col min="3595" max="3595" width="11.42578125" bestFit="1" customWidth="1"/>
    <col min="3597" max="3597" width="12.140625" customWidth="1"/>
    <col min="3829" max="3829" width="47" customWidth="1"/>
    <col min="3830" max="3841" width="0" hidden="1" customWidth="1"/>
    <col min="3842" max="3843" width="14.42578125" customWidth="1"/>
    <col min="3844" max="3844" width="13.140625" customWidth="1"/>
    <col min="3845" max="3845" width="10.85546875" customWidth="1"/>
    <col min="3846" max="3847" width="13.28515625" customWidth="1"/>
    <col min="3850" max="3850" width="10.140625" bestFit="1" customWidth="1"/>
    <col min="3851" max="3851" width="11.42578125" bestFit="1" customWidth="1"/>
    <col min="3853" max="3853" width="12.140625" customWidth="1"/>
    <col min="4085" max="4085" width="47" customWidth="1"/>
    <col min="4086" max="4097" width="0" hidden="1" customWidth="1"/>
    <col min="4098" max="4099" width="14.42578125" customWidth="1"/>
    <col min="4100" max="4100" width="13.140625" customWidth="1"/>
    <col min="4101" max="4101" width="10.85546875" customWidth="1"/>
    <col min="4102" max="4103" width="13.28515625" customWidth="1"/>
    <col min="4106" max="4106" width="10.140625" bestFit="1" customWidth="1"/>
    <col min="4107" max="4107" width="11.42578125" bestFit="1" customWidth="1"/>
    <col min="4109" max="4109" width="12.140625" customWidth="1"/>
    <col min="4341" max="4341" width="47" customWidth="1"/>
    <col min="4342" max="4353" width="0" hidden="1" customWidth="1"/>
    <col min="4354" max="4355" width="14.42578125" customWidth="1"/>
    <col min="4356" max="4356" width="13.140625" customWidth="1"/>
    <col min="4357" max="4357" width="10.85546875" customWidth="1"/>
    <col min="4358" max="4359" width="13.28515625" customWidth="1"/>
    <col min="4362" max="4362" width="10.140625" bestFit="1" customWidth="1"/>
    <col min="4363" max="4363" width="11.42578125" bestFit="1" customWidth="1"/>
    <col min="4365" max="4365" width="12.140625" customWidth="1"/>
    <col min="4597" max="4597" width="47" customWidth="1"/>
    <col min="4598" max="4609" width="0" hidden="1" customWidth="1"/>
    <col min="4610" max="4611" width="14.42578125" customWidth="1"/>
    <col min="4612" max="4612" width="13.140625" customWidth="1"/>
    <col min="4613" max="4613" width="10.85546875" customWidth="1"/>
    <col min="4614" max="4615" width="13.28515625" customWidth="1"/>
    <col min="4618" max="4618" width="10.140625" bestFit="1" customWidth="1"/>
    <col min="4619" max="4619" width="11.42578125" bestFit="1" customWidth="1"/>
    <col min="4621" max="4621" width="12.140625" customWidth="1"/>
    <col min="4853" max="4853" width="47" customWidth="1"/>
    <col min="4854" max="4865" width="0" hidden="1" customWidth="1"/>
    <col min="4866" max="4867" width="14.42578125" customWidth="1"/>
    <col min="4868" max="4868" width="13.140625" customWidth="1"/>
    <col min="4869" max="4869" width="10.85546875" customWidth="1"/>
    <col min="4870" max="4871" width="13.28515625" customWidth="1"/>
    <col min="4874" max="4874" width="10.140625" bestFit="1" customWidth="1"/>
    <col min="4875" max="4875" width="11.42578125" bestFit="1" customWidth="1"/>
    <col min="4877" max="4877" width="12.140625" customWidth="1"/>
    <col min="5109" max="5109" width="47" customWidth="1"/>
    <col min="5110" max="5121" width="0" hidden="1" customWidth="1"/>
    <col min="5122" max="5123" width="14.42578125" customWidth="1"/>
    <col min="5124" max="5124" width="13.140625" customWidth="1"/>
    <col min="5125" max="5125" width="10.85546875" customWidth="1"/>
    <col min="5126" max="5127" width="13.28515625" customWidth="1"/>
    <col min="5130" max="5130" width="10.140625" bestFit="1" customWidth="1"/>
    <col min="5131" max="5131" width="11.42578125" bestFit="1" customWidth="1"/>
    <col min="5133" max="5133" width="12.140625" customWidth="1"/>
    <col min="5365" max="5365" width="47" customWidth="1"/>
    <col min="5366" max="5377" width="0" hidden="1" customWidth="1"/>
    <col min="5378" max="5379" width="14.42578125" customWidth="1"/>
    <col min="5380" max="5380" width="13.140625" customWidth="1"/>
    <col min="5381" max="5381" width="10.85546875" customWidth="1"/>
    <col min="5382" max="5383" width="13.28515625" customWidth="1"/>
    <col min="5386" max="5386" width="10.140625" bestFit="1" customWidth="1"/>
    <col min="5387" max="5387" width="11.42578125" bestFit="1" customWidth="1"/>
    <col min="5389" max="5389" width="12.140625" customWidth="1"/>
    <col min="5621" max="5621" width="47" customWidth="1"/>
    <col min="5622" max="5633" width="0" hidden="1" customWidth="1"/>
    <col min="5634" max="5635" width="14.42578125" customWidth="1"/>
    <col min="5636" max="5636" width="13.140625" customWidth="1"/>
    <col min="5637" max="5637" width="10.85546875" customWidth="1"/>
    <col min="5638" max="5639" width="13.28515625" customWidth="1"/>
    <col min="5642" max="5642" width="10.140625" bestFit="1" customWidth="1"/>
    <col min="5643" max="5643" width="11.42578125" bestFit="1" customWidth="1"/>
    <col min="5645" max="5645" width="12.140625" customWidth="1"/>
    <col min="5877" max="5877" width="47" customWidth="1"/>
    <col min="5878" max="5889" width="0" hidden="1" customWidth="1"/>
    <col min="5890" max="5891" width="14.42578125" customWidth="1"/>
    <col min="5892" max="5892" width="13.140625" customWidth="1"/>
    <col min="5893" max="5893" width="10.85546875" customWidth="1"/>
    <col min="5894" max="5895" width="13.28515625" customWidth="1"/>
    <col min="5898" max="5898" width="10.140625" bestFit="1" customWidth="1"/>
    <col min="5899" max="5899" width="11.42578125" bestFit="1" customWidth="1"/>
    <col min="5901" max="5901" width="12.140625" customWidth="1"/>
    <col min="6133" max="6133" width="47" customWidth="1"/>
    <col min="6134" max="6145" width="0" hidden="1" customWidth="1"/>
    <col min="6146" max="6147" width="14.42578125" customWidth="1"/>
    <col min="6148" max="6148" width="13.140625" customWidth="1"/>
    <col min="6149" max="6149" width="10.85546875" customWidth="1"/>
    <col min="6150" max="6151" width="13.28515625" customWidth="1"/>
    <col min="6154" max="6154" width="10.140625" bestFit="1" customWidth="1"/>
    <col min="6155" max="6155" width="11.42578125" bestFit="1" customWidth="1"/>
    <col min="6157" max="6157" width="12.140625" customWidth="1"/>
    <col min="6389" max="6389" width="47" customWidth="1"/>
    <col min="6390" max="6401" width="0" hidden="1" customWidth="1"/>
    <col min="6402" max="6403" width="14.42578125" customWidth="1"/>
    <col min="6404" max="6404" width="13.140625" customWidth="1"/>
    <col min="6405" max="6405" width="10.85546875" customWidth="1"/>
    <col min="6406" max="6407" width="13.28515625" customWidth="1"/>
    <col min="6410" max="6410" width="10.140625" bestFit="1" customWidth="1"/>
    <col min="6411" max="6411" width="11.42578125" bestFit="1" customWidth="1"/>
    <col min="6413" max="6413" width="12.140625" customWidth="1"/>
    <col min="6645" max="6645" width="47" customWidth="1"/>
    <col min="6646" max="6657" width="0" hidden="1" customWidth="1"/>
    <col min="6658" max="6659" width="14.42578125" customWidth="1"/>
    <col min="6660" max="6660" width="13.140625" customWidth="1"/>
    <col min="6661" max="6661" width="10.85546875" customWidth="1"/>
    <col min="6662" max="6663" width="13.28515625" customWidth="1"/>
    <col min="6666" max="6666" width="10.140625" bestFit="1" customWidth="1"/>
    <col min="6667" max="6667" width="11.42578125" bestFit="1" customWidth="1"/>
    <col min="6669" max="6669" width="12.140625" customWidth="1"/>
    <col min="6901" max="6901" width="47" customWidth="1"/>
    <col min="6902" max="6913" width="0" hidden="1" customWidth="1"/>
    <col min="6914" max="6915" width="14.42578125" customWidth="1"/>
    <col min="6916" max="6916" width="13.140625" customWidth="1"/>
    <col min="6917" max="6917" width="10.85546875" customWidth="1"/>
    <col min="6918" max="6919" width="13.28515625" customWidth="1"/>
    <col min="6922" max="6922" width="10.140625" bestFit="1" customWidth="1"/>
    <col min="6923" max="6923" width="11.42578125" bestFit="1" customWidth="1"/>
    <col min="6925" max="6925" width="12.140625" customWidth="1"/>
    <col min="7157" max="7157" width="47" customWidth="1"/>
    <col min="7158" max="7169" width="0" hidden="1" customWidth="1"/>
    <col min="7170" max="7171" width="14.42578125" customWidth="1"/>
    <col min="7172" max="7172" width="13.140625" customWidth="1"/>
    <col min="7173" max="7173" width="10.85546875" customWidth="1"/>
    <col min="7174" max="7175" width="13.28515625" customWidth="1"/>
    <col min="7178" max="7178" width="10.140625" bestFit="1" customWidth="1"/>
    <col min="7179" max="7179" width="11.42578125" bestFit="1" customWidth="1"/>
    <col min="7181" max="7181" width="12.140625" customWidth="1"/>
    <col min="7413" max="7413" width="47" customWidth="1"/>
    <col min="7414" max="7425" width="0" hidden="1" customWidth="1"/>
    <col min="7426" max="7427" width="14.42578125" customWidth="1"/>
    <col min="7428" max="7428" width="13.140625" customWidth="1"/>
    <col min="7429" max="7429" width="10.85546875" customWidth="1"/>
    <col min="7430" max="7431" width="13.28515625" customWidth="1"/>
    <col min="7434" max="7434" width="10.140625" bestFit="1" customWidth="1"/>
    <col min="7435" max="7435" width="11.42578125" bestFit="1" customWidth="1"/>
    <col min="7437" max="7437" width="12.140625" customWidth="1"/>
    <col min="7669" max="7669" width="47" customWidth="1"/>
    <col min="7670" max="7681" width="0" hidden="1" customWidth="1"/>
    <col min="7682" max="7683" width="14.42578125" customWidth="1"/>
    <col min="7684" max="7684" width="13.140625" customWidth="1"/>
    <col min="7685" max="7685" width="10.85546875" customWidth="1"/>
    <col min="7686" max="7687" width="13.28515625" customWidth="1"/>
    <col min="7690" max="7690" width="10.140625" bestFit="1" customWidth="1"/>
    <col min="7691" max="7691" width="11.42578125" bestFit="1" customWidth="1"/>
    <col min="7693" max="7693" width="12.140625" customWidth="1"/>
    <col min="7925" max="7925" width="47" customWidth="1"/>
    <col min="7926" max="7937" width="0" hidden="1" customWidth="1"/>
    <col min="7938" max="7939" width="14.42578125" customWidth="1"/>
    <col min="7940" max="7940" width="13.140625" customWidth="1"/>
    <col min="7941" max="7941" width="10.85546875" customWidth="1"/>
    <col min="7942" max="7943" width="13.28515625" customWidth="1"/>
    <col min="7946" max="7946" width="10.140625" bestFit="1" customWidth="1"/>
    <col min="7947" max="7947" width="11.42578125" bestFit="1" customWidth="1"/>
    <col min="7949" max="7949" width="12.140625" customWidth="1"/>
    <col min="8181" max="8181" width="47" customWidth="1"/>
    <col min="8182" max="8193" width="0" hidden="1" customWidth="1"/>
    <col min="8194" max="8195" width="14.42578125" customWidth="1"/>
    <col min="8196" max="8196" width="13.140625" customWidth="1"/>
    <col min="8197" max="8197" width="10.85546875" customWidth="1"/>
    <col min="8198" max="8199" width="13.28515625" customWidth="1"/>
    <col min="8202" max="8202" width="10.140625" bestFit="1" customWidth="1"/>
    <col min="8203" max="8203" width="11.42578125" bestFit="1" customWidth="1"/>
    <col min="8205" max="8205" width="12.140625" customWidth="1"/>
    <col min="8437" max="8437" width="47" customWidth="1"/>
    <col min="8438" max="8449" width="0" hidden="1" customWidth="1"/>
    <col min="8450" max="8451" width="14.42578125" customWidth="1"/>
    <col min="8452" max="8452" width="13.140625" customWidth="1"/>
    <col min="8453" max="8453" width="10.85546875" customWidth="1"/>
    <col min="8454" max="8455" width="13.28515625" customWidth="1"/>
    <col min="8458" max="8458" width="10.140625" bestFit="1" customWidth="1"/>
    <col min="8459" max="8459" width="11.42578125" bestFit="1" customWidth="1"/>
    <col min="8461" max="8461" width="12.140625" customWidth="1"/>
    <col min="8693" max="8693" width="47" customWidth="1"/>
    <col min="8694" max="8705" width="0" hidden="1" customWidth="1"/>
    <col min="8706" max="8707" width="14.42578125" customWidth="1"/>
    <col min="8708" max="8708" width="13.140625" customWidth="1"/>
    <col min="8709" max="8709" width="10.85546875" customWidth="1"/>
    <col min="8710" max="8711" width="13.28515625" customWidth="1"/>
    <col min="8714" max="8714" width="10.140625" bestFit="1" customWidth="1"/>
    <col min="8715" max="8715" width="11.42578125" bestFit="1" customWidth="1"/>
    <col min="8717" max="8717" width="12.140625" customWidth="1"/>
    <col min="8949" max="8949" width="47" customWidth="1"/>
    <col min="8950" max="8961" width="0" hidden="1" customWidth="1"/>
    <col min="8962" max="8963" width="14.42578125" customWidth="1"/>
    <col min="8964" max="8964" width="13.140625" customWidth="1"/>
    <col min="8965" max="8965" width="10.85546875" customWidth="1"/>
    <col min="8966" max="8967" width="13.28515625" customWidth="1"/>
    <col min="8970" max="8970" width="10.140625" bestFit="1" customWidth="1"/>
    <col min="8971" max="8971" width="11.42578125" bestFit="1" customWidth="1"/>
    <col min="8973" max="8973" width="12.140625" customWidth="1"/>
    <col min="9205" max="9205" width="47" customWidth="1"/>
    <col min="9206" max="9217" width="0" hidden="1" customWidth="1"/>
    <col min="9218" max="9219" width="14.42578125" customWidth="1"/>
    <col min="9220" max="9220" width="13.140625" customWidth="1"/>
    <col min="9221" max="9221" width="10.85546875" customWidth="1"/>
    <col min="9222" max="9223" width="13.28515625" customWidth="1"/>
    <col min="9226" max="9226" width="10.140625" bestFit="1" customWidth="1"/>
    <col min="9227" max="9227" width="11.42578125" bestFit="1" customWidth="1"/>
    <col min="9229" max="9229" width="12.140625" customWidth="1"/>
    <col min="9461" max="9461" width="47" customWidth="1"/>
    <col min="9462" max="9473" width="0" hidden="1" customWidth="1"/>
    <col min="9474" max="9475" width="14.42578125" customWidth="1"/>
    <col min="9476" max="9476" width="13.140625" customWidth="1"/>
    <col min="9477" max="9477" width="10.85546875" customWidth="1"/>
    <col min="9478" max="9479" width="13.28515625" customWidth="1"/>
    <col min="9482" max="9482" width="10.140625" bestFit="1" customWidth="1"/>
    <col min="9483" max="9483" width="11.42578125" bestFit="1" customWidth="1"/>
    <col min="9485" max="9485" width="12.140625" customWidth="1"/>
    <col min="9717" max="9717" width="47" customWidth="1"/>
    <col min="9718" max="9729" width="0" hidden="1" customWidth="1"/>
    <col min="9730" max="9731" width="14.42578125" customWidth="1"/>
    <col min="9732" max="9732" width="13.140625" customWidth="1"/>
    <col min="9733" max="9733" width="10.85546875" customWidth="1"/>
    <col min="9734" max="9735" width="13.28515625" customWidth="1"/>
    <col min="9738" max="9738" width="10.140625" bestFit="1" customWidth="1"/>
    <col min="9739" max="9739" width="11.42578125" bestFit="1" customWidth="1"/>
    <col min="9741" max="9741" width="12.140625" customWidth="1"/>
    <col min="9973" max="9973" width="47" customWidth="1"/>
    <col min="9974" max="9985" width="0" hidden="1" customWidth="1"/>
    <col min="9986" max="9987" width="14.42578125" customWidth="1"/>
    <col min="9988" max="9988" width="13.140625" customWidth="1"/>
    <col min="9989" max="9989" width="10.85546875" customWidth="1"/>
    <col min="9990" max="9991" width="13.28515625" customWidth="1"/>
    <col min="9994" max="9994" width="10.140625" bestFit="1" customWidth="1"/>
    <col min="9995" max="9995" width="11.42578125" bestFit="1" customWidth="1"/>
    <col min="9997" max="9997" width="12.140625" customWidth="1"/>
    <col min="10229" max="10229" width="47" customWidth="1"/>
    <col min="10230" max="10241" width="0" hidden="1" customWidth="1"/>
    <col min="10242" max="10243" width="14.42578125" customWidth="1"/>
    <col min="10244" max="10244" width="13.140625" customWidth="1"/>
    <col min="10245" max="10245" width="10.85546875" customWidth="1"/>
    <col min="10246" max="10247" width="13.28515625" customWidth="1"/>
    <col min="10250" max="10250" width="10.140625" bestFit="1" customWidth="1"/>
    <col min="10251" max="10251" width="11.42578125" bestFit="1" customWidth="1"/>
    <col min="10253" max="10253" width="12.140625" customWidth="1"/>
    <col min="10485" max="10485" width="47" customWidth="1"/>
    <col min="10486" max="10497" width="0" hidden="1" customWidth="1"/>
    <col min="10498" max="10499" width="14.42578125" customWidth="1"/>
    <col min="10500" max="10500" width="13.140625" customWidth="1"/>
    <col min="10501" max="10501" width="10.85546875" customWidth="1"/>
    <col min="10502" max="10503" width="13.28515625" customWidth="1"/>
    <col min="10506" max="10506" width="10.140625" bestFit="1" customWidth="1"/>
    <col min="10507" max="10507" width="11.42578125" bestFit="1" customWidth="1"/>
    <col min="10509" max="10509" width="12.140625" customWidth="1"/>
    <col min="10741" max="10741" width="47" customWidth="1"/>
    <col min="10742" max="10753" width="0" hidden="1" customWidth="1"/>
    <col min="10754" max="10755" width="14.42578125" customWidth="1"/>
    <col min="10756" max="10756" width="13.140625" customWidth="1"/>
    <col min="10757" max="10757" width="10.85546875" customWidth="1"/>
    <col min="10758" max="10759" width="13.28515625" customWidth="1"/>
    <col min="10762" max="10762" width="10.140625" bestFit="1" customWidth="1"/>
    <col min="10763" max="10763" width="11.42578125" bestFit="1" customWidth="1"/>
    <col min="10765" max="10765" width="12.140625" customWidth="1"/>
    <col min="10997" max="10997" width="47" customWidth="1"/>
    <col min="10998" max="11009" width="0" hidden="1" customWidth="1"/>
    <col min="11010" max="11011" width="14.42578125" customWidth="1"/>
    <col min="11012" max="11012" width="13.140625" customWidth="1"/>
    <col min="11013" max="11013" width="10.85546875" customWidth="1"/>
    <col min="11014" max="11015" width="13.28515625" customWidth="1"/>
    <col min="11018" max="11018" width="10.140625" bestFit="1" customWidth="1"/>
    <col min="11019" max="11019" width="11.42578125" bestFit="1" customWidth="1"/>
    <col min="11021" max="11021" width="12.140625" customWidth="1"/>
    <col min="11253" max="11253" width="47" customWidth="1"/>
    <col min="11254" max="11265" width="0" hidden="1" customWidth="1"/>
    <col min="11266" max="11267" width="14.42578125" customWidth="1"/>
    <col min="11268" max="11268" width="13.140625" customWidth="1"/>
    <col min="11269" max="11269" width="10.85546875" customWidth="1"/>
    <col min="11270" max="11271" width="13.28515625" customWidth="1"/>
    <col min="11274" max="11274" width="10.140625" bestFit="1" customWidth="1"/>
    <col min="11275" max="11275" width="11.42578125" bestFit="1" customWidth="1"/>
    <col min="11277" max="11277" width="12.140625" customWidth="1"/>
    <col min="11509" max="11509" width="47" customWidth="1"/>
    <col min="11510" max="11521" width="0" hidden="1" customWidth="1"/>
    <col min="11522" max="11523" width="14.42578125" customWidth="1"/>
    <col min="11524" max="11524" width="13.140625" customWidth="1"/>
    <col min="11525" max="11525" width="10.85546875" customWidth="1"/>
    <col min="11526" max="11527" width="13.28515625" customWidth="1"/>
    <col min="11530" max="11530" width="10.140625" bestFit="1" customWidth="1"/>
    <col min="11531" max="11531" width="11.42578125" bestFit="1" customWidth="1"/>
    <col min="11533" max="11533" width="12.140625" customWidth="1"/>
    <col min="11765" max="11765" width="47" customWidth="1"/>
    <col min="11766" max="11777" width="0" hidden="1" customWidth="1"/>
    <col min="11778" max="11779" width="14.42578125" customWidth="1"/>
    <col min="11780" max="11780" width="13.140625" customWidth="1"/>
    <col min="11781" max="11781" width="10.85546875" customWidth="1"/>
    <col min="11782" max="11783" width="13.28515625" customWidth="1"/>
    <col min="11786" max="11786" width="10.140625" bestFit="1" customWidth="1"/>
    <col min="11787" max="11787" width="11.42578125" bestFit="1" customWidth="1"/>
    <col min="11789" max="11789" width="12.140625" customWidth="1"/>
    <col min="12021" max="12021" width="47" customWidth="1"/>
    <col min="12022" max="12033" width="0" hidden="1" customWidth="1"/>
    <col min="12034" max="12035" width="14.42578125" customWidth="1"/>
    <col min="12036" max="12036" width="13.140625" customWidth="1"/>
    <col min="12037" max="12037" width="10.85546875" customWidth="1"/>
    <col min="12038" max="12039" width="13.28515625" customWidth="1"/>
    <col min="12042" max="12042" width="10.140625" bestFit="1" customWidth="1"/>
    <col min="12043" max="12043" width="11.42578125" bestFit="1" customWidth="1"/>
    <col min="12045" max="12045" width="12.140625" customWidth="1"/>
    <col min="12277" max="12277" width="47" customWidth="1"/>
    <col min="12278" max="12289" width="0" hidden="1" customWidth="1"/>
    <col min="12290" max="12291" width="14.42578125" customWidth="1"/>
    <col min="12292" max="12292" width="13.140625" customWidth="1"/>
    <col min="12293" max="12293" width="10.85546875" customWidth="1"/>
    <col min="12294" max="12295" width="13.28515625" customWidth="1"/>
    <col min="12298" max="12298" width="10.140625" bestFit="1" customWidth="1"/>
    <col min="12299" max="12299" width="11.42578125" bestFit="1" customWidth="1"/>
    <col min="12301" max="12301" width="12.140625" customWidth="1"/>
    <col min="12533" max="12533" width="47" customWidth="1"/>
    <col min="12534" max="12545" width="0" hidden="1" customWidth="1"/>
    <col min="12546" max="12547" width="14.42578125" customWidth="1"/>
    <col min="12548" max="12548" width="13.140625" customWidth="1"/>
    <col min="12549" max="12549" width="10.85546875" customWidth="1"/>
    <col min="12550" max="12551" width="13.28515625" customWidth="1"/>
    <col min="12554" max="12554" width="10.140625" bestFit="1" customWidth="1"/>
    <col min="12555" max="12555" width="11.42578125" bestFit="1" customWidth="1"/>
    <col min="12557" max="12557" width="12.140625" customWidth="1"/>
    <col min="12789" max="12789" width="47" customWidth="1"/>
    <col min="12790" max="12801" width="0" hidden="1" customWidth="1"/>
    <col min="12802" max="12803" width="14.42578125" customWidth="1"/>
    <col min="12804" max="12804" width="13.140625" customWidth="1"/>
    <col min="12805" max="12805" width="10.85546875" customWidth="1"/>
    <col min="12806" max="12807" width="13.28515625" customWidth="1"/>
    <col min="12810" max="12810" width="10.140625" bestFit="1" customWidth="1"/>
    <col min="12811" max="12811" width="11.42578125" bestFit="1" customWidth="1"/>
    <col min="12813" max="12813" width="12.140625" customWidth="1"/>
    <col min="13045" max="13045" width="47" customWidth="1"/>
    <col min="13046" max="13057" width="0" hidden="1" customWidth="1"/>
    <col min="13058" max="13059" width="14.42578125" customWidth="1"/>
    <col min="13060" max="13060" width="13.140625" customWidth="1"/>
    <col min="13061" max="13061" width="10.85546875" customWidth="1"/>
    <col min="13062" max="13063" width="13.28515625" customWidth="1"/>
    <col min="13066" max="13066" width="10.140625" bestFit="1" customWidth="1"/>
    <col min="13067" max="13067" width="11.42578125" bestFit="1" customWidth="1"/>
    <col min="13069" max="13069" width="12.140625" customWidth="1"/>
    <col min="13301" max="13301" width="47" customWidth="1"/>
    <col min="13302" max="13313" width="0" hidden="1" customWidth="1"/>
    <col min="13314" max="13315" width="14.42578125" customWidth="1"/>
    <col min="13316" max="13316" width="13.140625" customWidth="1"/>
    <col min="13317" max="13317" width="10.85546875" customWidth="1"/>
    <col min="13318" max="13319" width="13.28515625" customWidth="1"/>
    <col min="13322" max="13322" width="10.140625" bestFit="1" customWidth="1"/>
    <col min="13323" max="13323" width="11.42578125" bestFit="1" customWidth="1"/>
    <col min="13325" max="13325" width="12.140625" customWidth="1"/>
    <col min="13557" max="13557" width="47" customWidth="1"/>
    <col min="13558" max="13569" width="0" hidden="1" customWidth="1"/>
    <col min="13570" max="13571" width="14.42578125" customWidth="1"/>
    <col min="13572" max="13572" width="13.140625" customWidth="1"/>
    <col min="13573" max="13573" width="10.85546875" customWidth="1"/>
    <col min="13574" max="13575" width="13.28515625" customWidth="1"/>
    <col min="13578" max="13578" width="10.140625" bestFit="1" customWidth="1"/>
    <col min="13579" max="13579" width="11.42578125" bestFit="1" customWidth="1"/>
    <col min="13581" max="13581" width="12.140625" customWidth="1"/>
    <col min="13813" max="13813" width="47" customWidth="1"/>
    <col min="13814" max="13825" width="0" hidden="1" customWidth="1"/>
    <col min="13826" max="13827" width="14.42578125" customWidth="1"/>
    <col min="13828" max="13828" width="13.140625" customWidth="1"/>
    <col min="13829" max="13829" width="10.85546875" customWidth="1"/>
    <col min="13830" max="13831" width="13.28515625" customWidth="1"/>
    <col min="13834" max="13834" width="10.140625" bestFit="1" customWidth="1"/>
    <col min="13835" max="13835" width="11.42578125" bestFit="1" customWidth="1"/>
    <col min="13837" max="13837" width="12.140625" customWidth="1"/>
    <col min="14069" max="14069" width="47" customWidth="1"/>
    <col min="14070" max="14081" width="0" hidden="1" customWidth="1"/>
    <col min="14082" max="14083" width="14.42578125" customWidth="1"/>
    <col min="14084" max="14084" width="13.140625" customWidth="1"/>
    <col min="14085" max="14085" width="10.85546875" customWidth="1"/>
    <col min="14086" max="14087" width="13.28515625" customWidth="1"/>
    <col min="14090" max="14090" width="10.140625" bestFit="1" customWidth="1"/>
    <col min="14091" max="14091" width="11.42578125" bestFit="1" customWidth="1"/>
    <col min="14093" max="14093" width="12.140625" customWidth="1"/>
    <col min="14325" max="14325" width="47" customWidth="1"/>
    <col min="14326" max="14337" width="0" hidden="1" customWidth="1"/>
    <col min="14338" max="14339" width="14.42578125" customWidth="1"/>
    <col min="14340" max="14340" width="13.140625" customWidth="1"/>
    <col min="14341" max="14341" width="10.85546875" customWidth="1"/>
    <col min="14342" max="14343" width="13.28515625" customWidth="1"/>
    <col min="14346" max="14346" width="10.140625" bestFit="1" customWidth="1"/>
    <col min="14347" max="14347" width="11.42578125" bestFit="1" customWidth="1"/>
    <col min="14349" max="14349" width="12.140625" customWidth="1"/>
    <col min="14581" max="14581" width="47" customWidth="1"/>
    <col min="14582" max="14593" width="0" hidden="1" customWidth="1"/>
    <col min="14594" max="14595" width="14.42578125" customWidth="1"/>
    <col min="14596" max="14596" width="13.140625" customWidth="1"/>
    <col min="14597" max="14597" width="10.85546875" customWidth="1"/>
    <col min="14598" max="14599" width="13.28515625" customWidth="1"/>
    <col min="14602" max="14602" width="10.140625" bestFit="1" customWidth="1"/>
    <col min="14603" max="14603" width="11.42578125" bestFit="1" customWidth="1"/>
    <col min="14605" max="14605" width="12.140625" customWidth="1"/>
    <col min="14837" max="14837" width="47" customWidth="1"/>
    <col min="14838" max="14849" width="0" hidden="1" customWidth="1"/>
    <col min="14850" max="14851" width="14.42578125" customWidth="1"/>
    <col min="14852" max="14852" width="13.140625" customWidth="1"/>
    <col min="14853" max="14853" width="10.85546875" customWidth="1"/>
    <col min="14854" max="14855" width="13.28515625" customWidth="1"/>
    <col min="14858" max="14858" width="10.140625" bestFit="1" customWidth="1"/>
    <col min="14859" max="14859" width="11.42578125" bestFit="1" customWidth="1"/>
    <col min="14861" max="14861" width="12.140625" customWidth="1"/>
    <col min="15093" max="15093" width="47" customWidth="1"/>
    <col min="15094" max="15105" width="0" hidden="1" customWidth="1"/>
    <col min="15106" max="15107" width="14.42578125" customWidth="1"/>
    <col min="15108" max="15108" width="13.140625" customWidth="1"/>
    <col min="15109" max="15109" width="10.85546875" customWidth="1"/>
    <col min="15110" max="15111" width="13.28515625" customWidth="1"/>
    <col min="15114" max="15114" width="10.140625" bestFit="1" customWidth="1"/>
    <col min="15115" max="15115" width="11.42578125" bestFit="1" customWidth="1"/>
    <col min="15117" max="15117" width="12.140625" customWidth="1"/>
    <col min="15349" max="15349" width="47" customWidth="1"/>
    <col min="15350" max="15361" width="0" hidden="1" customWidth="1"/>
    <col min="15362" max="15363" width="14.42578125" customWidth="1"/>
    <col min="15364" max="15364" width="13.140625" customWidth="1"/>
    <col min="15365" max="15365" width="10.85546875" customWidth="1"/>
    <col min="15366" max="15367" width="13.28515625" customWidth="1"/>
    <col min="15370" max="15370" width="10.140625" bestFit="1" customWidth="1"/>
    <col min="15371" max="15371" width="11.42578125" bestFit="1" customWidth="1"/>
    <col min="15373" max="15373" width="12.140625" customWidth="1"/>
    <col min="15605" max="15605" width="47" customWidth="1"/>
    <col min="15606" max="15617" width="0" hidden="1" customWidth="1"/>
    <col min="15618" max="15619" width="14.42578125" customWidth="1"/>
    <col min="15620" max="15620" width="13.140625" customWidth="1"/>
    <col min="15621" max="15621" width="10.85546875" customWidth="1"/>
    <col min="15622" max="15623" width="13.28515625" customWidth="1"/>
    <col min="15626" max="15626" width="10.140625" bestFit="1" customWidth="1"/>
    <col min="15627" max="15627" width="11.42578125" bestFit="1" customWidth="1"/>
    <col min="15629" max="15629" width="12.140625" customWidth="1"/>
    <col min="15861" max="15861" width="47" customWidth="1"/>
    <col min="15862" max="15873" width="0" hidden="1" customWidth="1"/>
    <col min="15874" max="15875" width="14.42578125" customWidth="1"/>
    <col min="15876" max="15876" width="13.140625" customWidth="1"/>
    <col min="15877" max="15877" width="10.85546875" customWidth="1"/>
    <col min="15878" max="15879" width="13.28515625" customWidth="1"/>
    <col min="15882" max="15882" width="10.140625" bestFit="1" customWidth="1"/>
    <col min="15883" max="15883" width="11.42578125" bestFit="1" customWidth="1"/>
    <col min="15885" max="15885" width="12.140625" customWidth="1"/>
    <col min="16117" max="16117" width="47" customWidth="1"/>
    <col min="16118" max="16129" width="0" hidden="1" customWidth="1"/>
    <col min="16130" max="16131" width="14.42578125" customWidth="1"/>
    <col min="16132" max="16132" width="13.140625" customWidth="1"/>
    <col min="16133" max="16133" width="10.85546875" customWidth="1"/>
    <col min="16134" max="16135" width="13.28515625" customWidth="1"/>
    <col min="16138" max="16138" width="10.140625" bestFit="1" customWidth="1"/>
    <col min="16139" max="16139" width="11.42578125" bestFit="1" customWidth="1"/>
    <col min="16141" max="16141" width="12.140625" customWidth="1"/>
  </cols>
  <sheetData>
    <row r="1" spans="1:21" ht="15.75" x14ac:dyDescent="0.25">
      <c r="A1" s="872" t="s">
        <v>369</v>
      </c>
      <c r="B1" s="872"/>
      <c r="C1" s="872"/>
      <c r="D1" s="872"/>
      <c r="E1" s="872"/>
      <c r="F1" s="872"/>
      <c r="G1" s="872"/>
      <c r="H1" s="872"/>
      <c r="I1" s="872"/>
      <c r="J1" s="872"/>
      <c r="K1" s="872"/>
      <c r="L1" s="872"/>
      <c r="M1" s="872"/>
      <c r="N1" s="872"/>
      <c r="O1" s="872"/>
      <c r="P1" s="872"/>
      <c r="Q1" s="872"/>
      <c r="R1" s="872"/>
    </row>
    <row r="2" spans="1:21" ht="15.75" thickBot="1" x14ac:dyDescent="0.3">
      <c r="A2" s="574"/>
      <c r="B2" s="574"/>
      <c r="C2" s="574"/>
      <c r="D2" s="574"/>
      <c r="E2" s="574"/>
      <c r="F2" s="574"/>
      <c r="G2" s="574"/>
      <c r="H2" s="574"/>
      <c r="I2" s="574"/>
      <c r="J2" s="574"/>
      <c r="K2" s="574"/>
      <c r="L2" s="510"/>
      <c r="M2" s="510"/>
      <c r="N2" s="510"/>
      <c r="O2" s="510"/>
      <c r="P2" s="511"/>
      <c r="Q2" s="511"/>
    </row>
    <row r="3" spans="1:21" ht="13.5" customHeight="1" thickTop="1" x14ac:dyDescent="0.25">
      <c r="A3" s="875" t="s">
        <v>2</v>
      </c>
      <c r="B3" s="756" t="s">
        <v>107</v>
      </c>
      <c r="C3" s="756" t="s">
        <v>108</v>
      </c>
      <c r="D3" s="756" t="s">
        <v>109</v>
      </c>
      <c r="E3" s="756" t="s">
        <v>110</v>
      </c>
      <c r="F3" s="756" t="s">
        <v>111</v>
      </c>
      <c r="G3" s="756" t="s">
        <v>8</v>
      </c>
      <c r="H3" s="756" t="s">
        <v>9</v>
      </c>
      <c r="I3" s="756" t="s">
        <v>10</v>
      </c>
      <c r="J3" s="756" t="s">
        <v>11</v>
      </c>
      <c r="K3" s="756" t="s">
        <v>12</v>
      </c>
      <c r="L3" s="756" t="s">
        <v>13</v>
      </c>
      <c r="M3" s="756" t="s">
        <v>14</v>
      </c>
      <c r="N3" s="756" t="s">
        <v>15</v>
      </c>
      <c r="O3" s="756" t="s">
        <v>429</v>
      </c>
      <c r="P3" s="734" t="s">
        <v>401</v>
      </c>
      <c r="Q3" s="734" t="s">
        <v>463</v>
      </c>
      <c r="R3" s="738" t="s">
        <v>464</v>
      </c>
    </row>
    <row r="4" spans="1:21" ht="23.25" customHeight="1" thickBot="1" x14ac:dyDescent="0.3">
      <c r="A4" s="876"/>
      <c r="B4" s="873"/>
      <c r="C4" s="873"/>
      <c r="D4" s="873"/>
      <c r="E4" s="873"/>
      <c r="F4" s="873"/>
      <c r="G4" s="873"/>
      <c r="H4" s="873"/>
      <c r="I4" s="873"/>
      <c r="J4" s="873"/>
      <c r="K4" s="873"/>
      <c r="L4" s="873"/>
      <c r="M4" s="873"/>
      <c r="N4" s="873"/>
      <c r="O4" s="873"/>
      <c r="P4" s="874"/>
      <c r="Q4" s="735"/>
      <c r="R4" s="739"/>
    </row>
    <row r="5" spans="1:21" ht="15.75" thickTop="1" x14ac:dyDescent="0.25">
      <c r="A5" s="575" t="s">
        <v>370</v>
      </c>
      <c r="B5" s="543">
        <v>7125871</v>
      </c>
      <c r="C5" s="543">
        <v>7561840</v>
      </c>
      <c r="D5" s="543">
        <v>9082354</v>
      </c>
      <c r="E5" s="543">
        <v>9080838</v>
      </c>
      <c r="F5" s="543">
        <v>8537685</v>
      </c>
      <c r="G5" s="543">
        <v>9096722</v>
      </c>
      <c r="H5" s="543">
        <v>9201831</v>
      </c>
      <c r="I5" s="543">
        <v>9722622</v>
      </c>
      <c r="J5" s="543">
        <v>9640328.2399999984</v>
      </c>
      <c r="K5" s="544">
        <v>10178626.01</v>
      </c>
      <c r="L5" s="544">
        <v>10784511.560000002</v>
      </c>
      <c r="M5" s="544">
        <v>10947354.260000002</v>
      </c>
      <c r="N5" s="543">
        <v>11835790.83</v>
      </c>
      <c r="O5" s="544">
        <v>12870365.970000001</v>
      </c>
      <c r="P5" s="543">
        <f>'Bežné príjmy'!R114</f>
        <v>13127459</v>
      </c>
      <c r="Q5" s="708">
        <f>'Bežné príjmy'!S114</f>
        <v>13601965.26</v>
      </c>
      <c r="R5" s="713">
        <f t="shared" ref="R5:R6" si="0">IF(P5=0,0,ROUND(Q5/P5*100,2))</f>
        <v>103.61</v>
      </c>
      <c r="S5" s="189"/>
      <c r="T5" s="189"/>
      <c r="U5" s="189"/>
    </row>
    <row r="6" spans="1:21" ht="15.75" thickBot="1" x14ac:dyDescent="0.3">
      <c r="A6" s="576" t="s">
        <v>371</v>
      </c>
      <c r="B6" s="538">
        <v>5867125</v>
      </c>
      <c r="C6" s="538">
        <v>6460200</v>
      </c>
      <c r="D6" s="538">
        <v>7832271</v>
      </c>
      <c r="E6" s="538">
        <v>8716285.4299999997</v>
      </c>
      <c r="F6" s="538">
        <v>9309387</v>
      </c>
      <c r="G6" s="538">
        <v>8743512.1999999993</v>
      </c>
      <c r="H6" s="538">
        <v>8908071</v>
      </c>
      <c r="I6" s="538">
        <v>8934542</v>
      </c>
      <c r="J6" s="538">
        <v>9572545.3800000008</v>
      </c>
      <c r="K6" s="539">
        <v>9554914.7999999989</v>
      </c>
      <c r="L6" s="539">
        <v>9695081.3400000017</v>
      </c>
      <c r="M6" s="539">
        <v>10029034.879999999</v>
      </c>
      <c r="N6" s="538">
        <v>10815176.439999999</v>
      </c>
      <c r="O6" s="539">
        <v>12072287.609999999</v>
      </c>
      <c r="P6" s="538">
        <f>'bežné výdavky'!R210</f>
        <v>12889945</v>
      </c>
      <c r="Q6" s="709">
        <f>'bežné výdavky'!S210</f>
        <v>12542381.569999998</v>
      </c>
      <c r="R6" s="678">
        <f t="shared" si="0"/>
        <v>97.3</v>
      </c>
      <c r="S6" s="189"/>
      <c r="T6" s="189"/>
      <c r="U6" s="189"/>
    </row>
    <row r="7" spans="1:21" ht="15.75" thickBot="1" x14ac:dyDescent="0.3">
      <c r="A7" s="577" t="s">
        <v>372</v>
      </c>
      <c r="B7" s="545">
        <f t="shared" ref="B7:K7" si="1">B5-B6</f>
        <v>1258746</v>
      </c>
      <c r="C7" s="545">
        <f t="shared" si="1"/>
        <v>1101640</v>
      </c>
      <c r="D7" s="545">
        <f t="shared" si="1"/>
        <v>1250083</v>
      </c>
      <c r="E7" s="545">
        <f t="shared" si="1"/>
        <v>364552.5700000003</v>
      </c>
      <c r="F7" s="545">
        <f t="shared" si="1"/>
        <v>-771702</v>
      </c>
      <c r="G7" s="545">
        <f t="shared" si="1"/>
        <v>353209.80000000075</v>
      </c>
      <c r="H7" s="545">
        <f t="shared" si="1"/>
        <v>293760</v>
      </c>
      <c r="I7" s="545">
        <f t="shared" si="1"/>
        <v>788080</v>
      </c>
      <c r="J7" s="546">
        <f t="shared" si="1"/>
        <v>67782.859999997541</v>
      </c>
      <c r="K7" s="546">
        <f t="shared" si="1"/>
        <v>623711.21000000089</v>
      </c>
      <c r="L7" s="546">
        <f t="shared" ref="L7:Q7" si="2">L5-L6</f>
        <v>1089430.2200000007</v>
      </c>
      <c r="M7" s="546">
        <f t="shared" si="2"/>
        <v>918319.38000000268</v>
      </c>
      <c r="N7" s="545">
        <f t="shared" si="2"/>
        <v>1020614.3900000006</v>
      </c>
      <c r="O7" s="546">
        <f t="shared" si="2"/>
        <v>798078.36000000127</v>
      </c>
      <c r="P7" s="545">
        <f t="shared" si="2"/>
        <v>237514</v>
      </c>
      <c r="Q7" s="710">
        <f t="shared" si="2"/>
        <v>1059583.6900000013</v>
      </c>
      <c r="R7" s="578"/>
      <c r="T7" s="189"/>
      <c r="U7" s="189"/>
    </row>
    <row r="8" spans="1:21" ht="16.5" thickTop="1" thickBot="1" x14ac:dyDescent="0.3">
      <c r="A8" s="883"/>
      <c r="B8" s="884"/>
      <c r="C8" s="884"/>
      <c r="D8" s="884"/>
      <c r="E8" s="884"/>
      <c r="F8" s="884"/>
      <c r="G8" s="884"/>
      <c r="H8" s="884"/>
      <c r="I8" s="884"/>
      <c r="J8" s="884"/>
      <c r="K8" s="884"/>
      <c r="L8" s="884"/>
      <c r="M8" s="884"/>
      <c r="N8" s="884"/>
      <c r="O8" s="884"/>
      <c r="P8" s="884"/>
      <c r="Q8" s="884"/>
      <c r="R8" s="885"/>
      <c r="T8" s="189"/>
      <c r="U8" s="189"/>
    </row>
    <row r="9" spans="1:21" ht="15.75" thickTop="1" x14ac:dyDescent="0.25">
      <c r="A9" s="575" t="s">
        <v>373</v>
      </c>
      <c r="B9" s="543">
        <v>2113092</v>
      </c>
      <c r="C9" s="543">
        <v>1017958</v>
      </c>
      <c r="D9" s="543">
        <v>1245369</v>
      </c>
      <c r="E9" s="543">
        <v>4391413</v>
      </c>
      <c r="F9" s="543">
        <v>3456141</v>
      </c>
      <c r="G9" s="543">
        <v>4649713</v>
      </c>
      <c r="H9" s="543">
        <v>4502774.0599999996</v>
      </c>
      <c r="I9" s="543">
        <v>3678497</v>
      </c>
      <c r="J9" s="543">
        <v>1218338.5899999999</v>
      </c>
      <c r="K9" s="544">
        <v>752297.52</v>
      </c>
      <c r="L9" s="544">
        <v>935536.18</v>
      </c>
      <c r="M9" s="544">
        <v>1696241.7999999998</v>
      </c>
      <c r="N9" s="543">
        <v>2123247.52</v>
      </c>
      <c r="O9" s="544">
        <v>1526662.64</v>
      </c>
      <c r="P9" s="543">
        <f>'Kapitálové príjmy'!R42</f>
        <v>2891150</v>
      </c>
      <c r="Q9" s="708">
        <f>'Kapitálové príjmy'!S42</f>
        <v>2436633.2399999998</v>
      </c>
      <c r="R9" s="713">
        <f t="shared" ref="R9:R10" si="3">IF(P9=0,0,ROUND(Q9/P9*100,2))</f>
        <v>84.28</v>
      </c>
      <c r="T9" s="189"/>
      <c r="U9" s="189"/>
    </row>
    <row r="10" spans="1:21" ht="15.75" thickBot="1" x14ac:dyDescent="0.3">
      <c r="A10" s="576" t="s">
        <v>374</v>
      </c>
      <c r="B10" s="538">
        <v>2988050</v>
      </c>
      <c r="C10" s="538">
        <v>1793069</v>
      </c>
      <c r="D10" s="538">
        <v>2942409</v>
      </c>
      <c r="E10" s="538">
        <v>4880528</v>
      </c>
      <c r="F10" s="538">
        <v>5977301</v>
      </c>
      <c r="G10" s="538">
        <v>5818483</v>
      </c>
      <c r="H10" s="538">
        <v>4719096</v>
      </c>
      <c r="I10" s="538">
        <v>3939694</v>
      </c>
      <c r="J10" s="538">
        <v>1800938.79</v>
      </c>
      <c r="K10" s="539">
        <v>2904600.1800000006</v>
      </c>
      <c r="L10" s="539">
        <v>1348818.6500000001</v>
      </c>
      <c r="M10" s="539">
        <v>1900647.68</v>
      </c>
      <c r="N10" s="538">
        <v>2329182.13</v>
      </c>
      <c r="O10" s="539">
        <v>2649518.4900000002</v>
      </c>
      <c r="P10" s="538">
        <f>'Kapitálové výdavky'!R153</f>
        <v>9484663</v>
      </c>
      <c r="Q10" s="709">
        <f>'Kapitálové výdavky'!S153</f>
        <v>2729306.48</v>
      </c>
      <c r="R10" s="714">
        <f t="shared" si="3"/>
        <v>28.78</v>
      </c>
      <c r="T10" s="189"/>
      <c r="U10" s="189"/>
    </row>
    <row r="11" spans="1:21" ht="15.75" thickBot="1" x14ac:dyDescent="0.3">
      <c r="A11" s="579" t="s">
        <v>375</v>
      </c>
      <c r="B11" s="547">
        <f t="shared" ref="B11:K11" si="4">B9-B10</f>
        <v>-874958</v>
      </c>
      <c r="C11" s="547">
        <f t="shared" si="4"/>
        <v>-775111</v>
      </c>
      <c r="D11" s="547">
        <f t="shared" si="4"/>
        <v>-1697040</v>
      </c>
      <c r="E11" s="547">
        <f t="shared" si="4"/>
        <v>-489115</v>
      </c>
      <c r="F11" s="547">
        <f t="shared" si="4"/>
        <v>-2521160</v>
      </c>
      <c r="G11" s="547">
        <f t="shared" si="4"/>
        <v>-1168770</v>
      </c>
      <c r="H11" s="547">
        <f t="shared" si="4"/>
        <v>-216321.94000000041</v>
      </c>
      <c r="I11" s="547">
        <f t="shared" si="4"/>
        <v>-261197</v>
      </c>
      <c r="J11" s="548">
        <f t="shared" si="4"/>
        <v>-582600.20000000019</v>
      </c>
      <c r="K11" s="548">
        <f t="shared" si="4"/>
        <v>-2152302.6600000006</v>
      </c>
      <c r="L11" s="548">
        <f>L9-L10</f>
        <v>-413282.47000000009</v>
      </c>
      <c r="M11" s="548">
        <f>M9-M10</f>
        <v>-204405.88000000012</v>
      </c>
      <c r="N11" s="547">
        <f>N9-N10</f>
        <v>-205934.60999999987</v>
      </c>
      <c r="O11" s="548">
        <f>O9-O10</f>
        <v>-1122855.8500000003</v>
      </c>
      <c r="P11" s="547">
        <f>P9-P10</f>
        <v>-6593513</v>
      </c>
      <c r="Q11" s="711">
        <f t="shared" ref="Q11" si="5">Q9-Q10</f>
        <v>-292673.24000000022</v>
      </c>
      <c r="R11" s="580"/>
      <c r="T11" s="189"/>
      <c r="U11" s="189"/>
    </row>
    <row r="12" spans="1:21" ht="16.5" thickTop="1" thickBot="1" x14ac:dyDescent="0.3">
      <c r="A12" s="883"/>
      <c r="B12" s="884"/>
      <c r="C12" s="884"/>
      <c r="D12" s="884"/>
      <c r="E12" s="884"/>
      <c r="F12" s="884"/>
      <c r="G12" s="884"/>
      <c r="H12" s="884"/>
      <c r="I12" s="884"/>
      <c r="J12" s="884"/>
      <c r="K12" s="884"/>
      <c r="L12" s="884"/>
      <c r="M12" s="884"/>
      <c r="N12" s="884"/>
      <c r="O12" s="884"/>
      <c r="P12" s="884"/>
      <c r="Q12" s="884"/>
      <c r="R12" s="885"/>
      <c r="T12" s="189"/>
      <c r="U12" s="189"/>
    </row>
    <row r="13" spans="1:21" ht="15.75" thickTop="1" x14ac:dyDescent="0.25">
      <c r="A13" s="575" t="s">
        <v>376</v>
      </c>
      <c r="B13" s="543">
        <v>499436</v>
      </c>
      <c r="C13" s="543">
        <v>313085</v>
      </c>
      <c r="D13" s="543">
        <v>1640749</v>
      </c>
      <c r="E13" s="543">
        <v>2754938</v>
      </c>
      <c r="F13" s="543">
        <v>4479434</v>
      </c>
      <c r="G13" s="543">
        <v>2266668</v>
      </c>
      <c r="H13" s="543">
        <v>1305406</v>
      </c>
      <c r="I13" s="543">
        <v>1509534</v>
      </c>
      <c r="J13" s="543">
        <v>1300969.1299999999</v>
      </c>
      <c r="K13" s="544">
        <v>2766561.36</v>
      </c>
      <c r="L13" s="544">
        <v>2492133.9299999997</v>
      </c>
      <c r="M13" s="544">
        <v>1267177.1200000001</v>
      </c>
      <c r="N13" s="543">
        <v>1389578.65</v>
      </c>
      <c r="O13" s="544">
        <v>1600445.57</v>
      </c>
      <c r="P13" s="543">
        <f>'Fin operácie - príjmy'!R22</f>
        <v>7583014</v>
      </c>
      <c r="Q13" s="708">
        <f>'Fin operácie - príjmy'!S22</f>
        <v>3164039.87</v>
      </c>
      <c r="R13" s="713">
        <f t="shared" ref="R13:R14" si="6">IF(P13=0,0,ROUND(Q13/P13*100,2))</f>
        <v>41.73</v>
      </c>
      <c r="S13" s="189"/>
      <c r="T13" s="189"/>
      <c r="U13" s="189"/>
    </row>
    <row r="14" spans="1:21" ht="15.75" thickBot="1" x14ac:dyDescent="0.3">
      <c r="A14" s="576" t="s">
        <v>377</v>
      </c>
      <c r="B14" s="538">
        <v>477793</v>
      </c>
      <c r="C14" s="538">
        <v>470856</v>
      </c>
      <c r="D14" s="538">
        <v>334085</v>
      </c>
      <c r="E14" s="538">
        <v>1303204</v>
      </c>
      <c r="F14" s="538">
        <v>978096</v>
      </c>
      <c r="G14" s="538">
        <v>1356608</v>
      </c>
      <c r="H14" s="538">
        <v>1191263</v>
      </c>
      <c r="I14" s="538">
        <v>977990</v>
      </c>
      <c r="J14" s="538">
        <v>439019.94999999995</v>
      </c>
      <c r="K14" s="539">
        <v>540080.30000000005</v>
      </c>
      <c r="L14" s="539">
        <v>2548753.6599999997</v>
      </c>
      <c r="M14" s="539">
        <v>484835.82</v>
      </c>
      <c r="N14" s="538">
        <v>849215.54</v>
      </c>
      <c r="O14" s="539">
        <v>553837.26</v>
      </c>
      <c r="P14" s="538">
        <f>'Finančné operácie - výdavky'!R13</f>
        <v>1160319</v>
      </c>
      <c r="Q14" s="709">
        <f>'Finančné operácie - výdavky'!S13</f>
        <v>1236893.72</v>
      </c>
      <c r="R14" s="678">
        <f t="shared" si="6"/>
        <v>106.6</v>
      </c>
      <c r="T14" s="189"/>
      <c r="U14" s="189"/>
    </row>
    <row r="15" spans="1:21" ht="15.75" thickBot="1" x14ac:dyDescent="0.3">
      <c r="A15" s="579" t="s">
        <v>378</v>
      </c>
      <c r="B15" s="547">
        <f t="shared" ref="B15:K15" si="7">B13-B14</f>
        <v>21643</v>
      </c>
      <c r="C15" s="547">
        <f t="shared" si="7"/>
        <v>-157771</v>
      </c>
      <c r="D15" s="547">
        <f t="shared" si="7"/>
        <v>1306664</v>
      </c>
      <c r="E15" s="547">
        <f t="shared" si="7"/>
        <v>1451734</v>
      </c>
      <c r="F15" s="547">
        <f t="shared" si="7"/>
        <v>3501338</v>
      </c>
      <c r="G15" s="547">
        <f t="shared" si="7"/>
        <v>910060</v>
      </c>
      <c r="H15" s="547">
        <f t="shared" si="7"/>
        <v>114143</v>
      </c>
      <c r="I15" s="547">
        <f t="shared" si="7"/>
        <v>531544</v>
      </c>
      <c r="J15" s="548">
        <f t="shared" si="7"/>
        <v>861949.17999999993</v>
      </c>
      <c r="K15" s="548">
        <f t="shared" si="7"/>
        <v>2226481.0599999996</v>
      </c>
      <c r="L15" s="548">
        <f>L13-L14</f>
        <v>-56619.729999999981</v>
      </c>
      <c r="M15" s="548">
        <f>M13-M14</f>
        <v>782341.3</v>
      </c>
      <c r="N15" s="547">
        <f>N13-N14</f>
        <v>540363.10999999987</v>
      </c>
      <c r="O15" s="548">
        <f>O13-O14</f>
        <v>1046608.31</v>
      </c>
      <c r="P15" s="547">
        <f>P13-P14</f>
        <v>6422695</v>
      </c>
      <c r="Q15" s="711">
        <f t="shared" ref="Q15" si="8">Q13-Q14</f>
        <v>1927146.1500000001</v>
      </c>
      <c r="R15" s="580"/>
      <c r="U15" s="189"/>
    </row>
    <row r="16" spans="1:21" ht="16.5" thickTop="1" thickBot="1" x14ac:dyDescent="0.3">
      <c r="A16" s="883"/>
      <c r="B16" s="884"/>
      <c r="C16" s="884"/>
      <c r="D16" s="884"/>
      <c r="E16" s="884"/>
      <c r="F16" s="884"/>
      <c r="G16" s="884"/>
      <c r="H16" s="884"/>
      <c r="I16" s="884"/>
      <c r="J16" s="884"/>
      <c r="K16" s="884"/>
      <c r="L16" s="884"/>
      <c r="M16" s="884"/>
      <c r="N16" s="884"/>
      <c r="O16" s="884"/>
      <c r="P16" s="884"/>
      <c r="Q16" s="884"/>
      <c r="R16" s="885"/>
      <c r="T16" s="189"/>
      <c r="U16" s="189"/>
    </row>
    <row r="17" spans="1:21" ht="16.5" customHeight="1" thickTop="1" x14ac:dyDescent="0.25">
      <c r="A17" s="877" t="s">
        <v>379</v>
      </c>
      <c r="B17" s="878"/>
      <c r="C17" s="878"/>
      <c r="D17" s="878"/>
      <c r="E17" s="878"/>
      <c r="F17" s="878"/>
      <c r="G17" s="878"/>
      <c r="H17" s="878"/>
      <c r="I17" s="878"/>
      <c r="J17" s="878"/>
      <c r="K17" s="878"/>
      <c r="L17" s="878"/>
      <c r="M17" s="878"/>
      <c r="N17" s="878"/>
      <c r="O17" s="878"/>
      <c r="P17" s="878"/>
      <c r="Q17" s="878"/>
      <c r="R17" s="879"/>
      <c r="T17" s="189"/>
      <c r="U17" s="189"/>
    </row>
    <row r="18" spans="1:21" ht="15.75" customHeight="1" thickBot="1" x14ac:dyDescent="0.3">
      <c r="A18" s="880"/>
      <c r="B18" s="881"/>
      <c r="C18" s="881"/>
      <c r="D18" s="881"/>
      <c r="E18" s="881"/>
      <c r="F18" s="881"/>
      <c r="G18" s="881"/>
      <c r="H18" s="881"/>
      <c r="I18" s="881"/>
      <c r="J18" s="881"/>
      <c r="K18" s="881"/>
      <c r="L18" s="881"/>
      <c r="M18" s="881"/>
      <c r="N18" s="881"/>
      <c r="O18" s="881"/>
      <c r="P18" s="881"/>
      <c r="Q18" s="881"/>
      <c r="R18" s="882"/>
      <c r="U18" s="189"/>
    </row>
    <row r="19" spans="1:21" ht="17.25" thickTop="1" thickBot="1" x14ac:dyDescent="0.3">
      <c r="A19" s="596" t="s">
        <v>380</v>
      </c>
      <c r="B19" s="597">
        <f t="shared" ref="B19:J19" si="9">B7+B11+B15</f>
        <v>405431</v>
      </c>
      <c r="C19" s="597">
        <f t="shared" si="9"/>
        <v>168758</v>
      </c>
      <c r="D19" s="597">
        <f t="shared" si="9"/>
        <v>859707</v>
      </c>
      <c r="E19" s="597">
        <f t="shared" si="9"/>
        <v>1327171.5700000003</v>
      </c>
      <c r="F19" s="597">
        <f t="shared" si="9"/>
        <v>208476</v>
      </c>
      <c r="G19" s="597">
        <f t="shared" si="9"/>
        <v>94499.800000000745</v>
      </c>
      <c r="H19" s="597">
        <f t="shared" si="9"/>
        <v>191581.05999999959</v>
      </c>
      <c r="I19" s="597">
        <f t="shared" si="9"/>
        <v>1058427</v>
      </c>
      <c r="J19" s="598">
        <f t="shared" si="9"/>
        <v>347131.83999999729</v>
      </c>
      <c r="K19" s="598">
        <f>K7+K11+K15</f>
        <v>697889.60999999987</v>
      </c>
      <c r="L19" s="598">
        <f>L7+L11+L15</f>
        <v>619528.0200000006</v>
      </c>
      <c r="M19" s="598">
        <f>M7+M11+M15</f>
        <v>1496254.8000000026</v>
      </c>
      <c r="N19" s="597">
        <f>N7+N11+N15</f>
        <v>1355042.8900000006</v>
      </c>
      <c r="O19" s="598">
        <f>O7+O11+O15</f>
        <v>721830.820000001</v>
      </c>
      <c r="P19" s="599">
        <f>P15+P11+P7</f>
        <v>66696</v>
      </c>
      <c r="Q19" s="712">
        <f>Q15+Q11+Q7</f>
        <v>2694056.6000000015</v>
      </c>
      <c r="R19" s="600"/>
    </row>
    <row r="20" spans="1:21" ht="15.75" thickTop="1" x14ac:dyDescent="0.25">
      <c r="U20" s="189"/>
    </row>
    <row r="21" spans="1:21" x14ac:dyDescent="0.25">
      <c r="T21" s="189"/>
    </row>
    <row r="22" spans="1:21" ht="12.75" customHeight="1" x14ac:dyDescent="0.25">
      <c r="O22" s="303"/>
      <c r="P22" s="303"/>
      <c r="Q22" s="303"/>
      <c r="R22" s="189"/>
      <c r="U22" s="189"/>
    </row>
    <row r="23" spans="1:21" ht="15.75" customHeight="1" x14ac:dyDescent="0.25">
      <c r="P23" s="189"/>
      <c r="Q23" s="303"/>
      <c r="R23" s="189"/>
      <c r="T23" s="189"/>
    </row>
    <row r="25" spans="1:21" x14ac:dyDescent="0.25">
      <c r="P25" s="303"/>
      <c r="Q25" s="303"/>
      <c r="R25" s="189"/>
    </row>
    <row r="26" spans="1:21" ht="15.75" x14ac:dyDescent="0.25">
      <c r="J26" s="581"/>
      <c r="P26" s="189"/>
      <c r="Q26" s="189"/>
      <c r="R26" s="189"/>
    </row>
    <row r="27" spans="1:21" x14ac:dyDescent="0.25">
      <c r="P27" s="189"/>
      <c r="Q27" s="189"/>
      <c r="R27" s="189"/>
    </row>
    <row r="29" spans="1:21" x14ac:dyDescent="0.25">
      <c r="J29" s="189"/>
    </row>
    <row r="33" spans="16:21" x14ac:dyDescent="0.25">
      <c r="P33" s="189"/>
      <c r="Q33" s="189"/>
    </row>
    <row r="36" spans="16:21" x14ac:dyDescent="0.25">
      <c r="U36" s="189"/>
    </row>
    <row r="42" spans="16:21" x14ac:dyDescent="0.25">
      <c r="P42" s="189"/>
      <c r="Q42" s="189"/>
    </row>
    <row r="57" spans="10:17" x14ac:dyDescent="0.25">
      <c r="P57" s="189"/>
      <c r="Q57" s="189"/>
    </row>
    <row r="58" spans="10:17" x14ac:dyDescent="0.25">
      <c r="P58" s="189"/>
      <c r="Q58" s="189"/>
    </row>
    <row r="64" spans="10:17" x14ac:dyDescent="0.25">
      <c r="J64">
        <f>SUM(J50:J63)</f>
        <v>0</v>
      </c>
    </row>
    <row r="65" spans="1:17" x14ac:dyDescent="0.25">
      <c r="P65" s="189"/>
      <c r="Q65" s="189"/>
    </row>
    <row r="66" spans="1:17" x14ac:dyDescent="0.25">
      <c r="P66" s="189"/>
      <c r="Q66" s="189"/>
    </row>
    <row r="68" spans="1:17" x14ac:dyDescent="0.25">
      <c r="A68" s="582"/>
      <c r="J68">
        <v>12000</v>
      </c>
    </row>
    <row r="69" spans="1:17" x14ac:dyDescent="0.25">
      <c r="J69">
        <v>5000</v>
      </c>
    </row>
    <row r="70" spans="1:17" x14ac:dyDescent="0.25">
      <c r="J70">
        <v>5000</v>
      </c>
    </row>
    <row r="71" spans="1:17" x14ac:dyDescent="0.25">
      <c r="J71">
        <v>7000</v>
      </c>
    </row>
    <row r="77" spans="1:17" x14ac:dyDescent="0.25">
      <c r="J77">
        <f>SUM(J68:J76)</f>
        <v>29000</v>
      </c>
    </row>
  </sheetData>
  <mergeCells count="23">
    <mergeCell ref="D3:D4"/>
    <mergeCell ref="E3:E4"/>
    <mergeCell ref="A17:R18"/>
    <mergeCell ref="A16:R16"/>
    <mergeCell ref="A12:R12"/>
    <mergeCell ref="A8:R8"/>
    <mergeCell ref="Q3:Q4"/>
    <mergeCell ref="A1:R1"/>
    <mergeCell ref="K3:K4"/>
    <mergeCell ref="L3:L4"/>
    <mergeCell ref="M3:M4"/>
    <mergeCell ref="N3:N4"/>
    <mergeCell ref="P3:P4"/>
    <mergeCell ref="O3:O4"/>
    <mergeCell ref="R3:R4"/>
    <mergeCell ref="F3:F4"/>
    <mergeCell ref="G3:G4"/>
    <mergeCell ref="H3:H4"/>
    <mergeCell ref="I3:I4"/>
    <mergeCell ref="J3:J4"/>
    <mergeCell ref="A3:A4"/>
    <mergeCell ref="B3:B4"/>
    <mergeCell ref="C3:C4"/>
  </mergeCells>
  <pageMargins left="0.31496062992125984" right="0.11811023622047245" top="0.35433070866141736" bottom="0.35433070866141736" header="0" footer="0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Normal="100" workbookViewId="0">
      <selection activeCell="D21" sqref="D21:D22"/>
    </sheetView>
  </sheetViews>
  <sheetFormatPr defaultRowHeight="15" x14ac:dyDescent="0.25"/>
  <cols>
    <col min="1" max="1" width="27.7109375" customWidth="1"/>
    <col min="2" max="2" width="16.28515625" customWidth="1"/>
    <col min="3" max="3" width="15" customWidth="1"/>
    <col min="4" max="4" width="14.5703125" customWidth="1"/>
    <col min="5" max="5" width="15" customWidth="1"/>
  </cols>
  <sheetData>
    <row r="1" spans="1:5" ht="44.25" thickTop="1" thickBot="1" x14ac:dyDescent="0.3">
      <c r="A1" s="715" t="s">
        <v>466</v>
      </c>
      <c r="B1" s="716" t="s">
        <v>467</v>
      </c>
      <c r="C1" s="716" t="s">
        <v>490</v>
      </c>
      <c r="D1" s="716" t="s">
        <v>468</v>
      </c>
      <c r="E1" s="717" t="s">
        <v>469</v>
      </c>
    </row>
    <row r="2" spans="1:5" ht="15.75" thickTop="1" x14ac:dyDescent="0.25">
      <c r="A2" s="892" t="s">
        <v>470</v>
      </c>
      <c r="B2" s="893"/>
      <c r="C2" s="893"/>
      <c r="D2" s="893"/>
      <c r="E2" s="894"/>
    </row>
    <row r="3" spans="1:5" ht="18.75" customHeight="1" x14ac:dyDescent="0.25">
      <c r="A3" s="718" t="s">
        <v>471</v>
      </c>
      <c r="B3" s="719">
        <v>12332394</v>
      </c>
      <c r="C3" s="720">
        <f>'Bežné príjmy'!R114</f>
        <v>13127459</v>
      </c>
      <c r="D3" s="721">
        <f>'Bežné príjmy'!S114</f>
        <v>13601965.26</v>
      </c>
      <c r="E3" s="722">
        <f>IF(C3=0,0,D3/C3)*100</f>
        <v>103.6146085849516</v>
      </c>
    </row>
    <row r="4" spans="1:5" ht="18.75" customHeight="1" x14ac:dyDescent="0.25">
      <c r="A4" s="718" t="s">
        <v>472</v>
      </c>
      <c r="B4" s="719">
        <v>11824420</v>
      </c>
      <c r="C4" s="720">
        <f>'bežné výdavky'!R210</f>
        <v>12889945</v>
      </c>
      <c r="D4" s="721">
        <f>'bežné výdavky'!S210</f>
        <v>12542381.569999998</v>
      </c>
      <c r="E4" s="722">
        <f>IF(C4=0,0,D4/C4)*100</f>
        <v>97.303608122455117</v>
      </c>
    </row>
    <row r="5" spans="1:5" ht="18.75" customHeight="1" x14ac:dyDescent="0.25">
      <c r="A5" s="723" t="s">
        <v>473</v>
      </c>
      <c r="B5" s="886">
        <f>B3-B4</f>
        <v>507974</v>
      </c>
      <c r="C5" s="886">
        <f>C3-C4</f>
        <v>237514</v>
      </c>
      <c r="D5" s="888">
        <f>D3-D4</f>
        <v>1059583.6900000013</v>
      </c>
      <c r="E5" s="890"/>
    </row>
    <row r="6" spans="1:5" ht="18.75" customHeight="1" thickBot="1" x14ac:dyDescent="0.3">
      <c r="A6" s="724" t="s">
        <v>474</v>
      </c>
      <c r="B6" s="887"/>
      <c r="C6" s="887"/>
      <c r="D6" s="889"/>
      <c r="E6" s="891"/>
    </row>
    <row r="7" spans="1:5" ht="18.75" customHeight="1" thickTop="1" x14ac:dyDescent="0.25">
      <c r="A7" s="892" t="s">
        <v>475</v>
      </c>
      <c r="B7" s="893"/>
      <c r="C7" s="893"/>
      <c r="D7" s="893"/>
      <c r="E7" s="894"/>
    </row>
    <row r="8" spans="1:5" ht="18.75" customHeight="1" x14ac:dyDescent="0.25">
      <c r="A8" s="718" t="s">
        <v>476</v>
      </c>
      <c r="B8" s="719">
        <v>160000</v>
      </c>
      <c r="C8" s="720">
        <f>'Kapitálové príjmy'!R42</f>
        <v>2891150</v>
      </c>
      <c r="D8" s="721">
        <f>'Kapitálové príjmy'!S42</f>
        <v>2436633.2399999998</v>
      </c>
      <c r="E8" s="722">
        <f>IF(C8=0,0,D8/C8)*100</f>
        <v>84.279032219013189</v>
      </c>
    </row>
    <row r="9" spans="1:5" ht="18.75" customHeight="1" x14ac:dyDescent="0.25">
      <c r="A9" s="718" t="s">
        <v>477</v>
      </c>
      <c r="B9" s="719">
        <v>2565432</v>
      </c>
      <c r="C9" s="720">
        <f>'Kapitálové výdavky'!R153</f>
        <v>9484663</v>
      </c>
      <c r="D9" s="721">
        <f>'Kapitálové výdavky'!S153</f>
        <v>2729306.48</v>
      </c>
      <c r="E9" s="722">
        <f>IF(C9=0,0,D9/C9)*100</f>
        <v>28.775998472481312</v>
      </c>
    </row>
    <row r="10" spans="1:5" ht="18.75" customHeight="1" x14ac:dyDescent="0.25">
      <c r="A10" s="723" t="s">
        <v>478</v>
      </c>
      <c r="B10" s="886">
        <f>B8-B9</f>
        <v>-2405432</v>
      </c>
      <c r="C10" s="886">
        <f>C8-C9</f>
        <v>-6593513</v>
      </c>
      <c r="D10" s="888">
        <f>D8-D9</f>
        <v>-292673.24000000022</v>
      </c>
      <c r="E10" s="890"/>
    </row>
    <row r="11" spans="1:5" ht="18.75" customHeight="1" thickBot="1" x14ac:dyDescent="0.3">
      <c r="A11" s="724" t="s">
        <v>479</v>
      </c>
      <c r="B11" s="887"/>
      <c r="C11" s="887"/>
      <c r="D11" s="889"/>
      <c r="E11" s="891"/>
    </row>
    <row r="12" spans="1:5" ht="18.75" customHeight="1" thickTop="1" x14ac:dyDescent="0.25">
      <c r="A12" s="892" t="s">
        <v>480</v>
      </c>
      <c r="B12" s="893"/>
      <c r="C12" s="893"/>
      <c r="D12" s="893"/>
      <c r="E12" s="894"/>
    </row>
    <row r="13" spans="1:5" ht="18.75" customHeight="1" x14ac:dyDescent="0.25">
      <c r="A13" s="718" t="s">
        <v>481</v>
      </c>
      <c r="B13" s="720">
        <f t="shared" ref="B13:D14" si="0">B3+B8</f>
        <v>12492394</v>
      </c>
      <c r="C13" s="720">
        <f t="shared" si="0"/>
        <v>16018609</v>
      </c>
      <c r="D13" s="721">
        <f t="shared" si="0"/>
        <v>16038598.5</v>
      </c>
      <c r="E13" s="722">
        <f>IF(C13=0,0,D13/C13)*100</f>
        <v>100.12478923731767</v>
      </c>
    </row>
    <row r="14" spans="1:5" ht="18.75" customHeight="1" x14ac:dyDescent="0.25">
      <c r="A14" s="718" t="s">
        <v>482</v>
      </c>
      <c r="B14" s="720">
        <f t="shared" si="0"/>
        <v>14389852</v>
      </c>
      <c r="C14" s="720">
        <f t="shared" si="0"/>
        <v>22374608</v>
      </c>
      <c r="D14" s="721">
        <f t="shared" si="0"/>
        <v>15271688.049999999</v>
      </c>
      <c r="E14" s="722">
        <f>IF(C14=0,0,D14/C14)*100</f>
        <v>68.254550202622539</v>
      </c>
    </row>
    <row r="15" spans="1:5" ht="18.75" customHeight="1" x14ac:dyDescent="0.25">
      <c r="A15" s="723" t="s">
        <v>483</v>
      </c>
      <c r="B15" s="886">
        <f>B13-B14</f>
        <v>-1897458</v>
      </c>
      <c r="C15" s="886">
        <f>C13-C14</f>
        <v>-6355999</v>
      </c>
      <c r="D15" s="888">
        <f>D13-D14</f>
        <v>766910.45000000112</v>
      </c>
      <c r="E15" s="890"/>
    </row>
    <row r="16" spans="1:5" ht="18.75" customHeight="1" thickBot="1" x14ac:dyDescent="0.3">
      <c r="A16" s="724" t="s">
        <v>484</v>
      </c>
      <c r="B16" s="887"/>
      <c r="C16" s="887"/>
      <c r="D16" s="889"/>
      <c r="E16" s="891"/>
    </row>
    <row r="17" spans="1:5" ht="18.75" customHeight="1" thickTop="1" x14ac:dyDescent="0.25">
      <c r="A17" s="895" t="s">
        <v>354</v>
      </c>
      <c r="B17" s="896"/>
      <c r="C17" s="896"/>
      <c r="D17" s="896"/>
      <c r="E17" s="897"/>
    </row>
    <row r="18" spans="1:5" ht="18.75" customHeight="1" x14ac:dyDescent="0.25">
      <c r="A18" s="718" t="s">
        <v>485</v>
      </c>
      <c r="B18" s="719">
        <v>2403759</v>
      </c>
      <c r="C18" s="720">
        <f>'Fin operácie - príjmy'!R22</f>
        <v>7583014</v>
      </c>
      <c r="D18" s="721">
        <f>'Fin operácie - príjmy'!S22</f>
        <v>3164039.87</v>
      </c>
      <c r="E18" s="722">
        <f>IF(C18=0,0,D18/C18)*100</f>
        <v>41.725359731631777</v>
      </c>
    </row>
    <row r="19" spans="1:5" ht="18.75" customHeight="1" x14ac:dyDescent="0.25">
      <c r="A19" s="718" t="s">
        <v>486</v>
      </c>
      <c r="B19" s="719">
        <v>506301</v>
      </c>
      <c r="C19" s="720">
        <f>'Finančné operácie - výdavky'!R13</f>
        <v>1160319</v>
      </c>
      <c r="D19" s="721">
        <f>'Finančné operácie - výdavky'!S13</f>
        <v>1236893.72</v>
      </c>
      <c r="E19" s="722">
        <f>IF(C19=0,0,D19/C19)*100</f>
        <v>106.59945411563545</v>
      </c>
    </row>
    <row r="20" spans="1:5" ht="18.75" customHeight="1" thickBot="1" x14ac:dyDescent="0.3">
      <c r="A20" s="724" t="s">
        <v>487</v>
      </c>
      <c r="B20" s="725">
        <f>B18-B19</f>
        <v>1897458</v>
      </c>
      <c r="C20" s="725">
        <f>C18-C19</f>
        <v>6422695</v>
      </c>
      <c r="D20" s="726">
        <f>D18-D19</f>
        <v>1927146.1500000001</v>
      </c>
      <c r="E20" s="727"/>
    </row>
    <row r="21" spans="1:5" ht="18.75" customHeight="1" thickTop="1" x14ac:dyDescent="0.25">
      <c r="A21" s="728" t="s">
        <v>488</v>
      </c>
      <c r="B21" s="898">
        <f>B5+B10+B20</f>
        <v>0</v>
      </c>
      <c r="C21" s="900">
        <f>C5+C10+C20</f>
        <v>66696</v>
      </c>
      <c r="D21" s="902">
        <f>D5+D10+D20</f>
        <v>2694056.6000000015</v>
      </c>
      <c r="E21" s="904"/>
    </row>
    <row r="22" spans="1:5" ht="18.75" customHeight="1" thickBot="1" x14ac:dyDescent="0.3">
      <c r="A22" s="729" t="s">
        <v>489</v>
      </c>
      <c r="B22" s="899"/>
      <c r="C22" s="901"/>
      <c r="D22" s="903"/>
      <c r="E22" s="905"/>
    </row>
    <row r="23" spans="1:5" ht="15.75" thickTop="1" x14ac:dyDescent="0.25"/>
    <row r="24" spans="1:5" ht="15.75" x14ac:dyDescent="0.25">
      <c r="E24" s="731"/>
    </row>
    <row r="31" spans="1:5" x14ac:dyDescent="0.25">
      <c r="A31" s="730"/>
      <c r="B31" s="730"/>
      <c r="C31" s="730"/>
    </row>
    <row r="32" spans="1:5" x14ac:dyDescent="0.25">
      <c r="A32" s="730"/>
      <c r="B32" s="730"/>
      <c r="C32" s="730"/>
    </row>
    <row r="33" spans="1:5" x14ac:dyDescent="0.25">
      <c r="A33" s="730"/>
      <c r="B33" s="730"/>
      <c r="C33" s="730"/>
    </row>
    <row r="34" spans="1:5" x14ac:dyDescent="0.25">
      <c r="A34" s="730"/>
      <c r="B34" s="730"/>
      <c r="C34" s="730"/>
    </row>
    <row r="35" spans="1:5" x14ac:dyDescent="0.25">
      <c r="A35" s="730"/>
      <c r="B35" s="730"/>
      <c r="C35" s="730"/>
    </row>
    <row r="36" spans="1:5" x14ac:dyDescent="0.25">
      <c r="A36" s="730"/>
      <c r="B36" s="730"/>
      <c r="C36" s="730"/>
    </row>
    <row r="37" spans="1:5" x14ac:dyDescent="0.25">
      <c r="A37" s="730"/>
      <c r="B37" s="730"/>
      <c r="C37" s="730"/>
    </row>
    <row r="38" spans="1:5" x14ac:dyDescent="0.25">
      <c r="C38" s="303"/>
      <c r="E38" s="730"/>
    </row>
    <row r="40" spans="1:5" x14ac:dyDescent="0.25">
      <c r="E40" s="303"/>
    </row>
  </sheetData>
  <mergeCells count="20">
    <mergeCell ref="D15:D16"/>
    <mergeCell ref="E15:E16"/>
    <mergeCell ref="A17:E17"/>
    <mergeCell ref="B21:B22"/>
    <mergeCell ref="C21:C22"/>
    <mergeCell ref="D21:D22"/>
    <mergeCell ref="E21:E22"/>
    <mergeCell ref="B15:B16"/>
    <mergeCell ref="C15:C16"/>
    <mergeCell ref="A7:E7"/>
    <mergeCell ref="A2:E2"/>
    <mergeCell ref="B5:B6"/>
    <mergeCell ref="C5:C6"/>
    <mergeCell ref="D5:D6"/>
    <mergeCell ref="E5:E6"/>
    <mergeCell ref="B10:B11"/>
    <mergeCell ref="C10:C11"/>
    <mergeCell ref="D10:D11"/>
    <mergeCell ref="E10:E11"/>
    <mergeCell ref="A12:E12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8</vt:i4>
      </vt:variant>
      <vt:variant>
        <vt:lpstr>Pomenované rozsahy</vt:lpstr>
      </vt:variant>
      <vt:variant>
        <vt:i4>2</vt:i4>
      </vt:variant>
    </vt:vector>
  </HeadingPairs>
  <TitlesOfParts>
    <vt:vector size="10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SUM.</vt:lpstr>
      <vt:lpstr>'bežné výdavky'!Oblasť_tlače</vt:lpstr>
      <vt:lpstr>'Finančné operácie - výdavky'!Oblasť_tlače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2021-04-09T07:28:43Z</cp:lastPrinted>
  <dcterms:created xsi:type="dcterms:W3CDTF">2019-11-29T12:22:49Z</dcterms:created>
  <dcterms:modified xsi:type="dcterms:W3CDTF">2021-04-16T07:42:00Z</dcterms:modified>
</cp:coreProperties>
</file>