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65" yWindow="915" windowWidth="15450" windowHeight="12450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Zdroje krytia" sheetId="8" r:id="rId8"/>
  </sheets>
  <definedNames>
    <definedName name="_xlnm.Print_Area" localSheetId="1">'bežné výdavky'!$A$1:$U$213</definedName>
    <definedName name="_xlnm.Print_Area" localSheetId="5">'Finančné operácie - výdavky'!$A$2:$U$13</definedName>
  </definedNames>
  <calcPr calcId="144525"/>
</workbook>
</file>

<file path=xl/calcChain.xml><?xml version="1.0" encoding="utf-8"?>
<calcChain xmlns="http://schemas.openxmlformats.org/spreadsheetml/2006/main">
  <c r="N48" i="8" l="1"/>
  <c r="B51" i="8"/>
  <c r="X4" i="2"/>
  <c r="T81" i="2"/>
  <c r="S7" i="1"/>
  <c r="T6" i="2"/>
  <c r="T5" i="2"/>
  <c r="T130" i="4" l="1"/>
  <c r="C40" i="8" l="1"/>
  <c r="E40" i="8"/>
  <c r="E16" i="8"/>
  <c r="D51" i="8"/>
  <c r="N21" i="8"/>
  <c r="N46" i="8"/>
  <c r="N47" i="8"/>
  <c r="N38" i="8" l="1"/>
  <c r="N39" i="8"/>
  <c r="N40" i="8"/>
  <c r="N41" i="8"/>
  <c r="N19" i="8"/>
  <c r="N20" i="8"/>
  <c r="N17" i="8"/>
  <c r="N18" i="8"/>
  <c r="G5" i="8"/>
  <c r="G6" i="8"/>
  <c r="T83" i="2"/>
  <c r="T82" i="2"/>
  <c r="S66" i="4" l="1"/>
  <c r="S74" i="4"/>
  <c r="S57" i="4"/>
  <c r="T57" i="4"/>
  <c r="U119" i="2"/>
  <c r="T36" i="2"/>
  <c r="T74" i="4"/>
  <c r="T66" i="4"/>
  <c r="U113" i="4"/>
  <c r="T113" i="4"/>
  <c r="T185" i="2" l="1"/>
  <c r="T176" i="2"/>
  <c r="T71" i="2"/>
  <c r="S72" i="1"/>
  <c r="U94" i="4"/>
  <c r="U95" i="4"/>
  <c r="U161" i="2" l="1"/>
  <c r="U165" i="2"/>
  <c r="U166" i="2"/>
  <c r="R19" i="2" l="1"/>
  <c r="S19" i="3" l="1"/>
  <c r="U5" i="4" l="1"/>
  <c r="U47" i="4" l="1"/>
  <c r="N34" i="8" l="1"/>
  <c r="U91" i="4" l="1"/>
  <c r="U90" i="4"/>
  <c r="T26" i="3"/>
  <c r="T27" i="3"/>
  <c r="C36" i="8" l="1"/>
  <c r="E15" i="8"/>
  <c r="T94" i="1" l="1"/>
  <c r="U120" i="2"/>
  <c r="Q153" i="4" l="1"/>
  <c r="Q208" i="2"/>
  <c r="Q207" i="2"/>
  <c r="Q206" i="2"/>
  <c r="Q204" i="2"/>
  <c r="Q200" i="2"/>
  <c r="Q199" i="2"/>
  <c r="Q198" i="2"/>
  <c r="Q197" i="2"/>
  <c r="Q190" i="2"/>
  <c r="Q184" i="2"/>
  <c r="Q182" i="2"/>
  <c r="Q175" i="2"/>
  <c r="T85" i="1"/>
  <c r="Q72" i="1"/>
  <c r="Q156" i="2"/>
  <c r="Q151" i="2"/>
  <c r="Q145" i="2"/>
  <c r="Q142" i="2"/>
  <c r="Q127" i="2"/>
  <c r="Q122" i="2"/>
  <c r="Q115" i="2"/>
  <c r="Q110" i="2"/>
  <c r="Q91" i="2"/>
  <c r="Q86" i="2"/>
  <c r="Q81" i="2"/>
  <c r="Q74" i="2"/>
  <c r="Q70" i="2"/>
  <c r="Q64" i="2"/>
  <c r="Q62" i="2"/>
  <c r="Q61" i="2"/>
  <c r="Q57" i="2"/>
  <c r="Q50" i="2"/>
  <c r="Q43" i="2"/>
  <c r="Q41" i="2"/>
  <c r="Q36" i="2"/>
  <c r="Q34" i="2"/>
  <c r="Q29" i="2"/>
  <c r="Q27" i="2"/>
  <c r="Q56" i="2" l="1"/>
  <c r="Q150" i="2"/>
  <c r="Q174" i="2"/>
  <c r="Q196" i="2"/>
  <c r="Q195" i="2" s="1"/>
  <c r="Q25" i="2"/>
  <c r="Q19" i="2"/>
  <c r="Q14" i="2"/>
  <c r="Q10" i="2"/>
  <c r="Q4" i="2"/>
  <c r="Q210" i="2" l="1"/>
  <c r="N49" i="8"/>
  <c r="N35" i="8"/>
  <c r="N36" i="8"/>
  <c r="N15" i="8"/>
  <c r="N16" i="8"/>
  <c r="N10" i="8"/>
  <c r="N9" i="8" l="1"/>
  <c r="U44" i="4"/>
  <c r="N31" i="8"/>
  <c r="N33" i="8"/>
  <c r="U87" i="4"/>
  <c r="U83" i="4"/>
  <c r="T30" i="3"/>
  <c r="T31" i="3"/>
  <c r="T88" i="1"/>
  <c r="T12" i="4" l="1"/>
  <c r="R12" i="4"/>
  <c r="U93" i="4" l="1"/>
  <c r="U18" i="4"/>
  <c r="T7" i="1" l="1"/>
  <c r="N5" i="8" l="1"/>
  <c r="M4" i="8" l="1"/>
  <c r="I42" i="8"/>
  <c r="T28" i="3" l="1"/>
  <c r="T29" i="3"/>
  <c r="I4" i="8"/>
  <c r="M29" i="8"/>
  <c r="M12" i="8"/>
  <c r="N44" i="8"/>
  <c r="U81" i="4" l="1"/>
  <c r="T8" i="5" l="1"/>
  <c r="T25" i="3" l="1"/>
  <c r="T4" i="2" l="1"/>
  <c r="T7" i="5" l="1"/>
  <c r="M11" i="8" l="1"/>
  <c r="N14" i="8" l="1"/>
  <c r="N7" i="8"/>
  <c r="T127" i="2" l="1"/>
  <c r="H6" i="8" l="1"/>
  <c r="U82" i="4" l="1"/>
  <c r="T9" i="5" l="1"/>
  <c r="R4" i="4"/>
  <c r="R130" i="4"/>
  <c r="R142" i="2" l="1"/>
  <c r="R127" i="2"/>
  <c r="R122" i="2"/>
  <c r="R115" i="2"/>
  <c r="R112" i="2"/>
  <c r="R86" i="2"/>
  <c r="H51" i="8" l="1"/>
  <c r="N45" i="8" l="1"/>
  <c r="M8" i="8" l="1"/>
  <c r="R5" i="5" l="1"/>
  <c r="I8" i="8" l="1"/>
  <c r="U133" i="4" l="1"/>
  <c r="I32" i="8" l="1"/>
  <c r="N32" i="8" s="1"/>
  <c r="L51" i="8"/>
  <c r="K51" i="8"/>
  <c r="S5" i="5" l="1"/>
  <c r="T10" i="5"/>
  <c r="T11" i="5" l="1"/>
  <c r="N3" i="8"/>
  <c r="M51" i="8"/>
  <c r="J51" i="8"/>
  <c r="G51" i="8"/>
  <c r="F51" i="8"/>
  <c r="E51" i="8"/>
  <c r="C51" i="8"/>
  <c r="N42" i="8"/>
  <c r="N43" i="8"/>
  <c r="U12" i="6" l="1"/>
  <c r="U11" i="6"/>
  <c r="U10" i="6"/>
  <c r="U9" i="6"/>
  <c r="U8" i="6"/>
  <c r="U7" i="6"/>
  <c r="U6" i="6"/>
  <c r="T5" i="6"/>
  <c r="S5" i="6"/>
  <c r="S13" i="6" s="1"/>
  <c r="Q15" i="7" s="1"/>
  <c r="T21" i="5"/>
  <c r="T20" i="5"/>
  <c r="T19" i="5"/>
  <c r="T18" i="5"/>
  <c r="T17" i="5"/>
  <c r="T16" i="5"/>
  <c r="T15" i="5"/>
  <c r="T14" i="5"/>
  <c r="T12" i="5"/>
  <c r="T6" i="5"/>
  <c r="T151" i="4"/>
  <c r="S151" i="4"/>
  <c r="R151" i="4"/>
  <c r="T148" i="4"/>
  <c r="S148" i="4"/>
  <c r="R148" i="4"/>
  <c r="T146" i="4"/>
  <c r="S146" i="4"/>
  <c r="R146" i="4"/>
  <c r="S130" i="4"/>
  <c r="T128" i="4"/>
  <c r="S128" i="4"/>
  <c r="R128" i="4"/>
  <c r="T121" i="4"/>
  <c r="S121" i="4"/>
  <c r="R121" i="4"/>
  <c r="S113" i="4"/>
  <c r="R113" i="4"/>
  <c r="T107" i="4"/>
  <c r="S107" i="4"/>
  <c r="R107" i="4"/>
  <c r="T78" i="4"/>
  <c r="T153" i="4" s="1"/>
  <c r="S78" i="4"/>
  <c r="R78" i="4"/>
  <c r="R74" i="4"/>
  <c r="R66" i="4"/>
  <c r="R57" i="4"/>
  <c r="S36" i="4"/>
  <c r="T36" i="4"/>
  <c r="R36" i="4"/>
  <c r="S12" i="4"/>
  <c r="T9" i="4"/>
  <c r="S9" i="4"/>
  <c r="R9" i="4"/>
  <c r="T4" i="4"/>
  <c r="S4" i="4"/>
  <c r="U4" i="4"/>
  <c r="U152" i="4"/>
  <c r="U151" i="4" s="1"/>
  <c r="U150" i="4"/>
  <c r="U149" i="4"/>
  <c r="U148" i="4" s="1"/>
  <c r="U147" i="4"/>
  <c r="U146" i="4" s="1"/>
  <c r="U145" i="4"/>
  <c r="U144" i="4"/>
  <c r="U143" i="4"/>
  <c r="U142" i="4"/>
  <c r="U141" i="4"/>
  <c r="U140" i="4"/>
  <c r="U139" i="4"/>
  <c r="U138" i="4"/>
  <c r="U137" i="4"/>
  <c r="U136" i="4"/>
  <c r="U135" i="4"/>
  <c r="U134" i="4"/>
  <c r="U132" i="4"/>
  <c r="U131" i="4"/>
  <c r="U129" i="4"/>
  <c r="U128" i="4" s="1"/>
  <c r="U127" i="4"/>
  <c r="U126" i="4"/>
  <c r="U125" i="4"/>
  <c r="U124" i="4"/>
  <c r="U123" i="4"/>
  <c r="U122" i="4"/>
  <c r="U121" i="4" s="1"/>
  <c r="U120" i="4"/>
  <c r="U119" i="4"/>
  <c r="U118" i="4"/>
  <c r="U117" i="4"/>
  <c r="U116" i="4"/>
  <c r="U115" i="4"/>
  <c r="U114" i="4"/>
  <c r="U112" i="4"/>
  <c r="U111" i="4"/>
  <c r="U110" i="4"/>
  <c r="U109" i="4"/>
  <c r="U108" i="4"/>
  <c r="U107" i="4" s="1"/>
  <c r="U106" i="4"/>
  <c r="U105" i="4"/>
  <c r="U104" i="4"/>
  <c r="U103" i="4"/>
  <c r="U102" i="4"/>
  <c r="U101" i="4"/>
  <c r="U100" i="4"/>
  <c r="U99" i="4"/>
  <c r="U98" i="4"/>
  <c r="U97" i="4"/>
  <c r="U96" i="4"/>
  <c r="U92" i="4"/>
  <c r="U89" i="4"/>
  <c r="U88" i="4"/>
  <c r="U86" i="4"/>
  <c r="U85" i="4"/>
  <c r="U84" i="4"/>
  <c r="U80" i="4"/>
  <c r="U79" i="4"/>
  <c r="U77" i="4"/>
  <c r="U76" i="4"/>
  <c r="U74" i="4" s="1"/>
  <c r="U75" i="4"/>
  <c r="U73" i="4"/>
  <c r="U72" i="4"/>
  <c r="U71" i="4"/>
  <c r="U70" i="4"/>
  <c r="U69" i="4"/>
  <c r="U68" i="4"/>
  <c r="U66" i="4" s="1"/>
  <c r="U67" i="4"/>
  <c r="U65" i="4"/>
  <c r="U64" i="4"/>
  <c r="U63" i="4"/>
  <c r="U62" i="4"/>
  <c r="U61" i="4"/>
  <c r="U60" i="4"/>
  <c r="U59" i="4"/>
  <c r="U58" i="4"/>
  <c r="U57" i="4" s="1"/>
  <c r="U56" i="4"/>
  <c r="U55" i="4"/>
  <c r="U54" i="4"/>
  <c r="U53" i="4"/>
  <c r="U52" i="4"/>
  <c r="U51" i="4"/>
  <c r="U50" i="4"/>
  <c r="U49" i="4"/>
  <c r="U48" i="4"/>
  <c r="U46" i="4"/>
  <c r="U45" i="4"/>
  <c r="U43" i="4"/>
  <c r="U42" i="4"/>
  <c r="U41" i="4"/>
  <c r="U40" i="4"/>
  <c r="U39" i="4"/>
  <c r="U38" i="4"/>
  <c r="U37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1" i="4"/>
  <c r="U10" i="4"/>
  <c r="U9" i="4" s="1"/>
  <c r="U8" i="4"/>
  <c r="U7" i="4"/>
  <c r="U6" i="4"/>
  <c r="S7" i="3"/>
  <c r="T40" i="3"/>
  <c r="T39" i="3"/>
  <c r="T24" i="3"/>
  <c r="T23" i="3"/>
  <c r="T22" i="3"/>
  <c r="T21" i="3"/>
  <c r="T20" i="3"/>
  <c r="T12" i="3"/>
  <c r="T10" i="3"/>
  <c r="T9" i="3"/>
  <c r="T8" i="3"/>
  <c r="T196" i="2"/>
  <c r="T195" i="2" s="1"/>
  <c r="S196" i="2"/>
  <c r="S195" i="2" s="1"/>
  <c r="R196" i="2"/>
  <c r="R195" i="2" s="1"/>
  <c r="T190" i="2"/>
  <c r="S190" i="2"/>
  <c r="R190" i="2"/>
  <c r="T184" i="2"/>
  <c r="S184" i="2"/>
  <c r="R184" i="2"/>
  <c r="T182" i="2"/>
  <c r="S182" i="2"/>
  <c r="R182" i="2"/>
  <c r="T175" i="2"/>
  <c r="S175" i="2"/>
  <c r="T156" i="2"/>
  <c r="S156" i="2"/>
  <c r="T151" i="2"/>
  <c r="S151" i="2"/>
  <c r="R156" i="2"/>
  <c r="R151" i="2"/>
  <c r="T145" i="2"/>
  <c r="S145" i="2"/>
  <c r="R145" i="2"/>
  <c r="T142" i="2"/>
  <c r="S142" i="2"/>
  <c r="S127" i="2"/>
  <c r="T122" i="2"/>
  <c r="S122" i="2"/>
  <c r="T115" i="2"/>
  <c r="S115" i="2"/>
  <c r="T112" i="2"/>
  <c r="S112" i="2"/>
  <c r="T110" i="2"/>
  <c r="S110" i="2"/>
  <c r="R110" i="2"/>
  <c r="T91" i="2"/>
  <c r="S91" i="2"/>
  <c r="R91" i="2"/>
  <c r="T86" i="2"/>
  <c r="S86" i="2"/>
  <c r="S81" i="2"/>
  <c r="R81" i="2"/>
  <c r="T74" i="2"/>
  <c r="S74" i="2"/>
  <c r="R74" i="2"/>
  <c r="T70" i="2"/>
  <c r="S70" i="2"/>
  <c r="T29" i="2"/>
  <c r="S29" i="2"/>
  <c r="T27" i="2"/>
  <c r="S27" i="2"/>
  <c r="T25" i="2"/>
  <c r="S25" i="2"/>
  <c r="R70" i="2"/>
  <c r="R175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4" i="2"/>
  <c r="U193" i="2"/>
  <c r="U192" i="2"/>
  <c r="U191" i="2"/>
  <c r="U183" i="2"/>
  <c r="U182" i="2" s="1"/>
  <c r="U188" i="2"/>
  <c r="U187" i="2"/>
  <c r="U186" i="2"/>
  <c r="U185" i="2"/>
  <c r="U180" i="2"/>
  <c r="U179" i="2"/>
  <c r="U178" i="2"/>
  <c r="U177" i="2"/>
  <c r="U176" i="2"/>
  <c r="U168" i="2"/>
  <c r="U167" i="2"/>
  <c r="U164" i="2"/>
  <c r="U163" i="2"/>
  <c r="U162" i="2"/>
  <c r="U160" i="2"/>
  <c r="U159" i="2"/>
  <c r="U158" i="2"/>
  <c r="U157" i="2"/>
  <c r="U155" i="2"/>
  <c r="U154" i="2"/>
  <c r="U153" i="2"/>
  <c r="U152" i="2"/>
  <c r="U149" i="2"/>
  <c r="U148" i="2"/>
  <c r="U147" i="2"/>
  <c r="U146" i="2"/>
  <c r="U144" i="2"/>
  <c r="U143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6" i="2"/>
  <c r="U125" i="2"/>
  <c r="U124" i="2"/>
  <c r="U123" i="2"/>
  <c r="U121" i="2"/>
  <c r="U118" i="2"/>
  <c r="U117" i="2"/>
  <c r="U116" i="2"/>
  <c r="U114" i="2"/>
  <c r="U113" i="2"/>
  <c r="U111" i="2"/>
  <c r="U110" i="2" s="1"/>
  <c r="U109" i="2"/>
  <c r="U108" i="2"/>
  <c r="U107" i="2"/>
  <c r="U106" i="2"/>
  <c r="U105" i="2"/>
  <c r="U90" i="2"/>
  <c r="U89" i="2"/>
  <c r="U88" i="2"/>
  <c r="U87" i="2"/>
  <c r="U85" i="2"/>
  <c r="U84" i="2"/>
  <c r="U83" i="2"/>
  <c r="U82" i="2"/>
  <c r="U78" i="2"/>
  <c r="U77" i="2"/>
  <c r="U76" i="2"/>
  <c r="U75" i="2"/>
  <c r="U73" i="2"/>
  <c r="U72" i="2"/>
  <c r="U71" i="2"/>
  <c r="U66" i="2"/>
  <c r="U65" i="2"/>
  <c r="U64" i="2"/>
  <c r="U63" i="2"/>
  <c r="U62" i="2"/>
  <c r="U61" i="2"/>
  <c r="U60" i="2"/>
  <c r="U59" i="2"/>
  <c r="U58" i="2"/>
  <c r="U55" i="2"/>
  <c r="U54" i="2"/>
  <c r="U53" i="2"/>
  <c r="U52" i="2"/>
  <c r="U51" i="2"/>
  <c r="U49" i="2"/>
  <c r="U48" i="2"/>
  <c r="U47" i="2"/>
  <c r="U46" i="2"/>
  <c r="U45" i="2"/>
  <c r="U44" i="2"/>
  <c r="U42" i="2"/>
  <c r="U40" i="2"/>
  <c r="U39" i="2"/>
  <c r="U38" i="2"/>
  <c r="U37" i="2"/>
  <c r="U35" i="2"/>
  <c r="U33" i="2"/>
  <c r="U32" i="2"/>
  <c r="U31" i="2"/>
  <c r="U30" i="2"/>
  <c r="U28" i="2"/>
  <c r="U27" i="2" s="1"/>
  <c r="U26" i="2"/>
  <c r="U25" i="2" s="1"/>
  <c r="U24" i="2"/>
  <c r="U23" i="2"/>
  <c r="U22" i="2"/>
  <c r="U21" i="2"/>
  <c r="U20" i="2"/>
  <c r="U18" i="2"/>
  <c r="U17" i="2"/>
  <c r="U16" i="2"/>
  <c r="U15" i="2"/>
  <c r="U13" i="2"/>
  <c r="U12" i="2"/>
  <c r="U11" i="2"/>
  <c r="U8" i="2"/>
  <c r="U7" i="2"/>
  <c r="U6" i="2"/>
  <c r="U5" i="2"/>
  <c r="U57" i="2"/>
  <c r="T57" i="2"/>
  <c r="T56" i="2" s="1"/>
  <c r="S57" i="2"/>
  <c r="S56" i="2" s="1"/>
  <c r="R57" i="2"/>
  <c r="R56" i="2" s="1"/>
  <c r="T50" i="2"/>
  <c r="S50" i="2"/>
  <c r="R50" i="2"/>
  <c r="T43" i="2"/>
  <c r="S43" i="2"/>
  <c r="R43" i="2"/>
  <c r="U41" i="2"/>
  <c r="T41" i="2"/>
  <c r="S41" i="2"/>
  <c r="R41" i="2"/>
  <c r="S36" i="2"/>
  <c r="R36" i="2"/>
  <c r="U34" i="2"/>
  <c r="T34" i="2"/>
  <c r="S34" i="2"/>
  <c r="R34" i="2"/>
  <c r="R29" i="2"/>
  <c r="R27" i="2"/>
  <c r="R25" i="2"/>
  <c r="T19" i="2"/>
  <c r="S19" i="2"/>
  <c r="T14" i="2"/>
  <c r="S14" i="2"/>
  <c r="R14" i="2"/>
  <c r="T10" i="2"/>
  <c r="S10" i="2"/>
  <c r="R10" i="2"/>
  <c r="S4" i="2"/>
  <c r="R4" i="2"/>
  <c r="T105" i="1"/>
  <c r="T104" i="1"/>
  <c r="T103" i="1"/>
  <c r="T102" i="1"/>
  <c r="T101" i="1"/>
  <c r="T100" i="1"/>
  <c r="T99" i="1"/>
  <c r="T98" i="1"/>
  <c r="T97" i="1"/>
  <c r="T96" i="1"/>
  <c r="T95" i="1"/>
  <c r="T93" i="1"/>
  <c r="T92" i="1"/>
  <c r="T91" i="1"/>
  <c r="T90" i="1"/>
  <c r="T89" i="1"/>
  <c r="T87" i="1"/>
  <c r="T86" i="1"/>
  <c r="T84" i="1"/>
  <c r="T83" i="1"/>
  <c r="T82" i="1"/>
  <c r="T81" i="1"/>
  <c r="T80" i="1"/>
  <c r="T79" i="1"/>
  <c r="T78" i="1"/>
  <c r="T77" i="1"/>
  <c r="T76" i="1"/>
  <c r="T75" i="1"/>
  <c r="T74" i="1"/>
  <c r="T73" i="1"/>
  <c r="T71" i="1"/>
  <c r="T67" i="1"/>
  <c r="T66" i="1"/>
  <c r="T61" i="1"/>
  <c r="T57" i="1"/>
  <c r="T55" i="1"/>
  <c r="T54" i="1"/>
  <c r="T53" i="1"/>
  <c r="T52" i="1"/>
  <c r="T51" i="1"/>
  <c r="T50" i="1"/>
  <c r="T49" i="1"/>
  <c r="T48" i="1"/>
  <c r="T47" i="1"/>
  <c r="T46" i="1"/>
  <c r="T44" i="1"/>
  <c r="T43" i="1"/>
  <c r="T42" i="1"/>
  <c r="T39" i="1"/>
  <c r="T38" i="1"/>
  <c r="T37" i="1"/>
  <c r="T36" i="1"/>
  <c r="T35" i="1"/>
  <c r="T34" i="1"/>
  <c r="T33" i="1"/>
  <c r="T31" i="1"/>
  <c r="T25" i="1"/>
  <c r="T24" i="1"/>
  <c r="T23" i="1"/>
  <c r="T22" i="1"/>
  <c r="T21" i="1"/>
  <c r="T20" i="1"/>
  <c r="T19" i="1"/>
  <c r="T16" i="1"/>
  <c r="T15" i="1"/>
  <c r="T14" i="1"/>
  <c r="S41" i="1"/>
  <c r="T174" i="2" l="1"/>
  <c r="U36" i="2"/>
  <c r="U14" i="2"/>
  <c r="U81" i="2"/>
  <c r="U86" i="2"/>
  <c r="U142" i="2"/>
  <c r="U151" i="2"/>
  <c r="U175" i="2"/>
  <c r="U184" i="2"/>
  <c r="U190" i="2"/>
  <c r="U196" i="2"/>
  <c r="U195" i="2" s="1"/>
  <c r="R150" i="2"/>
  <c r="S174" i="2"/>
  <c r="U174" i="2"/>
  <c r="U10" i="2"/>
  <c r="U19" i="2"/>
  <c r="U70" i="2"/>
  <c r="S150" i="2"/>
  <c r="R174" i="2"/>
  <c r="R210" i="2" s="1"/>
  <c r="P7" i="7" s="1"/>
  <c r="U12" i="4"/>
  <c r="U43" i="2"/>
  <c r="T5" i="5"/>
  <c r="U91" i="2"/>
  <c r="U29" i="2"/>
  <c r="U145" i="2"/>
  <c r="U115" i="2"/>
  <c r="U122" i="2"/>
  <c r="U112" i="2"/>
  <c r="U50" i="2"/>
  <c r="U56" i="2"/>
  <c r="U36" i="4"/>
  <c r="U156" i="2"/>
  <c r="T150" i="2"/>
  <c r="T210" i="2" s="1"/>
  <c r="U74" i="2"/>
  <c r="U127" i="2"/>
  <c r="U5" i="6"/>
  <c r="U13" i="6" s="1"/>
  <c r="U130" i="4"/>
  <c r="R153" i="4"/>
  <c r="P11" i="7" s="1"/>
  <c r="T19" i="3"/>
  <c r="S153" i="4"/>
  <c r="Q11" i="7" s="1"/>
  <c r="U78" i="4"/>
  <c r="U4" i="2"/>
  <c r="U150" i="2" l="1"/>
  <c r="U210" i="2" s="1"/>
  <c r="R11" i="7"/>
  <c r="T11" i="7" s="1"/>
  <c r="U153" i="4"/>
  <c r="R7" i="7"/>
  <c r="S210" i="2"/>
  <c r="S6" i="1"/>
  <c r="R13" i="1"/>
  <c r="R12" i="1" s="1"/>
  <c r="S13" i="1"/>
  <c r="S12" i="1" s="1"/>
  <c r="R18" i="1"/>
  <c r="R28" i="1"/>
  <c r="S28" i="1"/>
  <c r="R32" i="1"/>
  <c r="R41" i="1"/>
  <c r="R45" i="1"/>
  <c r="R58" i="1"/>
  <c r="S58" i="1"/>
  <c r="T58" i="1"/>
  <c r="R60" i="1"/>
  <c r="T60" i="1" s="1"/>
  <c r="R63" i="1"/>
  <c r="R62" i="1" s="1"/>
  <c r="S64" i="1"/>
  <c r="T64" i="1" s="1"/>
  <c r="S65" i="1"/>
  <c r="T65" i="1" s="1"/>
  <c r="R70" i="1"/>
  <c r="S70" i="1"/>
  <c r="T70" i="1"/>
  <c r="R72" i="1"/>
  <c r="R106" i="1"/>
  <c r="Q7" i="7" l="1"/>
  <c r="T7" i="7" s="1"/>
  <c r="T56" i="1"/>
  <c r="T45" i="1" s="1"/>
  <c r="S45" i="1"/>
  <c r="R6" i="1"/>
  <c r="T6" i="1"/>
  <c r="S69" i="1"/>
  <c r="S68" i="1" s="1"/>
  <c r="R69" i="1"/>
  <c r="S63" i="1"/>
  <c r="S62" i="1" s="1"/>
  <c r="S32" i="1"/>
  <c r="S27" i="1" s="1"/>
  <c r="R27" i="1"/>
  <c r="R68" i="1"/>
  <c r="T41" i="1"/>
  <c r="T18" i="1"/>
  <c r="T17" i="1" s="1"/>
  <c r="R40" i="1"/>
  <c r="T72" i="1"/>
  <c r="T69" i="1" s="1"/>
  <c r="T68" i="1" s="1"/>
  <c r="T63" i="1"/>
  <c r="T62" i="1" s="1"/>
  <c r="T32" i="1"/>
  <c r="S18" i="1"/>
  <c r="S17" i="1" s="1"/>
  <c r="S5" i="1" s="1"/>
  <c r="R17" i="1"/>
  <c r="T28" i="1"/>
  <c r="T13" i="1"/>
  <c r="T12" i="1" s="1"/>
  <c r="T5" i="1" l="1"/>
  <c r="T109" i="1" s="1"/>
  <c r="S40" i="1"/>
  <c r="S26" i="1" s="1"/>
  <c r="S109" i="1" s="1"/>
  <c r="Q6" i="7" s="1"/>
  <c r="T27" i="1"/>
  <c r="R5" i="1"/>
  <c r="R26" i="1"/>
  <c r="T40" i="1"/>
  <c r="T26" i="1" l="1"/>
  <c r="Q8" i="7"/>
  <c r="R109" i="1"/>
  <c r="P6" i="7" s="1"/>
  <c r="T6" i="7" s="1"/>
  <c r="T8" i="7" s="1"/>
  <c r="N50" i="8"/>
  <c r="N37" i="8"/>
  <c r="N30" i="8"/>
  <c r="N29" i="8"/>
  <c r="N28" i="8"/>
  <c r="N27" i="8"/>
  <c r="N26" i="8"/>
  <c r="N25" i="8"/>
  <c r="N24" i="8"/>
  <c r="N23" i="8"/>
  <c r="N22" i="8"/>
  <c r="I13" i="8"/>
  <c r="N13" i="8" s="1"/>
  <c r="N12" i="8"/>
  <c r="N11" i="8"/>
  <c r="N8" i="8"/>
  <c r="I51" i="8"/>
  <c r="J82" i="7"/>
  <c r="J69" i="7"/>
  <c r="N8" i="7"/>
  <c r="L8" i="7"/>
  <c r="J8" i="7"/>
  <c r="H8" i="7"/>
  <c r="F8" i="7"/>
  <c r="D8" i="7"/>
  <c r="B8" i="7"/>
  <c r="T13" i="6"/>
  <c r="S15" i="7" s="1"/>
  <c r="R5" i="6"/>
  <c r="R13" i="6" s="1"/>
  <c r="P15" i="7" s="1"/>
  <c r="Q5" i="6"/>
  <c r="Q13" i="6" s="1"/>
  <c r="P5" i="6"/>
  <c r="P13" i="6" s="1"/>
  <c r="O5" i="6"/>
  <c r="O13" i="6" s="1"/>
  <c r="N5" i="6"/>
  <c r="M5" i="6"/>
  <c r="M13" i="6" s="1"/>
  <c r="L5" i="6"/>
  <c r="L13" i="6" s="1"/>
  <c r="K5" i="6"/>
  <c r="K13" i="6" s="1"/>
  <c r="J5" i="6"/>
  <c r="J13" i="6" s="1"/>
  <c r="I5" i="6"/>
  <c r="I13" i="6" s="1"/>
  <c r="H5" i="6"/>
  <c r="H13" i="6" s="1"/>
  <c r="G5" i="6"/>
  <c r="G13" i="6" s="1"/>
  <c r="F5" i="6"/>
  <c r="F13" i="6" s="1"/>
  <c r="E5" i="6"/>
  <c r="E13" i="6" s="1"/>
  <c r="D5" i="6"/>
  <c r="D13" i="6" s="1"/>
  <c r="N153" i="4"/>
  <c r="H153" i="4"/>
  <c r="O151" i="4"/>
  <c r="L151" i="4"/>
  <c r="K151" i="4"/>
  <c r="J151" i="4"/>
  <c r="J153" i="4" s="1"/>
  <c r="I151" i="4"/>
  <c r="I153" i="4" s="1"/>
  <c r="K146" i="4"/>
  <c r="M130" i="4"/>
  <c r="L130" i="4"/>
  <c r="K130" i="4"/>
  <c r="M128" i="4"/>
  <c r="M121" i="4"/>
  <c r="L121" i="4"/>
  <c r="K121" i="4"/>
  <c r="M113" i="4"/>
  <c r="L113" i="4"/>
  <c r="K113" i="4"/>
  <c r="M78" i="4"/>
  <c r="L78" i="4"/>
  <c r="K78" i="4"/>
  <c r="M74" i="4"/>
  <c r="L74" i="4"/>
  <c r="K74" i="4"/>
  <c r="M66" i="4"/>
  <c r="L66" i="4"/>
  <c r="K66" i="4"/>
  <c r="M57" i="4"/>
  <c r="L57" i="4"/>
  <c r="K57" i="4"/>
  <c r="M36" i="4"/>
  <c r="L36" i="4"/>
  <c r="K36" i="4"/>
  <c r="M12" i="4"/>
  <c r="K12" i="4"/>
  <c r="M9" i="4"/>
  <c r="K9" i="4"/>
  <c r="R38" i="3"/>
  <c r="Q38" i="3"/>
  <c r="Q37" i="3" s="1"/>
  <c r="Q17" i="3" s="1"/>
  <c r="O38" i="3"/>
  <c r="O37" i="3" s="1"/>
  <c r="N38" i="3"/>
  <c r="N37" i="3" s="1"/>
  <c r="M38" i="3"/>
  <c r="M37" i="3" s="1"/>
  <c r="K38" i="3"/>
  <c r="K37" i="3" s="1"/>
  <c r="J38" i="3"/>
  <c r="J37" i="3" s="1"/>
  <c r="I38" i="3"/>
  <c r="I37" i="3" s="1"/>
  <c r="H38" i="3"/>
  <c r="H37" i="3" s="1"/>
  <c r="G38" i="3"/>
  <c r="G37" i="3" s="1"/>
  <c r="F38" i="3"/>
  <c r="F37" i="3" s="1"/>
  <c r="E38" i="3"/>
  <c r="E37" i="3" s="1"/>
  <c r="D38" i="3"/>
  <c r="D37" i="3" s="1"/>
  <c r="S37" i="3"/>
  <c r="T18" i="3"/>
  <c r="S18" i="3"/>
  <c r="R19" i="3"/>
  <c r="R18" i="3" s="1"/>
  <c r="N19" i="3"/>
  <c r="N18" i="3" s="1"/>
  <c r="M19" i="3"/>
  <c r="M18" i="3" s="1"/>
  <c r="P18" i="3"/>
  <c r="O18" i="3"/>
  <c r="L18" i="3"/>
  <c r="L17" i="3" s="1"/>
  <c r="K18" i="3"/>
  <c r="J18" i="3"/>
  <c r="I18" i="3"/>
  <c r="G18" i="3"/>
  <c r="F18" i="3"/>
  <c r="E18" i="3"/>
  <c r="D18" i="3"/>
  <c r="P17" i="3"/>
  <c r="T11" i="3"/>
  <c r="S11" i="3"/>
  <c r="S6" i="3" s="1"/>
  <c r="S5" i="3" s="1"/>
  <c r="R11" i="3"/>
  <c r="Q11" i="3"/>
  <c r="Q6" i="3" s="1"/>
  <c r="Q5" i="3" s="1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T7" i="3"/>
  <c r="R7" i="3"/>
  <c r="R6" i="3" s="1"/>
  <c r="R5" i="3" s="1"/>
  <c r="O7" i="3"/>
  <c r="O6" i="3" s="1"/>
  <c r="O5" i="3" s="1"/>
  <c r="N7" i="3"/>
  <c r="N6" i="3" s="1"/>
  <c r="N5" i="3" s="1"/>
  <c r="M7" i="3"/>
  <c r="M6" i="3" s="1"/>
  <c r="M5" i="3" s="1"/>
  <c r="L7" i="3"/>
  <c r="K7" i="3"/>
  <c r="K6" i="3" s="1"/>
  <c r="K5" i="3" s="1"/>
  <c r="J7" i="3"/>
  <c r="J6" i="3" s="1"/>
  <c r="J5" i="3" s="1"/>
  <c r="I7" i="3"/>
  <c r="I6" i="3" s="1"/>
  <c r="I5" i="3" s="1"/>
  <c r="H7" i="3"/>
  <c r="G7" i="3"/>
  <c r="G6" i="3" s="1"/>
  <c r="G5" i="3" s="1"/>
  <c r="F7" i="3"/>
  <c r="F6" i="3" s="1"/>
  <c r="F5" i="3" s="1"/>
  <c r="E7" i="3"/>
  <c r="E6" i="3" s="1"/>
  <c r="E5" i="3" s="1"/>
  <c r="D7" i="3"/>
  <c r="P6" i="3"/>
  <c r="L6" i="3"/>
  <c r="H6" i="3"/>
  <c r="D6" i="3"/>
  <c r="P5" i="3"/>
  <c r="L5" i="3"/>
  <c r="H5" i="3"/>
  <c r="H41" i="3" s="1"/>
  <c r="D5" i="3"/>
  <c r="K107" i="1"/>
  <c r="J107" i="1"/>
  <c r="I107" i="1"/>
  <c r="L106" i="1"/>
  <c r="K106" i="1"/>
  <c r="J106" i="1"/>
  <c r="I106" i="1"/>
  <c r="H106" i="1"/>
  <c r="G106" i="1"/>
  <c r="F106" i="1"/>
  <c r="E106" i="1"/>
  <c r="D106" i="1"/>
  <c r="O105" i="1"/>
  <c r="N105" i="1"/>
  <c r="N72" i="1" s="1"/>
  <c r="J93" i="1"/>
  <c r="K86" i="1"/>
  <c r="K80" i="1"/>
  <c r="P72" i="1"/>
  <c r="O72" i="1"/>
  <c r="M72" i="1"/>
  <c r="J72" i="1"/>
  <c r="I72" i="1"/>
  <c r="Q70" i="1"/>
  <c r="Q69" i="1" s="1"/>
  <c r="Q68" i="1" s="1"/>
  <c r="P70" i="1"/>
  <c r="P69" i="1" s="1"/>
  <c r="P68" i="1" s="1"/>
  <c r="O70" i="1"/>
  <c r="O69" i="1" s="1"/>
  <c r="O68" i="1" s="1"/>
  <c r="N70" i="1"/>
  <c r="M70" i="1"/>
  <c r="L70" i="1"/>
  <c r="K70" i="1"/>
  <c r="J70" i="1"/>
  <c r="I70" i="1"/>
  <c r="H70" i="1"/>
  <c r="H69" i="1" s="1"/>
  <c r="G70" i="1"/>
  <c r="G69" i="1" s="1"/>
  <c r="G68" i="1" s="1"/>
  <c r="F70" i="1"/>
  <c r="E70" i="1"/>
  <c r="E69" i="1" s="1"/>
  <c r="E68" i="1" s="1"/>
  <c r="D70" i="1"/>
  <c r="D69" i="1" s="1"/>
  <c r="L69" i="1"/>
  <c r="L68" i="1" s="1"/>
  <c r="F69" i="1"/>
  <c r="F68" i="1" s="1"/>
  <c r="K66" i="1"/>
  <c r="K63" i="1" s="1"/>
  <c r="K62" i="1" s="1"/>
  <c r="Q63" i="1"/>
  <c r="Q62" i="1" s="1"/>
  <c r="P63" i="1"/>
  <c r="P62" i="1" s="1"/>
  <c r="O63" i="1"/>
  <c r="O62" i="1" s="1"/>
  <c r="N63" i="1"/>
  <c r="N62" i="1" s="1"/>
  <c r="M63" i="1"/>
  <c r="M62" i="1" s="1"/>
  <c r="L63" i="1"/>
  <c r="L62" i="1" s="1"/>
  <c r="J63" i="1"/>
  <c r="J62" i="1" s="1"/>
  <c r="I63" i="1"/>
  <c r="I62" i="1" s="1"/>
  <c r="G62" i="1"/>
  <c r="F62" i="1"/>
  <c r="E62" i="1"/>
  <c r="D62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P57" i="1"/>
  <c r="P45" i="1" s="1"/>
  <c r="K57" i="1"/>
  <c r="J57" i="1"/>
  <c r="J45" i="1" s="1"/>
  <c r="I57" i="1"/>
  <c r="K54" i="1"/>
  <c r="I53" i="1"/>
  <c r="I52" i="1"/>
  <c r="K49" i="1"/>
  <c r="Q45" i="1"/>
  <c r="O45" i="1"/>
  <c r="N45" i="1"/>
  <c r="M45" i="1"/>
  <c r="L45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K38" i="1"/>
  <c r="K32" i="1" s="1"/>
  <c r="Q32" i="1"/>
  <c r="P32" i="1"/>
  <c r="O32" i="1"/>
  <c r="N32" i="1"/>
  <c r="M32" i="1"/>
  <c r="L32" i="1"/>
  <c r="J32" i="1"/>
  <c r="I32" i="1"/>
  <c r="G32" i="1"/>
  <c r="F32" i="1"/>
  <c r="F27" i="1" s="1"/>
  <c r="E32" i="1"/>
  <c r="D32" i="1"/>
  <c r="D27" i="1" s="1"/>
  <c r="Q28" i="1"/>
  <c r="P28" i="1"/>
  <c r="O28" i="1"/>
  <c r="N28" i="1"/>
  <c r="M28" i="1"/>
  <c r="M27" i="1" s="1"/>
  <c r="L28" i="1"/>
  <c r="K28" i="1"/>
  <c r="J28" i="1"/>
  <c r="I28" i="1"/>
  <c r="G27" i="1"/>
  <c r="E27" i="1"/>
  <c r="K24" i="1"/>
  <c r="I24" i="1"/>
  <c r="I18" i="1" s="1"/>
  <c r="I17" i="1" s="1"/>
  <c r="Q18" i="1"/>
  <c r="Q17" i="1" s="1"/>
  <c r="P18" i="1"/>
  <c r="P17" i="1" s="1"/>
  <c r="O18" i="1"/>
  <c r="O17" i="1" s="1"/>
  <c r="N18" i="1"/>
  <c r="N17" i="1" s="1"/>
  <c r="M18" i="1"/>
  <c r="M17" i="1" s="1"/>
  <c r="L18" i="1"/>
  <c r="L17" i="1" s="1"/>
  <c r="K18" i="1"/>
  <c r="K17" i="1" s="1"/>
  <c r="J18" i="1"/>
  <c r="J17" i="1" s="1"/>
  <c r="H18" i="1"/>
  <c r="H17" i="1" s="1"/>
  <c r="G17" i="1"/>
  <c r="F17" i="1"/>
  <c r="E17" i="1"/>
  <c r="D17" i="1"/>
  <c r="Q13" i="1"/>
  <c r="Q12" i="1" s="1"/>
  <c r="P13" i="1"/>
  <c r="P12" i="1" s="1"/>
  <c r="O13" i="1"/>
  <c r="O12" i="1" s="1"/>
  <c r="N13" i="1"/>
  <c r="N12" i="1" s="1"/>
  <c r="M13" i="1"/>
  <c r="M12" i="1" s="1"/>
  <c r="L13" i="1"/>
  <c r="L12" i="1" s="1"/>
  <c r="K13" i="1"/>
  <c r="K12" i="1" s="1"/>
  <c r="J13" i="1"/>
  <c r="J12" i="1" s="1"/>
  <c r="I13" i="1"/>
  <c r="I12" i="1" s="1"/>
  <c r="G12" i="1"/>
  <c r="F12" i="1"/>
  <c r="E12" i="1"/>
  <c r="D12" i="1"/>
  <c r="Q6" i="1"/>
  <c r="P6" i="1"/>
  <c r="O6" i="1"/>
  <c r="N6" i="1"/>
  <c r="M6" i="1"/>
  <c r="L6" i="1"/>
  <c r="K6" i="1"/>
  <c r="J6" i="1"/>
  <c r="I6" i="1"/>
  <c r="H6" i="1"/>
  <c r="G6" i="1"/>
  <c r="F6" i="1"/>
  <c r="E6" i="1"/>
  <c r="E5" i="1" s="1"/>
  <c r="D6" i="1"/>
  <c r="G5" i="1"/>
  <c r="S17" i="3" l="1"/>
  <c r="S41" i="3" s="1"/>
  <c r="T6" i="3"/>
  <c r="T5" i="3" s="1"/>
  <c r="E17" i="3"/>
  <c r="G17" i="3"/>
  <c r="F40" i="1"/>
  <c r="K72" i="1"/>
  <c r="K69" i="1" s="1"/>
  <c r="K68" i="1" s="1"/>
  <c r="K27" i="1"/>
  <c r="J69" i="1"/>
  <c r="J68" i="1" s="1"/>
  <c r="N40" i="1"/>
  <c r="D5" i="1"/>
  <c r="I27" i="1"/>
  <c r="D40" i="1"/>
  <c r="D26" i="1" s="1"/>
  <c r="H40" i="1"/>
  <c r="D68" i="1"/>
  <c r="H68" i="1"/>
  <c r="Q27" i="1"/>
  <c r="Q5" i="1"/>
  <c r="N17" i="3"/>
  <c r="F5" i="1"/>
  <c r="I5" i="1"/>
  <c r="F26" i="1"/>
  <c r="J27" i="1"/>
  <c r="J26" i="1" s="1"/>
  <c r="L27" i="1"/>
  <c r="N27" i="1"/>
  <c r="N26" i="1" s="1"/>
  <c r="P27" i="1"/>
  <c r="O27" i="1"/>
  <c r="L40" i="1"/>
  <c r="K45" i="1"/>
  <c r="K40" i="1" s="1"/>
  <c r="K26" i="1" s="1"/>
  <c r="R37" i="3"/>
  <c r="R17" i="3" s="1"/>
  <c r="R41" i="3" s="1"/>
  <c r="P10" i="7" s="1"/>
  <c r="T38" i="3"/>
  <c r="T37" i="3" s="1"/>
  <c r="T17" i="3" s="1"/>
  <c r="T41" i="3" s="1"/>
  <c r="M17" i="3"/>
  <c r="M41" i="3" s="1"/>
  <c r="T15" i="7"/>
  <c r="P8" i="7"/>
  <c r="I69" i="1"/>
  <c r="I68" i="1" s="1"/>
  <c r="M69" i="1"/>
  <c r="M68" i="1" s="1"/>
  <c r="M5" i="1"/>
  <c r="H5" i="1"/>
  <c r="H109" i="1" s="1"/>
  <c r="I45" i="1"/>
  <c r="I40" i="1" s="1"/>
  <c r="I26" i="1" s="1"/>
  <c r="L26" i="1"/>
  <c r="K5" i="1"/>
  <c r="O5" i="1"/>
  <c r="Q40" i="1"/>
  <c r="Q26" i="1" s="1"/>
  <c r="Q109" i="1" s="1"/>
  <c r="J40" i="1"/>
  <c r="P40" i="1"/>
  <c r="P26" i="1" s="1"/>
  <c r="E40" i="1"/>
  <c r="E26" i="1" s="1"/>
  <c r="G40" i="1"/>
  <c r="G26" i="1" s="1"/>
  <c r="G109" i="1" s="1"/>
  <c r="J5" i="1"/>
  <c r="L5" i="1"/>
  <c r="N5" i="1"/>
  <c r="P5" i="1"/>
  <c r="P109" i="1" s="1"/>
  <c r="M40" i="1"/>
  <c r="O40" i="1"/>
  <c r="O26" i="1" s="1"/>
  <c r="O109" i="1" s="1"/>
  <c r="N69" i="1"/>
  <c r="N68" i="1" s="1"/>
  <c r="E109" i="1"/>
  <c r="M26" i="1"/>
  <c r="I17" i="3"/>
  <c r="I41" i="3" s="1"/>
  <c r="D17" i="3"/>
  <c r="D41" i="3" s="1"/>
  <c r="F17" i="3"/>
  <c r="F41" i="3" s="1"/>
  <c r="J17" i="3"/>
  <c r="J41" i="3" s="1"/>
  <c r="O17" i="3"/>
  <c r="K17" i="3"/>
  <c r="K41" i="3" s="1"/>
  <c r="Q41" i="3"/>
  <c r="O41" i="3"/>
  <c r="E41" i="3"/>
  <c r="G41" i="3"/>
  <c r="L41" i="3"/>
  <c r="P41" i="3"/>
  <c r="L153" i="4"/>
  <c r="K153" i="4"/>
  <c r="M153" i="4"/>
  <c r="C8" i="7"/>
  <c r="E8" i="7"/>
  <c r="G8" i="7"/>
  <c r="I8" i="7"/>
  <c r="K8" i="7"/>
  <c r="M8" i="7"/>
  <c r="O8" i="7"/>
  <c r="B16" i="7"/>
  <c r="D16" i="7"/>
  <c r="F16" i="7"/>
  <c r="H16" i="7"/>
  <c r="J16" i="7"/>
  <c r="L16" i="7"/>
  <c r="N16" i="7"/>
  <c r="C12" i="7"/>
  <c r="E12" i="7"/>
  <c r="G12" i="7"/>
  <c r="I12" i="7"/>
  <c r="K12" i="7"/>
  <c r="M12" i="7"/>
  <c r="O12" i="7"/>
  <c r="B12" i="7"/>
  <c r="B20" i="7" s="1"/>
  <c r="D12" i="7"/>
  <c r="D20" i="7" s="1"/>
  <c r="F12" i="7"/>
  <c r="F20" i="7" s="1"/>
  <c r="H12" i="7"/>
  <c r="H20" i="7" s="1"/>
  <c r="J12" i="7"/>
  <c r="J20" i="7" s="1"/>
  <c r="L12" i="7"/>
  <c r="L20" i="7" s="1"/>
  <c r="N12" i="7"/>
  <c r="N20" i="7" s="1"/>
  <c r="C16" i="7"/>
  <c r="C20" i="7" s="1"/>
  <c r="E16" i="7"/>
  <c r="E20" i="7" s="1"/>
  <c r="G16" i="7"/>
  <c r="I16" i="7"/>
  <c r="I20" i="7" s="1"/>
  <c r="K16" i="7"/>
  <c r="M16" i="7"/>
  <c r="M20" i="7" s="1"/>
  <c r="O16" i="7"/>
  <c r="K20" i="7"/>
  <c r="N4" i="8"/>
  <c r="N6" i="8"/>
  <c r="N13" i="6"/>
  <c r="O153" i="4"/>
  <c r="N41" i="3"/>
  <c r="G14" i="5"/>
  <c r="G13" i="5" s="1"/>
  <c r="T13" i="5"/>
  <c r="S13" i="5"/>
  <c r="S22" i="5" s="1"/>
  <c r="Q14" i="7" s="1"/>
  <c r="Q13" i="5"/>
  <c r="P13" i="5"/>
  <c r="O13" i="5"/>
  <c r="N13" i="5"/>
  <c r="M13" i="5"/>
  <c r="L13" i="5"/>
  <c r="K13" i="5"/>
  <c r="J13" i="5"/>
  <c r="I13" i="5"/>
  <c r="H13" i="5"/>
  <c r="D13" i="5"/>
  <c r="Q5" i="5"/>
  <c r="P5" i="5"/>
  <c r="O5" i="5"/>
  <c r="N5" i="5"/>
  <c r="M5" i="5"/>
  <c r="L5" i="5"/>
  <c r="K5" i="5"/>
  <c r="J5" i="5"/>
  <c r="I5" i="5"/>
  <c r="H5" i="5"/>
  <c r="G5" i="5"/>
  <c r="F5" i="5"/>
  <c r="F22" i="5" s="1"/>
  <c r="E5" i="5"/>
  <c r="E22" i="5" s="1"/>
  <c r="D5" i="5"/>
  <c r="Q10" i="7" l="1"/>
  <c r="Q12" i="7" s="1"/>
  <c r="O20" i="7"/>
  <c r="M109" i="1"/>
  <c r="D109" i="1"/>
  <c r="F109" i="1"/>
  <c r="N109" i="1"/>
  <c r="J109" i="1"/>
  <c r="I109" i="1"/>
  <c r="K109" i="1"/>
  <c r="L109" i="1"/>
  <c r="P12" i="7"/>
  <c r="N51" i="8"/>
  <c r="G22" i="5"/>
  <c r="I22" i="5"/>
  <c r="K22" i="5"/>
  <c r="M22" i="5"/>
  <c r="Q16" i="7"/>
  <c r="D22" i="5"/>
  <c r="H22" i="5"/>
  <c r="J22" i="5"/>
  <c r="L22" i="5"/>
  <c r="P22" i="5"/>
  <c r="G20" i="7"/>
  <c r="O22" i="5"/>
  <c r="Q22" i="5"/>
  <c r="T22" i="5"/>
  <c r="R13" i="5"/>
  <c r="R22" i="5" s="1"/>
  <c r="P14" i="7" s="1"/>
  <c r="P16" i="7" s="1"/>
  <c r="P20" i="7" s="1"/>
  <c r="N22" i="5"/>
  <c r="Q20" i="7" l="1"/>
  <c r="T10" i="7"/>
  <c r="T12" i="7" s="1"/>
  <c r="T14" i="7"/>
  <c r="T16" i="7" s="1"/>
  <c r="T20" i="7" l="1"/>
</calcChain>
</file>

<file path=xl/sharedStrings.xml><?xml version="1.0" encoding="utf-8"?>
<sst xmlns="http://schemas.openxmlformats.org/spreadsheetml/2006/main" count="770" uniqueCount="479">
  <si>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</si>
  <si>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</si>
  <si>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</si>
  <si>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</si>
  <si>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</si>
  <si>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</si>
  <si>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</si>
  <si>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</si>
  <si>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</si>
  <si>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</si>
  <si>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</si>
  <si>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</si>
  <si>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</si>
  <si>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</si>
  <si>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</si>
  <si>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Čerpanie rozpočtu 2018</t>
  </si>
  <si>
    <t xml:space="preserve">Návrh rozpočtu 2020 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</si>
  <si>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</si>
  <si>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</si>
  <si>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</si>
  <si>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</si>
  <si>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</si>
  <si>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</si>
  <si>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</si>
  <si>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</si>
  <si>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</si>
  <si>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</si>
  <si>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</si>
  <si>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</si>
  <si>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</si>
  <si>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</si>
  <si>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</si>
  <si>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</si>
  <si>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</si>
  <si>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</si>
  <si>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</si>
  <si>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</si>
  <si>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</si>
  <si>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</si>
  <si>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</si>
  <si>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</si>
  <si>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</si>
  <si>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</si>
  <si>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</si>
  <si>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</si>
  <si>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</si>
  <si>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</si>
  <si>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</si>
  <si>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</si>
  <si>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</si>
  <si>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</si>
  <si>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</si>
  <si>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</si>
  <si>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</si>
  <si>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</si>
  <si>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</si>
  <si>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</si>
  <si>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</si>
  <si>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</si>
  <si>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</si>
  <si>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</si>
  <si>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</si>
  <si>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</si>
  <si>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</si>
  <si>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</si>
  <si>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</si>
  <si>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</si>
  <si>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</si>
  <si>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</si>
  <si>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</si>
  <si>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</si>
  <si>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</si>
  <si>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</si>
  <si>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</si>
  <si>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</si>
  <si>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</si>
  <si>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</si>
  <si>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</si>
  <si>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</si>
  <si>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</si>
  <si>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</si>
  <si>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</si>
  <si>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</si>
  <si>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</si>
  <si>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</si>
  <si>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</si>
  <si>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</si>
  <si>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</si>
  <si>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</si>
  <si>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</si>
  <si>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</si>
  <si>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</si>
  <si>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</si>
  <si>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</si>
  <si>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</si>
  <si>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</si>
  <si>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 xml:space="preserve">Miestna občianska poriadková služba </t>
  </si>
  <si>
    <t>Modernizácia zberného dvora</t>
  </si>
  <si>
    <t>MŠ G. Haina</t>
  </si>
  <si>
    <t>Akčný plán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</si>
  <si>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</si>
  <si>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</si>
  <si>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</si>
  <si>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</si>
  <si>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</si>
  <si>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</si>
  <si>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</si>
  <si>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</si>
  <si>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</si>
  <si>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ostatné</t>
  </si>
  <si>
    <t>Zahraničné granty</t>
  </si>
  <si>
    <t>Bežné</t>
  </si>
  <si>
    <t>Bežné príjmy celkom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</si>
  <si>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</si>
  <si>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</si>
  <si>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</si>
  <si>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</si>
  <si>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</si>
  <si>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</si>
  <si>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</si>
  <si>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</si>
  <si>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</si>
  <si>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</si>
  <si>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</si>
  <si>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</si>
  <si>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</si>
  <si>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</si>
  <si>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</si>
  <si>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</si>
  <si>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</si>
  <si>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</si>
  <si>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</si>
  <si>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</si>
  <si>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</si>
  <si>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</si>
  <si>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</si>
  <si>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</si>
  <si>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</si>
  <si>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</si>
  <si>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</si>
  <si>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</si>
  <si>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</si>
  <si>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</si>
  <si>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</si>
  <si>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</si>
  <si>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</si>
  <si>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</si>
  <si>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</si>
  <si>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</si>
  <si>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</si>
  <si>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</si>
  <si>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</si>
  <si>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</si>
  <si>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</si>
  <si>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</si>
  <si>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</si>
  <si>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</si>
  <si>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</si>
  <si>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</si>
  <si>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</si>
  <si>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</si>
  <si>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</si>
  <si>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</si>
  <si>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</si>
  <si>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</si>
  <si>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</si>
  <si>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</si>
  <si>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</si>
  <si>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</si>
  <si>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</si>
  <si>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</si>
  <si>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</si>
  <si>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</si>
  <si>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</si>
  <si>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</si>
  <si>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</si>
  <si>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</si>
  <si>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</si>
  <si>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</si>
  <si>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Uzat.a rek.skládky KO D.Stráže</t>
  </si>
  <si>
    <t>skládka KO D.Stráže</t>
  </si>
  <si>
    <t>Tranfer na Technické služby</t>
  </si>
  <si>
    <t>05.2.0</t>
  </si>
  <si>
    <t>Nakladanie s odpadovými vodami</t>
  </si>
  <si>
    <t>ČOV, parkoviská - stočné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</si>
  <si>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</si>
  <si>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</si>
  <si>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</si>
  <si>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</si>
  <si>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</si>
  <si>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</si>
  <si>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</si>
  <si>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</si>
  <si>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</si>
  <si>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</si>
  <si>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</si>
  <si>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</si>
  <si>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</si>
  <si>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</si>
  <si>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</si>
  <si>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</si>
  <si>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</si>
  <si>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</si>
  <si>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</si>
  <si>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</si>
  <si>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</si>
  <si>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</si>
  <si>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</si>
  <si>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</si>
  <si>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</si>
  <si>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</si>
  <si>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</si>
  <si>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</si>
  <si>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</si>
  <si>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</si>
  <si>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</si>
  <si>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</si>
  <si>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>08.1.0</t>
  </si>
  <si>
    <t>Transfery pre šport a telovýchovu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</si>
  <si>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</si>
  <si>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</si>
  <si>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</si>
  <si>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</si>
  <si>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</si>
  <si>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</si>
  <si>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</si>
  <si>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</si>
  <si>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</si>
  <si>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</si>
  <si>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</si>
  <si>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</si>
  <si>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</si>
  <si>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</si>
  <si>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</si>
  <si>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</si>
  <si>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</si>
  <si>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</si>
  <si>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</si>
  <si>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</si>
  <si>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</si>
  <si>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</si>
  <si>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</si>
  <si>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</si>
  <si>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</si>
  <si>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</si>
  <si>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</si>
  <si>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</si>
  <si>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</si>
  <si>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</si>
  <si>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</si>
  <si>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</si>
  <si>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</si>
  <si>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</si>
  <si>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</si>
  <si>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</si>
  <si>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</si>
  <si>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</si>
  <si>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</si>
  <si>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</si>
  <si>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</si>
  <si>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</si>
  <si>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</si>
  <si>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</si>
  <si>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</si>
  <si>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</si>
  <si>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</si>
  <si>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</si>
  <si>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</si>
  <si>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</si>
  <si>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</si>
  <si>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</si>
  <si>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</si>
  <si>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</si>
  <si>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</si>
  <si>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</si>
  <si>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</si>
  <si>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</si>
  <si>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</si>
  <si>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</si>
  <si>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</si>
  <si>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</si>
  <si>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</si>
  <si>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</si>
  <si>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</si>
  <si>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</si>
  <si>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</si>
  <si>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</si>
  <si>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</si>
  <si>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</si>
  <si>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parkovisko</t>
  </si>
  <si>
    <t>ZUŠ Fasáda VÚC</t>
  </si>
  <si>
    <t>Kapitálové</t>
  </si>
  <si>
    <t>Karpatské klim. mestečká</t>
  </si>
  <si>
    <t>Kapitalové príjmy celkom</t>
  </si>
  <si>
    <t>Časť 1.2.2. Výdavky kapitálového rozpočtu</t>
  </si>
  <si>
    <t>Rozpočet 2015</t>
  </si>
  <si>
    <t>Verejná správa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</si>
  <si>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</si>
  <si>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</si>
  <si>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</si>
  <si>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</si>
  <si>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</si>
  <si>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</si>
  <si>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</si>
  <si>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</si>
  <si>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</si>
  <si>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Prestavba N.M.P. II. etapa časť B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</si>
  <si>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</si>
  <si>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</si>
  <si>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</si>
  <si>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</si>
  <si>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</si>
  <si>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</si>
  <si>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</si>
  <si>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</si>
  <si>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</si>
  <si>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</si>
  <si>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</si>
  <si>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</si>
  <si>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</si>
  <si>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</si>
  <si>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</si>
  <si>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prechody pre chodcov - Probstnerova cesta</t>
  </si>
  <si>
    <t>Zábradlie Križný potok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</si>
  <si>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</si>
  <si>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</si>
  <si>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</si>
  <si>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</si>
  <si>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</si>
  <si>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</si>
  <si>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Križovatka ul. Slavkovská</t>
  </si>
  <si>
    <t>Nákladanie s odpadmi</t>
  </si>
  <si>
    <t>Prestavba zberných miest</t>
  </si>
  <si>
    <t>Príspevok pre TS</t>
  </si>
  <si>
    <t>Univerzálny vyklápač</t>
  </si>
  <si>
    <t>Rozvoj bývania</t>
  </si>
  <si>
    <t>Ortofomapa</t>
  </si>
  <si>
    <t>územný plán</t>
  </si>
  <si>
    <t>MPV Plantáže</t>
  </si>
  <si>
    <t>VO Probstnerova cesta</t>
  </si>
  <si>
    <t>Kaplnka Levočské Lúky, NN prípojka</t>
  </si>
  <si>
    <t>Vnútrobloky, sídl. Rozvoj</t>
  </si>
  <si>
    <t>Vodná nádrž Levoča</t>
  </si>
  <si>
    <t>cyklochodník</t>
  </si>
  <si>
    <t xml:space="preserve">Nízkouhlíková stratégia </t>
  </si>
  <si>
    <t>Vodozádržné opatrenia</t>
  </si>
  <si>
    <t>NMP 43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</si>
  <si>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</si>
  <si>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</si>
  <si>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</si>
  <si>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</si>
  <si>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</si>
  <si>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</si>
  <si>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</si>
  <si>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</si>
  <si>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>ZŠ G. Haina</t>
  </si>
  <si>
    <t>ZUŠ - fasáda</t>
  </si>
  <si>
    <t xml:space="preserve">Zlepšenie kľúčových kompetencií žiakov ZŠ 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</si>
  <si>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</si>
  <si>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</si>
  <si>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</si>
  <si>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</si>
  <si>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</si>
  <si>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</si>
  <si>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Príjmy z prevodov peňaž. Fondov obcí FRB</t>
  </si>
  <si>
    <t>fond nevyčerpaných dotácií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</si>
  <si>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</si>
  <si>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</si>
  <si>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</si>
  <si>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</si>
  <si>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</si>
  <si>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</si>
  <si>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</si>
  <si>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</si>
  <si>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</si>
  <si>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</si>
  <si>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</si>
  <si>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</si>
  <si>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</si>
  <si>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</si>
  <si>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</si>
  <si>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</si>
  <si>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</si>
  <si>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</si>
  <si>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</si>
  <si>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</si>
  <si>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</si>
  <si>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</si>
  <si>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</si>
  <si>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</si>
  <si>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</si>
  <si>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</si>
  <si>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</si>
  <si>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</si>
  <si>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</si>
  <si>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</si>
  <si>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</si>
  <si>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krátkodobý úver</t>
  </si>
  <si>
    <t>Kapitál. výdavky celkom</t>
  </si>
  <si>
    <t>MPV - ostatné</t>
  </si>
  <si>
    <t>Dlhodobé úvery rok 2019</t>
  </si>
  <si>
    <t>PD</t>
  </si>
  <si>
    <t>OZ Levočan</t>
  </si>
  <si>
    <t xml:space="preserve">Transfer pre TS </t>
  </si>
  <si>
    <t>Časť 1.1. Bežný rozpočet</t>
  </si>
  <si>
    <t>Časť 1.1.1.   príjmy bežného rozpočtu</t>
  </si>
  <si>
    <t>Časť 1.2. Výdavky bežného rozpočtu</t>
  </si>
  <si>
    <t>Časť 1.2. Kapitálový rozpočet</t>
  </si>
  <si>
    <t>Časť 1.2.1. Príjmy kapitálového rozpočtu</t>
  </si>
  <si>
    <t>Časť 2.1. Príjmové finančné operácie</t>
  </si>
  <si>
    <t>Časť 2. Finančné operácie</t>
  </si>
  <si>
    <t>Upravený rozpočet 2020</t>
  </si>
  <si>
    <t>Osvetlenie športovej haly</t>
  </si>
  <si>
    <t xml:space="preserve">IBV Krupný jarok </t>
  </si>
  <si>
    <t>WEB stránka</t>
  </si>
  <si>
    <t>Dlhodobé úvery rok 2020</t>
  </si>
  <si>
    <t>úver ŠFRB</t>
  </si>
  <si>
    <t>dva bytové domy - 48 b.j.</t>
  </si>
  <si>
    <t>dva bytové domy - technická vybavenosť</t>
  </si>
  <si>
    <t>úver 2019</t>
  </si>
  <si>
    <t>úver 2020</t>
  </si>
  <si>
    <t>Úver ŠFRB</t>
  </si>
  <si>
    <t>Dva bytové domy (tech. vybavenosť)</t>
  </si>
  <si>
    <t>Dotácia - dva bytové domy</t>
  </si>
  <si>
    <t xml:space="preserve"> Rozpočet 2020 </t>
  </si>
  <si>
    <t>Rozpočet 2020</t>
  </si>
  <si>
    <t>ZŠ G. Haina - telocvičňa</t>
  </si>
  <si>
    <t>Rezervný fond</t>
  </si>
  <si>
    <t>NN - prípojka Vnútrobloky, sídl. Rozvoj</t>
  </si>
  <si>
    <t>Prestavba N.M.P. II. etapa časť C</t>
  </si>
  <si>
    <t>Krátkodobý úver - prekleňovací</t>
  </si>
  <si>
    <t>Cyklochodník IV. Etapa</t>
  </si>
  <si>
    <t>Ing. Miroslav Vilkovský , MBA</t>
  </si>
  <si>
    <t>primátor mesta</t>
  </si>
  <si>
    <t xml:space="preserve">Zvesené: </t>
  </si>
  <si>
    <t>Krátkodobé úvery - Žabia cesta</t>
  </si>
  <si>
    <t>Terénne práce Vnútrobloky, sídl. Rozvoj</t>
  </si>
  <si>
    <t>Rek. a modernizácia autobusovej</t>
  </si>
  <si>
    <t>Priechody pre chodcov</t>
  </si>
  <si>
    <t>Dotácia MF SR</t>
  </si>
  <si>
    <t>Dotácia MK SR, NMP 47</t>
  </si>
  <si>
    <t>Prestavba N.M.P. II. etapa časť A</t>
  </si>
  <si>
    <t>Meštiansky dom, NMP 43</t>
  </si>
  <si>
    <t>Probstnerova cesta - obrubníky</t>
  </si>
  <si>
    <t>Oplotenie VNsP</t>
  </si>
  <si>
    <t>NMP 47 - PD</t>
  </si>
  <si>
    <t>NMP 47 - strecha</t>
  </si>
  <si>
    <t>mestské opevnenie – architektonická štúdia</t>
  </si>
  <si>
    <t>Dotácia MŠ</t>
  </si>
  <si>
    <t>Radnica</t>
  </si>
  <si>
    <t>Prístupová cesta - sídl. Prameň</t>
  </si>
  <si>
    <t>ZŠ Kluberta - vybavenie ŠJ</t>
  </si>
  <si>
    <t>Radnica NMP 2</t>
  </si>
  <si>
    <t>NMP 47 PD</t>
  </si>
  <si>
    <t>Záchytné parkovisko - parkanový múr</t>
  </si>
  <si>
    <t>Odvodnenie Závada</t>
  </si>
  <si>
    <t>Školy - projekty</t>
  </si>
  <si>
    <t>Potraviny - vrátky za rok 2019</t>
  </si>
  <si>
    <t>Skutočnosť 2019</t>
  </si>
  <si>
    <t>ZŠ Francisciho</t>
  </si>
  <si>
    <t>opatrovateľská služba</t>
  </si>
  <si>
    <t>Dotácia MK SR, NMP 50</t>
  </si>
  <si>
    <t>NMP 50</t>
  </si>
  <si>
    <t>NMP 51</t>
  </si>
  <si>
    <t>Vyvesené: 11.11.2020</t>
  </si>
  <si>
    <t>zmena č.5</t>
  </si>
  <si>
    <t>zmena č. 5</t>
  </si>
  <si>
    <t>ZŠ Kluberta</t>
  </si>
  <si>
    <t>PD - IBV plantáž</t>
  </si>
  <si>
    <t>pozemky - IBV plantáž</t>
  </si>
  <si>
    <t>ZŠ G. Haina - vybavenie ŠJ</t>
  </si>
  <si>
    <t>ZUŠ - hudobné nástroje</t>
  </si>
  <si>
    <t>Plavecký bazén Levoča</t>
  </si>
  <si>
    <t>Dvojkomorový balíkovací lis - TS</t>
  </si>
  <si>
    <t>RFID multi-čipová čítačka - TS</t>
  </si>
  <si>
    <t>projektová dokumentácia  TS</t>
  </si>
  <si>
    <t>úžitkový automobil - TS</t>
  </si>
  <si>
    <t>Pňová fréza s pojazdom - TS</t>
  </si>
  <si>
    <t>úver 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</si>
</sst>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2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name val="Arial"/>
      <family val="2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0"/>
      <color rgb="FF00B050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49">
    <xf numFmtId="0" fontId="0" fillId="0" borderId="0" xfId="0"/>
    <xf numFmtId="0" fontId="5" fillId="0" borderId="7" xfId="0" applyFont="1" applyFill="1" applyBorder="1" applyAlignment="1">
      <alignment horizontal="center"/>
    </xf>
    <xf numFmtId="3" fontId="5" fillId="0" borderId="10" xfId="0" applyNumberFormat="1" applyFont="1" applyFill="1" applyBorder="1"/>
    <xf numFmtId="4" fontId="5" fillId="0" borderId="10" xfId="0" applyNumberFormat="1" applyFont="1" applyFill="1" applyBorder="1"/>
    <xf numFmtId="3" fontId="5" fillId="0" borderId="11" xfId="0" applyNumberFormat="1" applyFont="1" applyFill="1" applyBorder="1"/>
    <xf numFmtId="0" fontId="6" fillId="0" borderId="13" xfId="0" applyFont="1" applyFill="1" applyBorder="1" applyAlignment="1">
      <alignment horizontal="center"/>
    </xf>
    <xf numFmtId="3" fontId="6" fillId="0" borderId="12" xfId="0" applyNumberFormat="1" applyFont="1" applyFill="1" applyBorder="1"/>
    <xf numFmtId="4" fontId="6" fillId="0" borderId="12" xfId="0" applyNumberFormat="1" applyFont="1" applyFill="1" applyBorder="1"/>
    <xf numFmtId="3" fontId="6" fillId="0" borderId="16" xfId="0" applyNumberFormat="1" applyFont="1" applyFill="1" applyBorder="1"/>
    <xf numFmtId="4" fontId="7" fillId="0" borderId="17" xfId="0" applyNumberFormat="1" applyFont="1" applyBorder="1"/>
    <xf numFmtId="0" fontId="10" fillId="0" borderId="15" xfId="0" applyFont="1" applyFill="1" applyBorder="1"/>
    <xf numFmtId="0" fontId="10" fillId="0" borderId="17" xfId="0" applyFont="1" applyFill="1" applyBorder="1"/>
    <xf numFmtId="3" fontId="10" fillId="0" borderId="17" xfId="0" applyNumberFormat="1" applyFont="1" applyFill="1" applyBorder="1"/>
    <xf numFmtId="3" fontId="10" fillId="0" borderId="14" xfId="0" applyNumberFormat="1" applyFont="1" applyFill="1" applyBorder="1"/>
    <xf numFmtId="4" fontId="8" fillId="0" borderId="14" xfId="0" applyNumberFormat="1" applyFont="1" applyFill="1" applyBorder="1"/>
    <xf numFmtId="3" fontId="8" fillId="0" borderId="14" xfId="0" applyNumberFormat="1" applyFont="1" applyFill="1" applyBorder="1"/>
    <xf numFmtId="0" fontId="10" fillId="0" borderId="21" xfId="0" applyFont="1" applyFill="1" applyBorder="1"/>
    <xf numFmtId="3" fontId="10" fillId="0" borderId="21" xfId="0" applyNumberFormat="1" applyFont="1" applyFill="1" applyBorder="1"/>
    <xf numFmtId="3" fontId="10" fillId="0" borderId="22" xfId="0" applyNumberFormat="1" applyFont="1" applyFill="1" applyBorder="1"/>
    <xf numFmtId="4" fontId="8" fillId="0" borderId="22" xfId="0" applyNumberFormat="1" applyFont="1" applyFill="1" applyBorder="1"/>
    <xf numFmtId="3" fontId="8" fillId="0" borderId="22" xfId="0" applyNumberFormat="1" applyFont="1" applyFill="1" applyBorder="1"/>
    <xf numFmtId="4" fontId="7" fillId="0" borderId="23" xfId="0" applyNumberFormat="1" applyFont="1" applyBorder="1"/>
    <xf numFmtId="0" fontId="10" fillId="0" borderId="24" xfId="0" applyFont="1" applyFill="1" applyBorder="1"/>
    <xf numFmtId="3" fontId="10" fillId="0" borderId="24" xfId="0" applyNumberFormat="1" applyFont="1" applyFill="1" applyBorder="1"/>
    <xf numFmtId="3" fontId="10" fillId="0" borderId="25" xfId="0" applyNumberFormat="1" applyFont="1" applyFill="1" applyBorder="1"/>
    <xf numFmtId="4" fontId="8" fillId="0" borderId="25" xfId="0" applyNumberFormat="1" applyFont="1" applyFill="1" applyBorder="1"/>
    <xf numFmtId="3" fontId="8" fillId="0" borderId="25" xfId="0" applyNumberFormat="1" applyFont="1" applyFill="1" applyBorder="1"/>
    <xf numFmtId="4" fontId="7" fillId="0" borderId="24" xfId="0" applyNumberFormat="1" applyFont="1" applyBorder="1"/>
    <xf numFmtId="0" fontId="10" fillId="0" borderId="27" xfId="0" applyFont="1" applyFill="1" applyBorder="1"/>
    <xf numFmtId="3" fontId="10" fillId="0" borderId="27" xfId="0" applyNumberFormat="1" applyFont="1" applyFill="1" applyBorder="1"/>
    <xf numFmtId="3" fontId="10" fillId="0" borderId="28" xfId="0" applyNumberFormat="1" applyFont="1" applyFill="1" applyBorder="1"/>
    <xf numFmtId="4" fontId="8" fillId="0" borderId="28" xfId="0" applyNumberFormat="1" applyFont="1" applyFill="1" applyBorder="1"/>
    <xf numFmtId="3" fontId="8" fillId="0" borderId="28" xfId="0" applyNumberFormat="1" applyFont="1" applyFill="1" applyBorder="1"/>
    <xf numFmtId="0" fontId="6" fillId="0" borderId="30" xfId="0" applyFont="1" applyFill="1" applyBorder="1" applyAlignment="1">
      <alignment horizontal="center"/>
    </xf>
    <xf numFmtId="3" fontId="11" fillId="0" borderId="17" xfId="0" applyNumberFormat="1" applyFont="1" applyFill="1" applyBorder="1"/>
    <xf numFmtId="4" fontId="11" fillId="0" borderId="17" xfId="0" applyNumberFormat="1" applyFont="1" applyFill="1" applyBorder="1"/>
    <xf numFmtId="3" fontId="11" fillId="0" borderId="14" xfId="0" applyNumberFormat="1" applyFont="1" applyFill="1" applyBorder="1"/>
    <xf numFmtId="0" fontId="9" fillId="0" borderId="17" xfId="0" applyFont="1" applyFill="1" applyBorder="1"/>
    <xf numFmtId="0" fontId="9" fillId="0" borderId="9" xfId="0" applyFont="1" applyFill="1" applyBorder="1"/>
    <xf numFmtId="3" fontId="2" fillId="0" borderId="26" xfId="0" applyNumberFormat="1" applyFont="1" applyFill="1" applyBorder="1"/>
    <xf numFmtId="4" fontId="2" fillId="0" borderId="26" xfId="0" applyNumberFormat="1" applyFont="1" applyFill="1" applyBorder="1"/>
    <xf numFmtId="3" fontId="2" fillId="0" borderId="8" xfId="0" applyNumberFormat="1" applyFont="1" applyFill="1" applyBorder="1"/>
    <xf numFmtId="0" fontId="10" fillId="0" borderId="31" xfId="0" applyFont="1" applyFill="1" applyBorder="1"/>
    <xf numFmtId="0" fontId="10" fillId="0" borderId="23" xfId="0" applyFont="1" applyFill="1" applyBorder="1"/>
    <xf numFmtId="3" fontId="10" fillId="0" borderId="32" xfId="0" applyNumberFormat="1" applyFont="1" applyFill="1" applyBorder="1"/>
    <xf numFmtId="4" fontId="8" fillId="0" borderId="32" xfId="0" applyNumberFormat="1" applyFont="1" applyFill="1" applyBorder="1"/>
    <xf numFmtId="3" fontId="8" fillId="0" borderId="32" xfId="0" applyNumberFormat="1" applyFont="1" applyFill="1" applyBorder="1"/>
    <xf numFmtId="3" fontId="10" fillId="0" borderId="34" xfId="0" applyNumberFormat="1" applyFont="1" applyFill="1" applyBorder="1"/>
    <xf numFmtId="4" fontId="8" fillId="0" borderId="34" xfId="0" applyNumberFormat="1" applyFont="1" applyFill="1" applyBorder="1"/>
    <xf numFmtId="3" fontId="8" fillId="0" borderId="34" xfId="0" applyNumberFormat="1" applyFont="1" applyFill="1" applyBorder="1"/>
    <xf numFmtId="0" fontId="9" fillId="0" borderId="26" xfId="0" applyFont="1" applyFill="1" applyBorder="1"/>
    <xf numFmtId="0" fontId="9" fillId="0" borderId="35" xfId="0" applyFont="1" applyFill="1" applyBorder="1"/>
    <xf numFmtId="0" fontId="9" fillId="0" borderId="36" xfId="0" applyFont="1" applyFill="1" applyBorder="1"/>
    <xf numFmtId="3" fontId="9" fillId="0" borderId="12" xfId="0" applyNumberFormat="1" applyFont="1" applyFill="1" applyBorder="1"/>
    <xf numFmtId="3" fontId="9" fillId="0" borderId="17" xfId="0" applyNumberFormat="1" applyFont="1" applyFill="1" applyBorder="1"/>
    <xf numFmtId="4" fontId="9" fillId="0" borderId="17" xfId="0" applyNumberFormat="1" applyFont="1" applyFill="1" applyBorder="1"/>
    <xf numFmtId="3" fontId="9" fillId="0" borderId="14" xfId="0" applyNumberFormat="1" applyFont="1" applyFill="1" applyBorder="1"/>
    <xf numFmtId="0" fontId="8" fillId="0" borderId="21" xfId="0" applyFont="1" applyFill="1" applyBorder="1"/>
    <xf numFmtId="3" fontId="8" fillId="0" borderId="21" xfId="0" applyNumberFormat="1" applyFont="1" applyFill="1" applyBorder="1"/>
    <xf numFmtId="0" fontId="8" fillId="0" borderId="24" xfId="0" applyFont="1" applyFill="1" applyBorder="1"/>
    <xf numFmtId="3" fontId="8" fillId="0" borderId="24" xfId="0" applyNumberFormat="1" applyFont="1" applyFill="1" applyBorder="1"/>
    <xf numFmtId="0" fontId="8" fillId="0" borderId="27" xfId="0" applyFont="1" applyFill="1" applyBorder="1"/>
    <xf numFmtId="0" fontId="8" fillId="0" borderId="29" xfId="0" applyFont="1" applyFill="1" applyBorder="1"/>
    <xf numFmtId="0" fontId="5" fillId="0" borderId="30" xfId="0" applyFont="1" applyFill="1" applyBorder="1" applyAlignment="1">
      <alignment horizontal="center"/>
    </xf>
    <xf numFmtId="3" fontId="5" fillId="0" borderId="19" xfId="0" applyNumberFormat="1" applyFont="1" applyFill="1" applyBorder="1"/>
    <xf numFmtId="4" fontId="5" fillId="0" borderId="19" xfId="0" applyNumberFormat="1" applyFont="1" applyFill="1" applyBorder="1"/>
    <xf numFmtId="3" fontId="5" fillId="0" borderId="38" xfId="0" applyNumberFormat="1" applyFont="1" applyFill="1" applyBorder="1"/>
    <xf numFmtId="3" fontId="6" fillId="0" borderId="19" xfId="0" applyNumberFormat="1" applyFont="1" applyFill="1" applyBorder="1"/>
    <xf numFmtId="4" fontId="6" fillId="0" borderId="19" xfId="0" applyNumberFormat="1" applyFont="1" applyFill="1" applyBorder="1"/>
    <xf numFmtId="3" fontId="6" fillId="0" borderId="38" xfId="0" applyNumberFormat="1" applyFont="1" applyFill="1" applyBorder="1"/>
    <xf numFmtId="0" fontId="9" fillId="0" borderId="37" xfId="0" applyFont="1" applyFill="1" applyBorder="1"/>
    <xf numFmtId="0" fontId="8" fillId="0" borderId="22" xfId="0" applyFont="1" applyFill="1" applyBorder="1"/>
    <xf numFmtId="0" fontId="8" fillId="0" borderId="32" xfId="0" applyFont="1" applyFill="1" applyBorder="1"/>
    <xf numFmtId="3" fontId="8" fillId="0" borderId="23" xfId="0" applyNumberFormat="1" applyFont="1" applyFill="1" applyBorder="1"/>
    <xf numFmtId="0" fontId="8" fillId="0" borderId="25" xfId="0" applyFont="1" applyFill="1" applyBorder="1"/>
    <xf numFmtId="0" fontId="8" fillId="0" borderId="28" xfId="0" applyFont="1" applyFill="1" applyBorder="1"/>
    <xf numFmtId="3" fontId="8" fillId="0" borderId="27" xfId="0" applyNumberFormat="1" applyFont="1" applyFill="1" applyBorder="1"/>
    <xf numFmtId="0" fontId="2" fillId="0" borderId="17" xfId="0" applyFont="1" applyFill="1" applyBorder="1"/>
    <xf numFmtId="0" fontId="2" fillId="0" borderId="14" xfId="0" applyFont="1" applyFill="1" applyBorder="1"/>
    <xf numFmtId="3" fontId="2" fillId="0" borderId="19" xfId="0" applyNumberFormat="1" applyFont="1" applyFill="1" applyBorder="1"/>
    <xf numFmtId="3" fontId="2" fillId="0" borderId="17" xfId="0" applyNumberFormat="1" applyFont="1" applyFill="1" applyBorder="1"/>
    <xf numFmtId="4" fontId="2" fillId="0" borderId="17" xfId="0" applyNumberFormat="1" applyFont="1" applyFill="1" applyBorder="1"/>
    <xf numFmtId="3" fontId="2" fillId="0" borderId="14" xfId="0" applyNumberFormat="1" applyFont="1" applyFill="1" applyBorder="1"/>
    <xf numFmtId="0" fontId="8" fillId="0" borderId="34" xfId="0" applyFont="1" applyFill="1" applyBorder="1"/>
    <xf numFmtId="3" fontId="6" fillId="0" borderId="17" xfId="0" applyNumberFormat="1" applyFont="1" applyFill="1" applyBorder="1"/>
    <xf numFmtId="4" fontId="6" fillId="0" borderId="17" xfId="0" applyNumberFormat="1" applyFont="1" applyFill="1" applyBorder="1"/>
    <xf numFmtId="3" fontId="6" fillId="0" borderId="14" xfId="0" applyNumberFormat="1" applyFont="1" applyFill="1" applyBorder="1"/>
    <xf numFmtId="4" fontId="2" fillId="0" borderId="14" xfId="0" applyNumberFormat="1" applyFont="1" applyFill="1" applyBorder="1"/>
    <xf numFmtId="0" fontId="8" fillId="0" borderId="16" xfId="0" applyFont="1" applyFill="1" applyBorder="1"/>
    <xf numFmtId="4" fontId="8" fillId="0" borderId="16" xfId="0" applyNumberFormat="1" applyFont="1" applyFill="1" applyBorder="1"/>
    <xf numFmtId="3" fontId="8" fillId="0" borderId="16" xfId="0" applyNumberFormat="1" applyFont="1" applyFill="1" applyBorder="1"/>
    <xf numFmtId="0" fontId="8" fillId="0" borderId="23" xfId="0" applyFont="1" applyFill="1" applyBorder="1"/>
    <xf numFmtId="4" fontId="8" fillId="0" borderId="23" xfId="0" applyNumberFormat="1" applyFont="1" applyFill="1" applyBorder="1"/>
    <xf numFmtId="3" fontId="8" fillId="0" borderId="29" xfId="0" applyNumberFormat="1" applyFont="1" applyFill="1" applyBorder="1"/>
    <xf numFmtId="0" fontId="8" fillId="0" borderId="17" xfId="0" applyFont="1" applyFill="1" applyBorder="1"/>
    <xf numFmtId="0" fontId="8" fillId="0" borderId="8" xfId="0" applyFont="1" applyFill="1" applyBorder="1"/>
    <xf numFmtId="4" fontId="8" fillId="0" borderId="8" xfId="0" applyNumberFormat="1" applyFont="1" applyFill="1" applyBorder="1"/>
    <xf numFmtId="3" fontId="8" fillId="0" borderId="8" xfId="0" applyNumberFormat="1" applyFont="1" applyFill="1" applyBorder="1"/>
    <xf numFmtId="0" fontId="6" fillId="0" borderId="33" xfId="0" applyFont="1" applyFill="1" applyBorder="1" applyAlignment="1">
      <alignment horizontal="center"/>
    </xf>
    <xf numFmtId="3" fontId="6" fillId="0" borderId="26" xfId="0" applyNumberFormat="1" applyFont="1" applyFill="1" applyBorder="1"/>
    <xf numFmtId="4" fontId="6" fillId="0" borderId="26" xfId="0" applyNumberFormat="1" applyFont="1" applyFill="1" applyBorder="1"/>
    <xf numFmtId="3" fontId="6" fillId="0" borderId="8" xfId="0" applyNumberFormat="1" applyFont="1" applyFill="1" applyBorder="1"/>
    <xf numFmtId="0" fontId="10" fillId="0" borderId="26" xfId="0" applyFont="1" applyFill="1" applyBorder="1"/>
    <xf numFmtId="3" fontId="8" fillId="0" borderId="17" xfId="0" applyNumberFormat="1" applyFont="1" applyFill="1" applyBorder="1"/>
    <xf numFmtId="4" fontId="10" fillId="0" borderId="8" xfId="0" applyNumberFormat="1" applyFont="1" applyFill="1" applyBorder="1"/>
    <xf numFmtId="3" fontId="10" fillId="0" borderId="8" xfId="0" applyNumberFormat="1" applyFont="1" applyFill="1" applyBorder="1"/>
    <xf numFmtId="3" fontId="11" fillId="0" borderId="26" xfId="0" applyNumberFormat="1" applyFont="1" applyFill="1" applyBorder="1"/>
    <xf numFmtId="4" fontId="11" fillId="0" borderId="26" xfId="0" applyNumberFormat="1" applyFont="1" applyFill="1" applyBorder="1"/>
    <xf numFmtId="3" fontId="11" fillId="0" borderId="8" xfId="0" applyNumberFormat="1" applyFont="1" applyFill="1" applyBorder="1"/>
    <xf numFmtId="4" fontId="11" fillId="0" borderId="8" xfId="0" applyNumberFormat="1" applyFont="1" applyFill="1" applyBorder="1"/>
    <xf numFmtId="0" fontId="10" fillId="0" borderId="22" xfId="0" applyFont="1" applyFill="1" applyBorder="1"/>
    <xf numFmtId="0" fontId="10" fillId="0" borderId="32" xfId="0" applyFont="1" applyFill="1" applyBorder="1"/>
    <xf numFmtId="3" fontId="10" fillId="0" borderId="23" xfId="0" applyNumberFormat="1" applyFont="1" applyFill="1" applyBorder="1"/>
    <xf numFmtId="4" fontId="10" fillId="0" borderId="25" xfId="0" applyNumberFormat="1" applyFont="1" applyFill="1" applyBorder="1"/>
    <xf numFmtId="0" fontId="10" fillId="0" borderId="28" xfId="0" applyFont="1" applyFill="1" applyBorder="1"/>
    <xf numFmtId="3" fontId="13" fillId="0" borderId="17" xfId="0" applyNumberFormat="1" applyFont="1" applyFill="1" applyBorder="1"/>
    <xf numFmtId="4" fontId="13" fillId="0" borderId="17" xfId="0" applyNumberFormat="1" applyFont="1" applyFill="1" applyBorder="1"/>
    <xf numFmtId="3" fontId="13" fillId="0" borderId="14" xfId="0" applyNumberFormat="1" applyFont="1" applyFill="1" applyBorder="1"/>
    <xf numFmtId="4" fontId="13" fillId="0" borderId="14" xfId="0" applyNumberFormat="1" applyFont="1" applyFill="1" applyBorder="1"/>
    <xf numFmtId="4" fontId="6" fillId="0" borderId="14" xfId="0" applyNumberFormat="1" applyFont="1" applyFill="1" applyBorder="1"/>
    <xf numFmtId="0" fontId="2" fillId="0" borderId="26" xfId="0" applyFont="1" applyFill="1" applyBorder="1"/>
    <xf numFmtId="3" fontId="2" fillId="0" borderId="12" xfId="0" applyNumberFormat="1" applyFont="1" applyFill="1" applyBorder="1"/>
    <xf numFmtId="4" fontId="2" fillId="0" borderId="8" xfId="0" applyNumberFormat="1" applyFont="1" applyFill="1" applyBorder="1"/>
    <xf numFmtId="4" fontId="9" fillId="0" borderId="14" xfId="0" applyNumberFormat="1" applyFont="1" applyFill="1" applyBorder="1"/>
    <xf numFmtId="4" fontId="8" fillId="0" borderId="21" xfId="0" applyNumberFormat="1" applyFont="1" applyFill="1" applyBorder="1"/>
    <xf numFmtId="4" fontId="8" fillId="0" borderId="24" xfId="0" applyNumberFormat="1" applyFont="1" applyFill="1" applyBorder="1"/>
    <xf numFmtId="3" fontId="12" fillId="0" borderId="24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4" fontId="8" fillId="0" borderId="25" xfId="0" applyNumberFormat="1" applyFont="1" applyFill="1" applyBorder="1" applyAlignment="1"/>
    <xf numFmtId="0" fontId="8" fillId="0" borderId="38" xfId="0" applyFont="1" applyFill="1" applyBorder="1"/>
    <xf numFmtId="3" fontId="8" fillId="0" borderId="19" xfId="0" applyNumberFormat="1" applyFont="1" applyFill="1" applyBorder="1"/>
    <xf numFmtId="4" fontId="7" fillId="0" borderId="19" xfId="0" applyNumberFormat="1" applyFont="1" applyBorder="1"/>
    <xf numFmtId="3" fontId="5" fillId="0" borderId="42" xfId="0" applyNumberFormat="1" applyFont="1" applyFill="1" applyBorder="1"/>
    <xf numFmtId="4" fontId="5" fillId="0" borderId="42" xfId="0" applyNumberFormat="1" applyFont="1" applyFill="1" applyBorder="1"/>
    <xf numFmtId="3" fontId="5" fillId="0" borderId="43" xfId="0" applyNumberFormat="1" applyFont="1" applyFill="1" applyBorder="1"/>
    <xf numFmtId="49" fontId="6" fillId="0" borderId="1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3" fontId="16" fillId="0" borderId="3" xfId="0" applyNumberFormat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/>
    </xf>
    <xf numFmtId="3" fontId="17" fillId="0" borderId="22" xfId="0" applyNumberFormat="1" applyFont="1" applyFill="1" applyBorder="1"/>
    <xf numFmtId="0" fontId="8" fillId="0" borderId="24" xfId="0" applyFont="1" applyFill="1" applyBorder="1" applyAlignment="1">
      <alignment horizontal="center"/>
    </xf>
    <xf numFmtId="3" fontId="17" fillId="0" borderId="25" xfId="0" applyNumberFormat="1" applyFont="1" applyFill="1" applyBorder="1"/>
    <xf numFmtId="3" fontId="8" fillId="0" borderId="51" xfId="0" applyNumberFormat="1" applyFont="1" applyFill="1" applyBorder="1"/>
    <xf numFmtId="4" fontId="8" fillId="0" borderId="51" xfId="0" applyNumberFormat="1" applyFont="1" applyFill="1" applyBorder="1"/>
    <xf numFmtId="0" fontId="8" fillId="0" borderId="36" xfId="0" applyFont="1" applyFill="1" applyBorder="1"/>
    <xf numFmtId="4" fontId="8" fillId="0" borderId="36" xfId="0" applyNumberFormat="1" applyFont="1" applyFill="1" applyBorder="1"/>
    <xf numFmtId="3" fontId="8" fillId="0" borderId="26" xfId="0" applyNumberFormat="1" applyFont="1" applyFill="1" applyBorder="1"/>
    <xf numFmtId="3" fontId="17" fillId="0" borderId="8" xfId="0" applyNumberFormat="1" applyFont="1" applyFill="1" applyBorder="1"/>
    <xf numFmtId="4" fontId="0" fillId="0" borderId="29" xfId="0" applyNumberFormat="1" applyFont="1" applyBorder="1"/>
    <xf numFmtId="49" fontId="6" fillId="0" borderId="30" xfId="0" applyNumberFormat="1" applyFont="1" applyFill="1" applyBorder="1"/>
    <xf numFmtId="3" fontId="6" fillId="0" borderId="15" xfId="0" applyNumberFormat="1" applyFont="1" applyFill="1" applyBorder="1" applyAlignment="1">
      <alignment horizontal="right"/>
    </xf>
    <xf numFmtId="3" fontId="16" fillId="0" borderId="14" xfId="0" applyNumberFormat="1" applyFont="1" applyFill="1" applyBorder="1"/>
    <xf numFmtId="4" fontId="16" fillId="0" borderId="14" xfId="0" applyNumberFormat="1" applyFont="1" applyFill="1" applyBorder="1"/>
    <xf numFmtId="0" fontId="10" fillId="0" borderId="52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>
      <alignment horizontal="right"/>
    </xf>
    <xf numFmtId="4" fontId="10" fillId="0" borderId="21" xfId="0" applyNumberFormat="1" applyFont="1" applyFill="1" applyBorder="1"/>
    <xf numFmtId="4" fontId="10" fillId="0" borderId="22" xfId="0" applyNumberFormat="1" applyFont="1" applyFill="1" applyBorder="1"/>
    <xf numFmtId="3" fontId="18" fillId="0" borderId="22" xfId="0" applyNumberFormat="1" applyFont="1" applyFill="1" applyBorder="1"/>
    <xf numFmtId="0" fontId="10" fillId="0" borderId="51" xfId="0" applyNumberFormat="1" applyFont="1" applyFill="1" applyBorder="1" applyAlignment="1">
      <alignment horizontal="center"/>
    </xf>
    <xf numFmtId="3" fontId="10" fillId="0" borderId="24" xfId="0" applyNumberFormat="1" applyFont="1" applyFill="1" applyBorder="1" applyAlignment="1">
      <alignment horizontal="right"/>
    </xf>
    <xf numFmtId="4" fontId="10" fillId="0" borderId="24" xfId="0" applyNumberFormat="1" applyFont="1" applyFill="1" applyBorder="1"/>
    <xf numFmtId="0" fontId="10" fillId="0" borderId="53" xfId="0" applyNumberFormat="1" applyFont="1" applyFill="1" applyBorder="1" applyAlignment="1">
      <alignment horizontal="center"/>
    </xf>
    <xf numFmtId="0" fontId="10" fillId="0" borderId="53" xfId="0" applyFont="1" applyFill="1" applyBorder="1"/>
    <xf numFmtId="3" fontId="10" fillId="0" borderId="53" xfId="0" applyNumberFormat="1" applyFont="1" applyFill="1" applyBorder="1" applyAlignment="1">
      <alignment horizontal="right"/>
    </xf>
    <xf numFmtId="4" fontId="10" fillId="0" borderId="34" xfId="0" applyNumberFormat="1" applyFont="1" applyFill="1" applyBorder="1"/>
    <xf numFmtId="3" fontId="18" fillId="0" borderId="34" xfId="0" applyNumberFormat="1" applyFont="1" applyFill="1" applyBorder="1"/>
    <xf numFmtId="0" fontId="8" fillId="0" borderId="52" xfId="0" applyFont="1" applyFill="1" applyBorder="1"/>
    <xf numFmtId="3" fontId="8" fillId="0" borderId="52" xfId="0" applyNumberFormat="1" applyFont="1" applyFill="1" applyBorder="1" applyAlignment="1">
      <alignment horizontal="right"/>
    </xf>
    <xf numFmtId="0" fontId="8" fillId="0" borderId="51" xfId="0" applyFont="1" applyFill="1" applyBorder="1"/>
    <xf numFmtId="3" fontId="8" fillId="0" borderId="51" xfId="0" applyNumberFormat="1" applyFont="1" applyFill="1" applyBorder="1" applyAlignment="1">
      <alignment horizontal="right"/>
    </xf>
    <xf numFmtId="3" fontId="8" fillId="0" borderId="36" xfId="0" applyNumberFormat="1" applyFont="1" applyFill="1" applyBorder="1" applyAlignment="1">
      <alignment horizontal="right"/>
    </xf>
    <xf numFmtId="0" fontId="8" fillId="0" borderId="12" xfId="0" applyFont="1" applyFill="1" applyBorder="1"/>
    <xf numFmtId="3" fontId="17" fillId="0" borderId="16" xfId="0" applyNumberFormat="1" applyFont="1" applyFill="1" applyBorder="1"/>
    <xf numFmtId="0" fontId="8" fillId="0" borderId="52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3" fontId="8" fillId="0" borderId="36" xfId="0" applyNumberFormat="1" applyFont="1" applyFill="1" applyBorder="1"/>
    <xf numFmtId="3" fontId="6" fillId="0" borderId="17" xfId="0" applyNumberFormat="1" applyFont="1" applyFill="1" applyBorder="1" applyAlignment="1">
      <alignment horizontal="right"/>
    </xf>
    <xf numFmtId="49" fontId="2" fillId="0" borderId="20" xfId="0" applyNumberFormat="1" applyFont="1" applyFill="1" applyBorder="1"/>
    <xf numFmtId="0" fontId="10" fillId="0" borderId="36" xfId="0" applyNumberFormat="1" applyFont="1" applyFill="1" applyBorder="1" applyAlignment="1">
      <alignment horizontal="center"/>
    </xf>
    <xf numFmtId="0" fontId="8" fillId="0" borderId="54" xfId="0" applyFont="1" applyFill="1" applyBorder="1"/>
    <xf numFmtId="3" fontId="8" fillId="0" borderId="12" xfId="0" applyNumberFormat="1" applyFont="1" applyFill="1" applyBorder="1" applyAlignment="1">
      <alignment horizontal="right"/>
    </xf>
    <xf numFmtId="0" fontId="8" fillId="0" borderId="55" xfId="0" applyFont="1" applyFill="1" applyBorder="1"/>
    <xf numFmtId="0" fontId="8" fillId="0" borderId="56" xfId="0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3" fontId="8" fillId="0" borderId="12" xfId="0" applyNumberFormat="1" applyFont="1" applyFill="1" applyBorder="1"/>
    <xf numFmtId="3" fontId="0" fillId="0" borderId="0" xfId="0" applyNumberFormat="1"/>
    <xf numFmtId="0" fontId="8" fillId="0" borderId="26" xfId="0" applyFont="1" applyFill="1" applyBorder="1"/>
    <xf numFmtId="4" fontId="8" fillId="0" borderId="17" xfId="0" applyNumberFormat="1" applyFont="1" applyFill="1" applyBorder="1"/>
    <xf numFmtId="3" fontId="17" fillId="0" borderId="14" xfId="0" applyNumberFormat="1" applyFont="1" applyFill="1" applyBorder="1"/>
    <xf numFmtId="14" fontId="6" fillId="0" borderId="30" xfId="0" applyNumberFormat="1" applyFont="1" applyFill="1" applyBorder="1"/>
    <xf numFmtId="3" fontId="20" fillId="0" borderId="14" xfId="0" applyNumberFormat="1" applyFont="1" applyFill="1" applyBorder="1"/>
    <xf numFmtId="4" fontId="20" fillId="0" borderId="14" xfId="0" applyNumberFormat="1" applyFont="1" applyFill="1" applyBorder="1"/>
    <xf numFmtId="0" fontId="8" fillId="0" borderId="20" xfId="0" applyFont="1" applyFill="1" applyBorder="1"/>
    <xf numFmtId="0" fontId="8" fillId="0" borderId="36" xfId="0" applyFont="1" applyFill="1" applyBorder="1" applyAlignment="1">
      <alignment horizontal="center"/>
    </xf>
    <xf numFmtId="2" fontId="8" fillId="0" borderId="12" xfId="0" applyNumberFormat="1" applyFont="1" applyFill="1" applyBorder="1"/>
    <xf numFmtId="0" fontId="8" fillId="0" borderId="29" xfId="0" applyFont="1" applyFill="1" applyBorder="1" applyAlignment="1">
      <alignment horizontal="center"/>
    </xf>
    <xf numFmtId="3" fontId="8" fillId="0" borderId="29" xfId="0" applyNumberFormat="1" applyFont="1" applyFill="1" applyBorder="1" applyAlignment="1">
      <alignment horizontal="right"/>
    </xf>
    <xf numFmtId="4" fontId="8" fillId="0" borderId="29" xfId="0" applyNumberFormat="1" applyFont="1" applyFill="1" applyBorder="1"/>
    <xf numFmtId="3" fontId="17" fillId="0" borderId="34" xfId="0" applyNumberFormat="1" applyFont="1" applyFill="1" applyBorder="1"/>
    <xf numFmtId="0" fontId="8" fillId="0" borderId="27" xfId="0" applyFont="1" applyFill="1" applyBorder="1" applyAlignment="1">
      <alignment horizontal="center"/>
    </xf>
    <xf numFmtId="3" fontId="8" fillId="0" borderId="27" xfId="0" applyNumberFormat="1" applyFont="1" applyFill="1" applyBorder="1" applyAlignment="1">
      <alignment horizontal="right"/>
    </xf>
    <xf numFmtId="4" fontId="8" fillId="0" borderId="27" xfId="0" applyNumberFormat="1" applyFont="1" applyFill="1" applyBorder="1"/>
    <xf numFmtId="3" fontId="17" fillId="0" borderId="28" xfId="0" applyNumberFormat="1" applyFont="1" applyFill="1" applyBorder="1"/>
    <xf numFmtId="0" fontId="10" fillId="0" borderId="57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3" fontId="10" fillId="0" borderId="52" xfId="0" applyNumberFormat="1" applyFont="1" applyFill="1" applyBorder="1" applyAlignment="1">
      <alignment horizontal="right"/>
    </xf>
    <xf numFmtId="0" fontId="10" fillId="0" borderId="52" xfId="0" applyFont="1" applyFill="1" applyBorder="1" applyAlignment="1">
      <alignment horizontal="right"/>
    </xf>
    <xf numFmtId="0" fontId="10" fillId="0" borderId="57" xfId="0" applyFont="1" applyFill="1" applyBorder="1" applyAlignment="1">
      <alignment horizontal="left"/>
    </xf>
    <xf numFmtId="3" fontId="10" fillId="0" borderId="57" xfId="0" applyNumberFormat="1" applyFont="1" applyFill="1" applyBorder="1" applyAlignment="1">
      <alignment horizontal="right"/>
    </xf>
    <xf numFmtId="0" fontId="10" fillId="0" borderId="57" xfId="0" applyFont="1" applyFill="1" applyBorder="1" applyAlignment="1">
      <alignment horizontal="right"/>
    </xf>
    <xf numFmtId="4" fontId="10" fillId="0" borderId="32" xfId="0" applyNumberFormat="1" applyFont="1" applyFill="1" applyBorder="1"/>
    <xf numFmtId="3" fontId="18" fillId="0" borderId="32" xfId="0" applyNumberFormat="1" applyFont="1" applyFill="1" applyBorder="1"/>
    <xf numFmtId="0" fontId="8" fillId="0" borderId="9" xfId="0" applyFont="1" applyFill="1" applyBorder="1"/>
    <xf numFmtId="3" fontId="8" fillId="0" borderId="9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3" fontId="18" fillId="0" borderId="8" xfId="0" applyNumberFormat="1" applyFont="1" applyFill="1" applyBorder="1"/>
    <xf numFmtId="49" fontId="6" fillId="0" borderId="7" xfId="0" applyNumberFormat="1" applyFont="1" applyFill="1" applyBorder="1"/>
    <xf numFmtId="3" fontId="6" fillId="0" borderId="9" xfId="0" applyNumberFormat="1" applyFont="1" applyFill="1" applyBorder="1" applyAlignment="1">
      <alignment horizontal="right"/>
    </xf>
    <xf numFmtId="3" fontId="16" fillId="0" borderId="8" xfId="0" applyNumberFormat="1" applyFont="1" applyFill="1" applyBorder="1"/>
    <xf numFmtId="4" fontId="16" fillId="0" borderId="8" xfId="0" applyNumberFormat="1" applyFont="1" applyFill="1" applyBorder="1"/>
    <xf numFmtId="3" fontId="10" fillId="0" borderId="15" xfId="0" applyNumberFormat="1" applyFont="1" applyFill="1" applyBorder="1" applyAlignment="1">
      <alignment horizontal="right"/>
    </xf>
    <xf numFmtId="4" fontId="10" fillId="0" borderId="17" xfId="0" applyNumberFormat="1" applyFont="1" applyFill="1" applyBorder="1"/>
    <xf numFmtId="4" fontId="17" fillId="0" borderId="14" xfId="0" applyNumberFormat="1" applyFont="1" applyFill="1" applyBorder="1"/>
    <xf numFmtId="0" fontId="10" fillId="0" borderId="57" xfId="0" applyNumberFormat="1" applyFont="1" applyFill="1" applyBorder="1" applyAlignment="1">
      <alignment horizontal="center"/>
    </xf>
    <xf numFmtId="3" fontId="17" fillId="0" borderId="32" xfId="0" applyNumberFormat="1" applyFont="1" applyFill="1" applyBorder="1"/>
    <xf numFmtId="0" fontId="10" fillId="0" borderId="9" xfId="0" applyNumberFormat="1" applyFont="1" applyFill="1" applyBorder="1" applyAlignment="1">
      <alignment horizontal="center"/>
    </xf>
    <xf numFmtId="3" fontId="10" fillId="0" borderId="26" xfId="0" applyNumberFormat="1" applyFont="1" applyFill="1" applyBorder="1"/>
    <xf numFmtId="4" fontId="10" fillId="0" borderId="23" xfId="0" applyNumberFormat="1" applyFont="1" applyFill="1" applyBorder="1"/>
    <xf numFmtId="3" fontId="10" fillId="0" borderId="29" xfId="0" applyNumberFormat="1" applyFont="1" applyFill="1" applyBorder="1"/>
    <xf numFmtId="0" fontId="21" fillId="0" borderId="25" xfId="0" applyFont="1" applyFill="1" applyBorder="1"/>
    <xf numFmtId="0" fontId="10" fillId="0" borderId="12" xfId="0" applyFont="1" applyFill="1" applyBorder="1"/>
    <xf numFmtId="0" fontId="10" fillId="0" borderId="0" xfId="0" applyNumberFormat="1" applyFont="1" applyFill="1" applyBorder="1" applyAlignment="1">
      <alignment horizontal="center"/>
    </xf>
    <xf numFmtId="3" fontId="10" fillId="0" borderId="12" xfId="0" applyNumberFormat="1" applyFont="1" applyFill="1" applyBorder="1"/>
    <xf numFmtId="4" fontId="10" fillId="0" borderId="28" xfId="0" applyNumberFormat="1" applyFont="1" applyFill="1" applyBorder="1"/>
    <xf numFmtId="0" fontId="21" fillId="0" borderId="28" xfId="0" applyFont="1" applyFill="1" applyBorder="1"/>
    <xf numFmtId="0" fontId="6" fillId="0" borderId="15" xfId="0" applyFont="1" applyFill="1" applyBorder="1" applyAlignment="1">
      <alignment horizontal="right"/>
    </xf>
    <xf numFmtId="49" fontId="10" fillId="0" borderId="52" xfId="0" applyNumberFormat="1" applyFont="1" applyFill="1" applyBorder="1" applyAlignment="1">
      <alignment horizontal="center"/>
    </xf>
    <xf numFmtId="49" fontId="10" fillId="0" borderId="51" xfId="0" applyNumberFormat="1" applyFont="1" applyFill="1" applyBorder="1" applyAlignment="1">
      <alignment horizontal="center"/>
    </xf>
    <xf numFmtId="3" fontId="18" fillId="0" borderId="25" xfId="0" applyNumberFormat="1" applyFont="1" applyFill="1" applyBorder="1"/>
    <xf numFmtId="4" fontId="18" fillId="0" borderId="25" xfId="0" applyNumberFormat="1" applyFont="1" applyFill="1" applyBorder="1"/>
    <xf numFmtId="0" fontId="8" fillId="0" borderId="53" xfId="0" applyFont="1" applyFill="1" applyBorder="1" applyAlignment="1">
      <alignment horizontal="center"/>
    </xf>
    <xf numFmtId="49" fontId="10" fillId="0" borderId="52" xfId="0" applyNumberFormat="1" applyFont="1" applyFill="1" applyBorder="1" applyAlignment="1">
      <alignment horizontal="left"/>
    </xf>
    <xf numFmtId="3" fontId="10" fillId="0" borderId="52" xfId="0" applyNumberFormat="1" applyFont="1" applyFill="1" applyBorder="1" applyAlignment="1">
      <alignment horizontal="left"/>
    </xf>
    <xf numFmtId="49" fontId="10" fillId="0" borderId="52" xfId="0" applyNumberFormat="1" applyFont="1" applyFill="1" applyBorder="1" applyAlignment="1">
      <alignment horizontal="right"/>
    </xf>
    <xf numFmtId="49" fontId="8" fillId="0" borderId="51" xfId="0" applyNumberFormat="1" applyFont="1" applyFill="1" applyBorder="1" applyAlignment="1">
      <alignment horizontal="left"/>
    </xf>
    <xf numFmtId="3" fontId="8" fillId="0" borderId="51" xfId="0" applyNumberFormat="1" applyFont="1" applyFill="1" applyBorder="1" applyAlignment="1">
      <alignment horizontal="left"/>
    </xf>
    <xf numFmtId="49" fontId="8" fillId="0" borderId="51" xfId="0" applyNumberFormat="1" applyFont="1" applyFill="1" applyBorder="1" applyAlignment="1">
      <alignment horizontal="right"/>
    </xf>
    <xf numFmtId="3" fontId="8" fillId="0" borderId="59" xfId="0" applyNumberFormat="1" applyFont="1" applyFill="1" applyBorder="1" applyAlignment="1">
      <alignment horizontal="right"/>
    </xf>
    <xf numFmtId="4" fontId="8" fillId="0" borderId="23" xfId="0" applyNumberFormat="1" applyFont="1" applyFill="1" applyBorder="1" applyAlignment="1">
      <alignment horizontal="right"/>
    </xf>
    <xf numFmtId="3" fontId="8" fillId="0" borderId="60" xfId="0" applyNumberFormat="1" applyFont="1" applyFill="1" applyBorder="1" applyAlignment="1">
      <alignment horizontal="left"/>
    </xf>
    <xf numFmtId="3" fontId="8" fillId="0" borderId="60" xfId="0" applyNumberFormat="1" applyFont="1" applyFill="1" applyBorder="1" applyAlignment="1">
      <alignment horizontal="right"/>
    </xf>
    <xf numFmtId="49" fontId="8" fillId="0" borderId="60" xfId="0" applyNumberFormat="1" applyFont="1" applyFill="1" applyBorder="1" applyAlignment="1">
      <alignment horizontal="right"/>
    </xf>
    <xf numFmtId="3" fontId="8" fillId="0" borderId="6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49" fontId="8" fillId="0" borderId="27" xfId="0" applyNumberFormat="1" applyFont="1" applyFill="1" applyBorder="1"/>
    <xf numFmtId="49" fontId="8" fillId="0" borderId="27" xfId="0" applyNumberFormat="1" applyFont="1" applyFill="1" applyBorder="1" applyAlignment="1">
      <alignment horizontal="right"/>
    </xf>
    <xf numFmtId="3" fontId="8" fillId="0" borderId="62" xfId="0" applyNumberFormat="1" applyFont="1" applyFill="1" applyBorder="1" applyAlignment="1">
      <alignment horizontal="right"/>
    </xf>
    <xf numFmtId="4" fontId="8" fillId="0" borderId="27" xfId="0" applyNumberFormat="1" applyFont="1" applyFill="1" applyBorder="1" applyAlignment="1">
      <alignment horizontal="right"/>
    </xf>
    <xf numFmtId="3" fontId="18" fillId="0" borderId="28" xfId="0" applyNumberFormat="1" applyFont="1" applyFill="1" applyBorder="1"/>
    <xf numFmtId="49" fontId="6" fillId="0" borderId="7" xfId="0" applyNumberFormat="1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left"/>
    </xf>
    <xf numFmtId="0" fontId="9" fillId="0" borderId="9" xfId="0" applyNumberFormat="1" applyFont="1" applyFill="1" applyBorder="1" applyAlignment="1">
      <alignment horizontal="right"/>
    </xf>
    <xf numFmtId="3" fontId="9" fillId="0" borderId="26" xfId="0" applyNumberFormat="1" applyFont="1" applyFill="1" applyBorder="1"/>
    <xf numFmtId="4" fontId="9" fillId="0" borderId="26" xfId="0" applyNumberFormat="1" applyFont="1" applyFill="1" applyBorder="1"/>
    <xf numFmtId="3" fontId="9" fillId="0" borderId="8" xfId="0" applyNumberFormat="1" applyFont="1" applyFill="1" applyBorder="1"/>
    <xf numFmtId="3" fontId="22" fillId="0" borderId="8" xfId="0" applyNumberFormat="1" applyFont="1" applyFill="1" applyBorder="1"/>
    <xf numFmtId="49" fontId="8" fillId="0" borderId="9" xfId="0" applyNumberFormat="1" applyFont="1" applyFill="1" applyBorder="1"/>
    <xf numFmtId="3" fontId="8" fillId="0" borderId="9" xfId="0" applyNumberFormat="1" applyFont="1" applyFill="1" applyBorder="1"/>
    <xf numFmtId="49" fontId="8" fillId="0" borderId="9" xfId="0" applyNumberFormat="1" applyFont="1" applyFill="1" applyBorder="1" applyAlignment="1">
      <alignment horizontal="right"/>
    </xf>
    <xf numFmtId="0" fontId="8" fillId="0" borderId="53" xfId="0" applyFont="1" applyFill="1" applyBorder="1"/>
    <xf numFmtId="3" fontId="8" fillId="0" borderId="53" xfId="0" applyNumberFormat="1" applyFont="1" applyFill="1" applyBorder="1" applyAlignment="1">
      <alignment horizontal="right"/>
    </xf>
    <xf numFmtId="3" fontId="8" fillId="0" borderId="53" xfId="0" applyNumberFormat="1" applyFont="1" applyFill="1" applyBorder="1"/>
    <xf numFmtId="49" fontId="6" fillId="0" borderId="17" xfId="0" applyNumberFormat="1" applyFont="1" applyFill="1" applyBorder="1"/>
    <xf numFmtId="0" fontId="8" fillId="0" borderId="60" xfId="0" applyFont="1" applyFill="1" applyBorder="1" applyAlignment="1">
      <alignment horizontal="center"/>
    </xf>
    <xf numFmtId="4" fontId="8" fillId="0" borderId="12" xfId="0" applyNumberFormat="1" applyFont="1" applyFill="1" applyBorder="1"/>
    <xf numFmtId="3" fontId="6" fillId="0" borderId="52" xfId="0" applyNumberFormat="1" applyFont="1" applyFill="1" applyBorder="1" applyAlignment="1">
      <alignment horizontal="right"/>
    </xf>
    <xf numFmtId="3" fontId="6" fillId="0" borderId="21" xfId="0" applyNumberFormat="1" applyFont="1" applyFill="1" applyBorder="1"/>
    <xf numFmtId="3" fontId="16" fillId="0" borderId="22" xfId="0" applyNumberFormat="1" applyFont="1" applyFill="1" applyBorder="1"/>
    <xf numFmtId="3" fontId="6" fillId="0" borderId="57" xfId="0" applyNumberFormat="1" applyFont="1" applyFill="1" applyBorder="1" applyAlignment="1">
      <alignment horizontal="right"/>
    </xf>
    <xf numFmtId="3" fontId="6" fillId="0" borderId="23" xfId="0" applyNumberFormat="1" applyFont="1" applyFill="1" applyBorder="1"/>
    <xf numFmtId="4" fontId="6" fillId="0" borderId="32" xfId="0" applyNumberFormat="1" applyFont="1" applyFill="1" applyBorder="1"/>
    <xf numFmtId="3" fontId="6" fillId="0" borderId="32" xfId="0" applyNumberFormat="1" applyFont="1" applyFill="1" applyBorder="1"/>
    <xf numFmtId="3" fontId="16" fillId="0" borderId="32" xfId="0" applyNumberFormat="1" applyFont="1" applyFill="1" applyBorder="1"/>
    <xf numFmtId="0" fontId="8" fillId="0" borderId="57" xfId="0" applyFont="1" applyFill="1" applyBorder="1" applyAlignment="1">
      <alignment horizontal="center"/>
    </xf>
    <xf numFmtId="0" fontId="8" fillId="0" borderId="30" xfId="0" applyFont="1" applyFill="1" applyBorder="1"/>
    <xf numFmtId="0" fontId="8" fillId="0" borderId="15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3" fontId="6" fillId="0" borderId="22" xfId="0" applyNumberFormat="1" applyFont="1" applyFill="1" applyBorder="1"/>
    <xf numFmtId="4" fontId="17" fillId="0" borderId="22" xfId="0" applyNumberFormat="1" applyFont="1" applyFill="1" applyBorder="1"/>
    <xf numFmtId="0" fontId="19" fillId="0" borderId="0" xfId="0" applyFont="1"/>
    <xf numFmtId="3" fontId="18" fillId="0" borderId="24" xfId="0" applyNumberFormat="1" applyFont="1" applyFill="1" applyBorder="1"/>
    <xf numFmtId="49" fontId="2" fillId="0" borderId="63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52" xfId="0" applyNumberFormat="1" applyFont="1" applyFill="1" applyBorder="1" applyAlignment="1">
      <alignment horizontal="center"/>
    </xf>
    <xf numFmtId="3" fontId="8" fillId="0" borderId="52" xfId="0" applyNumberFormat="1" applyFont="1" applyFill="1" applyBorder="1"/>
    <xf numFmtId="49" fontId="2" fillId="0" borderId="57" xfId="0" applyNumberFormat="1" applyFont="1" applyFill="1" applyBorder="1" applyAlignment="1">
      <alignment horizontal="center"/>
    </xf>
    <xf numFmtId="3" fontId="8" fillId="0" borderId="57" xfId="0" applyNumberFormat="1" applyFont="1" applyFill="1" applyBorder="1"/>
    <xf numFmtId="0" fontId="8" fillId="0" borderId="57" xfId="0" applyFont="1" applyFill="1" applyBorder="1"/>
    <xf numFmtId="4" fontId="0" fillId="0" borderId="0" xfId="0" applyNumberFormat="1"/>
    <xf numFmtId="49" fontId="2" fillId="0" borderId="51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9" xfId="0" applyNumberFormat="1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/>
    </xf>
    <xf numFmtId="3" fontId="3" fillId="0" borderId="14" xfId="0" applyNumberFormat="1" applyFont="1" applyFill="1" applyBorder="1"/>
    <xf numFmtId="4" fontId="3" fillId="0" borderId="14" xfId="0" applyNumberFormat="1" applyFont="1" applyFill="1" applyBorder="1"/>
    <xf numFmtId="4" fontId="12" fillId="0" borderId="12" xfId="0" applyNumberFormat="1" applyFont="1" applyFill="1" applyBorder="1"/>
    <xf numFmtId="3" fontId="12" fillId="0" borderId="16" xfId="0" applyNumberFormat="1" applyFont="1" applyFill="1" applyBorder="1"/>
    <xf numFmtId="4" fontId="12" fillId="0" borderId="16" xfId="0" applyNumberFormat="1" applyFont="1" applyFill="1" applyBorder="1"/>
    <xf numFmtId="3" fontId="21" fillId="0" borderId="16" xfId="0" applyNumberFormat="1" applyFont="1" applyFill="1" applyBorder="1"/>
    <xf numFmtId="4" fontId="12" fillId="0" borderId="24" xfId="0" applyNumberFormat="1" applyFont="1" applyFill="1" applyBorder="1"/>
    <xf numFmtId="3" fontId="21" fillId="0" borderId="25" xfId="0" applyNumberFormat="1" applyFont="1" applyFill="1" applyBorder="1"/>
    <xf numFmtId="3" fontId="22" fillId="0" borderId="14" xfId="0" applyNumberFormat="1" applyFont="1" applyFill="1" applyBorder="1"/>
    <xf numFmtId="4" fontId="22" fillId="0" borderId="14" xfId="0" applyNumberFormat="1" applyFont="1" applyFill="1" applyBorder="1"/>
    <xf numFmtId="16" fontId="6" fillId="0" borderId="30" xfId="0" applyNumberFormat="1" applyFont="1" applyFill="1" applyBorder="1"/>
    <xf numFmtId="0" fontId="8" fillId="0" borderId="23" xfId="0" applyFont="1" applyFill="1" applyBorder="1" applyAlignment="1">
      <alignment horizontal="center"/>
    </xf>
    <xf numFmtId="3" fontId="9" fillId="0" borderId="27" xfId="0" applyNumberFormat="1" applyFont="1" applyFill="1" applyBorder="1"/>
    <xf numFmtId="3" fontId="9" fillId="0" borderId="9" xfId="0" applyNumberFormat="1" applyFont="1" applyFill="1" applyBorder="1" applyAlignment="1">
      <alignment horizontal="right"/>
    </xf>
    <xf numFmtId="4" fontId="9" fillId="0" borderId="27" xfId="0" applyNumberFormat="1" applyFont="1" applyFill="1" applyBorder="1"/>
    <xf numFmtId="3" fontId="22" fillId="0" borderId="28" xfId="0" applyNumberFormat="1" applyFont="1" applyFill="1" applyBorder="1"/>
    <xf numFmtId="0" fontId="12" fillId="0" borderId="53" xfId="0" applyFont="1" applyFill="1" applyBorder="1" applyAlignment="1">
      <alignment horizontal="center"/>
    </xf>
    <xf numFmtId="0" fontId="19" fillId="0" borderId="17" xfId="0" applyFont="1" applyFill="1" applyBorder="1"/>
    <xf numFmtId="4" fontId="8" fillId="0" borderId="26" xfId="0" applyNumberFormat="1" applyFont="1" applyFill="1" applyBorder="1"/>
    <xf numFmtId="0" fontId="6" fillId="0" borderId="30" xfId="0" applyFont="1" applyFill="1" applyBorder="1" applyAlignment="1">
      <alignment vertical="center" wrapText="1"/>
    </xf>
    <xf numFmtId="3" fontId="19" fillId="0" borderId="17" xfId="0" applyNumberFormat="1" applyFont="1" applyFill="1" applyBorder="1" applyAlignment="1">
      <alignment vertical="center" wrapText="1"/>
    </xf>
    <xf numFmtId="4" fontId="19" fillId="0" borderId="17" xfId="0" applyNumberFormat="1" applyFont="1" applyFill="1" applyBorder="1" applyAlignment="1">
      <alignment vertical="center" wrapText="1"/>
    </xf>
    <xf numFmtId="3" fontId="23" fillId="0" borderId="14" xfId="0" applyNumberFormat="1" applyFont="1" applyFill="1" applyBorder="1" applyAlignment="1">
      <alignment vertical="center" wrapText="1"/>
    </xf>
    <xf numFmtId="4" fontId="23" fillId="0" borderId="14" xfId="0" applyNumberFormat="1" applyFont="1" applyFill="1" applyBorder="1" applyAlignment="1">
      <alignment vertical="center" wrapText="1"/>
    </xf>
    <xf numFmtId="3" fontId="2" fillId="0" borderId="15" xfId="0" applyNumberFormat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vertical="center" wrapText="1"/>
    </xf>
    <xf numFmtId="3" fontId="12" fillId="0" borderId="21" xfId="0" applyNumberFormat="1" applyFont="1" applyFill="1" applyBorder="1" applyAlignment="1">
      <alignment vertical="center" wrapText="1"/>
    </xf>
    <xf numFmtId="4" fontId="12" fillId="0" borderId="21" xfId="0" applyNumberFormat="1" applyFont="1" applyFill="1" applyBorder="1" applyAlignment="1">
      <alignment vertical="center" wrapText="1"/>
    </xf>
    <xf numFmtId="3" fontId="12" fillId="0" borderId="22" xfId="0" applyNumberFormat="1" applyFont="1" applyFill="1" applyBorder="1" applyAlignment="1">
      <alignment vertical="center" wrapText="1"/>
    </xf>
    <xf numFmtId="4" fontId="12" fillId="0" borderId="22" xfId="0" applyNumberFormat="1" applyFont="1" applyFill="1" applyBorder="1" applyAlignment="1">
      <alignment vertical="center" wrapText="1"/>
    </xf>
    <xf numFmtId="3" fontId="12" fillId="0" borderId="24" xfId="0" applyNumberFormat="1" applyFont="1" applyFill="1" applyBorder="1" applyAlignment="1">
      <alignment vertical="center" wrapText="1"/>
    </xf>
    <xf numFmtId="4" fontId="12" fillId="0" borderId="25" xfId="0" applyNumberFormat="1" applyFont="1" applyFill="1" applyBorder="1" applyAlignment="1">
      <alignment vertical="center" wrapText="1"/>
    </xf>
    <xf numFmtId="3" fontId="12" fillId="0" borderId="25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4" fontId="12" fillId="0" borderId="28" xfId="0" applyNumberFormat="1" applyFont="1" applyFill="1" applyBorder="1" applyAlignment="1">
      <alignment vertical="center" wrapText="1"/>
    </xf>
    <xf numFmtId="3" fontId="12" fillId="0" borderId="28" xfId="0" applyNumberFormat="1" applyFont="1" applyFill="1" applyBorder="1" applyAlignment="1">
      <alignment vertical="center" wrapText="1"/>
    </xf>
    <xf numFmtId="3" fontId="21" fillId="0" borderId="28" xfId="0" applyNumberFormat="1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3" fontId="8" fillId="0" borderId="60" xfId="0" applyNumberFormat="1" applyFont="1" applyFill="1" applyBorder="1"/>
    <xf numFmtId="0" fontId="8" fillId="0" borderId="60" xfId="0" applyFont="1" applyFill="1" applyBorder="1"/>
    <xf numFmtId="0" fontId="12" fillId="0" borderId="65" xfId="0" applyFont="1" applyFill="1" applyBorder="1" applyAlignment="1">
      <alignment horizontal="center"/>
    </xf>
    <xf numFmtId="0" fontId="8" fillId="0" borderId="66" xfId="0" applyFont="1" applyFill="1" applyBorder="1"/>
    <xf numFmtId="3" fontId="8" fillId="0" borderId="66" xfId="0" applyNumberFormat="1" applyFont="1" applyFill="1" applyBorder="1"/>
    <xf numFmtId="3" fontId="8" fillId="0" borderId="67" xfId="0" applyNumberFormat="1" applyFont="1" applyFill="1" applyBorder="1"/>
    <xf numFmtId="4" fontId="8" fillId="0" borderId="67" xfId="0" applyNumberFormat="1" applyFont="1" applyFill="1" applyBorder="1"/>
    <xf numFmtId="3" fontId="17" fillId="0" borderId="67" xfId="0" applyNumberFormat="1" applyFont="1" applyFill="1" applyBorder="1"/>
    <xf numFmtId="0" fontId="5" fillId="0" borderId="68" xfId="0" applyFont="1" applyFill="1" applyBorder="1"/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/>
    <xf numFmtId="3" fontId="24" fillId="0" borderId="43" xfId="0" applyNumberFormat="1" applyFont="1" applyFill="1" applyBorder="1"/>
    <xf numFmtId="0" fontId="5" fillId="0" borderId="70" xfId="0" applyFont="1" applyFill="1" applyBorder="1"/>
    <xf numFmtId="3" fontId="5" fillId="0" borderId="26" xfId="0" applyNumberFormat="1" applyFont="1" applyFill="1" applyBorder="1" applyAlignment="1">
      <alignment horizontal="right"/>
    </xf>
    <xf numFmtId="4" fontId="5" fillId="0" borderId="26" xfId="0" applyNumberFormat="1" applyFont="1" applyFill="1" applyBorder="1" applyAlignment="1">
      <alignment horizontal="right"/>
    </xf>
    <xf numFmtId="0" fontId="6" fillId="0" borderId="71" xfId="0" applyFont="1" applyFill="1" applyBorder="1"/>
    <xf numFmtId="0" fontId="2" fillId="0" borderId="38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32" xfId="0" applyFont="1" applyFill="1" applyBorder="1"/>
    <xf numFmtId="3" fontId="8" fillId="0" borderId="49" xfId="0" applyNumberFormat="1" applyFont="1" applyFill="1" applyBorder="1"/>
    <xf numFmtId="0" fontId="2" fillId="0" borderId="16" xfId="0" applyFont="1" applyFill="1" applyBorder="1"/>
    <xf numFmtId="0" fontId="10" fillId="0" borderId="16" xfId="0" applyFont="1" applyFill="1" applyBorder="1"/>
    <xf numFmtId="3" fontId="10" fillId="0" borderId="16" xfId="0" applyNumberFormat="1" applyFont="1" applyFill="1" applyBorder="1"/>
    <xf numFmtId="0" fontId="2" fillId="0" borderId="17" xfId="0" applyFont="1" applyFill="1" applyBorder="1" applyAlignment="1">
      <alignment horizontal="center"/>
    </xf>
    <xf numFmtId="0" fontId="8" fillId="0" borderId="32" xfId="0" applyFont="1" applyBorder="1"/>
    <xf numFmtId="3" fontId="8" fillId="0" borderId="32" xfId="0" applyNumberFormat="1" applyFont="1" applyBorder="1"/>
    <xf numFmtId="4" fontId="8" fillId="0" borderId="32" xfId="0" applyNumberFormat="1" applyFont="1" applyBorder="1"/>
    <xf numFmtId="0" fontId="12" fillId="0" borderId="24" xfId="0" applyFont="1" applyFill="1" applyBorder="1"/>
    <xf numFmtId="0" fontId="12" fillId="0" borderId="25" xfId="0" applyFont="1" applyFill="1" applyBorder="1"/>
    <xf numFmtId="3" fontId="12" fillId="0" borderId="32" xfId="0" applyNumberFormat="1" applyFont="1" applyFill="1" applyBorder="1"/>
    <xf numFmtId="4" fontId="12" fillId="0" borderId="32" xfId="0" applyNumberFormat="1" applyFont="1" applyFill="1" applyBorder="1"/>
    <xf numFmtId="3" fontId="12" fillId="0" borderId="23" xfId="0" applyNumberFormat="1" applyFont="1" applyFill="1" applyBorder="1"/>
    <xf numFmtId="0" fontId="8" fillId="0" borderId="27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center"/>
    </xf>
    <xf numFmtId="3" fontId="5" fillId="0" borderId="14" xfId="0" applyNumberFormat="1" applyFont="1" applyFill="1" applyBorder="1"/>
    <xf numFmtId="4" fontId="5" fillId="0" borderId="14" xfId="0" applyNumberFormat="1" applyFont="1" applyFill="1" applyBorder="1"/>
    <xf numFmtId="3" fontId="5" fillId="0" borderId="17" xfId="0" applyNumberFormat="1" applyFont="1" applyFill="1" applyBorder="1"/>
    <xf numFmtId="3" fontId="11" fillId="0" borderId="38" xfId="0" applyNumberFormat="1" applyFont="1" applyFill="1" applyBorder="1"/>
    <xf numFmtId="4" fontId="11" fillId="0" borderId="38" xfId="0" applyNumberFormat="1" applyFont="1" applyFill="1" applyBorder="1"/>
    <xf numFmtId="3" fontId="11" fillId="0" borderId="19" xfId="0" applyNumberFormat="1" applyFont="1" applyFill="1" applyBorder="1"/>
    <xf numFmtId="4" fontId="11" fillId="0" borderId="19" xfId="0" applyNumberFormat="1" applyFont="1" applyFill="1" applyBorder="1"/>
    <xf numFmtId="0" fontId="12" fillId="0" borderId="12" xfId="0" applyFont="1" applyFill="1" applyBorder="1"/>
    <xf numFmtId="0" fontId="12" fillId="0" borderId="16" xfId="0" applyFont="1" applyFill="1" applyBorder="1"/>
    <xf numFmtId="3" fontId="8" fillId="0" borderId="50" xfId="0" applyNumberFormat="1" applyFont="1" applyFill="1" applyBorder="1"/>
    <xf numFmtId="0" fontId="6" fillId="0" borderId="30" xfId="0" applyFont="1" applyFill="1" applyBorder="1"/>
    <xf numFmtId="0" fontId="6" fillId="0" borderId="17" xfId="0" applyFont="1" applyFill="1" applyBorder="1" applyAlignment="1">
      <alignment horizontal="right"/>
    </xf>
    <xf numFmtId="3" fontId="6" fillId="0" borderId="37" xfId="0" applyNumberFormat="1" applyFont="1" applyFill="1" applyBorder="1" applyAlignment="1">
      <alignment horizontal="right"/>
    </xf>
    <xf numFmtId="4" fontId="6" fillId="0" borderId="17" xfId="0" applyNumberFormat="1" applyFont="1" applyFill="1" applyBorder="1" applyAlignment="1">
      <alignment horizontal="right"/>
    </xf>
    <xf numFmtId="3" fontId="19" fillId="0" borderId="17" xfId="0" applyNumberFormat="1" applyFont="1" applyFill="1" applyBorder="1"/>
    <xf numFmtId="0" fontId="5" fillId="0" borderId="73" xfId="0" applyFont="1" applyFill="1" applyBorder="1"/>
    <xf numFmtId="0" fontId="5" fillId="0" borderId="43" xfId="0" applyFont="1" applyFill="1" applyBorder="1" applyAlignment="1">
      <alignment horizontal="center"/>
    </xf>
    <xf numFmtId="4" fontId="0" fillId="0" borderId="0" xfId="0" applyNumberFormat="1" applyAlignment="1"/>
    <xf numFmtId="3" fontId="6" fillId="0" borderId="26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9" fontId="2" fillId="0" borderId="20" xfId="0" applyNumberFormat="1" applyFont="1" applyFill="1" applyBorder="1" applyAlignment="1"/>
    <xf numFmtId="3" fontId="25" fillId="0" borderId="23" xfId="0" applyNumberFormat="1" applyFont="1" applyFill="1" applyBorder="1"/>
    <xf numFmtId="3" fontId="25" fillId="0" borderId="25" xfId="0" applyNumberFormat="1" applyFont="1" applyFill="1" applyBorder="1"/>
    <xf numFmtId="49" fontId="6" fillId="0" borderId="30" xfId="0" applyNumberFormat="1" applyFont="1" applyFill="1" applyBorder="1" applyAlignment="1"/>
    <xf numFmtId="49" fontId="2" fillId="0" borderId="12" xfId="0" applyNumberFormat="1" applyFont="1" applyFill="1" applyBorder="1" applyAlignment="1"/>
    <xf numFmtId="0" fontId="8" fillId="0" borderId="25" xfId="0" applyFont="1" applyFill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8" fillId="0" borderId="34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49" fontId="11" fillId="0" borderId="30" xfId="0" applyNumberFormat="1" applyFont="1" applyFill="1" applyBorder="1" applyAlignment="1"/>
    <xf numFmtId="3" fontId="19" fillId="0" borderId="14" xfId="0" applyNumberFormat="1" applyFont="1" applyFill="1" applyBorder="1" applyAlignment="1">
      <alignment horizontal="right"/>
    </xf>
    <xf numFmtId="49" fontId="2" fillId="0" borderId="18" xfId="0" applyNumberFormat="1" applyFont="1" applyFill="1" applyBorder="1" applyAlignment="1"/>
    <xf numFmtId="49" fontId="2" fillId="0" borderId="19" xfId="0" applyNumberFormat="1" applyFont="1" applyFill="1" applyBorder="1" applyAlignment="1"/>
    <xf numFmtId="0" fontId="8" fillId="0" borderId="22" xfId="0" applyFont="1" applyFill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8" fillId="0" borderId="32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/>
    <xf numFmtId="49" fontId="2" fillId="0" borderId="26" xfId="0" applyNumberFormat="1" applyFont="1" applyFill="1" applyBorder="1" applyAlignment="1"/>
    <xf numFmtId="0" fontId="8" fillId="0" borderId="16" xfId="0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49" fontId="6" fillId="0" borderId="7" xfId="0" applyNumberFormat="1" applyFont="1" applyFill="1" applyBorder="1" applyAlignment="1"/>
    <xf numFmtId="3" fontId="6" fillId="0" borderId="14" xfId="0" applyNumberFormat="1" applyFont="1" applyFill="1" applyBorder="1" applyAlignment="1">
      <alignment horizontal="left"/>
    </xf>
    <xf numFmtId="0" fontId="6" fillId="0" borderId="14" xfId="0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0" fontId="10" fillId="0" borderId="21" xfId="0" applyFont="1" applyFill="1" applyBorder="1" applyAlignment="1">
      <alignment horizontal="left"/>
    </xf>
    <xf numFmtId="3" fontId="10" fillId="0" borderId="21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right"/>
    </xf>
    <xf numFmtId="3" fontId="6" fillId="0" borderId="21" xfId="0" applyNumberFormat="1" applyFont="1" applyFill="1" applyBorder="1" applyAlignment="1">
      <alignment horizontal="right"/>
    </xf>
    <xf numFmtId="0" fontId="10" fillId="0" borderId="23" xfId="0" applyFont="1" applyFill="1" applyBorder="1" applyAlignment="1">
      <alignment horizontal="left"/>
    </xf>
    <xf numFmtId="3" fontId="10" fillId="0" borderId="23" xfId="0" applyNumberFormat="1" applyFont="1" applyFill="1" applyBorder="1" applyAlignment="1">
      <alignment horizontal="left"/>
    </xf>
    <xf numFmtId="0" fontId="6" fillId="0" borderId="23" xfId="0" applyFont="1" applyFill="1" applyBorder="1" applyAlignment="1">
      <alignment horizontal="right"/>
    </xf>
    <xf numFmtId="3" fontId="6" fillId="0" borderId="23" xfId="0" applyNumberFormat="1" applyFont="1" applyFill="1" applyBorder="1" applyAlignment="1">
      <alignment horizontal="right"/>
    </xf>
    <xf numFmtId="3" fontId="26" fillId="0" borderId="23" xfId="0" applyNumberFormat="1" applyFont="1" applyFill="1" applyBorder="1"/>
    <xf numFmtId="3" fontId="27" fillId="0" borderId="23" xfId="0" applyNumberFormat="1" applyFont="1" applyFill="1" applyBorder="1"/>
    <xf numFmtId="0" fontId="10" fillId="0" borderId="24" xfId="0" applyFont="1" applyFill="1" applyBorder="1" applyAlignment="1">
      <alignment horizontal="left"/>
    </xf>
    <xf numFmtId="3" fontId="10" fillId="0" borderId="24" xfId="0" applyNumberFormat="1" applyFont="1" applyFill="1" applyBorder="1" applyAlignment="1">
      <alignment horizontal="left"/>
    </xf>
    <xf numFmtId="0" fontId="6" fillId="0" borderId="24" xfId="0" applyFont="1" applyFill="1" applyBorder="1" applyAlignment="1">
      <alignment horizontal="right"/>
    </xf>
    <xf numFmtId="3" fontId="6" fillId="0" borderId="24" xfId="0" applyNumberFormat="1" applyFont="1" applyFill="1" applyBorder="1" applyAlignment="1">
      <alignment horizontal="right"/>
    </xf>
    <xf numFmtId="3" fontId="6" fillId="0" borderId="24" xfId="0" applyNumberFormat="1" applyFont="1" applyFill="1" applyBorder="1"/>
    <xf numFmtId="3" fontId="9" fillId="0" borderId="24" xfId="0" applyNumberFormat="1" applyFont="1" applyFill="1" applyBorder="1"/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3" fontId="28" fillId="0" borderId="22" xfId="0" applyNumberFormat="1" applyFont="1" applyFill="1" applyBorder="1"/>
    <xf numFmtId="4" fontId="28" fillId="0" borderId="22" xfId="0" applyNumberFormat="1" applyFont="1" applyFill="1" applyBorder="1"/>
    <xf numFmtId="3" fontId="28" fillId="0" borderId="16" xfId="0" applyNumberFormat="1" applyFont="1" applyFill="1" applyBorder="1"/>
    <xf numFmtId="3" fontId="28" fillId="0" borderId="25" xfId="0" applyNumberFormat="1" applyFont="1" applyFill="1" applyBorder="1"/>
    <xf numFmtId="4" fontId="28" fillId="0" borderId="25" xfId="0" applyNumberFormat="1" applyFont="1" applyFill="1" applyBorder="1"/>
    <xf numFmtId="3" fontId="28" fillId="0" borderId="24" xfId="0" applyNumberFormat="1" applyFont="1" applyFill="1" applyBorder="1"/>
    <xf numFmtId="0" fontId="8" fillId="0" borderId="64" xfId="0" applyFont="1" applyFill="1" applyBorder="1"/>
    <xf numFmtId="3" fontId="8" fillId="0" borderId="75" xfId="0" applyNumberFormat="1" applyFont="1" applyFill="1" applyBorder="1"/>
    <xf numFmtId="0" fontId="8" fillId="0" borderId="75" xfId="0" applyFont="1" applyFill="1" applyBorder="1"/>
    <xf numFmtId="0" fontId="8" fillId="0" borderId="75" xfId="0" applyFont="1" applyFill="1" applyBorder="1" applyAlignment="1">
      <alignment horizontal="right"/>
    </xf>
    <xf numFmtId="3" fontId="8" fillId="0" borderId="75" xfId="0" applyNumberFormat="1" applyFont="1" applyFill="1" applyBorder="1" applyAlignment="1">
      <alignment horizontal="right"/>
    </xf>
    <xf numFmtId="3" fontId="8" fillId="0" borderId="59" xfId="0" applyNumberFormat="1" applyFont="1" applyFill="1" applyBorder="1"/>
    <xf numFmtId="0" fontId="8" fillId="0" borderId="59" xfId="0" applyFont="1" applyFill="1" applyBorder="1"/>
    <xf numFmtId="0" fontId="8" fillId="0" borderId="59" xfId="0" applyFont="1" applyFill="1" applyBorder="1" applyAlignment="1">
      <alignment horizontal="right"/>
    </xf>
    <xf numFmtId="0" fontId="12" fillId="0" borderId="51" xfId="0" applyFont="1" applyFill="1" applyBorder="1"/>
    <xf numFmtId="3" fontId="12" fillId="0" borderId="61" xfId="0" applyNumberFormat="1" applyFont="1" applyFill="1" applyBorder="1"/>
    <xf numFmtId="0" fontId="12" fillId="0" borderId="61" xfId="0" applyFont="1" applyFill="1" applyBorder="1"/>
    <xf numFmtId="0" fontId="12" fillId="0" borderId="61" xfId="0" applyFont="1" applyFill="1" applyBorder="1" applyAlignment="1">
      <alignment horizontal="right"/>
    </xf>
    <xf numFmtId="3" fontId="12" fillId="0" borderId="61" xfId="0" applyNumberFormat="1" applyFont="1" applyFill="1" applyBorder="1" applyAlignment="1">
      <alignment horizontal="right"/>
    </xf>
    <xf numFmtId="3" fontId="8" fillId="0" borderId="61" xfId="0" applyNumberFormat="1" applyFont="1" applyFill="1" applyBorder="1"/>
    <xf numFmtId="0" fontId="8" fillId="0" borderId="61" xfId="0" applyFont="1" applyFill="1" applyBorder="1"/>
    <xf numFmtId="0" fontId="8" fillId="0" borderId="61" xfId="0" applyFont="1" applyFill="1" applyBorder="1" applyAlignment="1">
      <alignment horizontal="right"/>
    </xf>
    <xf numFmtId="3" fontId="6" fillId="0" borderId="34" xfId="0" applyNumberFormat="1" applyFont="1" applyFill="1" applyBorder="1"/>
    <xf numFmtId="0" fontId="6" fillId="0" borderId="34" xfId="0" applyFont="1" applyFill="1" applyBorder="1"/>
    <xf numFmtId="0" fontId="6" fillId="0" borderId="34" xfId="0" applyFont="1" applyFill="1" applyBorder="1" applyAlignment="1">
      <alignment horizontal="right"/>
    </xf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/>
    <xf numFmtId="0" fontId="29" fillId="0" borderId="0" xfId="0" applyFont="1"/>
    <xf numFmtId="3" fontId="6" fillId="0" borderId="58" xfId="0" applyNumberFormat="1" applyFont="1" applyFill="1" applyBorder="1" applyAlignment="1">
      <alignment horizontal="left"/>
    </xf>
    <xf numFmtId="0" fontId="6" fillId="0" borderId="58" xfId="0" applyFont="1" applyFill="1" applyBorder="1" applyAlignment="1">
      <alignment horizontal="right"/>
    </xf>
    <xf numFmtId="3" fontId="6" fillId="0" borderId="58" xfId="0" applyNumberFormat="1" applyFont="1" applyFill="1" applyBorder="1" applyAlignment="1">
      <alignment horizontal="right"/>
    </xf>
    <xf numFmtId="3" fontId="10" fillId="0" borderId="22" xfId="0" applyNumberFormat="1" applyFont="1" applyFill="1" applyBorder="1" applyAlignment="1">
      <alignment horizontal="left"/>
    </xf>
    <xf numFmtId="0" fontId="10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right"/>
    </xf>
    <xf numFmtId="3" fontId="10" fillId="0" borderId="22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4" fontId="6" fillId="0" borderId="8" xfId="0" applyNumberFormat="1" applyFont="1" applyFill="1" applyBorder="1"/>
    <xf numFmtId="0" fontId="19" fillId="0" borderId="30" xfId="0" applyFont="1" applyFill="1" applyBorder="1"/>
    <xf numFmtId="49" fontId="6" fillId="0" borderId="17" xfId="0" applyNumberFormat="1" applyFont="1" applyFill="1" applyBorder="1" applyAlignment="1">
      <alignment horizontal="right"/>
    </xf>
    <xf numFmtId="0" fontId="12" fillId="0" borderId="13" xfId="0" applyFont="1" applyFill="1" applyBorder="1"/>
    <xf numFmtId="0" fontId="12" fillId="0" borderId="17" xfId="0" applyFont="1" applyFill="1" applyBorder="1"/>
    <xf numFmtId="0" fontId="12" fillId="0" borderId="0" xfId="0" applyFont="1" applyFill="1" applyBorder="1"/>
    <xf numFmtId="3" fontId="12" fillId="0" borderId="14" xfId="0" applyNumberFormat="1" applyFont="1" applyFill="1" applyBorder="1"/>
    <xf numFmtId="0" fontId="12" fillId="0" borderId="37" xfId="0" applyFont="1" applyFill="1" applyBorder="1"/>
    <xf numFmtId="0" fontId="12" fillId="0" borderId="19" xfId="0" applyFont="1" applyFill="1" applyBorder="1"/>
    <xf numFmtId="49" fontId="2" fillId="0" borderId="30" xfId="0" applyNumberFormat="1" applyFont="1" applyFill="1" applyBorder="1" applyAlignment="1"/>
    <xf numFmtId="49" fontId="2" fillId="0" borderId="17" xfId="0" applyNumberFormat="1" applyFont="1" applyFill="1" applyBorder="1" applyAlignment="1">
      <alignment horizontal="left"/>
    </xf>
    <xf numFmtId="1" fontId="9" fillId="0" borderId="17" xfId="0" applyNumberFormat="1" applyFont="1" applyFill="1" applyBorder="1"/>
    <xf numFmtId="0" fontId="2" fillId="0" borderId="21" xfId="0" applyFont="1" applyFill="1" applyBorder="1" applyAlignment="1"/>
    <xf numFmtId="0" fontId="2" fillId="0" borderId="27" xfId="0" applyFont="1" applyFill="1" applyBorder="1" applyAlignment="1"/>
    <xf numFmtId="0" fontId="8" fillId="0" borderId="22" xfId="0" applyFont="1" applyFill="1" applyBorder="1" applyAlignment="1"/>
    <xf numFmtId="3" fontId="8" fillId="0" borderId="22" xfId="0" applyNumberFormat="1" applyFont="1" applyFill="1" applyBorder="1" applyAlignment="1"/>
    <xf numFmtId="4" fontId="8" fillId="0" borderId="21" xfId="0" applyNumberFormat="1" applyFont="1" applyFill="1" applyBorder="1" applyAlignment="1">
      <alignment horizontal="right"/>
    </xf>
    <xf numFmtId="0" fontId="2" fillId="0" borderId="23" xfId="0" applyFont="1" applyFill="1" applyBorder="1" applyAlignment="1"/>
    <xf numFmtId="0" fontId="8" fillId="0" borderId="32" xfId="0" applyFont="1" applyFill="1" applyBorder="1" applyAlignment="1"/>
    <xf numFmtId="3" fontId="8" fillId="0" borderId="32" xfId="0" applyNumberFormat="1" applyFont="1" applyFill="1" applyBorder="1" applyAlignment="1"/>
    <xf numFmtId="3" fontId="8" fillId="0" borderId="23" xfId="0" applyNumberFormat="1" applyFont="1" applyFill="1" applyBorder="1" applyAlignment="1">
      <alignment horizontal="right"/>
    </xf>
    <xf numFmtId="0" fontId="2" fillId="0" borderId="24" xfId="0" applyFont="1" applyFill="1" applyBorder="1" applyAlignment="1"/>
    <xf numFmtId="0" fontId="8" fillId="0" borderId="25" xfId="0" applyFont="1" applyFill="1" applyBorder="1" applyAlignment="1"/>
    <xf numFmtId="3" fontId="2" fillId="0" borderId="42" xfId="0" applyNumberFormat="1" applyFont="1" applyFill="1" applyBorder="1"/>
    <xf numFmtId="4" fontId="2" fillId="0" borderId="42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7" xfId="0" applyNumberFormat="1" applyFont="1" applyFill="1" applyBorder="1"/>
    <xf numFmtId="3" fontId="0" fillId="0" borderId="26" xfId="0" applyNumberFormat="1" applyFill="1" applyBorder="1"/>
    <xf numFmtId="4" fontId="0" fillId="0" borderId="26" xfId="0" applyNumberFormat="1" applyFill="1" applyBorder="1"/>
    <xf numFmtId="4" fontId="0" fillId="0" borderId="10" xfId="0" applyNumberFormat="1" applyFill="1" applyBorder="1"/>
    <xf numFmtId="3" fontId="0" fillId="0" borderId="10" xfId="0" applyNumberFormat="1" applyFill="1" applyBorder="1"/>
    <xf numFmtId="0" fontId="0" fillId="0" borderId="21" xfId="0" applyFill="1" applyBorder="1"/>
    <xf numFmtId="3" fontId="0" fillId="0" borderId="21" xfId="0" applyNumberFormat="1" applyFill="1" applyBorder="1"/>
    <xf numFmtId="3" fontId="12" fillId="0" borderId="21" xfId="0" applyNumberFormat="1" applyFont="1" applyFill="1" applyBorder="1" applyAlignment="1">
      <alignment horizontal="right"/>
    </xf>
    <xf numFmtId="4" fontId="12" fillId="0" borderId="21" xfId="0" applyNumberFormat="1" applyFont="1" applyFill="1" applyBorder="1" applyAlignment="1">
      <alignment horizontal="right"/>
    </xf>
    <xf numFmtId="4" fontId="12" fillId="0" borderId="22" xfId="0" applyNumberFormat="1" applyFont="1" applyFill="1" applyBorder="1" applyAlignment="1">
      <alignment horizontal="right"/>
    </xf>
    <xf numFmtId="3" fontId="12" fillId="0" borderId="21" xfId="0" applyNumberFormat="1" applyFont="1" applyFill="1" applyBorder="1"/>
    <xf numFmtId="0" fontId="0" fillId="0" borderId="23" xfId="0" applyFill="1" applyBorder="1"/>
    <xf numFmtId="0" fontId="12" fillId="0" borderId="23" xfId="0" applyFont="1" applyFill="1" applyBorder="1"/>
    <xf numFmtId="3" fontId="12" fillId="0" borderId="24" xfId="0" applyNumberFormat="1" applyFont="1" applyFill="1" applyBorder="1" applyAlignment="1">
      <alignment horizontal="right"/>
    </xf>
    <xf numFmtId="4" fontId="12" fillId="0" borderId="24" xfId="0" applyNumberFormat="1" applyFont="1" applyFill="1" applyBorder="1" applyAlignment="1">
      <alignment horizontal="right"/>
    </xf>
    <xf numFmtId="4" fontId="12" fillId="0" borderId="25" xfId="0" applyNumberFormat="1" applyFont="1" applyFill="1" applyBorder="1" applyAlignment="1">
      <alignment horizontal="right"/>
    </xf>
    <xf numFmtId="0" fontId="0" fillId="0" borderId="24" xfId="0" applyFill="1" applyBorder="1"/>
    <xf numFmtId="0" fontId="30" fillId="0" borderId="24" xfId="0" applyFont="1" applyFill="1" applyBorder="1"/>
    <xf numFmtId="0" fontId="0" fillId="0" borderId="24" xfId="0" applyFont="1" applyFill="1" applyBorder="1"/>
    <xf numFmtId="0" fontId="7" fillId="0" borderId="24" xfId="0" applyFont="1" applyFill="1" applyBorder="1"/>
    <xf numFmtId="3" fontId="7" fillId="0" borderId="24" xfId="0" applyNumberFormat="1" applyFont="1" applyFill="1" applyBorder="1"/>
    <xf numFmtId="3" fontId="0" fillId="0" borderId="24" xfId="0" applyNumberFormat="1" applyFill="1" applyBorder="1"/>
    <xf numFmtId="4" fontId="0" fillId="0" borderId="24" xfId="0" applyNumberFormat="1" applyFill="1" applyBorder="1"/>
    <xf numFmtId="4" fontId="0" fillId="0" borderId="25" xfId="0" applyNumberFormat="1" applyFill="1" applyBorder="1"/>
    <xf numFmtId="0" fontId="0" fillId="0" borderId="29" xfId="0" applyFill="1" applyBorder="1"/>
    <xf numFmtId="3" fontId="0" fillId="0" borderId="29" xfId="0" applyNumberFormat="1" applyFill="1" applyBorder="1"/>
    <xf numFmtId="4" fontId="0" fillId="0" borderId="29" xfId="0" applyNumberFormat="1" applyFill="1" applyBorder="1"/>
    <xf numFmtId="4" fontId="0" fillId="0" borderId="34" xfId="0" applyNumberFormat="1" applyFill="1" applyBorder="1"/>
    <xf numFmtId="4" fontId="2" fillId="0" borderId="43" xfId="0" applyNumberFormat="1" applyFont="1" applyFill="1" applyBorder="1"/>
    <xf numFmtId="3" fontId="2" fillId="0" borderId="40" xfId="0" applyNumberFormat="1" applyFont="1" applyFill="1" applyBorder="1"/>
    <xf numFmtId="3" fontId="0" fillId="0" borderId="77" xfId="0" applyNumberFormat="1" applyFill="1" applyBorder="1"/>
    <xf numFmtId="4" fontId="0" fillId="0" borderId="77" xfId="0" applyNumberFormat="1" applyFill="1" applyBorder="1"/>
    <xf numFmtId="3" fontId="19" fillId="0" borderId="78" xfId="0" applyNumberFormat="1" applyFont="1" applyFill="1" applyBorder="1" applyAlignment="1">
      <alignment vertical="center"/>
    </xf>
    <xf numFmtId="4" fontId="19" fillId="0" borderId="78" xfId="0" applyNumberFormat="1" applyFont="1" applyFill="1" applyBorder="1" applyAlignment="1">
      <alignment vertical="center"/>
    </xf>
    <xf numFmtId="3" fontId="19" fillId="0" borderId="78" xfId="0" applyNumberFormat="1" applyFont="1" applyFill="1" applyBorder="1"/>
    <xf numFmtId="4" fontId="19" fillId="0" borderId="78" xfId="0" applyNumberFormat="1" applyFont="1" applyFill="1" applyBorder="1"/>
    <xf numFmtId="0" fontId="4" fillId="2" borderId="78" xfId="0" applyFont="1" applyFill="1" applyBorder="1" applyAlignment="1">
      <alignment horizontal="center" vertical="center" wrapText="1"/>
    </xf>
    <xf numFmtId="0" fontId="8" fillId="0" borderId="80" xfId="0" applyFont="1" applyFill="1" applyBorder="1"/>
    <xf numFmtId="0" fontId="5" fillId="2" borderId="68" xfId="0" applyFont="1" applyFill="1" applyBorder="1" applyAlignment="1">
      <alignment horizontal="left"/>
    </xf>
    <xf numFmtId="3" fontId="5" fillId="2" borderId="42" xfId="0" applyNumberFormat="1" applyFont="1" applyFill="1" applyBorder="1"/>
    <xf numFmtId="3" fontId="5" fillId="2" borderId="69" xfId="0" applyNumberFormat="1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7" fillId="0" borderId="0" xfId="0" applyFont="1"/>
    <xf numFmtId="3" fontId="5" fillId="0" borderId="48" xfId="0" applyNumberFormat="1" applyFont="1" applyFill="1" applyBorder="1"/>
    <xf numFmtId="3" fontId="7" fillId="0" borderId="0" xfId="0" applyNumberFormat="1" applyFont="1"/>
    <xf numFmtId="3" fontId="19" fillId="0" borderId="83" xfId="0" applyNumberFormat="1" applyFont="1" applyBorder="1"/>
    <xf numFmtId="0" fontId="0" fillId="0" borderId="0" xfId="0" applyFont="1"/>
    <xf numFmtId="3" fontId="7" fillId="0" borderId="17" xfId="0" applyNumberFormat="1" applyFont="1" applyBorder="1"/>
    <xf numFmtId="3" fontId="0" fillId="0" borderId="83" xfId="0" applyNumberFormat="1" applyFont="1" applyBorder="1"/>
    <xf numFmtId="3" fontId="7" fillId="0" borderId="23" xfId="0" applyNumberFormat="1" applyFont="1" applyBorder="1"/>
    <xf numFmtId="3" fontId="7" fillId="0" borderId="49" xfId="0" applyNumberFormat="1" applyFont="1" applyBorder="1"/>
    <xf numFmtId="3" fontId="7" fillId="0" borderId="24" xfId="0" applyNumberFormat="1" applyFont="1" applyBorder="1"/>
    <xf numFmtId="3" fontId="7" fillId="0" borderId="50" xfId="0" applyNumberFormat="1" applyFont="1" applyBorder="1"/>
    <xf numFmtId="3" fontId="7" fillId="0" borderId="29" xfId="0" applyNumberFormat="1" applyFont="1" applyBorder="1"/>
    <xf numFmtId="3" fontId="7" fillId="0" borderId="84" xfId="0" applyNumberFormat="1" applyFont="1" applyBorder="1"/>
    <xf numFmtId="3" fontId="11" fillId="0" borderId="83" xfId="0" applyNumberFormat="1" applyFont="1" applyFill="1" applyBorder="1"/>
    <xf numFmtId="3" fontId="2" fillId="0" borderId="85" xfId="0" applyNumberFormat="1" applyFont="1" applyFill="1" applyBorder="1"/>
    <xf numFmtId="3" fontId="9" fillId="0" borderId="83" xfId="0" applyNumberFormat="1" applyFont="1" applyFill="1" applyBorder="1"/>
    <xf numFmtId="3" fontId="5" fillId="0" borderId="86" xfId="0" applyNumberFormat="1" applyFont="1" applyFill="1" applyBorder="1"/>
    <xf numFmtId="3" fontId="6" fillId="0" borderId="86" xfId="0" applyNumberFormat="1" applyFont="1" applyFill="1" applyBorder="1"/>
    <xf numFmtId="4" fontId="7" fillId="0" borderId="49" xfId="0" applyNumberFormat="1" applyFont="1" applyBorder="1"/>
    <xf numFmtId="4" fontId="7" fillId="0" borderId="50" xfId="0" applyNumberFormat="1" applyFont="1" applyBorder="1"/>
    <xf numFmtId="3" fontId="2" fillId="0" borderId="83" xfId="0" applyNumberFormat="1" applyFont="1" applyFill="1" applyBorder="1"/>
    <xf numFmtId="3" fontId="8" fillId="0" borderId="84" xfId="0" applyNumberFormat="1" applyFont="1" applyFill="1" applyBorder="1"/>
    <xf numFmtId="3" fontId="6" fillId="0" borderId="83" xfId="0" applyNumberFormat="1" applyFont="1" applyFill="1" applyBorder="1"/>
    <xf numFmtId="3" fontId="8" fillId="0" borderId="87" xfId="0" applyNumberFormat="1" applyFont="1" applyFill="1" applyBorder="1"/>
    <xf numFmtId="3" fontId="7" fillId="0" borderId="87" xfId="0" applyNumberFormat="1" applyFont="1" applyBorder="1"/>
    <xf numFmtId="4" fontId="7" fillId="0" borderId="83" xfId="0" applyNumberFormat="1" applyFont="1" applyBorder="1"/>
    <xf numFmtId="3" fontId="11" fillId="0" borderId="85" xfId="0" applyNumberFormat="1" applyFont="1" applyFill="1" applyBorder="1"/>
    <xf numFmtId="3" fontId="13" fillId="0" borderId="83" xfId="0" applyNumberFormat="1" applyFont="1" applyFill="1" applyBorder="1"/>
    <xf numFmtId="4" fontId="7" fillId="0" borderId="84" xfId="0" applyNumberFormat="1" applyFont="1" applyBorder="1"/>
    <xf numFmtId="4" fontId="7" fillId="0" borderId="86" xfId="0" applyNumberFormat="1" applyFont="1" applyBorder="1"/>
    <xf numFmtId="3" fontId="14" fillId="0" borderId="42" xfId="0" applyNumberFormat="1" applyFont="1" applyBorder="1"/>
    <xf numFmtId="3" fontId="14" fillId="0" borderId="69" xfId="0" applyNumberFormat="1" applyFont="1" applyBorder="1"/>
    <xf numFmtId="3" fontId="6" fillId="0" borderId="10" xfId="0" applyNumberFormat="1" applyFont="1" applyFill="1" applyBorder="1" applyAlignment="1">
      <alignment vertical="center"/>
    </xf>
    <xf numFmtId="3" fontId="6" fillId="0" borderId="48" xfId="0" applyNumberFormat="1" applyFont="1" applyFill="1" applyBorder="1" applyAlignment="1">
      <alignment vertical="center"/>
    </xf>
    <xf numFmtId="3" fontId="0" fillId="0" borderId="23" xfId="0" applyNumberFormat="1" applyFont="1" applyBorder="1"/>
    <xf numFmtId="3" fontId="0" fillId="0" borderId="49" xfId="0" applyNumberFormat="1" applyFont="1" applyBorder="1"/>
    <xf numFmtId="3" fontId="0" fillId="0" borderId="24" xfId="0" applyNumberFormat="1" applyFont="1" applyBorder="1"/>
    <xf numFmtId="3" fontId="0" fillId="0" borderId="50" xfId="0" applyNumberFormat="1" applyFont="1" applyBorder="1"/>
    <xf numFmtId="4" fontId="0" fillId="0" borderId="24" xfId="0" applyNumberFormat="1" applyFont="1" applyBorder="1"/>
    <xf numFmtId="4" fontId="0" fillId="0" borderId="50" xfId="0" applyNumberFormat="1" applyFont="1" applyBorder="1"/>
    <xf numFmtId="4" fontId="0" fillId="0" borderId="84" xfId="0" applyNumberFormat="1" applyFont="1" applyBorder="1"/>
    <xf numFmtId="3" fontId="4" fillId="0" borderId="83" xfId="0" applyNumberFormat="1" applyFont="1" applyBorder="1"/>
    <xf numFmtId="3" fontId="0" fillId="0" borderId="84" xfId="0" applyNumberFormat="1" applyFont="1" applyBorder="1"/>
    <xf numFmtId="3" fontId="19" fillId="0" borderId="17" xfId="0" applyNumberFormat="1" applyFont="1" applyBorder="1"/>
    <xf numFmtId="3" fontId="0" fillId="0" borderId="12" xfId="0" applyNumberFormat="1" applyFont="1" applyBorder="1"/>
    <xf numFmtId="3" fontId="0" fillId="0" borderId="87" xfId="0" applyNumberFormat="1" applyFont="1" applyBorder="1"/>
    <xf numFmtId="3" fontId="0" fillId="0" borderId="17" xfId="0" applyNumberFormat="1" applyFont="1" applyBorder="1"/>
    <xf numFmtId="3" fontId="0" fillId="0" borderId="29" xfId="0" applyNumberFormat="1" applyFont="1" applyBorder="1"/>
    <xf numFmtId="3" fontId="0" fillId="0" borderId="21" xfId="0" applyNumberFormat="1" applyFont="1" applyBorder="1"/>
    <xf numFmtId="3" fontId="0" fillId="0" borderId="89" xfId="0" applyNumberFormat="1" applyFont="1" applyBorder="1"/>
    <xf numFmtId="3" fontId="0" fillId="0" borderId="27" xfId="0" applyNumberFormat="1" applyFont="1" applyBorder="1"/>
    <xf numFmtId="3" fontId="0" fillId="0" borderId="88" xfId="0" applyNumberFormat="1" applyFont="1" applyBorder="1"/>
    <xf numFmtId="3" fontId="0" fillId="0" borderId="26" xfId="0" applyNumberFormat="1" applyFont="1" applyBorder="1"/>
    <xf numFmtId="3" fontId="0" fillId="0" borderId="85" xfId="0" applyNumberFormat="1" applyFont="1" applyBorder="1"/>
    <xf numFmtId="4" fontId="0" fillId="0" borderId="23" xfId="0" applyNumberFormat="1" applyFont="1" applyBorder="1"/>
    <xf numFmtId="4" fontId="0" fillId="0" borderId="49" xfId="0" applyNumberFormat="1" applyFont="1" applyBorder="1"/>
    <xf numFmtId="4" fontId="0" fillId="0" borderId="17" xfId="0" applyNumberFormat="1" applyFont="1" applyBorder="1"/>
    <xf numFmtId="4" fontId="0" fillId="0" borderId="83" xfId="0" applyNumberFormat="1" applyFont="1" applyBorder="1"/>
    <xf numFmtId="4" fontId="0" fillId="0" borderId="12" xfId="0" applyNumberFormat="1" applyFont="1" applyBorder="1"/>
    <xf numFmtId="4" fontId="0" fillId="0" borderId="87" xfId="0" applyNumberFormat="1" applyFont="1" applyBorder="1"/>
    <xf numFmtId="3" fontId="12" fillId="0" borderId="21" xfId="0" applyNumberFormat="1" applyFont="1" applyBorder="1"/>
    <xf numFmtId="3" fontId="12" fillId="0" borderId="89" xfId="0" applyNumberFormat="1" applyFont="1" applyBorder="1"/>
    <xf numFmtId="3" fontId="4" fillId="0" borderId="17" xfId="0" applyNumberFormat="1" applyFont="1" applyBorder="1"/>
    <xf numFmtId="3" fontId="19" fillId="0" borderId="17" xfId="0" applyNumberFormat="1" applyFont="1" applyBorder="1" applyAlignment="1">
      <alignment vertical="center"/>
    </xf>
    <xf numFmtId="3" fontId="19" fillId="0" borderId="83" xfId="0" applyNumberFormat="1" applyFont="1" applyBorder="1" applyAlignment="1">
      <alignment vertical="center"/>
    </xf>
    <xf numFmtId="4" fontId="0" fillId="0" borderId="27" xfId="0" applyNumberFormat="1" applyFont="1" applyBorder="1"/>
    <xf numFmtId="4" fontId="0" fillId="0" borderId="88" xfId="0" applyNumberFormat="1" applyFont="1" applyBorder="1"/>
    <xf numFmtId="3" fontId="0" fillId="0" borderId="0" xfId="0" applyNumberFormat="1" applyFont="1"/>
    <xf numFmtId="3" fontId="5" fillId="0" borderId="85" xfId="0" applyNumberFormat="1" applyFont="1" applyFill="1" applyBorder="1" applyAlignment="1">
      <alignment horizontal="right"/>
    </xf>
    <xf numFmtId="3" fontId="12" fillId="0" borderId="49" xfId="0" applyNumberFormat="1" applyFont="1" applyFill="1" applyBorder="1"/>
    <xf numFmtId="3" fontId="5" fillId="0" borderId="83" xfId="0" applyNumberFormat="1" applyFont="1" applyFill="1" applyBorder="1"/>
    <xf numFmtId="3" fontId="11" fillId="0" borderId="86" xfId="0" applyNumberFormat="1" applyFont="1" applyFill="1" applyBorder="1"/>
    <xf numFmtId="4" fontId="8" fillId="0" borderId="50" xfId="0" applyNumberFormat="1" applyFont="1" applyFill="1" applyBorder="1"/>
    <xf numFmtId="3" fontId="19" fillId="0" borderId="83" xfId="0" applyNumberFormat="1" applyFont="1" applyFill="1" applyBorder="1"/>
    <xf numFmtId="4" fontId="8" fillId="0" borderId="49" xfId="0" applyNumberFormat="1" applyFont="1" applyFill="1" applyBorder="1"/>
    <xf numFmtId="3" fontId="5" fillId="0" borderId="69" xfId="0" applyNumberFormat="1" applyFont="1" applyFill="1" applyBorder="1"/>
    <xf numFmtId="3" fontId="8" fillId="0" borderId="89" xfId="0" applyNumberFormat="1" applyFont="1" applyFill="1" applyBorder="1"/>
    <xf numFmtId="3" fontId="26" fillId="0" borderId="49" xfId="0" applyNumberFormat="1" applyFont="1" applyFill="1" applyBorder="1"/>
    <xf numFmtId="3" fontId="27" fillId="0" borderId="49" xfId="0" applyNumberFormat="1" applyFont="1" applyFill="1" applyBorder="1"/>
    <xf numFmtId="3" fontId="6" fillId="0" borderId="50" xfId="0" applyNumberFormat="1" applyFont="1" applyFill="1" applyBorder="1"/>
    <xf numFmtId="3" fontId="8" fillId="0" borderId="85" xfId="0" applyNumberFormat="1" applyFont="1" applyFill="1" applyBorder="1"/>
    <xf numFmtId="3" fontId="28" fillId="0" borderId="21" xfId="0" applyNumberFormat="1" applyFont="1" applyFill="1" applyBorder="1"/>
    <xf numFmtId="3" fontId="10" fillId="0" borderId="49" xfId="0" applyNumberFormat="1" applyFont="1" applyFill="1" applyBorder="1"/>
    <xf numFmtId="3" fontId="8" fillId="0" borderId="83" xfId="0" applyNumberFormat="1" applyFont="1" applyFill="1" applyBorder="1"/>
    <xf numFmtId="3" fontId="10" fillId="0" borderId="88" xfId="0" applyNumberFormat="1" applyFont="1" applyFill="1" applyBorder="1"/>
    <xf numFmtId="0" fontId="12" fillId="0" borderId="83" xfId="0" applyFont="1" applyFill="1" applyBorder="1"/>
    <xf numFmtId="0" fontId="12" fillId="0" borderId="87" xfId="0" applyFont="1" applyFill="1" applyBorder="1"/>
    <xf numFmtId="1" fontId="9" fillId="0" borderId="83" xfId="0" applyNumberFormat="1" applyFont="1" applyFill="1" applyBorder="1"/>
    <xf numFmtId="3" fontId="8" fillId="0" borderId="88" xfId="0" applyNumberFormat="1" applyFont="1" applyFill="1" applyBorder="1"/>
    <xf numFmtId="3" fontId="2" fillId="0" borderId="69" xfId="0" applyNumberFormat="1" applyFont="1" applyFill="1" applyBorder="1"/>
    <xf numFmtId="3" fontId="0" fillId="0" borderId="85" xfId="0" applyNumberFormat="1" applyFill="1" applyBorder="1"/>
    <xf numFmtId="3" fontId="12" fillId="0" borderId="89" xfId="0" applyNumberFormat="1" applyFont="1" applyFill="1" applyBorder="1"/>
    <xf numFmtId="3" fontId="12" fillId="0" borderId="50" xfId="0" applyNumberFormat="1" applyFont="1" applyFill="1" applyBorder="1"/>
    <xf numFmtId="3" fontId="12" fillId="0" borderId="50" xfId="0" applyNumberFormat="1" applyFont="1" applyFill="1" applyBorder="1" applyAlignment="1">
      <alignment horizontal="right"/>
    </xf>
    <xf numFmtId="3" fontId="0" fillId="0" borderId="50" xfId="0" applyNumberFormat="1" applyFill="1" applyBorder="1"/>
    <xf numFmtId="3" fontId="0" fillId="0" borderId="84" xfId="0" applyNumberFormat="1" applyFill="1" applyBorder="1"/>
    <xf numFmtId="0" fontId="0" fillId="0" borderId="74" xfId="0" applyFill="1" applyBorder="1" applyAlignment="1"/>
    <xf numFmtId="0" fontId="0" fillId="0" borderId="90" xfId="0" applyFill="1" applyBorder="1"/>
    <xf numFmtId="3" fontId="0" fillId="0" borderId="91" xfId="0" applyNumberFormat="1" applyFill="1" applyBorder="1"/>
    <xf numFmtId="0" fontId="0" fillId="0" borderId="92" xfId="0" applyFill="1" applyBorder="1"/>
    <xf numFmtId="0" fontId="19" fillId="0" borderId="93" xfId="0" applyFont="1" applyFill="1" applyBorder="1" applyAlignment="1">
      <alignment vertical="center"/>
    </xf>
    <xf numFmtId="3" fontId="19" fillId="0" borderId="79" xfId="0" applyNumberFormat="1" applyFont="1" applyFill="1" applyBorder="1" applyAlignment="1">
      <alignment vertical="center"/>
    </xf>
    <xf numFmtId="0" fontId="19" fillId="0" borderId="93" xfId="0" applyFont="1" applyFill="1" applyBorder="1"/>
    <xf numFmtId="3" fontId="19" fillId="0" borderId="79" xfId="0" applyNumberFormat="1" applyFont="1" applyFill="1" applyBorder="1"/>
    <xf numFmtId="3" fontId="32" fillId="0" borderId="0" xfId="0" applyNumberFormat="1" applyFont="1"/>
    <xf numFmtId="3" fontId="14" fillId="0" borderId="0" xfId="0" applyNumberFormat="1" applyFont="1"/>
    <xf numFmtId="0" fontId="33" fillId="0" borderId="0" xfId="0" applyFont="1"/>
    <xf numFmtId="0" fontId="34" fillId="0" borderId="0" xfId="0" applyFont="1"/>
    <xf numFmtId="0" fontId="8" fillId="0" borderId="26" xfId="0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right"/>
    </xf>
    <xf numFmtId="4" fontId="16" fillId="0" borderId="43" xfId="0" applyNumberFormat="1" applyFont="1" applyFill="1" applyBorder="1"/>
    <xf numFmtId="4" fontId="18" fillId="0" borderId="22" xfId="0" applyNumberFormat="1" applyFont="1" applyFill="1" applyBorder="1"/>
    <xf numFmtId="4" fontId="17" fillId="0" borderId="28" xfId="0" applyNumberFormat="1" applyFont="1" applyFill="1" applyBorder="1"/>
    <xf numFmtId="0" fontId="12" fillId="0" borderId="15" xfId="0" applyFont="1" applyFill="1" applyBorder="1"/>
    <xf numFmtId="49" fontId="2" fillId="0" borderId="17" xfId="0" applyNumberFormat="1" applyFont="1" applyFill="1" applyBorder="1" applyAlignment="1"/>
    <xf numFmtId="0" fontId="8" fillId="0" borderId="14" xfId="0" applyFont="1" applyFill="1" applyBorder="1"/>
    <xf numFmtId="0" fontId="8" fillId="0" borderId="14" xfId="0" applyFont="1" applyFill="1" applyBorder="1" applyAlignment="1">
      <alignment horizontal="right"/>
    </xf>
    <xf numFmtId="3" fontId="8" fillId="0" borderId="14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3" fontId="0" fillId="0" borderId="27" xfId="0" applyNumberFormat="1" applyFill="1" applyBorder="1"/>
    <xf numFmtId="0" fontId="14" fillId="0" borderId="4" xfId="0" applyFont="1" applyFill="1" applyBorder="1"/>
    <xf numFmtId="3" fontId="14" fillId="0" borderId="5" xfId="0" applyNumberFormat="1" applyFont="1" applyFill="1" applyBorder="1"/>
    <xf numFmtId="4" fontId="14" fillId="0" borderId="5" xfId="0" applyNumberFormat="1" applyFont="1" applyFill="1" applyBorder="1"/>
    <xf numFmtId="3" fontId="14" fillId="0" borderId="74" xfId="0" applyNumberFormat="1" applyFont="1" applyFill="1" applyBorder="1"/>
    <xf numFmtId="3" fontId="0" fillId="0" borderId="88" xfId="0" applyNumberFormat="1" applyFill="1" applyBorder="1"/>
    <xf numFmtId="3" fontId="7" fillId="0" borderId="83" xfId="0" applyNumberFormat="1" applyFont="1" applyBorder="1"/>
    <xf numFmtId="3" fontId="5" fillId="0" borderId="26" xfId="0" applyNumberFormat="1" applyFont="1" applyFill="1" applyBorder="1" applyAlignment="1">
      <alignment vertical="center"/>
    </xf>
    <xf numFmtId="3" fontId="0" fillId="0" borderId="23" xfId="0" applyNumberFormat="1" applyBorder="1"/>
    <xf numFmtId="3" fontId="0" fillId="0" borderId="24" xfId="0" applyNumberFormat="1" applyBorder="1"/>
    <xf numFmtId="3" fontId="0" fillId="0" borderId="29" xfId="0" applyNumberFormat="1" applyBorder="1"/>
    <xf numFmtId="3" fontId="0" fillId="0" borderId="17" xfId="0" applyNumberFormat="1" applyBorder="1"/>
    <xf numFmtId="3" fontId="0" fillId="0" borderId="12" xfId="0" applyNumberFormat="1" applyBorder="1"/>
    <xf numFmtId="3" fontId="0" fillId="0" borderId="21" xfId="0" applyNumberFormat="1" applyBorder="1"/>
    <xf numFmtId="3" fontId="0" fillId="0" borderId="27" xfId="0" applyNumberFormat="1" applyBorder="1"/>
    <xf numFmtId="3" fontId="12" fillId="0" borderId="26" xfId="0" applyNumberFormat="1" applyFont="1" applyBorder="1"/>
    <xf numFmtId="3" fontId="4" fillId="0" borderId="17" xfId="0" applyNumberFormat="1" applyFont="1" applyBorder="1" applyAlignment="1">
      <alignment vertical="center"/>
    </xf>
    <xf numFmtId="3" fontId="6" fillId="0" borderId="85" xfId="0" applyNumberFormat="1" applyFont="1" applyFill="1" applyBorder="1" applyAlignment="1">
      <alignment horizontal="right"/>
    </xf>
    <xf numFmtId="3" fontId="12" fillId="0" borderId="17" xfId="0" applyNumberFormat="1" applyFont="1" applyFill="1" applyBorder="1"/>
    <xf numFmtId="3" fontId="12" fillId="0" borderId="12" xfId="0" applyNumberFormat="1" applyFont="1" applyFill="1" applyBorder="1"/>
    <xf numFmtId="3" fontId="0" fillId="0" borderId="9" xfId="0" applyNumberFormat="1" applyFill="1" applyBorder="1"/>
    <xf numFmtId="3" fontId="12" fillId="0" borderId="52" xfId="0" applyNumberFormat="1" applyFont="1" applyFill="1" applyBorder="1"/>
    <xf numFmtId="3" fontId="12" fillId="0" borderId="51" xfId="0" applyNumberFormat="1" applyFont="1" applyFill="1" applyBorder="1"/>
    <xf numFmtId="3" fontId="12" fillId="0" borderId="51" xfId="0" applyNumberFormat="1" applyFont="1" applyFill="1" applyBorder="1" applyAlignment="1">
      <alignment horizontal="right"/>
    </xf>
    <xf numFmtId="3" fontId="0" fillId="0" borderId="51" xfId="0" applyNumberFormat="1" applyFill="1" applyBorder="1"/>
    <xf numFmtId="3" fontId="0" fillId="0" borderId="60" xfId="0" applyNumberFormat="1" applyFill="1" applyBorder="1"/>
    <xf numFmtId="3" fontId="2" fillId="0" borderId="41" xfId="0" applyNumberFormat="1" applyFont="1" applyFill="1" applyBorder="1"/>
    <xf numFmtId="3" fontId="36" fillId="0" borderId="69" xfId="0" applyNumberFormat="1" applyFont="1" applyBorder="1"/>
    <xf numFmtId="0" fontId="10" fillId="0" borderId="52" xfId="0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right" vertical="center" wrapText="1"/>
    </xf>
    <xf numFmtId="0" fontId="10" fillId="3" borderId="90" xfId="0" applyFont="1" applyFill="1" applyBorder="1" applyAlignment="1">
      <alignment horizontal="left" vertical="center"/>
    </xf>
    <xf numFmtId="0" fontId="2" fillId="0" borderId="12" xfId="0" applyFont="1" applyFill="1" applyBorder="1" applyAlignment="1"/>
    <xf numFmtId="16" fontId="2" fillId="0" borderId="74" xfId="0" applyNumberFormat="1" applyFont="1" applyFill="1" applyBorder="1" applyAlignment="1"/>
    <xf numFmtId="0" fontId="37" fillId="0" borderId="0" xfId="0" applyFont="1"/>
    <xf numFmtId="3" fontId="37" fillId="0" borderId="0" xfId="0" applyNumberFormat="1" applyFont="1"/>
    <xf numFmtId="0" fontId="38" fillId="0" borderId="0" xfId="0" applyFont="1"/>
    <xf numFmtId="164" fontId="0" fillId="0" borderId="0" xfId="0" applyNumberFormat="1"/>
    <xf numFmtId="0" fontId="39" fillId="0" borderId="0" xfId="0" applyFont="1" applyAlignment="1">
      <alignment horizontal="center"/>
    </xf>
    <xf numFmtId="0" fontId="10" fillId="0" borderId="57" xfId="0" applyFont="1" applyFill="1" applyBorder="1" applyAlignment="1">
      <alignment horizontal="left" wrapText="1"/>
    </xf>
    <xf numFmtId="49" fontId="6" fillId="0" borderId="20" xfId="0" applyNumberFormat="1" applyFont="1" applyFill="1" applyBorder="1"/>
    <xf numFmtId="0" fontId="6" fillId="0" borderId="12" xfId="0" applyFont="1" applyFill="1" applyBorder="1" applyAlignment="1">
      <alignment horizontal="left"/>
    </xf>
    <xf numFmtId="3" fontId="6" fillId="0" borderId="16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4" fontId="6" fillId="0" borderId="16" xfId="0" applyNumberFormat="1" applyFont="1" applyFill="1" applyBorder="1"/>
    <xf numFmtId="3" fontId="6" fillId="0" borderId="87" xfId="0" applyNumberFormat="1" applyFont="1" applyFill="1" applyBorder="1"/>
    <xf numFmtId="3" fontId="6" fillId="0" borderId="32" xfId="0" applyNumberFormat="1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3" fontId="7" fillId="0" borderId="32" xfId="0" applyNumberFormat="1" applyFont="1" applyBorder="1"/>
    <xf numFmtId="3" fontId="10" fillId="3" borderId="77" xfId="0" applyNumberFormat="1" applyFont="1" applyFill="1" applyBorder="1" applyAlignment="1">
      <alignment horizontal="right" vertical="center" wrapText="1"/>
    </xf>
    <xf numFmtId="3" fontId="4" fillId="3" borderId="77" xfId="0" applyNumberFormat="1" applyFont="1" applyFill="1" applyBorder="1" applyAlignment="1">
      <alignment horizontal="center" vertical="center" wrapText="1"/>
    </xf>
    <xf numFmtId="3" fontId="12" fillId="3" borderId="77" xfId="0" applyNumberFormat="1" applyFont="1" applyFill="1" applyBorder="1" applyAlignment="1">
      <alignment horizontal="right" vertical="center" wrapText="1"/>
    </xf>
    <xf numFmtId="3" fontId="12" fillId="3" borderId="77" xfId="0" applyNumberFormat="1" applyFont="1" applyFill="1" applyBorder="1" applyAlignment="1">
      <alignment horizontal="center" vertical="center" wrapText="1"/>
    </xf>
    <xf numFmtId="3" fontId="12" fillId="3" borderId="91" xfId="0" applyNumberFormat="1" applyFont="1" applyFill="1" applyBorder="1" applyAlignment="1">
      <alignment horizontal="right" vertical="center" wrapText="1"/>
    </xf>
    <xf numFmtId="4" fontId="11" fillId="0" borderId="14" xfId="0" applyNumberFormat="1" applyFont="1" applyFill="1" applyBorder="1"/>
    <xf numFmtId="4" fontId="9" fillId="0" borderId="8" xfId="0" applyNumberFormat="1" applyFont="1" applyFill="1" applyBorder="1"/>
    <xf numFmtId="4" fontId="22" fillId="0" borderId="28" xfId="0" applyNumberFormat="1" applyFont="1" applyFill="1" applyBorder="1"/>
    <xf numFmtId="2" fontId="8" fillId="0" borderId="32" xfId="0" applyNumberFormat="1" applyFont="1" applyFill="1" applyBorder="1"/>
    <xf numFmtId="2" fontId="8" fillId="0" borderId="25" xfId="0" applyNumberFormat="1" applyFont="1" applyFill="1" applyBorder="1"/>
    <xf numFmtId="2" fontId="8" fillId="0" borderId="34" xfId="0" applyNumberFormat="1" applyFont="1" applyFill="1" applyBorder="1"/>
    <xf numFmtId="0" fontId="4" fillId="0" borderId="0" xfId="0" applyFont="1"/>
    <xf numFmtId="2" fontId="8" fillId="0" borderId="28" xfId="0" applyNumberFormat="1" applyFont="1" applyFill="1" applyBorder="1"/>
    <xf numFmtId="4" fontId="3" fillId="0" borderId="43" xfId="0" applyNumberFormat="1" applyFont="1" applyFill="1" applyBorder="1"/>
    <xf numFmtId="4" fontId="6" fillId="0" borderId="42" xfId="0" applyNumberFormat="1" applyFont="1" applyFill="1" applyBorder="1"/>
    <xf numFmtId="3" fontId="40" fillId="0" borderId="23" xfId="0" applyNumberFormat="1" applyFont="1" applyFill="1" applyBorder="1"/>
    <xf numFmtId="3" fontId="40" fillId="0" borderId="24" xfId="0" applyNumberFormat="1" applyFont="1" applyFill="1" applyBorder="1"/>
    <xf numFmtId="3" fontId="40" fillId="0" borderId="21" xfId="0" applyNumberFormat="1" applyFont="1" applyFill="1" applyBorder="1"/>
    <xf numFmtId="3" fontId="37" fillId="0" borderId="24" xfId="0" applyNumberFormat="1" applyFont="1" applyBorder="1"/>
    <xf numFmtId="3" fontId="37" fillId="0" borderId="29" xfId="0" applyNumberFormat="1" applyFont="1" applyBorder="1"/>
    <xf numFmtId="3" fontId="37" fillId="0" borderId="27" xfId="0" applyNumberFormat="1" applyFont="1" applyBorder="1"/>
    <xf numFmtId="3" fontId="37" fillId="0" borderId="23" xfId="0" applyNumberFormat="1" applyFont="1" applyBorder="1"/>
    <xf numFmtId="4" fontId="37" fillId="0" borderId="24" xfId="0" applyNumberFormat="1" applyFont="1" applyBorder="1"/>
    <xf numFmtId="3" fontId="8" fillId="0" borderId="0" xfId="0" applyNumberFormat="1" applyFont="1" applyFill="1" applyBorder="1"/>
    <xf numFmtId="0" fontId="0" fillId="0" borderId="0" xfId="0"/>
    <xf numFmtId="0" fontId="0" fillId="0" borderId="0" xfId="0"/>
    <xf numFmtId="3" fontId="41" fillId="0" borderId="21" xfId="0" applyNumberFormat="1" applyFont="1" applyFill="1" applyBorder="1"/>
    <xf numFmtId="3" fontId="10" fillId="0" borderId="89" xfId="0" applyNumberFormat="1" applyFont="1" applyFill="1" applyBorder="1"/>
    <xf numFmtId="0" fontId="4" fillId="0" borderId="0" xfId="0" applyFont="1" applyAlignment="1">
      <alignment horizontal="left"/>
    </xf>
    <xf numFmtId="0" fontId="4" fillId="0" borderId="74" xfId="0" applyFont="1" applyBorder="1" applyAlignment="1">
      <alignment horizontal="left"/>
    </xf>
    <xf numFmtId="0" fontId="2" fillId="0" borderId="81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5" fillId="0" borderId="37" xfId="0" applyFont="1" applyFill="1" applyBorder="1" applyAlignment="1">
      <alignment horizontal="left"/>
    </xf>
    <xf numFmtId="0" fontId="5" fillId="0" borderId="39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6" fillId="0" borderId="37" xfId="0" applyFont="1" applyFill="1" applyBorder="1" applyAlignment="1">
      <alignment horizontal="left"/>
    </xf>
    <xf numFmtId="0" fontId="12" fillId="0" borderId="20" xfId="0" applyFont="1" applyFill="1" applyBorder="1"/>
    <xf numFmtId="0" fontId="12" fillId="0" borderId="7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5" fillId="0" borderId="74" xfId="0" applyFont="1" applyBorder="1" applyAlignment="1">
      <alignment horizontal="left"/>
    </xf>
    <xf numFmtId="0" fontId="6" fillId="0" borderId="2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6" fontId="6" fillId="0" borderId="18" xfId="0" applyNumberFormat="1" applyFont="1" applyFill="1" applyBorder="1" applyAlignment="1">
      <alignment horizontal="center"/>
    </xf>
    <xf numFmtId="16" fontId="6" fillId="0" borderId="20" xfId="0" applyNumberFormat="1" applyFont="1" applyFill="1" applyBorder="1" applyAlignment="1">
      <alignment horizontal="center"/>
    </xf>
    <xf numFmtId="16" fontId="6" fillId="0" borderId="7" xfId="0" applyNumberFormat="1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6" fillId="0" borderId="58" xfId="0" applyFont="1" applyFill="1" applyBorder="1" applyAlignment="1">
      <alignment horizontal="left"/>
    </xf>
    <xf numFmtId="0" fontId="12" fillId="0" borderId="19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2" fillId="0" borderId="64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0" fontId="10" fillId="0" borderId="37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49" fontId="6" fillId="0" borderId="37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left"/>
    </xf>
    <xf numFmtId="0" fontId="9" fillId="0" borderId="37" xfId="0" applyNumberFormat="1" applyFont="1" applyFill="1" applyBorder="1" applyAlignment="1">
      <alignment horizontal="left"/>
    </xf>
    <xf numFmtId="0" fontId="9" fillId="0" borderId="15" xfId="0" applyNumberFormat="1" applyFont="1" applyFill="1" applyBorder="1" applyAlignment="1">
      <alignment horizontal="left"/>
    </xf>
    <xf numFmtId="49" fontId="6" fillId="0" borderId="5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0" fontId="6" fillId="0" borderId="46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6" fontId="2" fillId="0" borderId="44" xfId="0" applyNumberFormat="1" applyFont="1" applyFill="1" applyBorder="1" applyAlignment="1">
      <alignment horizontal="center" vertical="center" wrapText="1"/>
    </xf>
    <xf numFmtId="16" fontId="2" fillId="0" borderId="4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0" fontId="5" fillId="0" borderId="68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49" fontId="6" fillId="0" borderId="17" xfId="0" applyNumberFormat="1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left"/>
    </xf>
    <xf numFmtId="49" fontId="2" fillId="0" borderId="15" xfId="0" applyNumberFormat="1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left"/>
    </xf>
    <xf numFmtId="0" fontId="6" fillId="0" borderId="12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49" fontId="6" fillId="0" borderId="19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0" fillId="0" borderId="76" xfId="0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3" fillId="0" borderId="81" xfId="0" applyFont="1" applyFill="1" applyBorder="1" applyAlignment="1">
      <alignment horizontal="center" vertical="center" wrapText="1"/>
    </xf>
    <xf numFmtId="0" fontId="3" fillId="0" borderId="82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" fontId="2" fillId="0" borderId="74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14" fillId="0" borderId="43" xfId="0" applyNumberFormat="1" applyFont="1" applyFill="1" applyBorder="1" applyAlignment="1">
      <alignment horizontal="center"/>
    </xf>
    <xf numFmtId="3" fontId="14" fillId="0" borderId="40" xfId="0" applyNumberFormat="1" applyFont="1" applyFill="1" applyBorder="1" applyAlignment="1">
      <alignment horizontal="center"/>
    </xf>
    <xf numFmtId="3" fontId="14" fillId="0" borderId="41" xfId="0" applyNumberFormat="1" applyFont="1" applyFill="1" applyBorder="1" applyAlignment="1">
      <alignment horizontal="center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Fill="1" applyBorder="1" applyAlignment="1">
      <alignment horizontal="center"/>
    </xf>
    <xf numFmtId="3" fontId="0" fillId="0" borderId="103" xfId="0" applyNumberFormat="1" applyFill="1" applyBorder="1" applyAlignment="1">
      <alignment horizontal="center"/>
    </xf>
    <xf numFmtId="3" fontId="19" fillId="0" borderId="104" xfId="0" applyNumberFormat="1" applyFont="1" applyFill="1" applyBorder="1" applyAlignment="1">
      <alignment horizontal="center"/>
    </xf>
    <xf numFmtId="3" fontId="19" fillId="0" borderId="105" xfId="0" applyNumberFormat="1" applyFont="1" applyFill="1" applyBorder="1" applyAlignment="1">
      <alignment horizontal="center"/>
    </xf>
    <xf numFmtId="3" fontId="19" fillId="0" borderId="106" xfId="0" applyNumberFormat="1" applyFont="1" applyFill="1" applyBorder="1" applyAlignment="1">
      <alignment horizontal="center"/>
    </xf>
    <xf numFmtId="3" fontId="19" fillId="0" borderId="104" xfId="0" applyNumberFormat="1" applyFont="1" applyFill="1" applyBorder="1" applyAlignment="1">
      <alignment horizontal="center" vertical="center"/>
    </xf>
    <xf numFmtId="3" fontId="19" fillId="0" borderId="105" xfId="0" applyNumberFormat="1" applyFont="1" applyFill="1" applyBorder="1" applyAlignment="1">
      <alignment horizontal="center" vertical="center"/>
    </xf>
    <xf numFmtId="3" fontId="19" fillId="0" borderId="106" xfId="0" applyNumberFormat="1" applyFont="1" applyFill="1" applyBorder="1" applyAlignment="1">
      <alignment horizontal="center" vertical="center"/>
    </xf>
    <xf numFmtId="0" fontId="14" fillId="0" borderId="95" xfId="0" applyFont="1" applyFill="1" applyBorder="1" applyAlignment="1">
      <alignment horizontal="left" vertical="center"/>
    </xf>
    <xf numFmtId="0" fontId="14" fillId="0" borderId="76" xfId="0" applyFont="1" applyFill="1" applyBorder="1" applyAlignment="1">
      <alignment horizontal="left" vertical="center"/>
    </xf>
    <xf numFmtId="0" fontId="14" fillId="0" borderId="96" xfId="0" applyFont="1" applyFill="1" applyBorder="1" applyAlignment="1">
      <alignment horizontal="left" vertical="center"/>
    </xf>
    <xf numFmtId="0" fontId="14" fillId="0" borderId="97" xfId="0" applyFont="1" applyFill="1" applyBorder="1" applyAlignment="1">
      <alignment horizontal="left" vertical="center"/>
    </xf>
    <xf numFmtId="0" fontId="14" fillId="0" borderId="74" xfId="0" applyFont="1" applyFill="1" applyBorder="1" applyAlignment="1">
      <alignment horizontal="left" vertical="center"/>
    </xf>
    <xf numFmtId="0" fontId="14" fillId="0" borderId="98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94" xfId="0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2"/>
  <sheetViews>
    <sheetView tabSelected="1" workbookViewId="0">
      <selection sqref="A1:C1"/>
    </sheetView>
  </sheetViews>
  <sheetFormatPr defaultRowHeight="12.75" x14ac:dyDescent="0.2"/>
  <cols>
    <col min="1" max="2" width="9.140625" style="564"/>
    <col min="3" max="3" width="32.140625" style="564" customWidth="1"/>
    <col min="4" max="11" width="12.7109375" style="564" hidden="1" customWidth="1"/>
    <col min="12" max="12" width="14.42578125" style="564" hidden="1" customWidth="1"/>
    <col min="13" max="13" width="16" style="564" hidden="1" customWidth="1"/>
    <col min="14" max="14" width="16.140625" style="564" hidden="1" customWidth="1"/>
    <col min="15" max="16" width="17" style="564" hidden="1" customWidth="1"/>
    <col min="17" max="17" width="17.7109375" style="564" customWidth="1"/>
    <col min="18" max="18" width="14.28515625" style="564" customWidth="1"/>
    <col min="19" max="19" width="13.7109375" style="564" customWidth="1"/>
    <col min="20" max="20" width="13.85546875" style="564" customWidth="1"/>
    <col min="21" max="21" width="12.140625" style="564" customWidth="1"/>
    <col min="22" max="24" width="9.140625" style="564"/>
    <col min="25" max="25" width="10.42578125" style="564" customWidth="1"/>
    <col min="26" max="245" width="9.140625" style="564"/>
    <col min="246" max="246" width="32.140625" style="564" customWidth="1"/>
    <col min="247" max="258" width="0" style="564" hidden="1" customWidth="1"/>
    <col min="259" max="259" width="17" style="564" customWidth="1"/>
    <col min="260" max="260" width="13.7109375" style="564" customWidth="1"/>
    <col min="261" max="261" width="14.28515625" style="564" customWidth="1"/>
    <col min="262" max="262" width="8.28515625" style="564" customWidth="1"/>
    <col min="263" max="263" width="13.7109375" style="564" customWidth="1"/>
    <col min="264" max="264" width="13.85546875" style="564" customWidth="1"/>
    <col min="265" max="268" width="9.140625" style="564"/>
    <col min="269" max="269" width="12.7109375" style="564" customWidth="1"/>
    <col min="270" max="501" width="9.140625" style="564"/>
    <col min="502" max="502" width="32.140625" style="564" customWidth="1"/>
    <col min="503" max="514" width="0" style="564" hidden="1" customWidth="1"/>
    <col min="515" max="515" width="17" style="564" customWidth="1"/>
    <col min="516" max="516" width="13.7109375" style="564" customWidth="1"/>
    <col min="517" max="517" width="14.28515625" style="564" customWidth="1"/>
    <col min="518" max="518" width="8.28515625" style="564" customWidth="1"/>
    <col min="519" max="519" width="13.7109375" style="564" customWidth="1"/>
    <col min="520" max="520" width="13.85546875" style="564" customWidth="1"/>
    <col min="521" max="524" width="9.140625" style="564"/>
    <col min="525" max="525" width="12.7109375" style="564" customWidth="1"/>
    <col min="526" max="757" width="9.140625" style="564"/>
    <col min="758" max="758" width="32.140625" style="564" customWidth="1"/>
    <col min="759" max="770" width="0" style="564" hidden="1" customWidth="1"/>
    <col min="771" max="771" width="17" style="564" customWidth="1"/>
    <col min="772" max="772" width="13.7109375" style="564" customWidth="1"/>
    <col min="773" max="773" width="14.28515625" style="564" customWidth="1"/>
    <col min="774" max="774" width="8.28515625" style="564" customWidth="1"/>
    <col min="775" max="775" width="13.7109375" style="564" customWidth="1"/>
    <col min="776" max="776" width="13.85546875" style="564" customWidth="1"/>
    <col min="777" max="780" width="9.140625" style="564"/>
    <col min="781" max="781" width="12.7109375" style="564" customWidth="1"/>
    <col min="782" max="1013" width="9.140625" style="564"/>
    <col min="1014" max="1014" width="32.140625" style="564" customWidth="1"/>
    <col min="1015" max="1026" width="0" style="564" hidden="1" customWidth="1"/>
    <col min="1027" max="1027" width="17" style="564" customWidth="1"/>
    <col min="1028" max="1028" width="13.7109375" style="564" customWidth="1"/>
    <col min="1029" max="1029" width="14.28515625" style="564" customWidth="1"/>
    <col min="1030" max="1030" width="8.28515625" style="564" customWidth="1"/>
    <col min="1031" max="1031" width="13.7109375" style="564" customWidth="1"/>
    <col min="1032" max="1032" width="13.85546875" style="564" customWidth="1"/>
    <col min="1033" max="1036" width="9.140625" style="564"/>
    <col min="1037" max="1037" width="12.7109375" style="564" customWidth="1"/>
    <col min="1038" max="1269" width="9.140625" style="564"/>
    <col min="1270" max="1270" width="32.140625" style="564" customWidth="1"/>
    <col min="1271" max="1282" width="0" style="564" hidden="1" customWidth="1"/>
    <col min="1283" max="1283" width="17" style="564" customWidth="1"/>
    <col min="1284" max="1284" width="13.7109375" style="564" customWidth="1"/>
    <col min="1285" max="1285" width="14.28515625" style="564" customWidth="1"/>
    <col min="1286" max="1286" width="8.28515625" style="564" customWidth="1"/>
    <col min="1287" max="1287" width="13.7109375" style="564" customWidth="1"/>
    <col min="1288" max="1288" width="13.85546875" style="564" customWidth="1"/>
    <col min="1289" max="1292" width="9.140625" style="564"/>
    <col min="1293" max="1293" width="12.7109375" style="564" customWidth="1"/>
    <col min="1294" max="1525" width="9.140625" style="564"/>
    <col min="1526" max="1526" width="32.140625" style="564" customWidth="1"/>
    <col min="1527" max="1538" width="0" style="564" hidden="1" customWidth="1"/>
    <col min="1539" max="1539" width="17" style="564" customWidth="1"/>
    <col min="1540" max="1540" width="13.7109375" style="564" customWidth="1"/>
    <col min="1541" max="1541" width="14.28515625" style="564" customWidth="1"/>
    <col min="1542" max="1542" width="8.28515625" style="564" customWidth="1"/>
    <col min="1543" max="1543" width="13.7109375" style="564" customWidth="1"/>
    <col min="1544" max="1544" width="13.85546875" style="564" customWidth="1"/>
    <col min="1545" max="1548" width="9.140625" style="564"/>
    <col min="1549" max="1549" width="12.7109375" style="564" customWidth="1"/>
    <col min="1550" max="1781" width="9.140625" style="564"/>
    <col min="1782" max="1782" width="32.140625" style="564" customWidth="1"/>
    <col min="1783" max="1794" width="0" style="564" hidden="1" customWidth="1"/>
    <col min="1795" max="1795" width="17" style="564" customWidth="1"/>
    <col min="1796" max="1796" width="13.7109375" style="564" customWidth="1"/>
    <col min="1797" max="1797" width="14.28515625" style="564" customWidth="1"/>
    <col min="1798" max="1798" width="8.28515625" style="564" customWidth="1"/>
    <col min="1799" max="1799" width="13.7109375" style="564" customWidth="1"/>
    <col min="1800" max="1800" width="13.85546875" style="564" customWidth="1"/>
    <col min="1801" max="1804" width="9.140625" style="564"/>
    <col min="1805" max="1805" width="12.7109375" style="564" customWidth="1"/>
    <col min="1806" max="2037" width="9.140625" style="564"/>
    <col min="2038" max="2038" width="32.140625" style="564" customWidth="1"/>
    <col min="2039" max="2050" width="0" style="564" hidden="1" customWidth="1"/>
    <col min="2051" max="2051" width="17" style="564" customWidth="1"/>
    <col min="2052" max="2052" width="13.7109375" style="564" customWidth="1"/>
    <col min="2053" max="2053" width="14.28515625" style="564" customWidth="1"/>
    <col min="2054" max="2054" width="8.28515625" style="564" customWidth="1"/>
    <col min="2055" max="2055" width="13.7109375" style="564" customWidth="1"/>
    <col min="2056" max="2056" width="13.85546875" style="564" customWidth="1"/>
    <col min="2057" max="2060" width="9.140625" style="564"/>
    <col min="2061" max="2061" width="12.7109375" style="564" customWidth="1"/>
    <col min="2062" max="2293" width="9.140625" style="564"/>
    <col min="2294" max="2294" width="32.140625" style="564" customWidth="1"/>
    <col min="2295" max="2306" width="0" style="564" hidden="1" customWidth="1"/>
    <col min="2307" max="2307" width="17" style="564" customWidth="1"/>
    <col min="2308" max="2308" width="13.7109375" style="564" customWidth="1"/>
    <col min="2309" max="2309" width="14.28515625" style="564" customWidth="1"/>
    <col min="2310" max="2310" width="8.28515625" style="564" customWidth="1"/>
    <col min="2311" max="2311" width="13.7109375" style="564" customWidth="1"/>
    <col min="2312" max="2312" width="13.85546875" style="564" customWidth="1"/>
    <col min="2313" max="2316" width="9.140625" style="564"/>
    <col min="2317" max="2317" width="12.7109375" style="564" customWidth="1"/>
    <col min="2318" max="2549" width="9.140625" style="564"/>
    <col min="2550" max="2550" width="32.140625" style="564" customWidth="1"/>
    <col min="2551" max="2562" width="0" style="564" hidden="1" customWidth="1"/>
    <col min="2563" max="2563" width="17" style="564" customWidth="1"/>
    <col min="2564" max="2564" width="13.7109375" style="564" customWidth="1"/>
    <col min="2565" max="2565" width="14.28515625" style="564" customWidth="1"/>
    <col min="2566" max="2566" width="8.28515625" style="564" customWidth="1"/>
    <col min="2567" max="2567" width="13.7109375" style="564" customWidth="1"/>
    <col min="2568" max="2568" width="13.85546875" style="564" customWidth="1"/>
    <col min="2569" max="2572" width="9.140625" style="564"/>
    <col min="2573" max="2573" width="12.7109375" style="564" customWidth="1"/>
    <col min="2574" max="2805" width="9.140625" style="564"/>
    <col min="2806" max="2806" width="32.140625" style="564" customWidth="1"/>
    <col min="2807" max="2818" width="0" style="564" hidden="1" customWidth="1"/>
    <col min="2819" max="2819" width="17" style="564" customWidth="1"/>
    <col min="2820" max="2820" width="13.7109375" style="564" customWidth="1"/>
    <col min="2821" max="2821" width="14.28515625" style="564" customWidth="1"/>
    <col min="2822" max="2822" width="8.28515625" style="564" customWidth="1"/>
    <col min="2823" max="2823" width="13.7109375" style="564" customWidth="1"/>
    <col min="2824" max="2824" width="13.85546875" style="564" customWidth="1"/>
    <col min="2825" max="2828" width="9.140625" style="564"/>
    <col min="2829" max="2829" width="12.7109375" style="564" customWidth="1"/>
    <col min="2830" max="3061" width="9.140625" style="564"/>
    <col min="3062" max="3062" width="32.140625" style="564" customWidth="1"/>
    <col min="3063" max="3074" width="0" style="564" hidden="1" customWidth="1"/>
    <col min="3075" max="3075" width="17" style="564" customWidth="1"/>
    <col min="3076" max="3076" width="13.7109375" style="564" customWidth="1"/>
    <col min="3077" max="3077" width="14.28515625" style="564" customWidth="1"/>
    <col min="3078" max="3078" width="8.28515625" style="564" customWidth="1"/>
    <col min="3079" max="3079" width="13.7109375" style="564" customWidth="1"/>
    <col min="3080" max="3080" width="13.85546875" style="564" customWidth="1"/>
    <col min="3081" max="3084" width="9.140625" style="564"/>
    <col min="3085" max="3085" width="12.7109375" style="564" customWidth="1"/>
    <col min="3086" max="3317" width="9.140625" style="564"/>
    <col min="3318" max="3318" width="32.140625" style="564" customWidth="1"/>
    <col min="3319" max="3330" width="0" style="564" hidden="1" customWidth="1"/>
    <col min="3331" max="3331" width="17" style="564" customWidth="1"/>
    <col min="3332" max="3332" width="13.7109375" style="564" customWidth="1"/>
    <col min="3333" max="3333" width="14.28515625" style="564" customWidth="1"/>
    <col min="3334" max="3334" width="8.28515625" style="564" customWidth="1"/>
    <col min="3335" max="3335" width="13.7109375" style="564" customWidth="1"/>
    <col min="3336" max="3336" width="13.85546875" style="564" customWidth="1"/>
    <col min="3337" max="3340" width="9.140625" style="564"/>
    <col min="3341" max="3341" width="12.7109375" style="564" customWidth="1"/>
    <col min="3342" max="3573" width="9.140625" style="564"/>
    <col min="3574" max="3574" width="32.140625" style="564" customWidth="1"/>
    <col min="3575" max="3586" width="0" style="564" hidden="1" customWidth="1"/>
    <col min="3587" max="3587" width="17" style="564" customWidth="1"/>
    <col min="3588" max="3588" width="13.7109375" style="564" customWidth="1"/>
    <col min="3589" max="3589" width="14.28515625" style="564" customWidth="1"/>
    <col min="3590" max="3590" width="8.28515625" style="564" customWidth="1"/>
    <col min="3591" max="3591" width="13.7109375" style="564" customWidth="1"/>
    <col min="3592" max="3592" width="13.85546875" style="564" customWidth="1"/>
    <col min="3593" max="3596" width="9.140625" style="564"/>
    <col min="3597" max="3597" width="12.7109375" style="564" customWidth="1"/>
    <col min="3598" max="3829" width="9.140625" style="564"/>
    <col min="3830" max="3830" width="32.140625" style="564" customWidth="1"/>
    <col min="3831" max="3842" width="0" style="564" hidden="1" customWidth="1"/>
    <col min="3843" max="3843" width="17" style="564" customWidth="1"/>
    <col min="3844" max="3844" width="13.7109375" style="564" customWidth="1"/>
    <col min="3845" max="3845" width="14.28515625" style="564" customWidth="1"/>
    <col min="3846" max="3846" width="8.28515625" style="564" customWidth="1"/>
    <col min="3847" max="3847" width="13.7109375" style="564" customWidth="1"/>
    <col min="3848" max="3848" width="13.85546875" style="564" customWidth="1"/>
    <col min="3849" max="3852" width="9.140625" style="564"/>
    <col min="3853" max="3853" width="12.7109375" style="564" customWidth="1"/>
    <col min="3854" max="4085" width="9.140625" style="564"/>
    <col min="4086" max="4086" width="32.140625" style="564" customWidth="1"/>
    <col min="4087" max="4098" width="0" style="564" hidden="1" customWidth="1"/>
    <col min="4099" max="4099" width="17" style="564" customWidth="1"/>
    <col min="4100" max="4100" width="13.7109375" style="564" customWidth="1"/>
    <col min="4101" max="4101" width="14.28515625" style="564" customWidth="1"/>
    <col min="4102" max="4102" width="8.28515625" style="564" customWidth="1"/>
    <col min="4103" max="4103" width="13.7109375" style="564" customWidth="1"/>
    <col min="4104" max="4104" width="13.85546875" style="564" customWidth="1"/>
    <col min="4105" max="4108" width="9.140625" style="564"/>
    <col min="4109" max="4109" width="12.7109375" style="564" customWidth="1"/>
    <col min="4110" max="4341" width="9.140625" style="564"/>
    <col min="4342" max="4342" width="32.140625" style="564" customWidth="1"/>
    <col min="4343" max="4354" width="0" style="564" hidden="1" customWidth="1"/>
    <col min="4355" max="4355" width="17" style="564" customWidth="1"/>
    <col min="4356" max="4356" width="13.7109375" style="564" customWidth="1"/>
    <col min="4357" max="4357" width="14.28515625" style="564" customWidth="1"/>
    <col min="4358" max="4358" width="8.28515625" style="564" customWidth="1"/>
    <col min="4359" max="4359" width="13.7109375" style="564" customWidth="1"/>
    <col min="4360" max="4360" width="13.85546875" style="564" customWidth="1"/>
    <col min="4361" max="4364" width="9.140625" style="564"/>
    <col min="4365" max="4365" width="12.7109375" style="564" customWidth="1"/>
    <col min="4366" max="4597" width="9.140625" style="564"/>
    <col min="4598" max="4598" width="32.140625" style="564" customWidth="1"/>
    <col min="4599" max="4610" width="0" style="564" hidden="1" customWidth="1"/>
    <col min="4611" max="4611" width="17" style="564" customWidth="1"/>
    <col min="4612" max="4612" width="13.7109375" style="564" customWidth="1"/>
    <col min="4613" max="4613" width="14.28515625" style="564" customWidth="1"/>
    <col min="4614" max="4614" width="8.28515625" style="564" customWidth="1"/>
    <col min="4615" max="4615" width="13.7109375" style="564" customWidth="1"/>
    <col min="4616" max="4616" width="13.85546875" style="564" customWidth="1"/>
    <col min="4617" max="4620" width="9.140625" style="564"/>
    <col min="4621" max="4621" width="12.7109375" style="564" customWidth="1"/>
    <col min="4622" max="4853" width="9.140625" style="564"/>
    <col min="4854" max="4854" width="32.140625" style="564" customWidth="1"/>
    <col min="4855" max="4866" width="0" style="564" hidden="1" customWidth="1"/>
    <col min="4867" max="4867" width="17" style="564" customWidth="1"/>
    <col min="4868" max="4868" width="13.7109375" style="564" customWidth="1"/>
    <col min="4869" max="4869" width="14.28515625" style="564" customWidth="1"/>
    <col min="4870" max="4870" width="8.28515625" style="564" customWidth="1"/>
    <col min="4871" max="4871" width="13.7109375" style="564" customWidth="1"/>
    <col min="4872" max="4872" width="13.85546875" style="564" customWidth="1"/>
    <col min="4873" max="4876" width="9.140625" style="564"/>
    <col min="4877" max="4877" width="12.7109375" style="564" customWidth="1"/>
    <col min="4878" max="5109" width="9.140625" style="564"/>
    <col min="5110" max="5110" width="32.140625" style="564" customWidth="1"/>
    <col min="5111" max="5122" width="0" style="564" hidden="1" customWidth="1"/>
    <col min="5123" max="5123" width="17" style="564" customWidth="1"/>
    <col min="5124" max="5124" width="13.7109375" style="564" customWidth="1"/>
    <col min="5125" max="5125" width="14.28515625" style="564" customWidth="1"/>
    <col min="5126" max="5126" width="8.28515625" style="564" customWidth="1"/>
    <col min="5127" max="5127" width="13.7109375" style="564" customWidth="1"/>
    <col min="5128" max="5128" width="13.85546875" style="564" customWidth="1"/>
    <col min="5129" max="5132" width="9.140625" style="564"/>
    <col min="5133" max="5133" width="12.7109375" style="564" customWidth="1"/>
    <col min="5134" max="5365" width="9.140625" style="564"/>
    <col min="5366" max="5366" width="32.140625" style="564" customWidth="1"/>
    <col min="5367" max="5378" width="0" style="564" hidden="1" customWidth="1"/>
    <col min="5379" max="5379" width="17" style="564" customWidth="1"/>
    <col min="5380" max="5380" width="13.7109375" style="564" customWidth="1"/>
    <col min="5381" max="5381" width="14.28515625" style="564" customWidth="1"/>
    <col min="5382" max="5382" width="8.28515625" style="564" customWidth="1"/>
    <col min="5383" max="5383" width="13.7109375" style="564" customWidth="1"/>
    <col min="5384" max="5384" width="13.85546875" style="564" customWidth="1"/>
    <col min="5385" max="5388" width="9.140625" style="564"/>
    <col min="5389" max="5389" width="12.7109375" style="564" customWidth="1"/>
    <col min="5390" max="5621" width="9.140625" style="564"/>
    <col min="5622" max="5622" width="32.140625" style="564" customWidth="1"/>
    <col min="5623" max="5634" width="0" style="564" hidden="1" customWidth="1"/>
    <col min="5635" max="5635" width="17" style="564" customWidth="1"/>
    <col min="5636" max="5636" width="13.7109375" style="564" customWidth="1"/>
    <col min="5637" max="5637" width="14.28515625" style="564" customWidth="1"/>
    <col min="5638" max="5638" width="8.28515625" style="564" customWidth="1"/>
    <col min="5639" max="5639" width="13.7109375" style="564" customWidth="1"/>
    <col min="5640" max="5640" width="13.85546875" style="564" customWidth="1"/>
    <col min="5641" max="5644" width="9.140625" style="564"/>
    <col min="5645" max="5645" width="12.7109375" style="564" customWidth="1"/>
    <col min="5646" max="5877" width="9.140625" style="564"/>
    <col min="5878" max="5878" width="32.140625" style="564" customWidth="1"/>
    <col min="5879" max="5890" width="0" style="564" hidden="1" customWidth="1"/>
    <col min="5891" max="5891" width="17" style="564" customWidth="1"/>
    <col min="5892" max="5892" width="13.7109375" style="564" customWidth="1"/>
    <col min="5893" max="5893" width="14.28515625" style="564" customWidth="1"/>
    <col min="5894" max="5894" width="8.28515625" style="564" customWidth="1"/>
    <col min="5895" max="5895" width="13.7109375" style="564" customWidth="1"/>
    <col min="5896" max="5896" width="13.85546875" style="564" customWidth="1"/>
    <col min="5897" max="5900" width="9.140625" style="564"/>
    <col min="5901" max="5901" width="12.7109375" style="564" customWidth="1"/>
    <col min="5902" max="6133" width="9.140625" style="564"/>
    <col min="6134" max="6134" width="32.140625" style="564" customWidth="1"/>
    <col min="6135" max="6146" width="0" style="564" hidden="1" customWidth="1"/>
    <col min="6147" max="6147" width="17" style="564" customWidth="1"/>
    <col min="6148" max="6148" width="13.7109375" style="564" customWidth="1"/>
    <col min="6149" max="6149" width="14.28515625" style="564" customWidth="1"/>
    <col min="6150" max="6150" width="8.28515625" style="564" customWidth="1"/>
    <col min="6151" max="6151" width="13.7109375" style="564" customWidth="1"/>
    <col min="6152" max="6152" width="13.85546875" style="564" customWidth="1"/>
    <col min="6153" max="6156" width="9.140625" style="564"/>
    <col min="6157" max="6157" width="12.7109375" style="564" customWidth="1"/>
    <col min="6158" max="6389" width="9.140625" style="564"/>
    <col min="6390" max="6390" width="32.140625" style="564" customWidth="1"/>
    <col min="6391" max="6402" width="0" style="564" hidden="1" customWidth="1"/>
    <col min="6403" max="6403" width="17" style="564" customWidth="1"/>
    <col min="6404" max="6404" width="13.7109375" style="564" customWidth="1"/>
    <col min="6405" max="6405" width="14.28515625" style="564" customWidth="1"/>
    <col min="6406" max="6406" width="8.28515625" style="564" customWidth="1"/>
    <col min="6407" max="6407" width="13.7109375" style="564" customWidth="1"/>
    <col min="6408" max="6408" width="13.85546875" style="564" customWidth="1"/>
    <col min="6409" max="6412" width="9.140625" style="564"/>
    <col min="6413" max="6413" width="12.7109375" style="564" customWidth="1"/>
    <col min="6414" max="6645" width="9.140625" style="564"/>
    <col min="6646" max="6646" width="32.140625" style="564" customWidth="1"/>
    <col min="6647" max="6658" width="0" style="564" hidden="1" customWidth="1"/>
    <col min="6659" max="6659" width="17" style="564" customWidth="1"/>
    <col min="6660" max="6660" width="13.7109375" style="564" customWidth="1"/>
    <col min="6661" max="6661" width="14.28515625" style="564" customWidth="1"/>
    <col min="6662" max="6662" width="8.28515625" style="564" customWidth="1"/>
    <col min="6663" max="6663" width="13.7109375" style="564" customWidth="1"/>
    <col min="6664" max="6664" width="13.85546875" style="564" customWidth="1"/>
    <col min="6665" max="6668" width="9.140625" style="564"/>
    <col min="6669" max="6669" width="12.7109375" style="564" customWidth="1"/>
    <col min="6670" max="6901" width="9.140625" style="564"/>
    <col min="6902" max="6902" width="32.140625" style="564" customWidth="1"/>
    <col min="6903" max="6914" width="0" style="564" hidden="1" customWidth="1"/>
    <col min="6915" max="6915" width="17" style="564" customWidth="1"/>
    <col min="6916" max="6916" width="13.7109375" style="564" customWidth="1"/>
    <col min="6917" max="6917" width="14.28515625" style="564" customWidth="1"/>
    <col min="6918" max="6918" width="8.28515625" style="564" customWidth="1"/>
    <col min="6919" max="6919" width="13.7109375" style="564" customWidth="1"/>
    <col min="6920" max="6920" width="13.85546875" style="564" customWidth="1"/>
    <col min="6921" max="6924" width="9.140625" style="564"/>
    <col min="6925" max="6925" width="12.7109375" style="564" customWidth="1"/>
    <col min="6926" max="7157" width="9.140625" style="564"/>
    <col min="7158" max="7158" width="32.140625" style="564" customWidth="1"/>
    <col min="7159" max="7170" width="0" style="564" hidden="1" customWidth="1"/>
    <col min="7171" max="7171" width="17" style="564" customWidth="1"/>
    <col min="7172" max="7172" width="13.7109375" style="564" customWidth="1"/>
    <col min="7173" max="7173" width="14.28515625" style="564" customWidth="1"/>
    <col min="7174" max="7174" width="8.28515625" style="564" customWidth="1"/>
    <col min="7175" max="7175" width="13.7109375" style="564" customWidth="1"/>
    <col min="7176" max="7176" width="13.85546875" style="564" customWidth="1"/>
    <col min="7177" max="7180" width="9.140625" style="564"/>
    <col min="7181" max="7181" width="12.7109375" style="564" customWidth="1"/>
    <col min="7182" max="7413" width="9.140625" style="564"/>
    <col min="7414" max="7414" width="32.140625" style="564" customWidth="1"/>
    <col min="7415" max="7426" width="0" style="564" hidden="1" customWidth="1"/>
    <col min="7427" max="7427" width="17" style="564" customWidth="1"/>
    <col min="7428" max="7428" width="13.7109375" style="564" customWidth="1"/>
    <col min="7429" max="7429" width="14.28515625" style="564" customWidth="1"/>
    <col min="7430" max="7430" width="8.28515625" style="564" customWidth="1"/>
    <col min="7431" max="7431" width="13.7109375" style="564" customWidth="1"/>
    <col min="7432" max="7432" width="13.85546875" style="564" customWidth="1"/>
    <col min="7433" max="7436" width="9.140625" style="564"/>
    <col min="7437" max="7437" width="12.7109375" style="564" customWidth="1"/>
    <col min="7438" max="7669" width="9.140625" style="564"/>
    <col min="7670" max="7670" width="32.140625" style="564" customWidth="1"/>
    <col min="7671" max="7682" width="0" style="564" hidden="1" customWidth="1"/>
    <col min="7683" max="7683" width="17" style="564" customWidth="1"/>
    <col min="7684" max="7684" width="13.7109375" style="564" customWidth="1"/>
    <col min="7685" max="7685" width="14.28515625" style="564" customWidth="1"/>
    <col min="7686" max="7686" width="8.28515625" style="564" customWidth="1"/>
    <col min="7687" max="7687" width="13.7109375" style="564" customWidth="1"/>
    <col min="7688" max="7688" width="13.85546875" style="564" customWidth="1"/>
    <col min="7689" max="7692" width="9.140625" style="564"/>
    <col min="7693" max="7693" width="12.7109375" style="564" customWidth="1"/>
    <col min="7694" max="7925" width="9.140625" style="564"/>
    <col min="7926" max="7926" width="32.140625" style="564" customWidth="1"/>
    <col min="7927" max="7938" width="0" style="564" hidden="1" customWidth="1"/>
    <col min="7939" max="7939" width="17" style="564" customWidth="1"/>
    <col min="7940" max="7940" width="13.7109375" style="564" customWidth="1"/>
    <col min="7941" max="7941" width="14.28515625" style="564" customWidth="1"/>
    <col min="7942" max="7942" width="8.28515625" style="564" customWidth="1"/>
    <col min="7943" max="7943" width="13.7109375" style="564" customWidth="1"/>
    <col min="7944" max="7944" width="13.85546875" style="564" customWidth="1"/>
    <col min="7945" max="7948" width="9.140625" style="564"/>
    <col min="7949" max="7949" width="12.7109375" style="564" customWidth="1"/>
    <col min="7950" max="8181" width="9.140625" style="564"/>
    <col min="8182" max="8182" width="32.140625" style="564" customWidth="1"/>
    <col min="8183" max="8194" width="0" style="564" hidden="1" customWidth="1"/>
    <col min="8195" max="8195" width="17" style="564" customWidth="1"/>
    <col min="8196" max="8196" width="13.7109375" style="564" customWidth="1"/>
    <col min="8197" max="8197" width="14.28515625" style="564" customWidth="1"/>
    <col min="8198" max="8198" width="8.28515625" style="564" customWidth="1"/>
    <col min="8199" max="8199" width="13.7109375" style="564" customWidth="1"/>
    <col min="8200" max="8200" width="13.85546875" style="564" customWidth="1"/>
    <col min="8201" max="8204" width="9.140625" style="564"/>
    <col min="8205" max="8205" width="12.7109375" style="564" customWidth="1"/>
    <col min="8206" max="8437" width="9.140625" style="564"/>
    <col min="8438" max="8438" width="32.140625" style="564" customWidth="1"/>
    <col min="8439" max="8450" width="0" style="564" hidden="1" customWidth="1"/>
    <col min="8451" max="8451" width="17" style="564" customWidth="1"/>
    <col min="8452" max="8452" width="13.7109375" style="564" customWidth="1"/>
    <col min="8453" max="8453" width="14.28515625" style="564" customWidth="1"/>
    <col min="8454" max="8454" width="8.28515625" style="564" customWidth="1"/>
    <col min="8455" max="8455" width="13.7109375" style="564" customWidth="1"/>
    <col min="8456" max="8456" width="13.85546875" style="564" customWidth="1"/>
    <col min="8457" max="8460" width="9.140625" style="564"/>
    <col min="8461" max="8461" width="12.7109375" style="564" customWidth="1"/>
    <col min="8462" max="8693" width="9.140625" style="564"/>
    <col min="8694" max="8694" width="32.140625" style="564" customWidth="1"/>
    <col min="8695" max="8706" width="0" style="564" hidden="1" customWidth="1"/>
    <col min="8707" max="8707" width="17" style="564" customWidth="1"/>
    <col min="8708" max="8708" width="13.7109375" style="564" customWidth="1"/>
    <col min="8709" max="8709" width="14.28515625" style="564" customWidth="1"/>
    <col min="8710" max="8710" width="8.28515625" style="564" customWidth="1"/>
    <col min="8711" max="8711" width="13.7109375" style="564" customWidth="1"/>
    <col min="8712" max="8712" width="13.85546875" style="564" customWidth="1"/>
    <col min="8713" max="8716" width="9.140625" style="564"/>
    <col min="8717" max="8717" width="12.7109375" style="564" customWidth="1"/>
    <col min="8718" max="8949" width="9.140625" style="564"/>
    <col min="8950" max="8950" width="32.140625" style="564" customWidth="1"/>
    <col min="8951" max="8962" width="0" style="564" hidden="1" customWidth="1"/>
    <col min="8963" max="8963" width="17" style="564" customWidth="1"/>
    <col min="8964" max="8964" width="13.7109375" style="564" customWidth="1"/>
    <col min="8965" max="8965" width="14.28515625" style="564" customWidth="1"/>
    <col min="8966" max="8966" width="8.28515625" style="564" customWidth="1"/>
    <col min="8967" max="8967" width="13.7109375" style="564" customWidth="1"/>
    <col min="8968" max="8968" width="13.85546875" style="564" customWidth="1"/>
    <col min="8969" max="8972" width="9.140625" style="564"/>
    <col min="8973" max="8973" width="12.7109375" style="564" customWidth="1"/>
    <col min="8974" max="9205" width="9.140625" style="564"/>
    <col min="9206" max="9206" width="32.140625" style="564" customWidth="1"/>
    <col min="9207" max="9218" width="0" style="564" hidden="1" customWidth="1"/>
    <col min="9219" max="9219" width="17" style="564" customWidth="1"/>
    <col min="9220" max="9220" width="13.7109375" style="564" customWidth="1"/>
    <col min="9221" max="9221" width="14.28515625" style="564" customWidth="1"/>
    <col min="9222" max="9222" width="8.28515625" style="564" customWidth="1"/>
    <col min="9223" max="9223" width="13.7109375" style="564" customWidth="1"/>
    <col min="9224" max="9224" width="13.85546875" style="564" customWidth="1"/>
    <col min="9225" max="9228" width="9.140625" style="564"/>
    <col min="9229" max="9229" width="12.7109375" style="564" customWidth="1"/>
    <col min="9230" max="9461" width="9.140625" style="564"/>
    <col min="9462" max="9462" width="32.140625" style="564" customWidth="1"/>
    <col min="9463" max="9474" width="0" style="564" hidden="1" customWidth="1"/>
    <col min="9475" max="9475" width="17" style="564" customWidth="1"/>
    <col min="9476" max="9476" width="13.7109375" style="564" customWidth="1"/>
    <col min="9477" max="9477" width="14.28515625" style="564" customWidth="1"/>
    <col min="9478" max="9478" width="8.28515625" style="564" customWidth="1"/>
    <col min="9479" max="9479" width="13.7109375" style="564" customWidth="1"/>
    <col min="9480" max="9480" width="13.85546875" style="564" customWidth="1"/>
    <col min="9481" max="9484" width="9.140625" style="564"/>
    <col min="9485" max="9485" width="12.7109375" style="564" customWidth="1"/>
    <col min="9486" max="9717" width="9.140625" style="564"/>
    <col min="9718" max="9718" width="32.140625" style="564" customWidth="1"/>
    <col min="9719" max="9730" width="0" style="564" hidden="1" customWidth="1"/>
    <col min="9731" max="9731" width="17" style="564" customWidth="1"/>
    <col min="9732" max="9732" width="13.7109375" style="564" customWidth="1"/>
    <col min="9733" max="9733" width="14.28515625" style="564" customWidth="1"/>
    <col min="9734" max="9734" width="8.28515625" style="564" customWidth="1"/>
    <col min="9735" max="9735" width="13.7109375" style="564" customWidth="1"/>
    <col min="9736" max="9736" width="13.85546875" style="564" customWidth="1"/>
    <col min="9737" max="9740" width="9.140625" style="564"/>
    <col min="9741" max="9741" width="12.7109375" style="564" customWidth="1"/>
    <col min="9742" max="9973" width="9.140625" style="564"/>
    <col min="9974" max="9974" width="32.140625" style="564" customWidth="1"/>
    <col min="9975" max="9986" width="0" style="564" hidden="1" customWidth="1"/>
    <col min="9987" max="9987" width="17" style="564" customWidth="1"/>
    <col min="9988" max="9988" width="13.7109375" style="564" customWidth="1"/>
    <col min="9989" max="9989" width="14.28515625" style="564" customWidth="1"/>
    <col min="9990" max="9990" width="8.28515625" style="564" customWidth="1"/>
    <col min="9991" max="9991" width="13.7109375" style="564" customWidth="1"/>
    <col min="9992" max="9992" width="13.85546875" style="564" customWidth="1"/>
    <col min="9993" max="9996" width="9.140625" style="564"/>
    <col min="9997" max="9997" width="12.7109375" style="564" customWidth="1"/>
    <col min="9998" max="10229" width="9.140625" style="564"/>
    <col min="10230" max="10230" width="32.140625" style="564" customWidth="1"/>
    <col min="10231" max="10242" width="0" style="564" hidden="1" customWidth="1"/>
    <col min="10243" max="10243" width="17" style="564" customWidth="1"/>
    <col min="10244" max="10244" width="13.7109375" style="564" customWidth="1"/>
    <col min="10245" max="10245" width="14.28515625" style="564" customWidth="1"/>
    <col min="10246" max="10246" width="8.28515625" style="564" customWidth="1"/>
    <col min="10247" max="10247" width="13.7109375" style="564" customWidth="1"/>
    <col min="10248" max="10248" width="13.85546875" style="564" customWidth="1"/>
    <col min="10249" max="10252" width="9.140625" style="564"/>
    <col min="10253" max="10253" width="12.7109375" style="564" customWidth="1"/>
    <col min="10254" max="10485" width="9.140625" style="564"/>
    <col min="10486" max="10486" width="32.140625" style="564" customWidth="1"/>
    <col min="10487" max="10498" width="0" style="564" hidden="1" customWidth="1"/>
    <col min="10499" max="10499" width="17" style="564" customWidth="1"/>
    <col min="10500" max="10500" width="13.7109375" style="564" customWidth="1"/>
    <col min="10501" max="10501" width="14.28515625" style="564" customWidth="1"/>
    <col min="10502" max="10502" width="8.28515625" style="564" customWidth="1"/>
    <col min="10503" max="10503" width="13.7109375" style="564" customWidth="1"/>
    <col min="10504" max="10504" width="13.85546875" style="564" customWidth="1"/>
    <col min="10505" max="10508" width="9.140625" style="564"/>
    <col min="10509" max="10509" width="12.7109375" style="564" customWidth="1"/>
    <col min="10510" max="10741" width="9.140625" style="564"/>
    <col min="10742" max="10742" width="32.140625" style="564" customWidth="1"/>
    <col min="10743" max="10754" width="0" style="564" hidden="1" customWidth="1"/>
    <col min="10755" max="10755" width="17" style="564" customWidth="1"/>
    <col min="10756" max="10756" width="13.7109375" style="564" customWidth="1"/>
    <col min="10757" max="10757" width="14.28515625" style="564" customWidth="1"/>
    <col min="10758" max="10758" width="8.28515625" style="564" customWidth="1"/>
    <col min="10759" max="10759" width="13.7109375" style="564" customWidth="1"/>
    <col min="10760" max="10760" width="13.85546875" style="564" customWidth="1"/>
    <col min="10761" max="10764" width="9.140625" style="564"/>
    <col min="10765" max="10765" width="12.7109375" style="564" customWidth="1"/>
    <col min="10766" max="10997" width="9.140625" style="564"/>
    <col min="10998" max="10998" width="32.140625" style="564" customWidth="1"/>
    <col min="10999" max="11010" width="0" style="564" hidden="1" customWidth="1"/>
    <col min="11011" max="11011" width="17" style="564" customWidth="1"/>
    <col min="11012" max="11012" width="13.7109375" style="564" customWidth="1"/>
    <col min="11013" max="11013" width="14.28515625" style="564" customWidth="1"/>
    <col min="11014" max="11014" width="8.28515625" style="564" customWidth="1"/>
    <col min="11015" max="11015" width="13.7109375" style="564" customWidth="1"/>
    <col min="11016" max="11016" width="13.85546875" style="564" customWidth="1"/>
    <col min="11017" max="11020" width="9.140625" style="564"/>
    <col min="11021" max="11021" width="12.7109375" style="564" customWidth="1"/>
    <col min="11022" max="11253" width="9.140625" style="564"/>
    <col min="11254" max="11254" width="32.140625" style="564" customWidth="1"/>
    <col min="11255" max="11266" width="0" style="564" hidden="1" customWidth="1"/>
    <col min="11267" max="11267" width="17" style="564" customWidth="1"/>
    <col min="11268" max="11268" width="13.7109375" style="564" customWidth="1"/>
    <col min="11269" max="11269" width="14.28515625" style="564" customWidth="1"/>
    <col min="11270" max="11270" width="8.28515625" style="564" customWidth="1"/>
    <col min="11271" max="11271" width="13.7109375" style="564" customWidth="1"/>
    <col min="11272" max="11272" width="13.85546875" style="564" customWidth="1"/>
    <col min="11273" max="11276" width="9.140625" style="564"/>
    <col min="11277" max="11277" width="12.7109375" style="564" customWidth="1"/>
    <col min="11278" max="11509" width="9.140625" style="564"/>
    <col min="11510" max="11510" width="32.140625" style="564" customWidth="1"/>
    <col min="11511" max="11522" width="0" style="564" hidden="1" customWidth="1"/>
    <col min="11523" max="11523" width="17" style="564" customWidth="1"/>
    <col min="11524" max="11524" width="13.7109375" style="564" customWidth="1"/>
    <col min="11525" max="11525" width="14.28515625" style="564" customWidth="1"/>
    <col min="11526" max="11526" width="8.28515625" style="564" customWidth="1"/>
    <col min="11527" max="11527" width="13.7109375" style="564" customWidth="1"/>
    <col min="11528" max="11528" width="13.85546875" style="564" customWidth="1"/>
    <col min="11529" max="11532" width="9.140625" style="564"/>
    <col min="11533" max="11533" width="12.7109375" style="564" customWidth="1"/>
    <col min="11534" max="11765" width="9.140625" style="564"/>
    <col min="11766" max="11766" width="32.140625" style="564" customWidth="1"/>
    <col min="11767" max="11778" width="0" style="564" hidden="1" customWidth="1"/>
    <col min="11779" max="11779" width="17" style="564" customWidth="1"/>
    <col min="11780" max="11780" width="13.7109375" style="564" customWidth="1"/>
    <col min="11781" max="11781" width="14.28515625" style="564" customWidth="1"/>
    <col min="11782" max="11782" width="8.28515625" style="564" customWidth="1"/>
    <col min="11783" max="11783" width="13.7109375" style="564" customWidth="1"/>
    <col min="11784" max="11784" width="13.85546875" style="564" customWidth="1"/>
    <col min="11785" max="11788" width="9.140625" style="564"/>
    <col min="11789" max="11789" width="12.7109375" style="564" customWidth="1"/>
    <col min="11790" max="12021" width="9.140625" style="564"/>
    <col min="12022" max="12022" width="32.140625" style="564" customWidth="1"/>
    <col min="12023" max="12034" width="0" style="564" hidden="1" customWidth="1"/>
    <col min="12035" max="12035" width="17" style="564" customWidth="1"/>
    <col min="12036" max="12036" width="13.7109375" style="564" customWidth="1"/>
    <col min="12037" max="12037" width="14.28515625" style="564" customWidth="1"/>
    <col min="12038" max="12038" width="8.28515625" style="564" customWidth="1"/>
    <col min="12039" max="12039" width="13.7109375" style="564" customWidth="1"/>
    <col min="12040" max="12040" width="13.85546875" style="564" customWidth="1"/>
    <col min="12041" max="12044" width="9.140625" style="564"/>
    <col min="12045" max="12045" width="12.7109375" style="564" customWidth="1"/>
    <col min="12046" max="12277" width="9.140625" style="564"/>
    <col min="12278" max="12278" width="32.140625" style="564" customWidth="1"/>
    <col min="12279" max="12290" width="0" style="564" hidden="1" customWidth="1"/>
    <col min="12291" max="12291" width="17" style="564" customWidth="1"/>
    <col min="12292" max="12292" width="13.7109375" style="564" customWidth="1"/>
    <col min="12293" max="12293" width="14.28515625" style="564" customWidth="1"/>
    <col min="12294" max="12294" width="8.28515625" style="564" customWidth="1"/>
    <col min="12295" max="12295" width="13.7109375" style="564" customWidth="1"/>
    <col min="12296" max="12296" width="13.85546875" style="564" customWidth="1"/>
    <col min="12297" max="12300" width="9.140625" style="564"/>
    <col min="12301" max="12301" width="12.7109375" style="564" customWidth="1"/>
    <col min="12302" max="12533" width="9.140625" style="564"/>
    <col min="12534" max="12534" width="32.140625" style="564" customWidth="1"/>
    <col min="12535" max="12546" width="0" style="564" hidden="1" customWidth="1"/>
    <col min="12547" max="12547" width="17" style="564" customWidth="1"/>
    <col min="12548" max="12548" width="13.7109375" style="564" customWidth="1"/>
    <col min="12549" max="12549" width="14.28515625" style="564" customWidth="1"/>
    <col min="12550" max="12550" width="8.28515625" style="564" customWidth="1"/>
    <col min="12551" max="12551" width="13.7109375" style="564" customWidth="1"/>
    <col min="12552" max="12552" width="13.85546875" style="564" customWidth="1"/>
    <col min="12553" max="12556" width="9.140625" style="564"/>
    <col min="12557" max="12557" width="12.7109375" style="564" customWidth="1"/>
    <col min="12558" max="12789" width="9.140625" style="564"/>
    <col min="12790" max="12790" width="32.140625" style="564" customWidth="1"/>
    <col min="12791" max="12802" width="0" style="564" hidden="1" customWidth="1"/>
    <col min="12803" max="12803" width="17" style="564" customWidth="1"/>
    <col min="12804" max="12804" width="13.7109375" style="564" customWidth="1"/>
    <col min="12805" max="12805" width="14.28515625" style="564" customWidth="1"/>
    <col min="12806" max="12806" width="8.28515625" style="564" customWidth="1"/>
    <col min="12807" max="12807" width="13.7109375" style="564" customWidth="1"/>
    <col min="12808" max="12808" width="13.85546875" style="564" customWidth="1"/>
    <col min="12809" max="12812" width="9.140625" style="564"/>
    <col min="12813" max="12813" width="12.7109375" style="564" customWidth="1"/>
    <col min="12814" max="13045" width="9.140625" style="564"/>
    <col min="13046" max="13046" width="32.140625" style="564" customWidth="1"/>
    <col min="13047" max="13058" width="0" style="564" hidden="1" customWidth="1"/>
    <col min="13059" max="13059" width="17" style="564" customWidth="1"/>
    <col min="13060" max="13060" width="13.7109375" style="564" customWidth="1"/>
    <col min="13061" max="13061" width="14.28515625" style="564" customWidth="1"/>
    <col min="13062" max="13062" width="8.28515625" style="564" customWidth="1"/>
    <col min="13063" max="13063" width="13.7109375" style="564" customWidth="1"/>
    <col min="13064" max="13064" width="13.85546875" style="564" customWidth="1"/>
    <col min="13065" max="13068" width="9.140625" style="564"/>
    <col min="13069" max="13069" width="12.7109375" style="564" customWidth="1"/>
    <col min="13070" max="13301" width="9.140625" style="564"/>
    <col min="13302" max="13302" width="32.140625" style="564" customWidth="1"/>
    <col min="13303" max="13314" width="0" style="564" hidden="1" customWidth="1"/>
    <col min="13315" max="13315" width="17" style="564" customWidth="1"/>
    <col min="13316" max="13316" width="13.7109375" style="564" customWidth="1"/>
    <col min="13317" max="13317" width="14.28515625" style="564" customWidth="1"/>
    <col min="13318" max="13318" width="8.28515625" style="564" customWidth="1"/>
    <col min="13319" max="13319" width="13.7109375" style="564" customWidth="1"/>
    <col min="13320" max="13320" width="13.85546875" style="564" customWidth="1"/>
    <col min="13321" max="13324" width="9.140625" style="564"/>
    <col min="13325" max="13325" width="12.7109375" style="564" customWidth="1"/>
    <col min="13326" max="13557" width="9.140625" style="564"/>
    <col min="13558" max="13558" width="32.140625" style="564" customWidth="1"/>
    <col min="13559" max="13570" width="0" style="564" hidden="1" customWidth="1"/>
    <col min="13571" max="13571" width="17" style="564" customWidth="1"/>
    <col min="13572" max="13572" width="13.7109375" style="564" customWidth="1"/>
    <col min="13573" max="13573" width="14.28515625" style="564" customWidth="1"/>
    <col min="13574" max="13574" width="8.28515625" style="564" customWidth="1"/>
    <col min="13575" max="13575" width="13.7109375" style="564" customWidth="1"/>
    <col min="13576" max="13576" width="13.85546875" style="564" customWidth="1"/>
    <col min="13577" max="13580" width="9.140625" style="564"/>
    <col min="13581" max="13581" width="12.7109375" style="564" customWidth="1"/>
    <col min="13582" max="13813" width="9.140625" style="564"/>
    <col min="13814" max="13814" width="32.140625" style="564" customWidth="1"/>
    <col min="13815" max="13826" width="0" style="564" hidden="1" customWidth="1"/>
    <col min="13827" max="13827" width="17" style="564" customWidth="1"/>
    <col min="13828" max="13828" width="13.7109375" style="564" customWidth="1"/>
    <col min="13829" max="13829" width="14.28515625" style="564" customWidth="1"/>
    <col min="13830" max="13830" width="8.28515625" style="564" customWidth="1"/>
    <col min="13831" max="13831" width="13.7109375" style="564" customWidth="1"/>
    <col min="13832" max="13832" width="13.85546875" style="564" customWidth="1"/>
    <col min="13833" max="13836" width="9.140625" style="564"/>
    <col min="13837" max="13837" width="12.7109375" style="564" customWidth="1"/>
    <col min="13838" max="14069" width="9.140625" style="564"/>
    <col min="14070" max="14070" width="32.140625" style="564" customWidth="1"/>
    <col min="14071" max="14082" width="0" style="564" hidden="1" customWidth="1"/>
    <col min="14083" max="14083" width="17" style="564" customWidth="1"/>
    <col min="14084" max="14084" width="13.7109375" style="564" customWidth="1"/>
    <col min="14085" max="14085" width="14.28515625" style="564" customWidth="1"/>
    <col min="14086" max="14086" width="8.28515625" style="564" customWidth="1"/>
    <col min="14087" max="14087" width="13.7109375" style="564" customWidth="1"/>
    <col min="14088" max="14088" width="13.85546875" style="564" customWidth="1"/>
    <col min="14089" max="14092" width="9.140625" style="564"/>
    <col min="14093" max="14093" width="12.7109375" style="564" customWidth="1"/>
    <col min="14094" max="14325" width="9.140625" style="564"/>
    <col min="14326" max="14326" width="32.140625" style="564" customWidth="1"/>
    <col min="14327" max="14338" width="0" style="564" hidden="1" customWidth="1"/>
    <col min="14339" max="14339" width="17" style="564" customWidth="1"/>
    <col min="14340" max="14340" width="13.7109375" style="564" customWidth="1"/>
    <col min="14341" max="14341" width="14.28515625" style="564" customWidth="1"/>
    <col min="14342" max="14342" width="8.28515625" style="564" customWidth="1"/>
    <col min="14343" max="14343" width="13.7109375" style="564" customWidth="1"/>
    <col min="14344" max="14344" width="13.85546875" style="564" customWidth="1"/>
    <col min="14345" max="14348" width="9.140625" style="564"/>
    <col min="14349" max="14349" width="12.7109375" style="564" customWidth="1"/>
    <col min="14350" max="14581" width="9.140625" style="564"/>
    <col min="14582" max="14582" width="32.140625" style="564" customWidth="1"/>
    <col min="14583" max="14594" width="0" style="564" hidden="1" customWidth="1"/>
    <col min="14595" max="14595" width="17" style="564" customWidth="1"/>
    <col min="14596" max="14596" width="13.7109375" style="564" customWidth="1"/>
    <col min="14597" max="14597" width="14.28515625" style="564" customWidth="1"/>
    <col min="14598" max="14598" width="8.28515625" style="564" customWidth="1"/>
    <col min="14599" max="14599" width="13.7109375" style="564" customWidth="1"/>
    <col min="14600" max="14600" width="13.85546875" style="564" customWidth="1"/>
    <col min="14601" max="14604" width="9.140625" style="564"/>
    <col min="14605" max="14605" width="12.7109375" style="564" customWidth="1"/>
    <col min="14606" max="14837" width="9.140625" style="564"/>
    <col min="14838" max="14838" width="32.140625" style="564" customWidth="1"/>
    <col min="14839" max="14850" width="0" style="564" hidden="1" customWidth="1"/>
    <col min="14851" max="14851" width="17" style="564" customWidth="1"/>
    <col min="14852" max="14852" width="13.7109375" style="564" customWidth="1"/>
    <col min="14853" max="14853" width="14.28515625" style="564" customWidth="1"/>
    <col min="14854" max="14854" width="8.28515625" style="564" customWidth="1"/>
    <col min="14855" max="14855" width="13.7109375" style="564" customWidth="1"/>
    <col min="14856" max="14856" width="13.85546875" style="564" customWidth="1"/>
    <col min="14857" max="14860" width="9.140625" style="564"/>
    <col min="14861" max="14861" width="12.7109375" style="564" customWidth="1"/>
    <col min="14862" max="15093" width="9.140625" style="564"/>
    <col min="15094" max="15094" width="32.140625" style="564" customWidth="1"/>
    <col min="15095" max="15106" width="0" style="564" hidden="1" customWidth="1"/>
    <col min="15107" max="15107" width="17" style="564" customWidth="1"/>
    <col min="15108" max="15108" width="13.7109375" style="564" customWidth="1"/>
    <col min="15109" max="15109" width="14.28515625" style="564" customWidth="1"/>
    <col min="15110" max="15110" width="8.28515625" style="564" customWidth="1"/>
    <col min="15111" max="15111" width="13.7109375" style="564" customWidth="1"/>
    <col min="15112" max="15112" width="13.85546875" style="564" customWidth="1"/>
    <col min="15113" max="15116" width="9.140625" style="564"/>
    <col min="15117" max="15117" width="12.7109375" style="564" customWidth="1"/>
    <col min="15118" max="15349" width="9.140625" style="564"/>
    <col min="15350" max="15350" width="32.140625" style="564" customWidth="1"/>
    <col min="15351" max="15362" width="0" style="564" hidden="1" customWidth="1"/>
    <col min="15363" max="15363" width="17" style="564" customWidth="1"/>
    <col min="15364" max="15364" width="13.7109375" style="564" customWidth="1"/>
    <col min="15365" max="15365" width="14.28515625" style="564" customWidth="1"/>
    <col min="15366" max="15366" width="8.28515625" style="564" customWidth="1"/>
    <col min="15367" max="15367" width="13.7109375" style="564" customWidth="1"/>
    <col min="15368" max="15368" width="13.85546875" style="564" customWidth="1"/>
    <col min="15369" max="15372" width="9.140625" style="564"/>
    <col min="15373" max="15373" width="12.7109375" style="564" customWidth="1"/>
    <col min="15374" max="15605" width="9.140625" style="564"/>
    <col min="15606" max="15606" width="32.140625" style="564" customWidth="1"/>
    <col min="15607" max="15618" width="0" style="564" hidden="1" customWidth="1"/>
    <col min="15619" max="15619" width="17" style="564" customWidth="1"/>
    <col min="15620" max="15620" width="13.7109375" style="564" customWidth="1"/>
    <col min="15621" max="15621" width="14.28515625" style="564" customWidth="1"/>
    <col min="15622" max="15622" width="8.28515625" style="564" customWidth="1"/>
    <col min="15623" max="15623" width="13.7109375" style="564" customWidth="1"/>
    <col min="15624" max="15624" width="13.85546875" style="564" customWidth="1"/>
    <col min="15625" max="15628" width="9.140625" style="564"/>
    <col min="15629" max="15629" width="12.7109375" style="564" customWidth="1"/>
    <col min="15630" max="15861" width="9.140625" style="564"/>
    <col min="15862" max="15862" width="32.140625" style="564" customWidth="1"/>
    <col min="15863" max="15874" width="0" style="564" hidden="1" customWidth="1"/>
    <col min="15875" max="15875" width="17" style="564" customWidth="1"/>
    <col min="15876" max="15876" width="13.7109375" style="564" customWidth="1"/>
    <col min="15877" max="15877" width="14.28515625" style="564" customWidth="1"/>
    <col min="15878" max="15878" width="8.28515625" style="564" customWidth="1"/>
    <col min="15879" max="15879" width="13.7109375" style="564" customWidth="1"/>
    <col min="15880" max="15880" width="13.85546875" style="564" customWidth="1"/>
    <col min="15881" max="15884" width="9.140625" style="564"/>
    <col min="15885" max="15885" width="12.7109375" style="564" customWidth="1"/>
    <col min="15886" max="16117" width="9.140625" style="564"/>
    <col min="16118" max="16118" width="32.140625" style="564" customWidth="1"/>
    <col min="16119" max="16130" width="0" style="564" hidden="1" customWidth="1"/>
    <col min="16131" max="16131" width="17" style="564" customWidth="1"/>
    <col min="16132" max="16132" width="13.7109375" style="564" customWidth="1"/>
    <col min="16133" max="16133" width="14.28515625" style="564" customWidth="1"/>
    <col min="16134" max="16134" width="8.28515625" style="564" customWidth="1"/>
    <col min="16135" max="16135" width="13.7109375" style="564" customWidth="1"/>
    <col min="16136" max="16136" width="13.85546875" style="564" customWidth="1"/>
    <col min="16137" max="16140" width="9.140625" style="564"/>
    <col min="16141" max="16141" width="12.7109375" style="564" customWidth="1"/>
    <col min="16142" max="16384" width="9.140625" style="564"/>
  </cols>
  <sheetData>
    <row r="1" spans="1:25" x14ac:dyDescent="0.2">
      <c r="A1" s="768" t="s">
        <v>404</v>
      </c>
      <c r="B1" s="768"/>
      <c r="C1" s="768"/>
    </row>
    <row r="2" spans="1:25" ht="13.5" thickBot="1" x14ac:dyDescent="0.25">
      <c r="A2" s="769" t="s">
        <v>405</v>
      </c>
      <c r="B2" s="769"/>
      <c r="C2" s="769"/>
    </row>
    <row r="3" spans="1:25" ht="16.5" customHeight="1" thickTop="1" x14ac:dyDescent="0.2">
      <c r="A3" s="814" t="s">
        <v>0</v>
      </c>
      <c r="B3" s="816" t="s">
        <v>1</v>
      </c>
      <c r="C3" s="788" t="s">
        <v>2</v>
      </c>
      <c r="D3" s="788" t="s">
        <v>3</v>
      </c>
      <c r="E3" s="788" t="s">
        <v>4</v>
      </c>
      <c r="F3" s="788" t="s">
        <v>5</v>
      </c>
      <c r="G3" s="788" t="s">
        <v>6</v>
      </c>
      <c r="H3" s="788" t="s">
        <v>7</v>
      </c>
      <c r="I3" s="788" t="s">
        <v>8</v>
      </c>
      <c r="J3" s="788" t="s">
        <v>9</v>
      </c>
      <c r="K3" s="788" t="s">
        <v>10</v>
      </c>
      <c r="L3" s="788" t="s">
        <v>11</v>
      </c>
      <c r="M3" s="788" t="s">
        <v>12</v>
      </c>
      <c r="N3" s="788" t="s">
        <v>13</v>
      </c>
      <c r="O3" s="788" t="s">
        <v>14</v>
      </c>
      <c r="P3" s="788" t="s">
        <v>15</v>
      </c>
      <c r="Q3" s="788" t="s">
        <v>458</v>
      </c>
      <c r="R3" s="812" t="s">
        <v>424</v>
      </c>
      <c r="S3" s="688" t="s">
        <v>465</v>
      </c>
      <c r="T3" s="770" t="s">
        <v>411</v>
      </c>
    </row>
    <row r="4" spans="1:25" ht="26.25" customHeight="1" thickBot="1" x14ac:dyDescent="0.25">
      <c r="A4" s="815"/>
      <c r="B4" s="817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813"/>
      <c r="S4" s="687" t="s">
        <v>21</v>
      </c>
      <c r="T4" s="771"/>
    </row>
    <row r="5" spans="1:25" ht="17.25" thickTop="1" thickBot="1" x14ac:dyDescent="0.3">
      <c r="A5" s="1">
        <v>100</v>
      </c>
      <c r="B5" s="776" t="s">
        <v>17</v>
      </c>
      <c r="C5" s="777"/>
      <c r="D5" s="2">
        <f t="shared" ref="D5:S5" si="0">D6+D12+D17</f>
        <v>4005975</v>
      </c>
      <c r="E5" s="2">
        <f t="shared" si="0"/>
        <v>4409049</v>
      </c>
      <c r="F5" s="2">
        <f t="shared" si="0"/>
        <v>5183529</v>
      </c>
      <c r="G5" s="2">
        <f t="shared" si="0"/>
        <v>5169506</v>
      </c>
      <c r="H5" s="2">
        <f t="shared" si="0"/>
        <v>4342169</v>
      </c>
      <c r="I5" s="2">
        <f t="shared" si="0"/>
        <v>4854565</v>
      </c>
      <c r="J5" s="2">
        <f t="shared" si="0"/>
        <v>5209041</v>
      </c>
      <c r="K5" s="2">
        <f t="shared" si="0"/>
        <v>4997011</v>
      </c>
      <c r="L5" s="2">
        <f t="shared" si="0"/>
        <v>5140983.68</v>
      </c>
      <c r="M5" s="3">
        <f t="shared" si="0"/>
        <v>5807550.21</v>
      </c>
      <c r="N5" s="2">
        <f>N6+N12+N17</f>
        <v>6453363.5500000007</v>
      </c>
      <c r="O5" s="3">
        <f>O6+O12+O17</f>
        <v>6809462.0100000007</v>
      </c>
      <c r="P5" s="3">
        <f>P6+P12+P17</f>
        <v>7281076.1700000009</v>
      </c>
      <c r="Q5" s="3">
        <f>Q6+Q12+Q17</f>
        <v>7988329.25</v>
      </c>
      <c r="R5" s="4">
        <f>R6+R12+R17</f>
        <v>7168876</v>
      </c>
      <c r="S5" s="4">
        <f t="shared" si="0"/>
        <v>311608</v>
      </c>
      <c r="T5" s="565">
        <f>T6+T12+T17</f>
        <v>7480484</v>
      </c>
    </row>
    <row r="6" spans="1:25" ht="15.75" thickBot="1" x14ac:dyDescent="0.3">
      <c r="A6" s="5">
        <v>110</v>
      </c>
      <c r="B6" s="778" t="s">
        <v>18</v>
      </c>
      <c r="C6" s="779"/>
      <c r="D6" s="6">
        <f>D7</f>
        <v>3340935</v>
      </c>
      <c r="E6" s="6">
        <f>E7</f>
        <v>3718815</v>
      </c>
      <c r="F6" s="6">
        <f>F7</f>
        <v>4552845</v>
      </c>
      <c r="G6" s="6">
        <f>G7</f>
        <v>4537123</v>
      </c>
      <c r="H6" s="6">
        <f>H7</f>
        <v>3726916</v>
      </c>
      <c r="I6" s="6">
        <f t="shared" ref="I6:S6" si="1">I7</f>
        <v>4195159</v>
      </c>
      <c r="J6" s="6">
        <f t="shared" si="1"/>
        <v>4432132</v>
      </c>
      <c r="K6" s="6">
        <f t="shared" si="1"/>
        <v>4175784</v>
      </c>
      <c r="L6" s="6">
        <f t="shared" si="1"/>
        <v>4401458.42</v>
      </c>
      <c r="M6" s="7">
        <f t="shared" si="1"/>
        <v>5016805.0999999996</v>
      </c>
      <c r="N6" s="6">
        <f t="shared" si="1"/>
        <v>5542925.6600000001</v>
      </c>
      <c r="O6" s="7">
        <f t="shared" si="1"/>
        <v>5877883.0300000003</v>
      </c>
      <c r="P6" s="7">
        <f t="shared" si="1"/>
        <v>6368965.2300000004</v>
      </c>
      <c r="Q6" s="7">
        <f t="shared" si="1"/>
        <v>7093467.6699999999</v>
      </c>
      <c r="R6" s="8">
        <f>R7</f>
        <v>6157426</v>
      </c>
      <c r="S6" s="8">
        <f t="shared" si="1"/>
        <v>311608</v>
      </c>
      <c r="T6" s="567">
        <f>T7</f>
        <v>6469034</v>
      </c>
    </row>
    <row r="7" spans="1:25" ht="15.75" thickBot="1" x14ac:dyDescent="0.3">
      <c r="A7" s="780"/>
      <c r="B7" s="783"/>
      <c r="C7" s="10" t="s">
        <v>19</v>
      </c>
      <c r="D7" s="11">
        <v>3340935</v>
      </c>
      <c r="E7" s="11">
        <v>3718815</v>
      </c>
      <c r="F7" s="11">
        <v>4552845</v>
      </c>
      <c r="G7" s="11">
        <v>4537123</v>
      </c>
      <c r="H7" s="11">
        <v>3726916</v>
      </c>
      <c r="I7" s="12">
        <v>4195159</v>
      </c>
      <c r="J7" s="12">
        <v>4432132</v>
      </c>
      <c r="K7" s="13">
        <v>4175784</v>
      </c>
      <c r="L7" s="13">
        <v>4401458.42</v>
      </c>
      <c r="M7" s="14">
        <v>5016805.0999999996</v>
      </c>
      <c r="N7" s="15">
        <v>5542925.6600000001</v>
      </c>
      <c r="O7" s="14">
        <v>5877883.0300000003</v>
      </c>
      <c r="P7" s="14">
        <v>6368965.2300000004</v>
      </c>
      <c r="Q7" s="14">
        <v>7093467.6699999999</v>
      </c>
      <c r="R7" s="15">
        <v>6157426</v>
      </c>
      <c r="S7" s="569">
        <f>90249+142491-15306-15+1500+31304-6715+19300+16930-218+12415+780+18893</f>
        <v>311608</v>
      </c>
      <c r="T7" s="570">
        <f>R7+S7</f>
        <v>6469034</v>
      </c>
      <c r="V7" s="190"/>
      <c r="W7" s="190"/>
    </row>
    <row r="8" spans="1:25" ht="13.5" hidden="1" thickBot="1" x14ac:dyDescent="0.25">
      <c r="A8" s="781"/>
      <c r="B8" s="784"/>
      <c r="C8" s="16" t="s">
        <v>20</v>
      </c>
      <c r="D8" s="16"/>
      <c r="E8" s="16"/>
      <c r="F8" s="16"/>
      <c r="G8" s="16"/>
      <c r="H8" s="16"/>
      <c r="I8" s="17"/>
      <c r="J8" s="17"/>
      <c r="K8" s="18"/>
      <c r="L8" s="18"/>
      <c r="M8" s="19"/>
      <c r="N8" s="20"/>
      <c r="O8" s="20"/>
      <c r="P8" s="20"/>
      <c r="Q8" s="19"/>
      <c r="R8" s="20"/>
      <c r="S8" s="571"/>
      <c r="T8" s="572"/>
    </row>
    <row r="9" spans="1:25" ht="13.5" hidden="1" thickBot="1" x14ac:dyDescent="0.25">
      <c r="A9" s="781"/>
      <c r="B9" s="784"/>
      <c r="C9" s="22" t="s">
        <v>21</v>
      </c>
      <c r="D9" s="22"/>
      <c r="E9" s="22"/>
      <c r="F9" s="22"/>
      <c r="G9" s="22"/>
      <c r="H9" s="22"/>
      <c r="I9" s="23"/>
      <c r="J9" s="23"/>
      <c r="K9" s="24"/>
      <c r="L9" s="24"/>
      <c r="M9" s="25"/>
      <c r="N9" s="26"/>
      <c r="O9" s="26"/>
      <c r="P9" s="26"/>
      <c r="Q9" s="25"/>
      <c r="R9" s="26"/>
      <c r="S9" s="573"/>
      <c r="T9" s="574"/>
      <c r="U9" s="566"/>
    </row>
    <row r="10" spans="1:25" ht="13.5" hidden="1" thickBot="1" x14ac:dyDescent="0.25">
      <c r="A10" s="781"/>
      <c r="B10" s="784"/>
      <c r="C10" s="22" t="s">
        <v>22</v>
      </c>
      <c r="D10" s="22"/>
      <c r="E10" s="22"/>
      <c r="F10" s="22"/>
      <c r="G10" s="22"/>
      <c r="H10" s="22"/>
      <c r="I10" s="23"/>
      <c r="J10" s="23"/>
      <c r="K10" s="24"/>
      <c r="L10" s="24"/>
      <c r="M10" s="25"/>
      <c r="N10" s="26"/>
      <c r="O10" s="26"/>
      <c r="P10" s="26"/>
      <c r="Q10" s="25"/>
      <c r="R10" s="26"/>
      <c r="S10" s="573"/>
      <c r="T10" s="574"/>
    </row>
    <row r="11" spans="1:25" ht="13.5" hidden="1" thickBot="1" x14ac:dyDescent="0.25">
      <c r="A11" s="782"/>
      <c r="B11" s="785"/>
      <c r="C11" s="28" t="s">
        <v>23</v>
      </c>
      <c r="D11" s="28"/>
      <c r="E11" s="28"/>
      <c r="F11" s="28"/>
      <c r="G11" s="28"/>
      <c r="H11" s="28"/>
      <c r="I11" s="29"/>
      <c r="J11" s="29"/>
      <c r="K11" s="30"/>
      <c r="L11" s="30"/>
      <c r="M11" s="31"/>
      <c r="N11" s="32"/>
      <c r="O11" s="32"/>
      <c r="P11" s="32"/>
      <c r="Q11" s="31"/>
      <c r="R11" s="32"/>
      <c r="S11" s="575"/>
      <c r="T11" s="576"/>
    </row>
    <row r="12" spans="1:25" ht="15.75" thickBot="1" x14ac:dyDescent="0.3">
      <c r="A12" s="33">
        <v>120</v>
      </c>
      <c r="B12" s="786" t="s">
        <v>24</v>
      </c>
      <c r="C12" s="787"/>
      <c r="D12" s="34">
        <f>D13</f>
        <v>295824</v>
      </c>
      <c r="E12" s="34">
        <f>E13</f>
        <v>311093</v>
      </c>
      <c r="F12" s="34">
        <f>F13</f>
        <v>361216</v>
      </c>
      <c r="G12" s="34">
        <f>G13</f>
        <v>341843</v>
      </c>
      <c r="H12" s="34">
        <v>316587</v>
      </c>
      <c r="I12" s="34">
        <f t="shared" ref="I12:T12" si="2">I13</f>
        <v>360438</v>
      </c>
      <c r="J12" s="34">
        <f t="shared" si="2"/>
        <v>460690</v>
      </c>
      <c r="K12" s="34">
        <f t="shared" si="2"/>
        <v>388905</v>
      </c>
      <c r="L12" s="34">
        <f t="shared" si="2"/>
        <v>335641.24</v>
      </c>
      <c r="M12" s="35">
        <f t="shared" si="2"/>
        <v>396789.44</v>
      </c>
      <c r="N12" s="34">
        <f t="shared" si="2"/>
        <v>470206.4</v>
      </c>
      <c r="O12" s="35">
        <f t="shared" si="2"/>
        <v>490398.24</v>
      </c>
      <c r="P12" s="35">
        <f t="shared" si="2"/>
        <v>477910.94</v>
      </c>
      <c r="Q12" s="745">
        <f t="shared" si="2"/>
        <v>461578.98</v>
      </c>
      <c r="R12" s="36">
        <f t="shared" si="2"/>
        <v>545000</v>
      </c>
      <c r="S12" s="36">
        <f t="shared" si="2"/>
        <v>0</v>
      </c>
      <c r="T12" s="577">
        <f t="shared" si="2"/>
        <v>545000</v>
      </c>
      <c r="Y12" s="566"/>
    </row>
    <row r="13" spans="1:25" ht="13.5" thickBot="1" x14ac:dyDescent="0.25">
      <c r="A13" s="790"/>
      <c r="B13" s="37">
        <v>121</v>
      </c>
      <c r="C13" s="38" t="s">
        <v>25</v>
      </c>
      <c r="D13" s="38">
        <v>295824</v>
      </c>
      <c r="E13" s="38">
        <v>311093</v>
      </c>
      <c r="F13" s="38">
        <v>361216</v>
      </c>
      <c r="G13" s="38">
        <v>341843</v>
      </c>
      <c r="H13" s="38">
        <v>316587</v>
      </c>
      <c r="I13" s="39">
        <f t="shared" ref="I13:R13" si="3">SUM(I14:I16)</f>
        <v>360438</v>
      </c>
      <c r="J13" s="39">
        <f t="shared" si="3"/>
        <v>460690</v>
      </c>
      <c r="K13" s="39">
        <f t="shared" si="3"/>
        <v>388905</v>
      </c>
      <c r="L13" s="39">
        <f t="shared" si="3"/>
        <v>335641.24</v>
      </c>
      <c r="M13" s="40">
        <f t="shared" si="3"/>
        <v>396789.44</v>
      </c>
      <c r="N13" s="39">
        <f>SUM(N14:N16)</f>
        <v>470206.4</v>
      </c>
      <c r="O13" s="40">
        <f>SUM(O14:O16)</f>
        <v>490398.24</v>
      </c>
      <c r="P13" s="40">
        <f>SUM(P14:P16)</f>
        <v>477910.94</v>
      </c>
      <c r="Q13" s="122">
        <f>SUM(Q14:Q16)</f>
        <v>461578.98</v>
      </c>
      <c r="R13" s="41">
        <f t="shared" si="3"/>
        <v>545000</v>
      </c>
      <c r="S13" s="41">
        <f>SUM(S14:S16)</f>
        <v>0</v>
      </c>
      <c r="T13" s="578">
        <f>SUM(T14:T16)</f>
        <v>545000</v>
      </c>
    </row>
    <row r="14" spans="1:25" x14ac:dyDescent="0.2">
      <c r="A14" s="791"/>
      <c r="B14" s="793"/>
      <c r="C14" s="42" t="s">
        <v>26</v>
      </c>
      <c r="D14" s="43"/>
      <c r="E14" s="43"/>
      <c r="F14" s="43"/>
      <c r="G14" s="43"/>
      <c r="H14" s="43">
        <v>51780</v>
      </c>
      <c r="I14" s="43">
        <v>67186</v>
      </c>
      <c r="J14" s="44">
        <v>71840</v>
      </c>
      <c r="K14" s="44">
        <v>90890</v>
      </c>
      <c r="L14" s="44">
        <v>64647.11</v>
      </c>
      <c r="M14" s="45">
        <v>92446.080000000002</v>
      </c>
      <c r="N14" s="46">
        <v>110741.25</v>
      </c>
      <c r="O14" s="45">
        <v>490398.24</v>
      </c>
      <c r="P14" s="45">
        <v>113964.55</v>
      </c>
      <c r="Q14" s="45">
        <v>461578.98</v>
      </c>
      <c r="R14" s="46">
        <v>140000</v>
      </c>
      <c r="S14" s="571"/>
      <c r="T14" s="572">
        <f t="shared" ref="T14:T16" si="4">R14+S14</f>
        <v>140000</v>
      </c>
    </row>
    <row r="15" spans="1:25" x14ac:dyDescent="0.2">
      <c r="A15" s="791"/>
      <c r="B15" s="794"/>
      <c r="C15" s="22" t="s">
        <v>27</v>
      </c>
      <c r="D15" s="22"/>
      <c r="E15" s="22"/>
      <c r="F15" s="22"/>
      <c r="G15" s="22"/>
      <c r="H15" s="22">
        <v>234536</v>
      </c>
      <c r="I15" s="22">
        <v>264067</v>
      </c>
      <c r="J15" s="24">
        <v>359760</v>
      </c>
      <c r="K15" s="24">
        <v>267120</v>
      </c>
      <c r="L15" s="24">
        <v>239509.09</v>
      </c>
      <c r="M15" s="25">
        <v>271513.31</v>
      </c>
      <c r="N15" s="26">
        <v>321276.38</v>
      </c>
      <c r="O15" s="26"/>
      <c r="P15" s="26">
        <v>324799.75</v>
      </c>
      <c r="Q15" s="25"/>
      <c r="R15" s="26">
        <v>360000</v>
      </c>
      <c r="S15" s="573"/>
      <c r="T15" s="574">
        <f t="shared" si="4"/>
        <v>360000</v>
      </c>
      <c r="V15" s="566"/>
      <c r="W15" s="566"/>
    </row>
    <row r="16" spans="1:25" ht="13.5" thickBot="1" x14ac:dyDescent="0.25">
      <c r="A16" s="792"/>
      <c r="B16" s="795"/>
      <c r="C16" s="28" t="s">
        <v>28</v>
      </c>
      <c r="D16" s="28"/>
      <c r="E16" s="28"/>
      <c r="F16" s="28"/>
      <c r="G16" s="28"/>
      <c r="H16" s="28">
        <v>30271</v>
      </c>
      <c r="I16" s="28">
        <v>29185</v>
      </c>
      <c r="J16" s="47">
        <v>29090</v>
      </c>
      <c r="K16" s="47">
        <v>30895</v>
      </c>
      <c r="L16" s="47">
        <v>31485.040000000001</v>
      </c>
      <c r="M16" s="48">
        <v>32830.050000000003</v>
      </c>
      <c r="N16" s="49">
        <v>38188.769999999997</v>
      </c>
      <c r="O16" s="49"/>
      <c r="P16" s="49">
        <v>39146.639999999999</v>
      </c>
      <c r="Q16" s="48"/>
      <c r="R16" s="49">
        <v>45000</v>
      </c>
      <c r="S16" s="575"/>
      <c r="T16" s="576">
        <f t="shared" si="4"/>
        <v>45000</v>
      </c>
    </row>
    <row r="17" spans="1:21" ht="15.75" thickBot="1" x14ac:dyDescent="0.3">
      <c r="A17" s="33">
        <v>130</v>
      </c>
      <c r="B17" s="786" t="s">
        <v>29</v>
      </c>
      <c r="C17" s="787"/>
      <c r="D17" s="34">
        <f>D18</f>
        <v>369216</v>
      </c>
      <c r="E17" s="34">
        <f>E18</f>
        <v>379141</v>
      </c>
      <c r="F17" s="34">
        <f>F18</f>
        <v>269468</v>
      </c>
      <c r="G17" s="34">
        <f>G18</f>
        <v>290540</v>
      </c>
      <c r="H17" s="34">
        <f>H18</f>
        <v>298666</v>
      </c>
      <c r="I17" s="34">
        <f t="shared" ref="I17:T17" si="5">I18</f>
        <v>298968</v>
      </c>
      <c r="J17" s="34">
        <f t="shared" si="5"/>
        <v>316219</v>
      </c>
      <c r="K17" s="34">
        <f t="shared" si="5"/>
        <v>432322</v>
      </c>
      <c r="L17" s="34">
        <f t="shared" si="5"/>
        <v>403884.02</v>
      </c>
      <c r="M17" s="35">
        <f t="shared" si="5"/>
        <v>393955.67</v>
      </c>
      <c r="N17" s="34">
        <f t="shared" si="5"/>
        <v>440231.49</v>
      </c>
      <c r="O17" s="35">
        <f t="shared" si="5"/>
        <v>441180.74</v>
      </c>
      <c r="P17" s="36">
        <f t="shared" si="5"/>
        <v>434200</v>
      </c>
      <c r="Q17" s="745">
        <f t="shared" si="5"/>
        <v>433282.6</v>
      </c>
      <c r="R17" s="36">
        <f t="shared" si="5"/>
        <v>466450</v>
      </c>
      <c r="S17" s="36">
        <f t="shared" si="5"/>
        <v>0</v>
      </c>
      <c r="T17" s="577">
        <f t="shared" si="5"/>
        <v>466450</v>
      </c>
    </row>
    <row r="18" spans="1:21" ht="13.5" thickBot="1" x14ac:dyDescent="0.25">
      <c r="A18" s="772"/>
      <c r="B18" s="50">
        <v>133</v>
      </c>
      <c r="C18" s="51" t="s">
        <v>30</v>
      </c>
      <c r="D18" s="52">
        <v>369216</v>
      </c>
      <c r="E18" s="52">
        <v>379141</v>
      </c>
      <c r="F18" s="52">
        <v>269468</v>
      </c>
      <c r="G18" s="52">
        <v>290540</v>
      </c>
      <c r="H18" s="53">
        <f t="shared" ref="H18:M18" si="6">SUM(H19:H25)</f>
        <v>298666</v>
      </c>
      <c r="I18" s="53">
        <f t="shared" si="6"/>
        <v>298968</v>
      </c>
      <c r="J18" s="54">
        <f t="shared" si="6"/>
        <v>316219</v>
      </c>
      <c r="K18" s="54">
        <f t="shared" si="6"/>
        <v>432322</v>
      </c>
      <c r="L18" s="54">
        <f>SUM(L19:L25)</f>
        <v>403884.02</v>
      </c>
      <c r="M18" s="55">
        <f t="shared" si="6"/>
        <v>393955.67</v>
      </c>
      <c r="N18" s="54">
        <f t="shared" ref="N18:T18" si="7">SUM(N19:N25)</f>
        <v>440231.49</v>
      </c>
      <c r="O18" s="55">
        <f t="shared" si="7"/>
        <v>441180.74</v>
      </c>
      <c r="P18" s="56">
        <f t="shared" si="7"/>
        <v>434200</v>
      </c>
      <c r="Q18" s="123">
        <f t="shared" si="7"/>
        <v>433282.6</v>
      </c>
      <c r="R18" s="56">
        <f t="shared" si="7"/>
        <v>466450</v>
      </c>
      <c r="S18" s="56">
        <f t="shared" si="7"/>
        <v>0</v>
      </c>
      <c r="T18" s="579">
        <f t="shared" si="7"/>
        <v>466450</v>
      </c>
    </row>
    <row r="19" spans="1:21" x14ac:dyDescent="0.2">
      <c r="A19" s="773"/>
      <c r="B19" s="797"/>
      <c r="C19" s="57" t="s">
        <v>31</v>
      </c>
      <c r="D19" s="57"/>
      <c r="E19" s="57"/>
      <c r="F19" s="57"/>
      <c r="G19" s="57"/>
      <c r="H19" s="57">
        <v>7752</v>
      </c>
      <c r="I19" s="58">
        <v>7713</v>
      </c>
      <c r="J19" s="46">
        <v>7990</v>
      </c>
      <c r="K19" s="46">
        <v>9276</v>
      </c>
      <c r="L19" s="46">
        <v>9178.11</v>
      </c>
      <c r="M19" s="45">
        <v>9228.06</v>
      </c>
      <c r="N19" s="46">
        <v>12166.42</v>
      </c>
      <c r="O19" s="45">
        <v>11448.4</v>
      </c>
      <c r="P19" s="45">
        <v>11685.91</v>
      </c>
      <c r="Q19" s="45">
        <v>11344.54</v>
      </c>
      <c r="R19" s="46">
        <v>11000</v>
      </c>
      <c r="S19" s="571"/>
      <c r="T19" s="572">
        <f t="shared" ref="T19:T25" si="8">R19+S19</f>
        <v>11000</v>
      </c>
      <c r="U19" s="566"/>
    </row>
    <row r="20" spans="1:21" x14ac:dyDescent="0.2">
      <c r="A20" s="773"/>
      <c r="B20" s="798"/>
      <c r="C20" s="59" t="s">
        <v>32</v>
      </c>
      <c r="D20" s="59"/>
      <c r="E20" s="59"/>
      <c r="F20" s="59"/>
      <c r="G20" s="59"/>
      <c r="H20" s="59">
        <v>532</v>
      </c>
      <c r="I20" s="60">
        <v>732</v>
      </c>
      <c r="J20" s="26">
        <v>732</v>
      </c>
      <c r="K20" s="26">
        <v>749</v>
      </c>
      <c r="L20" s="26">
        <v>300</v>
      </c>
      <c r="M20" s="25">
        <v>300</v>
      </c>
      <c r="N20" s="26">
        <v>632</v>
      </c>
      <c r="O20" s="25">
        <v>398.66</v>
      </c>
      <c r="P20" s="25">
        <v>332</v>
      </c>
      <c r="Q20" s="25">
        <v>332</v>
      </c>
      <c r="R20" s="26">
        <v>300</v>
      </c>
      <c r="S20" s="573"/>
      <c r="T20" s="574">
        <f t="shared" si="8"/>
        <v>300</v>
      </c>
    </row>
    <row r="21" spans="1:21" x14ac:dyDescent="0.2">
      <c r="A21" s="773"/>
      <c r="B21" s="798"/>
      <c r="C21" s="59" t="s">
        <v>33</v>
      </c>
      <c r="D21" s="59"/>
      <c r="E21" s="59"/>
      <c r="F21" s="59"/>
      <c r="G21" s="59"/>
      <c r="H21" s="59">
        <v>700</v>
      </c>
      <c r="I21" s="60">
        <v>750</v>
      </c>
      <c r="J21" s="26">
        <v>750</v>
      </c>
      <c r="K21" s="26">
        <v>725</v>
      </c>
      <c r="L21" s="26">
        <v>650</v>
      </c>
      <c r="M21" s="25">
        <v>679.15</v>
      </c>
      <c r="N21" s="26">
        <v>691.66</v>
      </c>
      <c r="O21" s="25">
        <v>875</v>
      </c>
      <c r="P21" s="25">
        <v>1190</v>
      </c>
      <c r="Q21" s="25">
        <v>1148.33</v>
      </c>
      <c r="R21" s="26">
        <v>650</v>
      </c>
      <c r="S21" s="573"/>
      <c r="T21" s="574">
        <f t="shared" si="8"/>
        <v>650</v>
      </c>
    </row>
    <row r="22" spans="1:21" x14ac:dyDescent="0.2">
      <c r="A22" s="773"/>
      <c r="B22" s="798"/>
      <c r="C22" s="59" t="s">
        <v>34</v>
      </c>
      <c r="D22" s="59"/>
      <c r="E22" s="59"/>
      <c r="F22" s="59"/>
      <c r="G22" s="59"/>
      <c r="H22" s="59">
        <v>12441</v>
      </c>
      <c r="I22" s="60">
        <v>12101</v>
      </c>
      <c r="J22" s="26">
        <v>14430</v>
      </c>
      <c r="K22" s="26">
        <v>12793</v>
      </c>
      <c r="L22" s="26">
        <v>13503.5</v>
      </c>
      <c r="M22" s="25">
        <v>13052</v>
      </c>
      <c r="N22" s="26">
        <v>12555.5</v>
      </c>
      <c r="O22" s="25">
        <v>12857.5</v>
      </c>
      <c r="P22" s="25">
        <v>13737</v>
      </c>
      <c r="Q22" s="25">
        <v>16975</v>
      </c>
      <c r="R22" s="26">
        <v>2500</v>
      </c>
      <c r="S22" s="573"/>
      <c r="T22" s="574">
        <f t="shared" si="8"/>
        <v>2500</v>
      </c>
    </row>
    <row r="23" spans="1:21" x14ac:dyDescent="0.2">
      <c r="A23" s="773"/>
      <c r="B23" s="798"/>
      <c r="C23" s="59" t="s">
        <v>35</v>
      </c>
      <c r="D23" s="59"/>
      <c r="E23" s="59"/>
      <c r="F23" s="59"/>
      <c r="G23" s="59"/>
      <c r="H23" s="59">
        <v>28263</v>
      </c>
      <c r="I23" s="60">
        <v>29878</v>
      </c>
      <c r="J23" s="26">
        <v>31474</v>
      </c>
      <c r="K23" s="26">
        <v>37978</v>
      </c>
      <c r="L23" s="26">
        <v>32751.27</v>
      </c>
      <c r="M23" s="25">
        <v>29179.68</v>
      </c>
      <c r="N23" s="26">
        <v>32177.919999999998</v>
      </c>
      <c r="O23" s="25">
        <v>25859.559999999998</v>
      </c>
      <c r="P23" s="25">
        <v>30880.28</v>
      </c>
      <c r="Q23" s="25">
        <v>32198.11</v>
      </c>
      <c r="R23" s="26">
        <v>12000</v>
      </c>
      <c r="S23" s="573"/>
      <c r="T23" s="574">
        <f t="shared" si="8"/>
        <v>12000</v>
      </c>
    </row>
    <row r="24" spans="1:21" x14ac:dyDescent="0.2">
      <c r="A24" s="773"/>
      <c r="B24" s="798"/>
      <c r="C24" s="59" t="s">
        <v>36</v>
      </c>
      <c r="D24" s="59"/>
      <c r="E24" s="59"/>
      <c r="F24" s="59"/>
      <c r="G24" s="59"/>
      <c r="H24" s="59">
        <v>162034</v>
      </c>
      <c r="I24" s="60">
        <f>159378+2395</f>
        <v>161773</v>
      </c>
      <c r="J24" s="26">
        <v>174176</v>
      </c>
      <c r="K24" s="26">
        <f>265321+3376</f>
        <v>268697</v>
      </c>
      <c r="L24" s="26">
        <v>243006.26</v>
      </c>
      <c r="M24" s="25">
        <v>240323.78</v>
      </c>
      <c r="N24" s="26">
        <v>255051.03999999998</v>
      </c>
      <c r="O24" s="25">
        <v>252038.01</v>
      </c>
      <c r="P24" s="25">
        <v>235688.58</v>
      </c>
      <c r="Q24" s="25">
        <v>223667.02000000002</v>
      </c>
      <c r="R24" s="26">
        <v>290000</v>
      </c>
      <c r="S24" s="573"/>
      <c r="T24" s="574">
        <f t="shared" si="8"/>
        <v>290000</v>
      </c>
    </row>
    <row r="25" spans="1:21" ht="13.5" thickBot="1" x14ac:dyDescent="0.25">
      <c r="A25" s="796"/>
      <c r="B25" s="799"/>
      <c r="C25" s="61" t="s">
        <v>37</v>
      </c>
      <c r="D25" s="62"/>
      <c r="E25" s="62"/>
      <c r="F25" s="62"/>
      <c r="G25" s="62"/>
      <c r="H25" s="62">
        <v>86944</v>
      </c>
      <c r="I25" s="60">
        <v>86021</v>
      </c>
      <c r="J25" s="32">
        <v>86667</v>
      </c>
      <c r="K25" s="32">
        <v>102104</v>
      </c>
      <c r="L25" s="32">
        <v>104494.88</v>
      </c>
      <c r="M25" s="31">
        <v>101193</v>
      </c>
      <c r="N25" s="32">
        <v>126956.95</v>
      </c>
      <c r="O25" s="31">
        <v>137703.60999999999</v>
      </c>
      <c r="P25" s="31">
        <v>140686.23000000001</v>
      </c>
      <c r="Q25" s="31">
        <v>147617.60000000001</v>
      </c>
      <c r="R25" s="32">
        <v>150000</v>
      </c>
      <c r="S25" s="575"/>
      <c r="T25" s="576">
        <f t="shared" si="8"/>
        <v>150000</v>
      </c>
    </row>
    <row r="26" spans="1:21" ht="16.5" thickBot="1" x14ac:dyDescent="0.3">
      <c r="A26" s="63">
        <v>200</v>
      </c>
      <c r="B26" s="800" t="s">
        <v>38</v>
      </c>
      <c r="C26" s="801"/>
      <c r="D26" s="64">
        <f>D27+D40+D60+D62</f>
        <v>1277767</v>
      </c>
      <c r="E26" s="64">
        <f>E27+E40+E60+E62</f>
        <v>1153090</v>
      </c>
      <c r="F26" s="64">
        <f>F27+F40+F60+F62</f>
        <v>1821583</v>
      </c>
      <c r="G26" s="64">
        <f>G27+G40+G60+G62</f>
        <v>1266222</v>
      </c>
      <c r="H26" s="64">
        <v>1215651</v>
      </c>
      <c r="I26" s="64">
        <f t="shared" ref="I26:R26" si="9">I27+I40+I60+I62</f>
        <v>1492638</v>
      </c>
      <c r="J26" s="64">
        <f t="shared" si="9"/>
        <v>1090799</v>
      </c>
      <c r="K26" s="64">
        <f t="shared" si="9"/>
        <v>1258962</v>
      </c>
      <c r="L26" s="64">
        <f t="shared" si="9"/>
        <v>1049268.01</v>
      </c>
      <c r="M26" s="65">
        <f t="shared" si="9"/>
        <v>1119583.28</v>
      </c>
      <c r="N26" s="64">
        <f t="shared" si="9"/>
        <v>1113252.3600000001</v>
      </c>
      <c r="O26" s="64">
        <f t="shared" si="9"/>
        <v>1054445.69</v>
      </c>
      <c r="P26" s="64">
        <f>P27+P40+P60+P62</f>
        <v>1433521.3099999998</v>
      </c>
      <c r="Q26" s="65">
        <f>Q27+Q40+Q60+Q62</f>
        <v>1469960.26</v>
      </c>
      <c r="R26" s="66">
        <f t="shared" si="9"/>
        <v>1107035</v>
      </c>
      <c r="S26" s="66">
        <f>S27+S40+S60+S62</f>
        <v>0</v>
      </c>
      <c r="T26" s="580">
        <f>T27+T40+T60+T62</f>
        <v>1107035</v>
      </c>
    </row>
    <row r="27" spans="1:21" ht="15.75" thickBot="1" x14ac:dyDescent="0.3">
      <c r="A27" s="562">
        <v>210</v>
      </c>
      <c r="B27" s="778" t="s">
        <v>39</v>
      </c>
      <c r="C27" s="805"/>
      <c r="D27" s="67">
        <f>D28+D32</f>
        <v>873233</v>
      </c>
      <c r="E27" s="67">
        <f>E28+E32</f>
        <v>794430</v>
      </c>
      <c r="F27" s="67">
        <f>F28+F32</f>
        <v>1059517</v>
      </c>
      <c r="G27" s="67">
        <f>G28+G32</f>
        <v>810580</v>
      </c>
      <c r="H27" s="67">
        <v>598394</v>
      </c>
      <c r="I27" s="67">
        <f t="shared" ref="I27:S27" si="10">I28+I32</f>
        <v>741364</v>
      </c>
      <c r="J27" s="67">
        <f t="shared" si="10"/>
        <v>560834</v>
      </c>
      <c r="K27" s="67">
        <f t="shared" si="10"/>
        <v>650004</v>
      </c>
      <c r="L27" s="67">
        <f>L28+L32</f>
        <v>379467.55</v>
      </c>
      <c r="M27" s="68">
        <f t="shared" si="10"/>
        <v>418308.61</v>
      </c>
      <c r="N27" s="67">
        <f>N28+N32</f>
        <v>461210.13</v>
      </c>
      <c r="O27" s="68">
        <f>O28+O32</f>
        <v>442510.63</v>
      </c>
      <c r="P27" s="67">
        <f>P28+P32</f>
        <v>507429.88</v>
      </c>
      <c r="Q27" s="68">
        <f>Q28+Q32</f>
        <v>529407.6</v>
      </c>
      <c r="R27" s="69">
        <f t="shared" si="10"/>
        <v>520935</v>
      </c>
      <c r="S27" s="69">
        <f t="shared" si="10"/>
        <v>0</v>
      </c>
      <c r="T27" s="581">
        <f>T28+T32</f>
        <v>520935</v>
      </c>
    </row>
    <row r="28" spans="1:21" ht="13.5" thickBot="1" x14ac:dyDescent="0.25">
      <c r="A28" s="772" t="s">
        <v>40</v>
      </c>
      <c r="B28" s="37">
        <v>211</v>
      </c>
      <c r="C28" s="70" t="s">
        <v>39</v>
      </c>
      <c r="D28" s="37">
        <v>93242</v>
      </c>
      <c r="E28" s="37">
        <v>23701</v>
      </c>
      <c r="F28" s="37">
        <v>51351</v>
      </c>
      <c r="G28" s="37">
        <v>38822</v>
      </c>
      <c r="H28" s="37">
        <v>66052</v>
      </c>
      <c r="I28" s="54">
        <f t="shared" ref="I28:S28" si="11">SUM(I29:I31)</f>
        <v>29084</v>
      </c>
      <c r="J28" s="54">
        <f t="shared" si="11"/>
        <v>47000</v>
      </c>
      <c r="K28" s="54">
        <f t="shared" si="11"/>
        <v>58181</v>
      </c>
      <c r="L28" s="54">
        <f>SUM(L29:L31)</f>
        <v>20000</v>
      </c>
      <c r="M28" s="54">
        <f t="shared" si="11"/>
        <v>15000</v>
      </c>
      <c r="N28" s="54">
        <f t="shared" si="11"/>
        <v>24000</v>
      </c>
      <c r="O28" s="55">
        <f>SUM(O29:O31)</f>
        <v>11000</v>
      </c>
      <c r="P28" s="54">
        <f>SUM(P29:P31)</f>
        <v>12500</v>
      </c>
      <c r="Q28" s="55">
        <f>SUM(Q29:Q31)</f>
        <v>14371.43</v>
      </c>
      <c r="R28" s="56">
        <f t="shared" si="11"/>
        <v>15000</v>
      </c>
      <c r="S28" s="56">
        <f t="shared" si="11"/>
        <v>0</v>
      </c>
      <c r="T28" s="579">
        <f>SUM(T29:T31)</f>
        <v>15000</v>
      </c>
    </row>
    <row r="29" spans="1:21" hidden="1" x14ac:dyDescent="0.2">
      <c r="A29" s="773"/>
      <c r="B29" s="793"/>
      <c r="C29" s="71" t="s">
        <v>41</v>
      </c>
      <c r="D29" s="72"/>
      <c r="E29" s="72"/>
      <c r="F29" s="72"/>
      <c r="G29" s="72"/>
      <c r="H29" s="72"/>
      <c r="I29" s="72"/>
      <c r="J29" s="72"/>
      <c r="K29" s="73"/>
      <c r="L29" s="46"/>
      <c r="M29" s="46"/>
      <c r="N29" s="46"/>
      <c r="O29" s="45"/>
      <c r="P29" s="46"/>
      <c r="Q29" s="45"/>
      <c r="R29" s="46"/>
      <c r="S29" s="21"/>
      <c r="T29" s="582"/>
    </row>
    <row r="30" spans="1:21" hidden="1" x14ac:dyDescent="0.2">
      <c r="A30" s="773"/>
      <c r="B30" s="794"/>
      <c r="C30" s="74" t="s">
        <v>42</v>
      </c>
      <c r="D30" s="74"/>
      <c r="E30" s="74"/>
      <c r="F30" s="74"/>
      <c r="G30" s="74"/>
      <c r="H30" s="74"/>
      <c r="I30" s="74"/>
      <c r="J30" s="74"/>
      <c r="K30" s="60"/>
      <c r="L30" s="26"/>
      <c r="M30" s="26"/>
      <c r="N30" s="26"/>
      <c r="O30" s="25"/>
      <c r="P30" s="26"/>
      <c r="Q30" s="25"/>
      <c r="R30" s="26"/>
      <c r="S30" s="27"/>
      <c r="T30" s="583"/>
    </row>
    <row r="31" spans="1:21" ht="13.5" thickBot="1" x14ac:dyDescent="0.25">
      <c r="A31" s="773"/>
      <c r="B31" s="795"/>
      <c r="C31" s="75" t="s">
        <v>43</v>
      </c>
      <c r="D31" s="75"/>
      <c r="E31" s="75"/>
      <c r="F31" s="75"/>
      <c r="G31" s="75"/>
      <c r="H31" s="75"/>
      <c r="I31" s="75">
        <v>29084</v>
      </c>
      <c r="J31" s="75">
        <v>47000</v>
      </c>
      <c r="K31" s="76">
        <v>58181</v>
      </c>
      <c r="L31" s="49">
        <v>20000</v>
      </c>
      <c r="M31" s="49">
        <v>15000</v>
      </c>
      <c r="N31" s="49">
        <v>24000</v>
      </c>
      <c r="O31" s="48">
        <v>11000</v>
      </c>
      <c r="P31" s="49">
        <v>12500</v>
      </c>
      <c r="Q31" s="48">
        <v>14371.43</v>
      </c>
      <c r="R31" s="49">
        <v>15000</v>
      </c>
      <c r="S31" s="575"/>
      <c r="T31" s="576">
        <f>R31+S31</f>
        <v>15000</v>
      </c>
    </row>
    <row r="32" spans="1:21" ht="13.5" thickBot="1" x14ac:dyDescent="0.25">
      <c r="A32" s="773"/>
      <c r="B32" s="77">
        <v>212</v>
      </c>
      <c r="C32" s="78" t="s">
        <v>44</v>
      </c>
      <c r="D32" s="79">
        <f>SUM(D33:D39)</f>
        <v>779991</v>
      </c>
      <c r="E32" s="79">
        <f>SUM(E33:E39)</f>
        <v>770729</v>
      </c>
      <c r="F32" s="79">
        <f>SUM(F33:F39)</f>
        <v>1008166</v>
      </c>
      <c r="G32" s="79">
        <f>SUM(G33:G39)</f>
        <v>771758</v>
      </c>
      <c r="H32" s="79">
        <v>532342</v>
      </c>
      <c r="I32" s="79">
        <f t="shared" ref="I32:S32" si="12">SUM(I33:I39)</f>
        <v>712280</v>
      </c>
      <c r="J32" s="79">
        <f t="shared" si="12"/>
        <v>513834</v>
      </c>
      <c r="K32" s="80">
        <f t="shared" si="12"/>
        <v>591823</v>
      </c>
      <c r="L32" s="80">
        <f t="shared" si="12"/>
        <v>359467.55</v>
      </c>
      <c r="M32" s="81">
        <f t="shared" si="12"/>
        <v>403308.61</v>
      </c>
      <c r="N32" s="80">
        <f t="shared" si="12"/>
        <v>437210.13</v>
      </c>
      <c r="O32" s="81">
        <f t="shared" si="12"/>
        <v>431510.63</v>
      </c>
      <c r="P32" s="80">
        <f>SUM(P33:P39)</f>
        <v>494929.88</v>
      </c>
      <c r="Q32" s="81">
        <f t="shared" si="12"/>
        <v>515036.17</v>
      </c>
      <c r="R32" s="82">
        <f t="shared" si="12"/>
        <v>505935</v>
      </c>
      <c r="S32" s="82">
        <f t="shared" si="12"/>
        <v>0</v>
      </c>
      <c r="T32" s="584">
        <f>SUM(T33:T39)</f>
        <v>505935</v>
      </c>
    </row>
    <row r="33" spans="1:20" x14ac:dyDescent="0.2">
      <c r="A33" s="773"/>
      <c r="B33" s="797"/>
      <c r="C33" s="71" t="s">
        <v>45</v>
      </c>
      <c r="D33" s="71">
        <v>751610</v>
      </c>
      <c r="E33" s="71">
        <v>750249</v>
      </c>
      <c r="F33" s="71">
        <v>649539</v>
      </c>
      <c r="G33" s="71">
        <v>427233</v>
      </c>
      <c r="H33" s="71">
        <v>348791</v>
      </c>
      <c r="I33" s="71">
        <v>510884</v>
      </c>
      <c r="J33" s="71">
        <v>324320</v>
      </c>
      <c r="K33" s="46">
        <v>401050</v>
      </c>
      <c r="L33" s="46">
        <v>135673.06</v>
      </c>
      <c r="M33" s="45">
        <v>134183.87</v>
      </c>
      <c r="N33" s="46">
        <v>87968.33</v>
      </c>
      <c r="O33" s="45">
        <v>71077.13</v>
      </c>
      <c r="P33" s="45">
        <v>118150.37</v>
      </c>
      <c r="Q33" s="45">
        <v>136782.65</v>
      </c>
      <c r="R33" s="46">
        <v>110000</v>
      </c>
      <c r="S33" s="46"/>
      <c r="T33" s="369">
        <f t="shared" ref="T33:T39" si="13">R33+S33</f>
        <v>110000</v>
      </c>
    </row>
    <row r="34" spans="1:20" x14ac:dyDescent="0.2">
      <c r="A34" s="773"/>
      <c r="B34" s="798"/>
      <c r="C34" s="74" t="s">
        <v>46</v>
      </c>
      <c r="D34" s="74">
        <v>6108</v>
      </c>
      <c r="E34" s="74">
        <v>5709</v>
      </c>
      <c r="F34" s="74">
        <v>5809</v>
      </c>
      <c r="G34" s="74">
        <v>7235</v>
      </c>
      <c r="H34" s="74">
        <v>7034</v>
      </c>
      <c r="I34" s="74">
        <v>6012</v>
      </c>
      <c r="J34" s="74">
        <v>5150</v>
      </c>
      <c r="K34" s="26">
        <v>5043</v>
      </c>
      <c r="L34" s="26">
        <v>6242.35</v>
      </c>
      <c r="M34" s="25">
        <v>8075.84</v>
      </c>
      <c r="N34" s="26">
        <v>8856.86</v>
      </c>
      <c r="O34" s="25">
        <v>10889.6</v>
      </c>
      <c r="P34" s="25">
        <v>15581.52</v>
      </c>
      <c r="Q34" s="25">
        <v>12642.68</v>
      </c>
      <c r="R34" s="26">
        <v>11000</v>
      </c>
      <c r="S34" s="26"/>
      <c r="T34" s="393">
        <f t="shared" si="13"/>
        <v>11000</v>
      </c>
    </row>
    <row r="35" spans="1:20" x14ac:dyDescent="0.2">
      <c r="A35" s="773"/>
      <c r="B35" s="798"/>
      <c r="C35" s="83" t="s">
        <v>47</v>
      </c>
      <c r="D35" s="83"/>
      <c r="E35" s="83"/>
      <c r="F35" s="83"/>
      <c r="G35" s="83"/>
      <c r="H35" s="83"/>
      <c r="I35" s="83"/>
      <c r="J35" s="83"/>
      <c r="K35" s="49">
        <v>0</v>
      </c>
      <c r="L35" s="49">
        <v>41494.18</v>
      </c>
      <c r="M35" s="48">
        <v>46671.58</v>
      </c>
      <c r="N35" s="49">
        <v>82406.399999999994</v>
      </c>
      <c r="O35" s="48">
        <v>98976.09</v>
      </c>
      <c r="P35" s="48">
        <v>127041.24</v>
      </c>
      <c r="Q35" s="48">
        <v>128092.23</v>
      </c>
      <c r="R35" s="49">
        <v>127000</v>
      </c>
      <c r="S35" s="49"/>
      <c r="T35" s="585">
        <f t="shared" si="13"/>
        <v>127000</v>
      </c>
    </row>
    <row r="36" spans="1:20" x14ac:dyDescent="0.2">
      <c r="A36" s="773"/>
      <c r="B36" s="798"/>
      <c r="C36" s="83" t="s">
        <v>48</v>
      </c>
      <c r="D36" s="83"/>
      <c r="E36" s="83"/>
      <c r="F36" s="83"/>
      <c r="G36" s="83"/>
      <c r="H36" s="83"/>
      <c r="I36" s="83"/>
      <c r="J36" s="83"/>
      <c r="K36" s="49"/>
      <c r="L36" s="49"/>
      <c r="M36" s="48"/>
      <c r="N36" s="49">
        <v>19383.830000000002</v>
      </c>
      <c r="O36" s="48">
        <v>32459.84</v>
      </c>
      <c r="P36" s="48">
        <v>37761.699999999997</v>
      </c>
      <c r="Q36" s="48">
        <v>19905.54</v>
      </c>
      <c r="R36" s="49">
        <v>45977</v>
      </c>
      <c r="S36" s="49"/>
      <c r="T36" s="585">
        <f t="shared" si="13"/>
        <v>45977</v>
      </c>
    </row>
    <row r="37" spans="1:20" hidden="1" x14ac:dyDescent="0.2">
      <c r="A37" s="773"/>
      <c r="B37" s="798"/>
      <c r="C37" s="83"/>
      <c r="D37" s="83"/>
      <c r="E37" s="83"/>
      <c r="F37" s="83"/>
      <c r="G37" s="83"/>
      <c r="H37" s="83"/>
      <c r="I37" s="83"/>
      <c r="J37" s="83"/>
      <c r="K37" s="49"/>
      <c r="L37" s="49"/>
      <c r="M37" s="48"/>
      <c r="N37" s="49">
        <v>10094.75</v>
      </c>
      <c r="O37" s="48">
        <v>3927.1</v>
      </c>
      <c r="P37" s="48"/>
      <c r="Q37" s="48">
        <v>1302</v>
      </c>
      <c r="R37" s="49"/>
      <c r="S37" s="49"/>
      <c r="T37" s="585">
        <f t="shared" si="13"/>
        <v>0</v>
      </c>
    </row>
    <row r="38" spans="1:20" x14ac:dyDescent="0.2">
      <c r="A38" s="773"/>
      <c r="B38" s="798"/>
      <c r="C38" s="83" t="s">
        <v>49</v>
      </c>
      <c r="D38" s="83"/>
      <c r="E38" s="83">
        <v>0</v>
      </c>
      <c r="F38" s="83">
        <v>339806</v>
      </c>
      <c r="G38" s="83">
        <v>322656</v>
      </c>
      <c r="H38" s="83">
        <v>92953</v>
      </c>
      <c r="I38" s="83">
        <v>100909</v>
      </c>
      <c r="J38" s="83">
        <v>83511</v>
      </c>
      <c r="K38" s="49">
        <f>77287+178+128</f>
        <v>77593</v>
      </c>
      <c r="L38" s="49">
        <v>80654.7</v>
      </c>
      <c r="M38" s="48">
        <v>77194.39</v>
      </c>
      <c r="N38" s="49">
        <v>75486.59</v>
      </c>
      <c r="O38" s="48">
        <v>75089.34</v>
      </c>
      <c r="P38" s="48">
        <v>58412.39</v>
      </c>
      <c r="Q38" s="48">
        <v>63233.32</v>
      </c>
      <c r="R38" s="49">
        <v>76958</v>
      </c>
      <c r="S38" s="49"/>
      <c r="T38" s="585">
        <f t="shared" si="13"/>
        <v>76958</v>
      </c>
    </row>
    <row r="39" spans="1:20" ht="13.5" thickBot="1" x14ac:dyDescent="0.25">
      <c r="A39" s="796"/>
      <c r="B39" s="799"/>
      <c r="C39" s="75" t="s">
        <v>50</v>
      </c>
      <c r="D39" s="75">
        <v>22273</v>
      </c>
      <c r="E39" s="75">
        <v>14771</v>
      </c>
      <c r="F39" s="75">
        <v>13012</v>
      </c>
      <c r="G39" s="75">
        <v>14634</v>
      </c>
      <c r="H39" s="75">
        <v>83564</v>
      </c>
      <c r="I39" s="75">
        <v>94475</v>
      </c>
      <c r="J39" s="75">
        <v>100853</v>
      </c>
      <c r="K39" s="49">
        <v>108137</v>
      </c>
      <c r="L39" s="49">
        <v>95403.26</v>
      </c>
      <c r="M39" s="48">
        <v>137182.93</v>
      </c>
      <c r="N39" s="49">
        <v>153013.37000000002</v>
      </c>
      <c r="O39" s="48">
        <v>139091.53</v>
      </c>
      <c r="P39" s="48">
        <v>137982.66</v>
      </c>
      <c r="Q39" s="48">
        <v>153077.75</v>
      </c>
      <c r="R39" s="49">
        <v>135000</v>
      </c>
      <c r="S39" s="49"/>
      <c r="T39" s="585">
        <f t="shared" si="13"/>
        <v>135000</v>
      </c>
    </row>
    <row r="40" spans="1:20" ht="15.75" thickBot="1" x14ac:dyDescent="0.3">
      <c r="A40" s="33">
        <v>220</v>
      </c>
      <c r="B40" s="778" t="s">
        <v>51</v>
      </c>
      <c r="C40" s="805"/>
      <c r="D40" s="84">
        <f t="shared" ref="D40:R40" si="14">D41+D45+D58</f>
        <v>320786</v>
      </c>
      <c r="E40" s="84">
        <f t="shared" si="14"/>
        <v>327192</v>
      </c>
      <c r="F40" s="84">
        <f t="shared" si="14"/>
        <v>429297</v>
      </c>
      <c r="G40" s="84">
        <f t="shared" si="14"/>
        <v>326610</v>
      </c>
      <c r="H40" s="84">
        <f t="shared" si="14"/>
        <v>550895</v>
      </c>
      <c r="I40" s="84">
        <f t="shared" si="14"/>
        <v>581281</v>
      </c>
      <c r="J40" s="84">
        <f t="shared" si="14"/>
        <v>471458</v>
      </c>
      <c r="K40" s="84">
        <f t="shared" si="14"/>
        <v>514547</v>
      </c>
      <c r="L40" s="84">
        <f t="shared" si="14"/>
        <v>595361.41999999993</v>
      </c>
      <c r="M40" s="85">
        <f t="shared" si="14"/>
        <v>603358.30999999994</v>
      </c>
      <c r="N40" s="86">
        <f t="shared" si="14"/>
        <v>575655.29</v>
      </c>
      <c r="O40" s="86">
        <f t="shared" si="14"/>
        <v>565224.04999999993</v>
      </c>
      <c r="P40" s="86">
        <f>P41+P45+P58</f>
        <v>868065.2699999999</v>
      </c>
      <c r="Q40" s="119">
        <f>Q41+Q45+Q58</f>
        <v>885296.95000000007</v>
      </c>
      <c r="R40" s="86">
        <f t="shared" si="14"/>
        <v>559100</v>
      </c>
      <c r="S40" s="86">
        <f>S41+S45+S58</f>
        <v>0</v>
      </c>
      <c r="T40" s="586">
        <f>T41+T45+T58</f>
        <v>559100</v>
      </c>
    </row>
    <row r="41" spans="1:20" ht="13.5" thickBot="1" x14ac:dyDescent="0.25">
      <c r="A41" s="772"/>
      <c r="B41" s="77">
        <v>221</v>
      </c>
      <c r="C41" s="78" t="s">
        <v>52</v>
      </c>
      <c r="D41" s="80">
        <f t="shared" ref="D41:R41" si="15">SUM(D42:D44)</f>
        <v>108312</v>
      </c>
      <c r="E41" s="80">
        <f t="shared" si="15"/>
        <v>99747</v>
      </c>
      <c r="F41" s="80">
        <f t="shared" si="15"/>
        <v>156211</v>
      </c>
      <c r="G41" s="80">
        <f t="shared" si="15"/>
        <v>110441</v>
      </c>
      <c r="H41" s="80">
        <f t="shared" si="15"/>
        <v>116883</v>
      </c>
      <c r="I41" s="80">
        <f t="shared" si="15"/>
        <v>93914</v>
      </c>
      <c r="J41" s="80">
        <f t="shared" si="15"/>
        <v>69092</v>
      </c>
      <c r="K41" s="80">
        <f t="shared" si="15"/>
        <v>77127</v>
      </c>
      <c r="L41" s="80">
        <f>SUM(L42:L44)</f>
        <v>85540.68</v>
      </c>
      <c r="M41" s="81">
        <f t="shared" si="15"/>
        <v>81456.3</v>
      </c>
      <c r="N41" s="82">
        <f>SUM(N42:N44)</f>
        <v>65885.95</v>
      </c>
      <c r="O41" s="87">
        <f>SUM(O42:O44)</f>
        <v>60850.59</v>
      </c>
      <c r="P41" s="82">
        <f>SUM(P42:P44)</f>
        <v>136156.94</v>
      </c>
      <c r="Q41" s="87">
        <f>SUM(Q42:Q44)</f>
        <v>137781.35</v>
      </c>
      <c r="R41" s="82">
        <f t="shared" si="15"/>
        <v>85000</v>
      </c>
      <c r="S41" s="82">
        <f>SUM(S42:S44)</f>
        <v>0</v>
      </c>
      <c r="T41" s="584">
        <f>SUM(T42:T44)</f>
        <v>85000</v>
      </c>
    </row>
    <row r="42" spans="1:20" x14ac:dyDescent="0.2">
      <c r="A42" s="806"/>
      <c r="B42" s="797"/>
      <c r="C42" s="91" t="s">
        <v>53</v>
      </c>
      <c r="D42" s="72">
        <v>103532</v>
      </c>
      <c r="E42" s="72">
        <v>91482</v>
      </c>
      <c r="F42" s="72">
        <v>143896</v>
      </c>
      <c r="G42" s="72">
        <v>103964</v>
      </c>
      <c r="H42" s="72">
        <v>97289</v>
      </c>
      <c r="I42" s="72">
        <v>69567</v>
      </c>
      <c r="J42" s="72">
        <v>48641</v>
      </c>
      <c r="K42" s="46">
        <v>58713</v>
      </c>
      <c r="L42" s="46">
        <v>65956.11</v>
      </c>
      <c r="M42" s="45">
        <v>53025.13</v>
      </c>
      <c r="N42" s="46">
        <v>35320.42</v>
      </c>
      <c r="O42" s="45">
        <v>33711.949999999997</v>
      </c>
      <c r="P42" s="45">
        <v>102428.79</v>
      </c>
      <c r="Q42" s="45">
        <v>113739.53</v>
      </c>
      <c r="R42" s="46">
        <v>70000</v>
      </c>
      <c r="S42" s="46"/>
      <c r="T42" s="369">
        <f t="shared" ref="T42:T44" si="16">R42+S42</f>
        <v>70000</v>
      </c>
    </row>
    <row r="43" spans="1:20" x14ac:dyDescent="0.2">
      <c r="A43" s="806"/>
      <c r="B43" s="798"/>
      <c r="C43" s="74" t="s">
        <v>54</v>
      </c>
      <c r="D43" s="74"/>
      <c r="E43" s="74"/>
      <c r="F43" s="74"/>
      <c r="G43" s="74"/>
      <c r="H43" s="74"/>
      <c r="I43" s="74"/>
      <c r="J43" s="74"/>
      <c r="K43" s="26"/>
      <c r="L43" s="26">
        <v>768.56</v>
      </c>
      <c r="M43" s="25">
        <v>1339.48</v>
      </c>
      <c r="N43" s="26">
        <v>1870.76</v>
      </c>
      <c r="O43" s="25"/>
      <c r="P43" s="25">
        <v>1404.5</v>
      </c>
      <c r="Q43" s="25"/>
      <c r="R43" s="26"/>
      <c r="S43" s="26"/>
      <c r="T43" s="393">
        <f t="shared" si="16"/>
        <v>0</v>
      </c>
    </row>
    <row r="44" spans="1:20" ht="13.5" thickBot="1" x14ac:dyDescent="0.25">
      <c r="A44" s="806"/>
      <c r="B44" s="799"/>
      <c r="C44" s="95" t="s">
        <v>55</v>
      </c>
      <c r="D44" s="95">
        <v>4780</v>
      </c>
      <c r="E44" s="95">
        <v>8265</v>
      </c>
      <c r="F44" s="95">
        <v>12315</v>
      </c>
      <c r="G44" s="95">
        <v>6477</v>
      </c>
      <c r="H44" s="95">
        <v>19594</v>
      </c>
      <c r="I44" s="95">
        <v>24347</v>
      </c>
      <c r="J44" s="95">
        <v>20451</v>
      </c>
      <c r="K44" s="46">
        <v>18414</v>
      </c>
      <c r="L44" s="46">
        <v>18816.009999999998</v>
      </c>
      <c r="M44" s="89">
        <v>27091.69</v>
      </c>
      <c r="N44" s="90">
        <v>28694.77</v>
      </c>
      <c r="O44" s="89">
        <v>27138.639999999999</v>
      </c>
      <c r="P44" s="89">
        <v>32323.65</v>
      </c>
      <c r="Q44" s="89">
        <v>24041.82</v>
      </c>
      <c r="R44" s="90">
        <v>15000</v>
      </c>
      <c r="S44" s="90"/>
      <c r="T44" s="587">
        <f t="shared" si="16"/>
        <v>15000</v>
      </c>
    </row>
    <row r="45" spans="1:20" ht="13.5" thickBot="1" x14ac:dyDescent="0.25">
      <c r="A45" s="806"/>
      <c r="B45" s="77">
        <v>223</v>
      </c>
      <c r="C45" s="77" t="s">
        <v>56</v>
      </c>
      <c r="D45" s="77">
        <v>209420</v>
      </c>
      <c r="E45" s="77">
        <v>224723</v>
      </c>
      <c r="F45" s="77">
        <v>270165</v>
      </c>
      <c r="G45" s="77">
        <v>213694</v>
      </c>
      <c r="H45" s="77">
        <v>431444</v>
      </c>
      <c r="I45" s="80">
        <f t="shared" ref="I45:Q45" si="17">SUM(I46:I57)</f>
        <v>484992</v>
      </c>
      <c r="J45" s="80">
        <f t="shared" si="17"/>
        <v>400298</v>
      </c>
      <c r="K45" s="80">
        <f t="shared" si="17"/>
        <v>434944</v>
      </c>
      <c r="L45" s="80">
        <f t="shared" si="17"/>
        <v>507780.69999999995</v>
      </c>
      <c r="M45" s="81">
        <f t="shared" si="17"/>
        <v>519757.41999999993</v>
      </c>
      <c r="N45" s="82">
        <f t="shared" si="17"/>
        <v>507767.17</v>
      </c>
      <c r="O45" s="87">
        <f t="shared" si="17"/>
        <v>502305.62</v>
      </c>
      <c r="P45" s="82">
        <f t="shared" si="17"/>
        <v>730285.49</v>
      </c>
      <c r="Q45" s="87">
        <f t="shared" si="17"/>
        <v>745927.60000000009</v>
      </c>
      <c r="R45" s="82">
        <f>SUM(R46:R57)</f>
        <v>474100</v>
      </c>
      <c r="S45" s="82">
        <f>SUM(S46:S57)</f>
        <v>0</v>
      </c>
      <c r="T45" s="584">
        <f>SUM(T46:T57)</f>
        <v>474100</v>
      </c>
    </row>
    <row r="46" spans="1:20" x14ac:dyDescent="0.2">
      <c r="A46" s="806"/>
      <c r="B46" s="797"/>
      <c r="C46" s="71" t="s">
        <v>57</v>
      </c>
      <c r="D46" s="71"/>
      <c r="E46" s="71"/>
      <c r="F46" s="71"/>
      <c r="G46" s="71"/>
      <c r="H46" s="71"/>
      <c r="I46" s="71">
        <v>19602</v>
      </c>
      <c r="J46" s="71">
        <v>19573</v>
      </c>
      <c r="K46" s="20">
        <v>20641</v>
      </c>
      <c r="L46" s="20">
        <v>20552.5</v>
      </c>
      <c r="M46" s="19">
        <v>20532.330000000002</v>
      </c>
      <c r="N46" s="20">
        <v>37975.43</v>
      </c>
      <c r="O46" s="19">
        <v>42651.54</v>
      </c>
      <c r="P46" s="19">
        <v>57271.199999999997</v>
      </c>
      <c r="Q46" s="19">
        <v>57023.05</v>
      </c>
      <c r="R46" s="20">
        <v>55000</v>
      </c>
      <c r="S46" s="20"/>
      <c r="T46" s="640">
        <f t="shared" ref="T46:T57" si="18">R46+S46</f>
        <v>55000</v>
      </c>
    </row>
    <row r="47" spans="1:20" x14ac:dyDescent="0.2">
      <c r="A47" s="806"/>
      <c r="B47" s="798"/>
      <c r="C47" s="72" t="s">
        <v>58</v>
      </c>
      <c r="D47" s="72"/>
      <c r="E47" s="72"/>
      <c r="F47" s="72"/>
      <c r="G47" s="72"/>
      <c r="H47" s="72"/>
      <c r="I47" s="72">
        <v>20170</v>
      </c>
      <c r="J47" s="72">
        <v>3900</v>
      </c>
      <c r="K47" s="26">
        <v>8400</v>
      </c>
      <c r="L47" s="26">
        <v>4100</v>
      </c>
      <c r="M47" s="45">
        <v>15650</v>
      </c>
      <c r="N47" s="46">
        <v>19753</v>
      </c>
      <c r="O47" s="45">
        <v>8510</v>
      </c>
      <c r="P47" s="45">
        <v>8950</v>
      </c>
      <c r="Q47" s="45">
        <v>8118.5</v>
      </c>
      <c r="R47" s="46"/>
      <c r="S47" s="46"/>
      <c r="T47" s="369">
        <f t="shared" si="18"/>
        <v>0</v>
      </c>
    </row>
    <row r="48" spans="1:20" x14ac:dyDescent="0.2">
      <c r="A48" s="806"/>
      <c r="B48" s="798"/>
      <c r="C48" s="72" t="s">
        <v>59</v>
      </c>
      <c r="D48" s="72"/>
      <c r="E48" s="72"/>
      <c r="F48" s="72"/>
      <c r="G48" s="72"/>
      <c r="H48" s="72"/>
      <c r="I48" s="91">
        <v>1309</v>
      </c>
      <c r="J48" s="92"/>
      <c r="K48" s="26"/>
      <c r="L48" s="26"/>
      <c r="M48" s="45"/>
      <c r="N48" s="46"/>
      <c r="O48" s="45"/>
      <c r="P48" s="45"/>
      <c r="Q48" s="45"/>
      <c r="R48" s="46"/>
      <c r="S48" s="46"/>
      <c r="T48" s="369">
        <f t="shared" si="18"/>
        <v>0</v>
      </c>
    </row>
    <row r="49" spans="1:20" x14ac:dyDescent="0.2">
      <c r="A49" s="806"/>
      <c r="B49" s="798"/>
      <c r="C49" s="74" t="s">
        <v>60</v>
      </c>
      <c r="D49" s="74"/>
      <c r="E49" s="74"/>
      <c r="F49" s="74"/>
      <c r="G49" s="74"/>
      <c r="H49" s="74"/>
      <c r="I49" s="60">
        <v>23291</v>
      </c>
      <c r="J49" s="60">
        <v>27058</v>
      </c>
      <c r="K49" s="26">
        <f>18432+1749</f>
        <v>20181</v>
      </c>
      <c r="L49" s="26">
        <v>31759</v>
      </c>
      <c r="M49" s="25">
        <v>31403.35</v>
      </c>
      <c r="N49" s="26">
        <v>35343</v>
      </c>
      <c r="O49" s="25">
        <v>34322.050000000003</v>
      </c>
      <c r="P49" s="25">
        <v>45533.120000000003</v>
      </c>
      <c r="Q49" s="25">
        <v>43614.7</v>
      </c>
      <c r="R49" s="26">
        <v>34200</v>
      </c>
      <c r="S49" s="26"/>
      <c r="T49" s="393">
        <f t="shared" si="18"/>
        <v>34200</v>
      </c>
    </row>
    <row r="50" spans="1:20" x14ac:dyDescent="0.2">
      <c r="A50" s="806"/>
      <c r="B50" s="798"/>
      <c r="C50" s="74" t="s">
        <v>61</v>
      </c>
      <c r="D50" s="74"/>
      <c r="E50" s="74"/>
      <c r="F50" s="74"/>
      <c r="G50" s="74"/>
      <c r="H50" s="74"/>
      <c r="I50" s="60"/>
      <c r="J50" s="60"/>
      <c r="K50" s="26"/>
      <c r="L50" s="26"/>
      <c r="M50" s="25"/>
      <c r="N50" s="26"/>
      <c r="O50" s="25"/>
      <c r="P50" s="25">
        <v>34986.25</v>
      </c>
      <c r="Q50" s="25">
        <v>40439.35</v>
      </c>
      <c r="R50" s="26">
        <v>32000</v>
      </c>
      <c r="S50" s="26"/>
      <c r="T50" s="393">
        <f t="shared" si="18"/>
        <v>32000</v>
      </c>
    </row>
    <row r="51" spans="1:20" x14ac:dyDescent="0.2">
      <c r="A51" s="806"/>
      <c r="B51" s="798"/>
      <c r="C51" s="74" t="s">
        <v>62</v>
      </c>
      <c r="D51" s="74"/>
      <c r="E51" s="74"/>
      <c r="F51" s="74"/>
      <c r="G51" s="74"/>
      <c r="H51" s="74"/>
      <c r="I51" s="60"/>
      <c r="J51" s="60"/>
      <c r="K51" s="26"/>
      <c r="L51" s="26"/>
      <c r="M51" s="25"/>
      <c r="N51" s="26"/>
      <c r="O51" s="25">
        <v>2410.4</v>
      </c>
      <c r="P51" s="25">
        <v>202930</v>
      </c>
      <c r="Q51" s="25"/>
      <c r="R51" s="26"/>
      <c r="S51" s="26"/>
      <c r="T51" s="393">
        <f t="shared" si="18"/>
        <v>0</v>
      </c>
    </row>
    <row r="52" spans="1:20" hidden="1" x14ac:dyDescent="0.2">
      <c r="A52" s="806"/>
      <c r="B52" s="798"/>
      <c r="C52" s="74" t="s">
        <v>63</v>
      </c>
      <c r="D52" s="74"/>
      <c r="E52" s="74"/>
      <c r="F52" s="74"/>
      <c r="G52" s="74"/>
      <c r="H52" s="74"/>
      <c r="I52" s="60">
        <f>25266+1975-2735</f>
        <v>24506</v>
      </c>
      <c r="J52" s="60">
        <v>29035</v>
      </c>
      <c r="K52" s="26">
        <v>28418</v>
      </c>
      <c r="L52" s="26">
        <v>20267.02</v>
      </c>
      <c r="M52" s="25">
        <v>19677.18</v>
      </c>
      <c r="N52" s="26">
        <v>14953.06</v>
      </c>
      <c r="O52" s="25">
        <v>28154.6</v>
      </c>
      <c r="P52" s="25"/>
      <c r="Q52" s="25"/>
      <c r="R52" s="26"/>
      <c r="S52" s="26"/>
      <c r="T52" s="393">
        <f t="shared" si="18"/>
        <v>0</v>
      </c>
    </row>
    <row r="53" spans="1:20" x14ac:dyDescent="0.2">
      <c r="A53" s="806"/>
      <c r="B53" s="798"/>
      <c r="C53" s="74" t="s">
        <v>64</v>
      </c>
      <c r="D53" s="74"/>
      <c r="E53" s="74"/>
      <c r="F53" s="74"/>
      <c r="G53" s="74"/>
      <c r="H53" s="74"/>
      <c r="I53" s="60">
        <f>19469+134+18</f>
        <v>19621</v>
      </c>
      <c r="J53" s="60">
        <v>15462</v>
      </c>
      <c r="K53" s="26">
        <v>15205</v>
      </c>
      <c r="L53" s="26">
        <v>17827.7</v>
      </c>
      <c r="M53" s="25">
        <v>16873.900000000001</v>
      </c>
      <c r="N53" s="26">
        <v>18524.400000000001</v>
      </c>
      <c r="O53" s="25">
        <v>107327.38</v>
      </c>
      <c r="P53" s="25">
        <v>20421</v>
      </c>
      <c r="Q53" s="25">
        <v>18800</v>
      </c>
      <c r="R53" s="26">
        <v>20000</v>
      </c>
      <c r="S53" s="26"/>
      <c r="T53" s="393">
        <f t="shared" si="18"/>
        <v>20000</v>
      </c>
    </row>
    <row r="54" spans="1:20" x14ac:dyDescent="0.2">
      <c r="A54" s="806"/>
      <c r="B54" s="798"/>
      <c r="C54" s="83" t="s">
        <v>65</v>
      </c>
      <c r="D54" s="83"/>
      <c r="E54" s="83"/>
      <c r="F54" s="83"/>
      <c r="G54" s="83"/>
      <c r="H54" s="83"/>
      <c r="I54" s="93">
        <v>136368</v>
      </c>
      <c r="J54" s="60">
        <v>127040</v>
      </c>
      <c r="K54" s="26">
        <f>149434+40</f>
        <v>149474</v>
      </c>
      <c r="L54" s="26">
        <v>154903.56</v>
      </c>
      <c r="M54" s="48">
        <v>163189.57</v>
      </c>
      <c r="N54" s="49">
        <v>121087.25</v>
      </c>
      <c r="O54" s="48">
        <v>49349.66</v>
      </c>
      <c r="P54" s="48">
        <v>100448.22</v>
      </c>
      <c r="Q54" s="48">
        <v>102354.74</v>
      </c>
      <c r="R54" s="49">
        <v>100500</v>
      </c>
      <c r="S54" s="49"/>
      <c r="T54" s="585">
        <f t="shared" si="18"/>
        <v>100500</v>
      </c>
    </row>
    <row r="55" spans="1:20" x14ac:dyDescent="0.2">
      <c r="A55" s="806"/>
      <c r="B55" s="798"/>
      <c r="C55" s="83" t="s">
        <v>66</v>
      </c>
      <c r="D55" s="83"/>
      <c r="E55" s="83"/>
      <c r="F55" s="83"/>
      <c r="G55" s="83"/>
      <c r="H55" s="83"/>
      <c r="I55" s="93">
        <v>60412</v>
      </c>
      <c r="J55" s="60">
        <v>44729</v>
      </c>
      <c r="K55" s="26">
        <v>51770</v>
      </c>
      <c r="L55" s="26">
        <v>49600.39</v>
      </c>
      <c r="M55" s="48">
        <v>49002.82</v>
      </c>
      <c r="N55" s="49">
        <v>48758.66</v>
      </c>
      <c r="O55" s="48">
        <v>11897.8</v>
      </c>
      <c r="P55" s="48">
        <v>48198.720000000001</v>
      </c>
      <c r="Q55" s="48">
        <v>41209.339999999997</v>
      </c>
      <c r="R55" s="49">
        <v>48000</v>
      </c>
      <c r="S55" s="49"/>
      <c r="T55" s="585">
        <f t="shared" si="18"/>
        <v>48000</v>
      </c>
    </row>
    <row r="56" spans="1:20" x14ac:dyDescent="0.2">
      <c r="A56" s="806"/>
      <c r="B56" s="798"/>
      <c r="C56" s="83" t="s">
        <v>67</v>
      </c>
      <c r="D56" s="83"/>
      <c r="E56" s="83"/>
      <c r="F56" s="83"/>
      <c r="G56" s="83"/>
      <c r="H56" s="83"/>
      <c r="I56" s="93"/>
      <c r="J56" s="60"/>
      <c r="K56" s="26"/>
      <c r="L56" s="26">
        <v>760.76</v>
      </c>
      <c r="M56" s="48"/>
      <c r="N56" s="49">
        <v>3813</v>
      </c>
      <c r="O56" s="48">
        <v>6856.9</v>
      </c>
      <c r="P56" s="48">
        <v>669.90000000000009</v>
      </c>
      <c r="Q56" s="48">
        <v>38311.520000000004</v>
      </c>
      <c r="R56" s="49">
        <v>15000</v>
      </c>
      <c r="S56" s="49"/>
      <c r="T56" s="585">
        <f t="shared" si="18"/>
        <v>15000</v>
      </c>
    </row>
    <row r="57" spans="1:20" ht="13.5" thickBot="1" x14ac:dyDescent="0.25">
      <c r="A57" s="806"/>
      <c r="B57" s="799"/>
      <c r="C57" s="75" t="s">
        <v>68</v>
      </c>
      <c r="D57" s="75"/>
      <c r="E57" s="75"/>
      <c r="F57" s="75"/>
      <c r="G57" s="75"/>
      <c r="H57" s="75"/>
      <c r="I57" s="76">
        <f>111+179602</f>
        <v>179713</v>
      </c>
      <c r="J57" s="76">
        <f>91+133410</f>
        <v>133501</v>
      </c>
      <c r="K57" s="32">
        <f>60+137299+3496</f>
        <v>140855</v>
      </c>
      <c r="L57" s="32">
        <v>208009.77</v>
      </c>
      <c r="M57" s="31">
        <v>203428.27</v>
      </c>
      <c r="N57" s="32">
        <v>207559.37</v>
      </c>
      <c r="O57" s="31">
        <v>210825.28999999998</v>
      </c>
      <c r="P57" s="31">
        <f>413807.08-202930</f>
        <v>210877.08000000002</v>
      </c>
      <c r="Q57" s="31">
        <v>396056.39999999997</v>
      </c>
      <c r="R57" s="32">
        <v>169400</v>
      </c>
      <c r="S57" s="32"/>
      <c r="T57" s="652">
        <f t="shared" si="18"/>
        <v>169400</v>
      </c>
    </row>
    <row r="58" spans="1:20" ht="13.5" thickBot="1" x14ac:dyDescent="0.25">
      <c r="A58" s="806"/>
      <c r="B58" s="77">
        <v>229</v>
      </c>
      <c r="C58" s="77" t="s">
        <v>69</v>
      </c>
      <c r="D58" s="79">
        <f>D59</f>
        <v>3054</v>
      </c>
      <c r="E58" s="79">
        <f>E59</f>
        <v>2722</v>
      </c>
      <c r="F58" s="79">
        <f>F59</f>
        <v>2921</v>
      </c>
      <c r="G58" s="79">
        <f>G59</f>
        <v>2475</v>
      </c>
      <c r="H58" s="79">
        <f>H59</f>
        <v>2568</v>
      </c>
      <c r="I58" s="79">
        <f t="shared" ref="I58:T58" si="19">I59</f>
        <v>2375</v>
      </c>
      <c r="J58" s="79">
        <f t="shared" si="19"/>
        <v>2068</v>
      </c>
      <c r="K58" s="80">
        <f t="shared" si="19"/>
        <v>2476</v>
      </c>
      <c r="L58" s="80">
        <f t="shared" si="19"/>
        <v>2040.04</v>
      </c>
      <c r="M58" s="80">
        <f t="shared" si="19"/>
        <v>2144.59</v>
      </c>
      <c r="N58" s="82">
        <f t="shared" si="19"/>
        <v>2002.17</v>
      </c>
      <c r="O58" s="82">
        <f t="shared" si="19"/>
        <v>2067.84</v>
      </c>
      <c r="P58" s="82">
        <f t="shared" si="19"/>
        <v>1622.84</v>
      </c>
      <c r="Q58" s="87">
        <f t="shared" si="19"/>
        <v>1588</v>
      </c>
      <c r="R58" s="82">
        <f t="shared" si="19"/>
        <v>0</v>
      </c>
      <c r="S58" s="82">
        <f t="shared" si="19"/>
        <v>0</v>
      </c>
      <c r="T58" s="584">
        <f t="shared" si="19"/>
        <v>0</v>
      </c>
    </row>
    <row r="59" spans="1:20" ht="13.5" thickBot="1" x14ac:dyDescent="0.25">
      <c r="A59" s="807"/>
      <c r="B59" s="94"/>
      <c r="C59" s="94" t="s">
        <v>70</v>
      </c>
      <c r="D59" s="94">
        <v>3054</v>
      </c>
      <c r="E59" s="94">
        <v>2722</v>
      </c>
      <c r="F59" s="94">
        <v>2921</v>
      </c>
      <c r="G59" s="94">
        <v>2475</v>
      </c>
      <c r="H59" s="94">
        <v>2568</v>
      </c>
      <c r="I59" s="94">
        <v>2375</v>
      </c>
      <c r="J59" s="94">
        <v>2068</v>
      </c>
      <c r="K59" s="95">
        <v>2476</v>
      </c>
      <c r="L59" s="95">
        <v>2040.04</v>
      </c>
      <c r="M59" s="96">
        <v>2144.59</v>
      </c>
      <c r="N59" s="97">
        <v>2002.17</v>
      </c>
      <c r="O59" s="96">
        <v>2067.84</v>
      </c>
      <c r="P59" s="97">
        <v>1622.84</v>
      </c>
      <c r="Q59" s="96">
        <v>1588</v>
      </c>
      <c r="R59" s="97"/>
      <c r="S59" s="97"/>
      <c r="T59" s="588"/>
    </row>
    <row r="60" spans="1:20" ht="15.75" thickBot="1" x14ac:dyDescent="0.3">
      <c r="A60" s="98">
        <v>240</v>
      </c>
      <c r="B60" s="808" t="s">
        <v>71</v>
      </c>
      <c r="C60" s="809"/>
      <c r="D60" s="99">
        <f t="shared" ref="D60:R60" si="20">SUM(D61:D61)</f>
        <v>27352</v>
      </c>
      <c r="E60" s="99">
        <f t="shared" si="20"/>
        <v>10390</v>
      </c>
      <c r="F60" s="99">
        <f t="shared" si="20"/>
        <v>16730</v>
      </c>
      <c r="G60" s="99">
        <f t="shared" si="20"/>
        <v>5867</v>
      </c>
      <c r="H60" s="99">
        <f t="shared" si="20"/>
        <v>6403</v>
      </c>
      <c r="I60" s="99">
        <f t="shared" si="20"/>
        <v>3943</v>
      </c>
      <c r="J60" s="99">
        <f t="shared" si="20"/>
        <v>3352</v>
      </c>
      <c r="K60" s="99">
        <f t="shared" si="20"/>
        <v>1988</v>
      </c>
      <c r="L60" s="100">
        <f t="shared" si="20"/>
        <v>1226.92</v>
      </c>
      <c r="M60" s="99">
        <f t="shared" si="20"/>
        <v>445.87</v>
      </c>
      <c r="N60" s="101">
        <f t="shared" si="20"/>
        <v>2584.38</v>
      </c>
      <c r="O60" s="101">
        <f t="shared" si="20"/>
        <v>1160.94</v>
      </c>
      <c r="P60" s="101">
        <f t="shared" si="20"/>
        <v>1818.95</v>
      </c>
      <c r="Q60" s="488">
        <f t="shared" si="20"/>
        <v>1244.1500000000001</v>
      </c>
      <c r="R60" s="101">
        <f t="shared" si="20"/>
        <v>0</v>
      </c>
      <c r="S60" s="9"/>
      <c r="T60" s="698">
        <f>R60+S60</f>
        <v>0</v>
      </c>
    </row>
    <row r="61" spans="1:20" ht="15.75" thickBot="1" x14ac:dyDescent="0.3">
      <c r="A61" s="562"/>
      <c r="B61" s="563"/>
      <c r="C61" s="102" t="s">
        <v>72</v>
      </c>
      <c r="D61" s="102">
        <v>27352</v>
      </c>
      <c r="E61" s="102">
        <v>10390</v>
      </c>
      <c r="F61" s="102">
        <v>16730</v>
      </c>
      <c r="G61" s="102">
        <v>5867</v>
      </c>
      <c r="H61" s="102">
        <v>6403</v>
      </c>
      <c r="I61" s="102">
        <v>3943</v>
      </c>
      <c r="J61" s="102">
        <v>3352</v>
      </c>
      <c r="K61" s="103">
        <v>1988</v>
      </c>
      <c r="L61" s="103">
        <v>1226.92</v>
      </c>
      <c r="M61" s="104">
        <v>445.87</v>
      </c>
      <c r="N61" s="105">
        <v>2584.38</v>
      </c>
      <c r="O61" s="104">
        <v>1160.94</v>
      </c>
      <c r="P61" s="105">
        <v>1818.95</v>
      </c>
      <c r="Q61" s="104">
        <v>1244.1500000000001</v>
      </c>
      <c r="R61" s="105"/>
      <c r="S61" s="9"/>
      <c r="T61" s="589">
        <f t="shared" ref="T61" si="21">R61+S61</f>
        <v>0</v>
      </c>
    </row>
    <row r="62" spans="1:20" ht="15.75" thickBot="1" x14ac:dyDescent="0.3">
      <c r="A62" s="98">
        <v>290</v>
      </c>
      <c r="B62" s="786" t="s">
        <v>73</v>
      </c>
      <c r="C62" s="787"/>
      <c r="D62" s="106">
        <f>D63</f>
        <v>56396</v>
      </c>
      <c r="E62" s="106">
        <f>E63</f>
        <v>21078</v>
      </c>
      <c r="F62" s="106">
        <f>F63</f>
        <v>316039</v>
      </c>
      <c r="G62" s="106">
        <f>G63</f>
        <v>123165</v>
      </c>
      <c r="H62" s="106">
        <v>59959</v>
      </c>
      <c r="I62" s="106">
        <f t="shared" ref="I62:R62" si="22">I63</f>
        <v>166050</v>
      </c>
      <c r="J62" s="106">
        <f t="shared" si="22"/>
        <v>55155</v>
      </c>
      <c r="K62" s="106">
        <f t="shared" si="22"/>
        <v>92423</v>
      </c>
      <c r="L62" s="106">
        <f t="shared" si="22"/>
        <v>73212.12000000001</v>
      </c>
      <c r="M62" s="107">
        <f t="shared" si="22"/>
        <v>97470.49</v>
      </c>
      <c r="N62" s="108">
        <f t="shared" si="22"/>
        <v>73802.559999999983</v>
      </c>
      <c r="O62" s="109">
        <f t="shared" si="22"/>
        <v>45550.070000000007</v>
      </c>
      <c r="P62" s="108">
        <f t="shared" si="22"/>
        <v>56207.21</v>
      </c>
      <c r="Q62" s="109">
        <f t="shared" si="22"/>
        <v>54011.56</v>
      </c>
      <c r="R62" s="108">
        <f t="shared" si="22"/>
        <v>27000</v>
      </c>
      <c r="S62" s="108">
        <f>S63</f>
        <v>0</v>
      </c>
      <c r="T62" s="590">
        <f>T63</f>
        <v>27000</v>
      </c>
    </row>
    <row r="63" spans="1:20" ht="13.5" thickBot="1" x14ac:dyDescent="0.25">
      <c r="A63" s="772"/>
      <c r="B63" s="78">
        <v>292</v>
      </c>
      <c r="C63" s="78" t="s">
        <v>73</v>
      </c>
      <c r="D63" s="78">
        <v>56396</v>
      </c>
      <c r="E63" s="78">
        <v>21078</v>
      </c>
      <c r="F63" s="78">
        <v>316039</v>
      </c>
      <c r="G63" s="78">
        <v>123165</v>
      </c>
      <c r="H63" s="78">
        <v>59959</v>
      </c>
      <c r="I63" s="80">
        <f t="shared" ref="I63:T63" si="23">SUM(I64:I67)</f>
        <v>166050</v>
      </c>
      <c r="J63" s="80">
        <f t="shared" si="23"/>
        <v>55155</v>
      </c>
      <c r="K63" s="80">
        <f t="shared" si="23"/>
        <v>92423</v>
      </c>
      <c r="L63" s="80">
        <f t="shared" si="23"/>
        <v>73212.12000000001</v>
      </c>
      <c r="M63" s="81">
        <f t="shared" si="23"/>
        <v>97470.49</v>
      </c>
      <c r="N63" s="82">
        <f t="shared" si="23"/>
        <v>73802.559999999983</v>
      </c>
      <c r="O63" s="87">
        <f t="shared" si="23"/>
        <v>45550.070000000007</v>
      </c>
      <c r="P63" s="87">
        <f t="shared" si="23"/>
        <v>56207.21</v>
      </c>
      <c r="Q63" s="87">
        <f t="shared" si="23"/>
        <v>54011.56</v>
      </c>
      <c r="R63" s="82">
        <f t="shared" si="23"/>
        <v>27000</v>
      </c>
      <c r="S63" s="82">
        <f t="shared" si="23"/>
        <v>0</v>
      </c>
      <c r="T63" s="584">
        <f t="shared" si="23"/>
        <v>27000</v>
      </c>
    </row>
    <row r="64" spans="1:20" x14ac:dyDescent="0.2">
      <c r="A64" s="773"/>
      <c r="B64" s="793"/>
      <c r="C64" s="110" t="s">
        <v>74</v>
      </c>
      <c r="D64" s="110"/>
      <c r="E64" s="110"/>
      <c r="F64" s="110"/>
      <c r="G64" s="110"/>
      <c r="H64" s="110"/>
      <c r="I64" s="17">
        <v>19700</v>
      </c>
      <c r="J64" s="17">
        <v>19300</v>
      </c>
      <c r="K64" s="26">
        <v>29700</v>
      </c>
      <c r="L64" s="26">
        <v>27700</v>
      </c>
      <c r="M64" s="45">
        <v>46500</v>
      </c>
      <c r="N64" s="46">
        <v>35700</v>
      </c>
      <c r="O64" s="45">
        <v>7205</v>
      </c>
      <c r="P64" s="45"/>
      <c r="Q64" s="46"/>
      <c r="R64" s="46">
        <v>0</v>
      </c>
      <c r="S64" s="46">
        <f>R64</f>
        <v>0</v>
      </c>
      <c r="T64" s="369">
        <f t="shared" ref="T64:T67" si="24">R64+S64</f>
        <v>0</v>
      </c>
    </row>
    <row r="65" spans="1:24" x14ac:dyDescent="0.2">
      <c r="A65" s="773"/>
      <c r="B65" s="794"/>
      <c r="C65" s="111" t="s">
        <v>75</v>
      </c>
      <c r="D65" s="111"/>
      <c r="E65" s="111"/>
      <c r="F65" s="111"/>
      <c r="G65" s="111"/>
      <c r="H65" s="111"/>
      <c r="I65" s="112">
        <v>37534</v>
      </c>
      <c r="J65" s="112">
        <v>14000</v>
      </c>
      <c r="K65" s="26">
        <v>2888</v>
      </c>
      <c r="L65" s="26">
        <v>313.32</v>
      </c>
      <c r="M65" s="45">
        <v>6641.91</v>
      </c>
      <c r="N65" s="46">
        <v>434.45</v>
      </c>
      <c r="O65" s="45">
        <v>5635.97</v>
      </c>
      <c r="P65" s="45"/>
      <c r="Q65" s="45">
        <v>3297.08</v>
      </c>
      <c r="R65" s="46">
        <v>0</v>
      </c>
      <c r="S65" s="46">
        <f>R65</f>
        <v>0</v>
      </c>
      <c r="T65" s="369">
        <f t="shared" si="24"/>
        <v>0</v>
      </c>
    </row>
    <row r="66" spans="1:24" x14ac:dyDescent="0.2">
      <c r="A66" s="773"/>
      <c r="B66" s="794"/>
      <c r="C66" s="111" t="s">
        <v>73</v>
      </c>
      <c r="D66" s="111"/>
      <c r="E66" s="111"/>
      <c r="F66" s="111"/>
      <c r="G66" s="111"/>
      <c r="H66" s="111"/>
      <c r="I66" s="112">
        <v>106407</v>
      </c>
      <c r="J66" s="112">
        <v>19147</v>
      </c>
      <c r="K66" s="26">
        <f>16091+34106+2444+185+641+2733+114-32+43+286+668</f>
        <v>57279</v>
      </c>
      <c r="L66" s="26">
        <v>42730.559999999998</v>
      </c>
      <c r="M66" s="45">
        <v>42300.639999999999</v>
      </c>
      <c r="N66" s="46">
        <v>35668.57</v>
      </c>
      <c r="O66" s="45">
        <v>30698.190000000002</v>
      </c>
      <c r="P66" s="45">
        <v>54103.22</v>
      </c>
      <c r="Q66" s="45">
        <v>47647.969999999994</v>
      </c>
      <c r="R66" s="46">
        <v>25000</v>
      </c>
      <c r="S66" s="46"/>
      <c r="T66" s="369">
        <f t="shared" si="24"/>
        <v>25000</v>
      </c>
    </row>
    <row r="67" spans="1:24" ht="13.5" thickBot="1" x14ac:dyDescent="0.25">
      <c r="A67" s="796"/>
      <c r="B67" s="795"/>
      <c r="C67" s="114" t="s">
        <v>76</v>
      </c>
      <c r="D67" s="114"/>
      <c r="E67" s="114"/>
      <c r="F67" s="114"/>
      <c r="G67" s="114"/>
      <c r="H67" s="114"/>
      <c r="I67" s="29">
        <v>2409</v>
      </c>
      <c r="J67" s="29">
        <v>2708</v>
      </c>
      <c r="K67" s="32">
        <v>2556</v>
      </c>
      <c r="L67" s="32">
        <v>2468.2399999999998</v>
      </c>
      <c r="M67" s="238">
        <v>2027.94</v>
      </c>
      <c r="N67" s="30">
        <v>1999.54</v>
      </c>
      <c r="O67" s="238">
        <v>2010.91</v>
      </c>
      <c r="P67" s="238">
        <v>2103.9899999999998</v>
      </c>
      <c r="Q67" s="238">
        <v>3066.51</v>
      </c>
      <c r="R67" s="30">
        <v>2000</v>
      </c>
      <c r="S67" s="30"/>
      <c r="T67" s="648">
        <f t="shared" si="24"/>
        <v>2000</v>
      </c>
    </row>
    <row r="68" spans="1:24" ht="16.5" thickBot="1" x14ac:dyDescent="0.3">
      <c r="A68" s="63">
        <v>300</v>
      </c>
      <c r="B68" s="810" t="s">
        <v>77</v>
      </c>
      <c r="C68" s="811"/>
      <c r="D68" s="115">
        <f t="shared" ref="D68:T68" si="25">D69+D106</f>
        <v>1842129</v>
      </c>
      <c r="E68" s="115">
        <f t="shared" si="25"/>
        <v>1999701</v>
      </c>
      <c r="F68" s="115">
        <f t="shared" si="25"/>
        <v>2077242</v>
      </c>
      <c r="G68" s="115">
        <f t="shared" si="25"/>
        <v>2645110</v>
      </c>
      <c r="H68" s="115">
        <f t="shared" si="25"/>
        <v>2979865</v>
      </c>
      <c r="I68" s="115">
        <f t="shared" si="25"/>
        <v>2749519</v>
      </c>
      <c r="J68" s="115">
        <f t="shared" si="25"/>
        <v>2901991</v>
      </c>
      <c r="K68" s="115">
        <f t="shared" si="25"/>
        <v>3466649</v>
      </c>
      <c r="L68" s="115">
        <f t="shared" si="25"/>
        <v>3450076.55</v>
      </c>
      <c r="M68" s="116">
        <f t="shared" si="25"/>
        <v>3251492.52</v>
      </c>
      <c r="N68" s="117">
        <f t="shared" si="25"/>
        <v>3212564.5300000007</v>
      </c>
      <c r="O68" s="117">
        <f t="shared" si="25"/>
        <v>3077721.5600000005</v>
      </c>
      <c r="P68" s="118">
        <f t="shared" si="25"/>
        <v>3114875.2399999998</v>
      </c>
      <c r="Q68" s="118">
        <f t="shared" si="25"/>
        <v>3412076.459999999</v>
      </c>
      <c r="R68" s="117">
        <f t="shared" si="25"/>
        <v>3735056</v>
      </c>
      <c r="S68" s="117">
        <f t="shared" si="25"/>
        <v>119572</v>
      </c>
      <c r="T68" s="591">
        <f t="shared" si="25"/>
        <v>3854628</v>
      </c>
    </row>
    <row r="69" spans="1:24" ht="15.75" thickBot="1" x14ac:dyDescent="0.3">
      <c r="A69" s="33">
        <v>310</v>
      </c>
      <c r="B69" s="778" t="s">
        <v>78</v>
      </c>
      <c r="C69" s="779"/>
      <c r="D69" s="84">
        <f t="shared" ref="D69:R69" si="26">D70+D72</f>
        <v>1842129</v>
      </c>
      <c r="E69" s="84">
        <f t="shared" si="26"/>
        <v>1999701</v>
      </c>
      <c r="F69" s="84">
        <f t="shared" si="26"/>
        <v>2077242</v>
      </c>
      <c r="G69" s="84">
        <f t="shared" si="26"/>
        <v>2645110</v>
      </c>
      <c r="H69" s="84">
        <f t="shared" si="26"/>
        <v>2958818</v>
      </c>
      <c r="I69" s="84">
        <f t="shared" si="26"/>
        <v>2721164</v>
      </c>
      <c r="J69" s="84">
        <f t="shared" si="26"/>
        <v>2862933</v>
      </c>
      <c r="K69" s="84">
        <f t="shared" si="26"/>
        <v>3457133</v>
      </c>
      <c r="L69" s="84">
        <f>L70+L72</f>
        <v>3450076.55</v>
      </c>
      <c r="M69" s="85">
        <f t="shared" si="26"/>
        <v>3251492.52</v>
      </c>
      <c r="N69" s="86">
        <f>N70+N72</f>
        <v>3212564.5300000007</v>
      </c>
      <c r="O69" s="86">
        <f>O70+O72</f>
        <v>3077721.5600000005</v>
      </c>
      <c r="P69" s="119">
        <f>P70+P72</f>
        <v>3114875.2399999998</v>
      </c>
      <c r="Q69" s="119">
        <f>Q70+Q72</f>
        <v>3412076.459999999</v>
      </c>
      <c r="R69" s="86">
        <f t="shared" si="26"/>
        <v>3735056</v>
      </c>
      <c r="S69" s="86">
        <f>S70+S72</f>
        <v>119572</v>
      </c>
      <c r="T69" s="586">
        <f>T70+T72</f>
        <v>3854628</v>
      </c>
    </row>
    <row r="70" spans="1:24" ht="13.5" thickBot="1" x14ac:dyDescent="0.25">
      <c r="A70" s="772"/>
      <c r="B70" s="120">
        <v>311</v>
      </c>
      <c r="C70" s="77" t="s">
        <v>79</v>
      </c>
      <c r="D70" s="121">
        <f t="shared" ref="D70:M70" si="27">SUM(D71:D71)</f>
        <v>0</v>
      </c>
      <c r="E70" s="121">
        <f t="shared" si="27"/>
        <v>23003</v>
      </c>
      <c r="F70" s="121">
        <f t="shared" si="27"/>
        <v>14107</v>
      </c>
      <c r="G70" s="121">
        <f t="shared" si="27"/>
        <v>9307</v>
      </c>
      <c r="H70" s="121">
        <f t="shared" si="27"/>
        <v>19495</v>
      </c>
      <c r="I70" s="121">
        <f t="shared" si="27"/>
        <v>11396</v>
      </c>
      <c r="J70" s="121">
        <f t="shared" si="27"/>
        <v>19287</v>
      </c>
      <c r="K70" s="80">
        <f t="shared" si="27"/>
        <v>18260</v>
      </c>
      <c r="L70" s="80">
        <f t="shared" si="27"/>
        <v>700</v>
      </c>
      <c r="M70" s="81">
        <f t="shared" si="27"/>
        <v>4100</v>
      </c>
      <c r="N70" s="41">
        <f t="shared" ref="N70:T70" si="28">N71</f>
        <v>4000</v>
      </c>
      <c r="O70" s="122">
        <f t="shared" si="28"/>
        <v>3010</v>
      </c>
      <c r="P70" s="122">
        <f t="shared" si="28"/>
        <v>5900</v>
      </c>
      <c r="Q70" s="122">
        <f t="shared" si="28"/>
        <v>1900</v>
      </c>
      <c r="R70" s="41">
        <f t="shared" si="28"/>
        <v>0</v>
      </c>
      <c r="S70" s="41">
        <f t="shared" si="28"/>
        <v>0</v>
      </c>
      <c r="T70" s="578">
        <f t="shared" si="28"/>
        <v>0</v>
      </c>
    </row>
    <row r="71" spans="1:24" ht="13.5" thickBot="1" x14ac:dyDescent="0.25">
      <c r="A71" s="773"/>
      <c r="B71" s="560"/>
      <c r="C71" s="57" t="s">
        <v>80</v>
      </c>
      <c r="D71" s="57">
        <v>0</v>
      </c>
      <c r="E71" s="57">
        <v>23003</v>
      </c>
      <c r="F71" s="57">
        <v>14107</v>
      </c>
      <c r="G71" s="57">
        <v>9307</v>
      </c>
      <c r="H71" s="57">
        <v>19495</v>
      </c>
      <c r="I71" s="57">
        <v>11396</v>
      </c>
      <c r="J71" s="57">
        <v>19287</v>
      </c>
      <c r="K71" s="72">
        <v>18260</v>
      </c>
      <c r="L71" s="88">
        <v>700</v>
      </c>
      <c r="M71" s="45">
        <v>4100</v>
      </c>
      <c r="N71" s="46">
        <v>4000</v>
      </c>
      <c r="O71" s="45">
        <v>3010</v>
      </c>
      <c r="P71" s="45">
        <v>5900</v>
      </c>
      <c r="Q71" s="45">
        <v>1900</v>
      </c>
      <c r="R71" s="46"/>
      <c r="S71" s="46"/>
      <c r="T71" s="369">
        <f t="shared" ref="T71" si="29">R71+S71</f>
        <v>0</v>
      </c>
    </row>
    <row r="72" spans="1:24" ht="13.5" thickBot="1" x14ac:dyDescent="0.25">
      <c r="A72" s="773"/>
      <c r="B72" s="37">
        <v>312</v>
      </c>
      <c r="C72" s="37" t="s">
        <v>81</v>
      </c>
      <c r="D72" s="37">
        <v>1842129</v>
      </c>
      <c r="E72" s="37">
        <v>1976698</v>
      </c>
      <c r="F72" s="37">
        <v>2063135</v>
      </c>
      <c r="G72" s="37">
        <v>2635803</v>
      </c>
      <c r="H72" s="37">
        <v>2939323</v>
      </c>
      <c r="I72" s="54">
        <f>SUM(I73:I105)</f>
        <v>2709768</v>
      </c>
      <c r="J72" s="54">
        <f>SUM(J73:J105)</f>
        <v>2843646</v>
      </c>
      <c r="K72" s="54">
        <f>SUM(K73:K105)</f>
        <v>3438873</v>
      </c>
      <c r="L72" s="54">
        <v>3449376.55</v>
      </c>
      <c r="M72" s="55">
        <f t="shared" ref="M72:T72" si="30">SUM(M73:M105)</f>
        <v>3247392.52</v>
      </c>
      <c r="N72" s="56">
        <f t="shared" si="30"/>
        <v>3208564.5300000007</v>
      </c>
      <c r="O72" s="123">
        <f t="shared" si="30"/>
        <v>3074711.5600000005</v>
      </c>
      <c r="P72" s="123">
        <f t="shared" si="30"/>
        <v>3108975.2399999998</v>
      </c>
      <c r="Q72" s="123">
        <f t="shared" si="30"/>
        <v>3410176.459999999</v>
      </c>
      <c r="R72" s="56">
        <f t="shared" si="30"/>
        <v>3735056</v>
      </c>
      <c r="S72" s="56">
        <f>SUM(S73:S105)</f>
        <v>119572</v>
      </c>
      <c r="T72" s="579">
        <f t="shared" si="30"/>
        <v>3854628</v>
      </c>
    </row>
    <row r="73" spans="1:24" x14ac:dyDescent="0.2">
      <c r="A73" s="773"/>
      <c r="B73" s="774"/>
      <c r="C73" s="57" t="s">
        <v>82</v>
      </c>
      <c r="D73" s="57"/>
      <c r="E73" s="57"/>
      <c r="F73" s="57"/>
      <c r="G73" s="57"/>
      <c r="H73" s="57"/>
      <c r="I73" s="57">
        <v>23695</v>
      </c>
      <c r="J73" s="57">
        <v>17245</v>
      </c>
      <c r="K73" s="26">
        <v>10901</v>
      </c>
      <c r="L73" s="46">
        <v>11158.85</v>
      </c>
      <c r="M73" s="124">
        <v>11477.1</v>
      </c>
      <c r="N73" s="20">
        <v>11818.38</v>
      </c>
      <c r="O73" s="19">
        <v>12154.95</v>
      </c>
      <c r="P73" s="19">
        <v>13029.32</v>
      </c>
      <c r="Q73" s="19">
        <v>15209.34</v>
      </c>
      <c r="R73" s="20">
        <v>12155</v>
      </c>
      <c r="S73" s="571"/>
      <c r="T73" s="572">
        <f t="shared" ref="T73:T105" si="31">R73+S73</f>
        <v>12155</v>
      </c>
    </row>
    <row r="74" spans="1:24" x14ac:dyDescent="0.2">
      <c r="A74" s="773"/>
      <c r="B74" s="775"/>
      <c r="C74" s="59" t="s">
        <v>83</v>
      </c>
      <c r="D74" s="59"/>
      <c r="E74" s="59"/>
      <c r="F74" s="59"/>
      <c r="G74" s="59"/>
      <c r="H74" s="59"/>
      <c r="I74" s="59">
        <v>2039732</v>
      </c>
      <c r="J74" s="59">
        <v>2219230</v>
      </c>
      <c r="K74" s="26">
        <v>2305975</v>
      </c>
      <c r="L74" s="26">
        <v>2374727</v>
      </c>
      <c r="M74" s="125">
        <v>2385302.7000000002</v>
      </c>
      <c r="N74" s="26">
        <v>2378880.87</v>
      </c>
      <c r="O74" s="25">
        <v>2380478.2000000002</v>
      </c>
      <c r="P74" s="25">
        <v>2366109.5</v>
      </c>
      <c r="Q74" s="25">
        <v>2545153.69</v>
      </c>
      <c r="R74" s="26">
        <v>2750047</v>
      </c>
      <c r="S74" s="571"/>
      <c r="T74" s="572">
        <f t="shared" si="31"/>
        <v>2750047</v>
      </c>
      <c r="X74" s="566"/>
    </row>
    <row r="75" spans="1:24" x14ac:dyDescent="0.2">
      <c r="A75" s="773"/>
      <c r="B75" s="775"/>
      <c r="C75" s="59" t="s">
        <v>84</v>
      </c>
      <c r="D75" s="59"/>
      <c r="E75" s="59"/>
      <c r="F75" s="59"/>
      <c r="G75" s="59"/>
      <c r="H75" s="59"/>
      <c r="I75" s="59">
        <v>18027</v>
      </c>
      <c r="J75" s="59">
        <v>18084</v>
      </c>
      <c r="K75" s="26">
        <v>17994</v>
      </c>
      <c r="L75" s="26">
        <v>18008.52</v>
      </c>
      <c r="M75" s="125">
        <v>18041.07</v>
      </c>
      <c r="N75" s="26">
        <v>17962.95</v>
      </c>
      <c r="O75" s="25">
        <v>17965.740000000002</v>
      </c>
      <c r="P75" s="25">
        <v>21444.09</v>
      </c>
      <c r="Q75" s="25">
        <v>25241.06</v>
      </c>
      <c r="R75" s="26">
        <v>21444</v>
      </c>
      <c r="S75" s="571">
        <v>6715</v>
      </c>
      <c r="T75" s="572">
        <f t="shared" si="31"/>
        <v>28159</v>
      </c>
      <c r="X75" s="566"/>
    </row>
    <row r="76" spans="1:24" x14ac:dyDescent="0.2">
      <c r="A76" s="773"/>
      <c r="B76" s="775"/>
      <c r="C76" s="59" t="s">
        <v>85</v>
      </c>
      <c r="D76" s="59"/>
      <c r="E76" s="59"/>
      <c r="F76" s="59"/>
      <c r="G76" s="59"/>
      <c r="H76" s="59"/>
      <c r="I76" s="59">
        <v>24577</v>
      </c>
      <c r="J76" s="59">
        <v>25124</v>
      </c>
      <c r="K76" s="26">
        <v>25564</v>
      </c>
      <c r="L76" s="26">
        <v>26022</v>
      </c>
      <c r="M76" s="125">
        <v>26310</v>
      </c>
      <c r="N76" s="26">
        <v>27303</v>
      </c>
      <c r="O76" s="25">
        <v>28388</v>
      </c>
      <c r="P76" s="25">
        <v>29368</v>
      </c>
      <c r="Q76" s="25">
        <v>32106</v>
      </c>
      <c r="R76" s="26">
        <v>32000</v>
      </c>
      <c r="S76" s="571"/>
      <c r="T76" s="572">
        <f t="shared" si="31"/>
        <v>32000</v>
      </c>
    </row>
    <row r="77" spans="1:24" x14ac:dyDescent="0.2">
      <c r="A77" s="773"/>
      <c r="B77" s="775"/>
      <c r="C77" s="59" t="s">
        <v>86</v>
      </c>
      <c r="D77" s="59"/>
      <c r="E77" s="59"/>
      <c r="F77" s="59"/>
      <c r="G77" s="59"/>
      <c r="H77" s="59"/>
      <c r="I77" s="59">
        <v>7039</v>
      </c>
      <c r="J77" s="59">
        <v>7075</v>
      </c>
      <c r="K77" s="26">
        <v>7128</v>
      </c>
      <c r="L77" s="26">
        <v>7141.61</v>
      </c>
      <c r="M77" s="125">
        <v>7157.02</v>
      </c>
      <c r="N77" s="26">
        <v>7145.67</v>
      </c>
      <c r="O77" s="25">
        <v>7146.74</v>
      </c>
      <c r="P77" s="25">
        <v>7180.34</v>
      </c>
      <c r="Q77" s="25">
        <v>7204.95</v>
      </c>
      <c r="R77" s="26">
        <v>7147</v>
      </c>
      <c r="S77" s="571"/>
      <c r="T77" s="572">
        <f t="shared" si="31"/>
        <v>7147</v>
      </c>
    </row>
    <row r="78" spans="1:24" x14ac:dyDescent="0.2">
      <c r="A78" s="773"/>
      <c r="B78" s="775"/>
      <c r="C78" s="59" t="s">
        <v>87</v>
      </c>
      <c r="D78" s="59"/>
      <c r="E78" s="59"/>
      <c r="F78" s="59"/>
      <c r="G78" s="59"/>
      <c r="H78" s="59"/>
      <c r="I78" s="59">
        <v>10058</v>
      </c>
      <c r="J78" s="59">
        <v>10551</v>
      </c>
      <c r="K78" s="26">
        <v>6336</v>
      </c>
      <c r="L78" s="26">
        <v>5427.66</v>
      </c>
      <c r="M78" s="125">
        <v>4327.68</v>
      </c>
      <c r="N78" s="26">
        <v>3104.64</v>
      </c>
      <c r="O78" s="25">
        <v>3575.04</v>
      </c>
      <c r="P78" s="25">
        <v>3928.96</v>
      </c>
      <c r="Q78" s="25">
        <v>5163.84</v>
      </c>
      <c r="R78" s="26">
        <v>3500</v>
      </c>
      <c r="S78" s="571"/>
      <c r="T78" s="572">
        <f t="shared" si="31"/>
        <v>3500</v>
      </c>
    </row>
    <row r="79" spans="1:24" x14ac:dyDescent="0.2">
      <c r="A79" s="773"/>
      <c r="B79" s="775"/>
      <c r="C79" s="59" t="s">
        <v>88</v>
      </c>
      <c r="D79" s="59"/>
      <c r="E79" s="59"/>
      <c r="F79" s="59"/>
      <c r="G79" s="59"/>
      <c r="H79" s="59"/>
      <c r="I79" s="59">
        <v>83191</v>
      </c>
      <c r="J79" s="59">
        <v>97555</v>
      </c>
      <c r="K79" s="26">
        <v>85709</v>
      </c>
      <c r="L79" s="26">
        <v>73418.710000000006</v>
      </c>
      <c r="M79" s="125">
        <v>58497.09</v>
      </c>
      <c r="N79" s="26">
        <v>43283.74</v>
      </c>
      <c r="O79" s="25">
        <v>37015.03</v>
      </c>
      <c r="P79" s="25">
        <v>30847.5</v>
      </c>
      <c r="Q79" s="25">
        <v>180888.6</v>
      </c>
      <c r="R79" s="26">
        <v>55224</v>
      </c>
      <c r="S79" s="571"/>
      <c r="T79" s="572">
        <f t="shared" si="31"/>
        <v>55224</v>
      </c>
    </row>
    <row r="80" spans="1:24" x14ac:dyDescent="0.2">
      <c r="A80" s="773"/>
      <c r="B80" s="775"/>
      <c r="C80" s="59" t="s">
        <v>89</v>
      </c>
      <c r="D80" s="59"/>
      <c r="E80" s="59"/>
      <c r="F80" s="59"/>
      <c r="G80" s="59"/>
      <c r="H80" s="59"/>
      <c r="I80" s="59">
        <v>25474</v>
      </c>
      <c r="J80" s="59">
        <v>22043</v>
      </c>
      <c r="K80" s="26">
        <f>1699+18018</f>
        <v>19717</v>
      </c>
      <c r="L80" s="26">
        <v>29033.54</v>
      </c>
      <c r="M80" s="125">
        <v>25989.77</v>
      </c>
      <c r="N80" s="26">
        <v>45874.890000000007</v>
      </c>
      <c r="O80" s="25">
        <v>32060.63</v>
      </c>
      <c r="P80" s="25">
        <v>23435.9</v>
      </c>
      <c r="Q80" s="25">
        <v>11750.66</v>
      </c>
      <c r="R80" s="26">
        <v>33000</v>
      </c>
      <c r="S80" s="571"/>
      <c r="T80" s="572">
        <f t="shared" si="31"/>
        <v>33000</v>
      </c>
    </row>
    <row r="81" spans="1:24" x14ac:dyDescent="0.2">
      <c r="A81" s="773"/>
      <c r="B81" s="775"/>
      <c r="C81" s="59" t="s">
        <v>90</v>
      </c>
      <c r="D81" s="59"/>
      <c r="E81" s="59"/>
      <c r="F81" s="59"/>
      <c r="G81" s="59"/>
      <c r="H81" s="59"/>
      <c r="I81" s="59">
        <v>1008</v>
      </c>
      <c r="J81" s="59">
        <v>1008</v>
      </c>
      <c r="K81" s="26">
        <v>995</v>
      </c>
      <c r="L81" s="26">
        <v>836.54</v>
      </c>
      <c r="M81" s="125">
        <v>838.04</v>
      </c>
      <c r="N81" s="26">
        <v>834.41</v>
      </c>
      <c r="O81" s="25">
        <v>834.53</v>
      </c>
      <c r="P81" s="25">
        <v>834.58</v>
      </c>
      <c r="Q81" s="25">
        <v>834.92</v>
      </c>
      <c r="R81" s="26">
        <v>1474</v>
      </c>
      <c r="S81" s="571"/>
      <c r="T81" s="572">
        <f t="shared" si="31"/>
        <v>1474</v>
      </c>
    </row>
    <row r="82" spans="1:24" x14ac:dyDescent="0.2">
      <c r="A82" s="773"/>
      <c r="B82" s="775"/>
      <c r="C82" s="59" t="s">
        <v>91</v>
      </c>
      <c r="D82" s="59"/>
      <c r="E82" s="59"/>
      <c r="F82" s="59"/>
      <c r="G82" s="59"/>
      <c r="H82" s="59"/>
      <c r="I82" s="59">
        <v>1487</v>
      </c>
      <c r="J82" s="59">
        <v>1415</v>
      </c>
      <c r="K82" s="26">
        <v>1362</v>
      </c>
      <c r="L82" s="26">
        <v>1386.9</v>
      </c>
      <c r="M82" s="125">
        <v>1388.19</v>
      </c>
      <c r="N82" s="26">
        <v>1382.72</v>
      </c>
      <c r="O82" s="25">
        <v>1384.09</v>
      </c>
      <c r="P82" s="25">
        <v>1383.83</v>
      </c>
      <c r="Q82" s="25">
        <v>1383.78</v>
      </c>
      <c r="R82" s="26">
        <v>1384</v>
      </c>
      <c r="S82" s="571"/>
      <c r="T82" s="572">
        <f t="shared" si="31"/>
        <v>1384</v>
      </c>
    </row>
    <row r="83" spans="1:24" x14ac:dyDescent="0.2">
      <c r="A83" s="773"/>
      <c r="B83" s="775"/>
      <c r="C83" s="59" t="s">
        <v>92</v>
      </c>
      <c r="D83" s="59"/>
      <c r="E83" s="59"/>
      <c r="F83" s="59"/>
      <c r="G83" s="59"/>
      <c r="H83" s="59"/>
      <c r="I83" s="59">
        <v>46640</v>
      </c>
      <c r="J83" s="59">
        <v>26998</v>
      </c>
      <c r="K83" s="26">
        <v>72974</v>
      </c>
      <c r="L83" s="26">
        <v>59711.85</v>
      </c>
      <c r="M83" s="125">
        <v>88644.08</v>
      </c>
      <c r="N83" s="26"/>
      <c r="O83" s="25">
        <v>5319.72</v>
      </c>
      <c r="P83" s="25">
        <v>79960.38</v>
      </c>
      <c r="Q83" s="25">
        <v>117516.28</v>
      </c>
      <c r="R83" s="26">
        <v>108000</v>
      </c>
      <c r="S83" s="571"/>
      <c r="T83" s="572">
        <f t="shared" si="31"/>
        <v>108000</v>
      </c>
    </row>
    <row r="84" spans="1:24" x14ac:dyDescent="0.2">
      <c r="A84" s="773"/>
      <c r="B84" s="775"/>
      <c r="C84" s="59" t="s">
        <v>93</v>
      </c>
      <c r="D84" s="59"/>
      <c r="E84" s="59"/>
      <c r="F84" s="59"/>
      <c r="G84" s="59"/>
      <c r="H84" s="59"/>
      <c r="I84" s="59">
        <v>4903</v>
      </c>
      <c r="J84" s="59">
        <v>4921</v>
      </c>
      <c r="K84" s="26">
        <v>4883</v>
      </c>
      <c r="L84" s="26">
        <v>4883.67</v>
      </c>
      <c r="M84" s="125">
        <v>4892.91</v>
      </c>
      <c r="N84" s="26">
        <v>4949.79</v>
      </c>
      <c r="O84" s="25">
        <v>5150.43</v>
      </c>
      <c r="P84" s="25">
        <v>5039.6000000000004</v>
      </c>
      <c r="Q84" s="25">
        <v>4957.3899999999994</v>
      </c>
      <c r="R84" s="26">
        <v>5150</v>
      </c>
      <c r="S84" s="571"/>
      <c r="T84" s="572">
        <f t="shared" si="31"/>
        <v>5150</v>
      </c>
    </row>
    <row r="85" spans="1:24" ht="12.75" customHeight="1" x14ac:dyDescent="0.2">
      <c r="A85" s="773"/>
      <c r="B85" s="775"/>
      <c r="C85" s="59" t="s">
        <v>94</v>
      </c>
      <c r="D85" s="59"/>
      <c r="E85" s="59"/>
      <c r="F85" s="59"/>
      <c r="G85" s="59"/>
      <c r="H85" s="59"/>
      <c r="I85" s="59">
        <v>4172</v>
      </c>
      <c r="J85" s="59">
        <v>4305</v>
      </c>
      <c r="K85" s="26">
        <v>4445</v>
      </c>
      <c r="L85" s="26">
        <v>4634.95</v>
      </c>
      <c r="M85" s="125">
        <v>5001.3599999999997</v>
      </c>
      <c r="N85" s="26">
        <v>4700</v>
      </c>
      <c r="O85" s="25">
        <v>4000</v>
      </c>
      <c r="P85" s="25">
        <v>6500</v>
      </c>
      <c r="Q85" s="25">
        <v>15040</v>
      </c>
      <c r="R85" s="26">
        <v>11725</v>
      </c>
      <c r="S85" s="571"/>
      <c r="T85" s="572">
        <f t="shared" si="31"/>
        <v>11725</v>
      </c>
    </row>
    <row r="86" spans="1:24" x14ac:dyDescent="0.2">
      <c r="A86" s="773"/>
      <c r="B86" s="775"/>
      <c r="C86" s="59" t="s">
        <v>95</v>
      </c>
      <c r="D86" s="59"/>
      <c r="E86" s="59"/>
      <c r="F86" s="59"/>
      <c r="G86" s="59"/>
      <c r="H86" s="59"/>
      <c r="I86" s="59">
        <v>13965</v>
      </c>
      <c r="J86" s="59">
        <v>20215</v>
      </c>
      <c r="K86" s="26">
        <f>2614+9370+2952+12392</f>
        <v>27328</v>
      </c>
      <c r="L86" s="26">
        <v>18845.330000000002</v>
      </c>
      <c r="M86" s="125">
        <v>25120.019999999997</v>
      </c>
      <c r="N86" s="26">
        <v>34933.57</v>
      </c>
      <c r="O86" s="25">
        <v>37751.54</v>
      </c>
      <c r="P86" s="25">
        <v>40983.99</v>
      </c>
      <c r="Q86" s="25">
        <v>46526.26</v>
      </c>
      <c r="R86" s="26">
        <v>41000</v>
      </c>
      <c r="S86" s="571"/>
      <c r="T86" s="572">
        <f t="shared" si="31"/>
        <v>41000</v>
      </c>
    </row>
    <row r="87" spans="1:24" ht="15" customHeight="1" x14ac:dyDescent="0.2">
      <c r="A87" s="773"/>
      <c r="B87" s="775"/>
      <c r="C87" s="59" t="s">
        <v>96</v>
      </c>
      <c r="D87" s="59"/>
      <c r="E87" s="59"/>
      <c r="F87" s="59"/>
      <c r="G87" s="59"/>
      <c r="H87" s="59"/>
      <c r="I87" s="59"/>
      <c r="J87" s="59"/>
      <c r="K87" s="26"/>
      <c r="L87" s="26"/>
      <c r="M87" s="25"/>
      <c r="N87" s="26">
        <v>37805</v>
      </c>
      <c r="O87" s="26"/>
      <c r="P87" s="25"/>
      <c r="Q87" s="25"/>
      <c r="R87" s="26">
        <v>75039</v>
      </c>
      <c r="S87" s="573"/>
      <c r="T87" s="574">
        <f t="shared" si="31"/>
        <v>75039</v>
      </c>
    </row>
    <row r="88" spans="1:24" ht="14.25" customHeight="1" x14ac:dyDescent="0.2">
      <c r="A88" s="773"/>
      <c r="B88" s="775"/>
      <c r="C88" s="59" t="s">
        <v>440</v>
      </c>
      <c r="D88" s="59"/>
      <c r="E88" s="59"/>
      <c r="F88" s="59"/>
      <c r="G88" s="59"/>
      <c r="H88" s="59"/>
      <c r="I88" s="59"/>
      <c r="J88" s="59"/>
      <c r="K88" s="26"/>
      <c r="L88" s="26"/>
      <c r="M88" s="25"/>
      <c r="N88" s="26"/>
      <c r="O88" s="26"/>
      <c r="P88" s="25"/>
      <c r="Q88" s="25"/>
      <c r="R88" s="26">
        <v>70000</v>
      </c>
      <c r="S88" s="573"/>
      <c r="T88" s="574">
        <f t="shared" si="31"/>
        <v>70000</v>
      </c>
    </row>
    <row r="89" spans="1:24" x14ac:dyDescent="0.2">
      <c r="A89" s="773"/>
      <c r="B89" s="775"/>
      <c r="C89" s="59" t="s">
        <v>456</v>
      </c>
      <c r="D89" s="59"/>
      <c r="E89" s="59"/>
      <c r="F89" s="59"/>
      <c r="G89" s="59"/>
      <c r="H89" s="59"/>
      <c r="I89" s="59"/>
      <c r="J89" s="59">
        <v>100000</v>
      </c>
      <c r="K89" s="26"/>
      <c r="L89" s="26"/>
      <c r="M89" s="25">
        <v>59979.789999999994</v>
      </c>
      <c r="N89" s="26">
        <v>37805</v>
      </c>
      <c r="O89" s="26">
        <v>0</v>
      </c>
      <c r="P89" s="25"/>
      <c r="Q89" s="25">
        <v>117605.85999999999</v>
      </c>
      <c r="R89" s="26">
        <v>0</v>
      </c>
      <c r="S89" s="573"/>
      <c r="T89" s="574">
        <f t="shared" si="31"/>
        <v>0</v>
      </c>
    </row>
    <row r="90" spans="1:24" ht="13.5" customHeight="1" x14ac:dyDescent="0.2">
      <c r="A90" s="773"/>
      <c r="B90" s="775"/>
      <c r="C90" s="59" t="s">
        <v>442</v>
      </c>
      <c r="D90" s="74"/>
      <c r="E90" s="74"/>
      <c r="F90" s="74"/>
      <c r="G90" s="74"/>
      <c r="H90" s="74"/>
      <c r="I90" s="74"/>
      <c r="J90" s="74"/>
      <c r="K90" s="26">
        <v>11061</v>
      </c>
      <c r="L90" s="26"/>
      <c r="M90" s="25">
        <v>105208.79999999999</v>
      </c>
      <c r="N90" s="26"/>
      <c r="O90" s="26"/>
      <c r="P90" s="25"/>
      <c r="Q90" s="25"/>
      <c r="R90" s="26">
        <v>19000</v>
      </c>
      <c r="S90" s="573"/>
      <c r="T90" s="574">
        <f t="shared" si="31"/>
        <v>19000</v>
      </c>
    </row>
    <row r="91" spans="1:24" x14ac:dyDescent="0.2">
      <c r="A91" s="773"/>
      <c r="B91" s="775"/>
      <c r="C91" s="59" t="s">
        <v>154</v>
      </c>
      <c r="D91" s="74"/>
      <c r="E91" s="74"/>
      <c r="F91" s="74"/>
      <c r="G91" s="74"/>
      <c r="H91" s="74"/>
      <c r="I91" s="74"/>
      <c r="J91" s="74"/>
      <c r="K91" s="26"/>
      <c r="L91" s="26">
        <v>35000</v>
      </c>
      <c r="M91" s="25"/>
      <c r="N91" s="26"/>
      <c r="O91" s="26"/>
      <c r="P91" s="25"/>
      <c r="Q91" s="25"/>
      <c r="R91" s="26">
        <v>22000</v>
      </c>
      <c r="S91" s="573"/>
      <c r="T91" s="574">
        <f t="shared" si="31"/>
        <v>22000</v>
      </c>
    </row>
    <row r="92" spans="1:24" x14ac:dyDescent="0.2">
      <c r="A92" s="773"/>
      <c r="B92" s="775"/>
      <c r="C92" s="74" t="s">
        <v>98</v>
      </c>
      <c r="D92" s="74"/>
      <c r="E92" s="74"/>
      <c r="F92" s="74"/>
      <c r="G92" s="74"/>
      <c r="H92" s="74"/>
      <c r="I92" s="74"/>
      <c r="J92" s="74"/>
      <c r="K92" s="26"/>
      <c r="L92" s="26">
        <v>149100</v>
      </c>
      <c r="M92" s="25"/>
      <c r="N92" s="26"/>
      <c r="O92" s="26">
        <v>15864.95</v>
      </c>
      <c r="P92" s="25"/>
      <c r="Q92" s="25"/>
      <c r="R92" s="26">
        <v>0</v>
      </c>
      <c r="S92" s="573"/>
      <c r="T92" s="574">
        <f t="shared" si="31"/>
        <v>0</v>
      </c>
      <c r="U92" s="751"/>
    </row>
    <row r="93" spans="1:24" ht="13.5" customHeight="1" x14ac:dyDescent="0.2">
      <c r="A93" s="773"/>
      <c r="B93" s="775"/>
      <c r="C93" s="59" t="s">
        <v>99</v>
      </c>
      <c r="D93" s="59"/>
      <c r="E93" s="59"/>
      <c r="F93" s="59"/>
      <c r="G93" s="59"/>
      <c r="H93" s="59"/>
      <c r="I93" s="59">
        <v>119232</v>
      </c>
      <c r="J93" s="59">
        <f>30008+30023</f>
        <v>60031</v>
      </c>
      <c r="K93" s="26"/>
      <c r="L93" s="26"/>
      <c r="M93" s="25">
        <v>108000</v>
      </c>
      <c r="N93" s="26"/>
      <c r="O93" s="26">
        <v>66101.8</v>
      </c>
      <c r="P93" s="25"/>
      <c r="Q93" s="25">
        <v>25815.84</v>
      </c>
      <c r="R93" s="26">
        <v>26800</v>
      </c>
      <c r="S93" s="573"/>
      <c r="T93" s="574">
        <f t="shared" si="31"/>
        <v>26800</v>
      </c>
    </row>
    <row r="94" spans="1:24" ht="13.5" customHeight="1" x14ac:dyDescent="0.2">
      <c r="A94" s="773"/>
      <c r="B94" s="775"/>
      <c r="C94" s="59" t="s">
        <v>448</v>
      </c>
      <c r="D94" s="59"/>
      <c r="E94" s="59"/>
      <c r="F94" s="59"/>
      <c r="G94" s="59"/>
      <c r="H94" s="59"/>
      <c r="I94" s="59"/>
      <c r="J94" s="59">
        <v>40000</v>
      </c>
      <c r="K94" s="26"/>
      <c r="L94" s="26"/>
      <c r="M94" s="26">
        <v>298131.34999999998</v>
      </c>
      <c r="N94" s="26"/>
      <c r="O94" s="26"/>
      <c r="P94" s="25"/>
      <c r="Q94" s="25"/>
      <c r="R94" s="26">
        <v>95000</v>
      </c>
      <c r="S94" s="573">
        <v>97536</v>
      </c>
      <c r="T94" s="574">
        <f t="shared" si="31"/>
        <v>192536</v>
      </c>
      <c r="X94" s="566"/>
    </row>
    <row r="95" spans="1:24" x14ac:dyDescent="0.2">
      <c r="A95" s="773"/>
      <c r="B95" s="775"/>
      <c r="C95" s="59" t="s">
        <v>100</v>
      </c>
      <c r="D95" s="59"/>
      <c r="E95" s="59"/>
      <c r="F95" s="59"/>
      <c r="G95" s="59"/>
      <c r="H95" s="59"/>
      <c r="I95" s="59"/>
      <c r="J95" s="59">
        <v>85385</v>
      </c>
      <c r="K95" s="26">
        <v>389162</v>
      </c>
      <c r="L95" s="26"/>
      <c r="M95" s="60"/>
      <c r="N95" s="26">
        <v>274838.90000000002</v>
      </c>
      <c r="O95" s="25">
        <v>190966.83</v>
      </c>
      <c r="P95" s="25">
        <v>164272.02000000002</v>
      </c>
      <c r="Q95" s="25">
        <v>128391.07</v>
      </c>
      <c r="R95" s="26">
        <v>150000</v>
      </c>
      <c r="S95" s="573"/>
      <c r="T95" s="574">
        <f t="shared" si="31"/>
        <v>150000</v>
      </c>
    </row>
    <row r="96" spans="1:24" ht="15.75" hidden="1" customHeight="1" x14ac:dyDescent="0.2">
      <c r="A96" s="773"/>
      <c r="B96" s="775"/>
      <c r="C96" s="59" t="s">
        <v>101</v>
      </c>
      <c r="D96" s="59"/>
      <c r="E96" s="59"/>
      <c r="F96" s="59"/>
      <c r="G96" s="59"/>
      <c r="H96" s="59"/>
      <c r="I96" s="59"/>
      <c r="J96" s="59"/>
      <c r="K96" s="26">
        <v>6226</v>
      </c>
      <c r="L96" s="26"/>
      <c r="M96" s="26"/>
      <c r="N96" s="26"/>
      <c r="O96" s="26"/>
      <c r="P96" s="25">
        <v>2738.17</v>
      </c>
      <c r="Q96" s="25"/>
      <c r="R96" s="26">
        <v>0</v>
      </c>
      <c r="S96" s="27"/>
      <c r="T96" s="583">
        <f t="shared" si="31"/>
        <v>0</v>
      </c>
    </row>
    <row r="97" spans="1:24" ht="15.75" hidden="1" customHeight="1" x14ac:dyDescent="0.2">
      <c r="A97" s="773"/>
      <c r="B97" s="775"/>
      <c r="C97" s="59" t="s">
        <v>102</v>
      </c>
      <c r="D97" s="59"/>
      <c r="E97" s="59"/>
      <c r="F97" s="59"/>
      <c r="G97" s="59"/>
      <c r="H97" s="59"/>
      <c r="I97" s="59">
        <v>3534</v>
      </c>
      <c r="J97" s="59">
        <v>4595</v>
      </c>
      <c r="K97" s="26">
        <v>1120</v>
      </c>
      <c r="L97" s="26"/>
      <c r="M97" s="26"/>
      <c r="N97" s="26"/>
      <c r="O97" s="26"/>
      <c r="P97" s="25"/>
      <c r="Q97" s="25"/>
      <c r="R97" s="26">
        <v>0</v>
      </c>
      <c r="S97" s="27"/>
      <c r="T97" s="583">
        <f t="shared" si="31"/>
        <v>0</v>
      </c>
    </row>
    <row r="98" spans="1:24" ht="15.75" hidden="1" customHeight="1" x14ac:dyDescent="0.2">
      <c r="A98" s="773"/>
      <c r="B98" s="775"/>
      <c r="C98" s="59" t="s">
        <v>103</v>
      </c>
      <c r="D98" s="59"/>
      <c r="E98" s="59"/>
      <c r="F98" s="59"/>
      <c r="G98" s="59"/>
      <c r="H98" s="59"/>
      <c r="I98" s="59"/>
      <c r="J98" s="59"/>
      <c r="K98" s="26">
        <v>73802</v>
      </c>
      <c r="L98" s="26"/>
      <c r="M98" s="26"/>
      <c r="N98" s="26"/>
      <c r="O98" s="26"/>
      <c r="P98" s="25"/>
      <c r="Q98" s="25"/>
      <c r="R98" s="26">
        <v>0</v>
      </c>
      <c r="S98" s="27"/>
      <c r="T98" s="583">
        <f t="shared" si="31"/>
        <v>0</v>
      </c>
    </row>
    <row r="99" spans="1:24" ht="15.75" hidden="1" customHeight="1" x14ac:dyDescent="0.2">
      <c r="A99" s="773"/>
      <c r="B99" s="775"/>
      <c r="C99" s="59" t="s">
        <v>104</v>
      </c>
      <c r="D99" s="59"/>
      <c r="E99" s="59"/>
      <c r="F99" s="59"/>
      <c r="G99" s="59"/>
      <c r="H99" s="59"/>
      <c r="I99" s="59"/>
      <c r="J99" s="59">
        <v>18000</v>
      </c>
      <c r="K99" s="26"/>
      <c r="L99" s="26"/>
      <c r="M99" s="26"/>
      <c r="N99" s="26"/>
      <c r="O99" s="26"/>
      <c r="P99" s="25"/>
      <c r="Q99" s="25"/>
      <c r="R99" s="26">
        <v>0</v>
      </c>
      <c r="S99" s="27"/>
      <c r="T99" s="583">
        <f t="shared" si="31"/>
        <v>0</v>
      </c>
    </row>
    <row r="100" spans="1:24" ht="15.75" hidden="1" customHeight="1" x14ac:dyDescent="0.2">
      <c r="A100" s="773"/>
      <c r="B100" s="775"/>
      <c r="C100" s="59" t="s">
        <v>105</v>
      </c>
      <c r="D100" s="59"/>
      <c r="E100" s="59"/>
      <c r="F100" s="59"/>
      <c r="G100" s="59"/>
      <c r="H100" s="59"/>
      <c r="I100" s="59"/>
      <c r="J100" s="59"/>
      <c r="K100" s="26"/>
      <c r="L100" s="26"/>
      <c r="M100" s="126"/>
      <c r="N100" s="127"/>
      <c r="O100" s="127"/>
      <c r="P100" s="128"/>
      <c r="Q100" s="128"/>
      <c r="R100" s="127">
        <v>0</v>
      </c>
      <c r="S100" s="27"/>
      <c r="T100" s="583">
        <f t="shared" si="31"/>
        <v>0</v>
      </c>
    </row>
    <row r="101" spans="1:24" ht="15.75" hidden="1" customHeight="1" x14ac:dyDescent="0.2">
      <c r="A101" s="773"/>
      <c r="B101" s="775"/>
      <c r="C101" s="59" t="s">
        <v>106</v>
      </c>
      <c r="D101" s="59"/>
      <c r="E101" s="59"/>
      <c r="F101" s="59"/>
      <c r="G101" s="59"/>
      <c r="H101" s="59"/>
      <c r="I101" s="59"/>
      <c r="J101" s="59"/>
      <c r="K101" s="26"/>
      <c r="L101" s="26"/>
      <c r="M101" s="127"/>
      <c r="N101" s="127"/>
      <c r="O101" s="127"/>
      <c r="P101" s="128"/>
      <c r="Q101" s="128"/>
      <c r="R101" s="127">
        <v>0</v>
      </c>
      <c r="S101" s="27"/>
      <c r="T101" s="583">
        <f t="shared" si="31"/>
        <v>0</v>
      </c>
    </row>
    <row r="102" spans="1:24" ht="15.75" hidden="1" customHeight="1" x14ac:dyDescent="0.2">
      <c r="A102" s="773"/>
      <c r="B102" s="775"/>
      <c r="C102" s="59" t="s">
        <v>107</v>
      </c>
      <c r="D102" s="59"/>
      <c r="E102" s="59"/>
      <c r="F102" s="59"/>
      <c r="G102" s="59"/>
      <c r="H102" s="59"/>
      <c r="I102" s="59"/>
      <c r="J102" s="59"/>
      <c r="K102" s="26"/>
      <c r="L102" s="26"/>
      <c r="M102" s="26"/>
      <c r="N102" s="26"/>
      <c r="O102" s="26"/>
      <c r="P102" s="25"/>
      <c r="Q102" s="25"/>
      <c r="R102" s="26">
        <v>0</v>
      </c>
      <c r="S102" s="27"/>
      <c r="T102" s="583">
        <f t="shared" si="31"/>
        <v>0</v>
      </c>
    </row>
    <row r="103" spans="1:24" ht="15.75" hidden="1" customHeight="1" x14ac:dyDescent="0.2">
      <c r="A103" s="773"/>
      <c r="B103" s="775"/>
      <c r="C103" s="59" t="s">
        <v>108</v>
      </c>
      <c r="D103" s="59"/>
      <c r="E103" s="59"/>
      <c r="F103" s="59"/>
      <c r="G103" s="59"/>
      <c r="H103" s="59"/>
      <c r="I103" s="59">
        <v>165906</v>
      </c>
      <c r="J103" s="59"/>
      <c r="K103" s="26">
        <v>0</v>
      </c>
      <c r="L103" s="26"/>
      <c r="M103" s="26"/>
      <c r="N103" s="26"/>
      <c r="O103" s="26"/>
      <c r="P103" s="25">
        <v>238911.06000000006</v>
      </c>
      <c r="Q103" s="25"/>
      <c r="R103" s="26">
        <v>0</v>
      </c>
      <c r="S103" s="27"/>
      <c r="T103" s="583">
        <f t="shared" si="31"/>
        <v>0</v>
      </c>
    </row>
    <row r="104" spans="1:24" ht="15.75" customHeight="1" x14ac:dyDescent="0.2">
      <c r="A104" s="773"/>
      <c r="B104" s="775"/>
      <c r="C104" s="43" t="s">
        <v>460</v>
      </c>
      <c r="D104" s="62"/>
      <c r="E104" s="62"/>
      <c r="F104" s="62"/>
      <c r="G104" s="62"/>
      <c r="H104" s="62"/>
      <c r="I104" s="62"/>
      <c r="J104" s="62"/>
      <c r="K104" s="26"/>
      <c r="L104" s="26"/>
      <c r="M104" s="26"/>
      <c r="N104" s="26"/>
      <c r="O104" s="26">
        <v>146016</v>
      </c>
      <c r="P104" s="25">
        <v>73008</v>
      </c>
      <c r="Q104" s="25">
        <v>41077.410000000003</v>
      </c>
      <c r="R104" s="26">
        <v>193967</v>
      </c>
      <c r="S104" s="573">
        <v>14237</v>
      </c>
      <c r="T104" s="574">
        <f t="shared" si="31"/>
        <v>208204</v>
      </c>
      <c r="X104" s="566"/>
    </row>
    <row r="105" spans="1:24" ht="15.75" customHeight="1" thickBot="1" x14ac:dyDescent="0.25">
      <c r="A105" s="773"/>
      <c r="B105" s="775"/>
      <c r="C105" s="61" t="s">
        <v>109</v>
      </c>
      <c r="D105" s="62"/>
      <c r="E105" s="62"/>
      <c r="F105" s="62"/>
      <c r="G105" s="62"/>
      <c r="H105" s="62"/>
      <c r="I105" s="62">
        <v>117128</v>
      </c>
      <c r="J105" s="62">
        <v>59866</v>
      </c>
      <c r="K105" s="26">
        <v>366191</v>
      </c>
      <c r="L105" s="26"/>
      <c r="M105" s="129">
        <v>13085.550000000001</v>
      </c>
      <c r="N105" s="26">
        <f>206825+69116</f>
        <v>275941</v>
      </c>
      <c r="O105" s="25">
        <f>82173.59+363.75</f>
        <v>82537.34</v>
      </c>
      <c r="P105" s="25"/>
      <c r="Q105" s="25">
        <v>88309.51</v>
      </c>
      <c r="R105" s="26"/>
      <c r="S105" s="575">
        <v>1084</v>
      </c>
      <c r="T105" s="592">
        <f t="shared" si="31"/>
        <v>1084</v>
      </c>
    </row>
    <row r="106" spans="1:24" ht="14.25" customHeight="1" thickBot="1" x14ac:dyDescent="0.3">
      <c r="A106" s="33">
        <v>330</v>
      </c>
      <c r="B106" s="778" t="s">
        <v>110</v>
      </c>
      <c r="C106" s="779"/>
      <c r="D106" s="84">
        <f t="shared" ref="D106:L106" si="32">D107</f>
        <v>0</v>
      </c>
      <c r="E106" s="84">
        <f t="shared" si="32"/>
        <v>0</v>
      </c>
      <c r="F106" s="84">
        <f t="shared" si="32"/>
        <v>0</v>
      </c>
      <c r="G106" s="84">
        <f t="shared" si="32"/>
        <v>0</v>
      </c>
      <c r="H106" s="84">
        <f t="shared" si="32"/>
        <v>21047</v>
      </c>
      <c r="I106" s="84">
        <f t="shared" si="32"/>
        <v>28355</v>
      </c>
      <c r="J106" s="84">
        <f t="shared" si="32"/>
        <v>39058</v>
      </c>
      <c r="K106" s="84">
        <f t="shared" si="32"/>
        <v>9516</v>
      </c>
      <c r="L106" s="84">
        <f t="shared" si="32"/>
        <v>0</v>
      </c>
      <c r="M106" s="84"/>
      <c r="N106" s="86"/>
      <c r="O106" s="86"/>
      <c r="P106" s="119"/>
      <c r="Q106" s="119"/>
      <c r="R106" s="86">
        <f>R107</f>
        <v>0</v>
      </c>
      <c r="S106" s="9"/>
      <c r="T106" s="589"/>
    </row>
    <row r="107" spans="1:24" ht="18.75" hidden="1" customHeight="1" thickBot="1" x14ac:dyDescent="0.25">
      <c r="A107" s="772"/>
      <c r="B107" s="77">
        <v>331</v>
      </c>
      <c r="C107" s="78" t="s">
        <v>111</v>
      </c>
      <c r="D107" s="78"/>
      <c r="E107" s="78">
        <v>0</v>
      </c>
      <c r="F107" s="78">
        <v>0</v>
      </c>
      <c r="G107" s="78">
        <v>0</v>
      </c>
      <c r="H107" s="78">
        <v>21047</v>
      </c>
      <c r="I107" s="80">
        <f>I108</f>
        <v>28355</v>
      </c>
      <c r="J107" s="80">
        <f>J108</f>
        <v>39058</v>
      </c>
      <c r="K107" s="80">
        <f>K108</f>
        <v>9516</v>
      </c>
      <c r="L107" s="82"/>
      <c r="M107" s="82"/>
      <c r="N107" s="82"/>
      <c r="O107" s="82"/>
      <c r="P107" s="87"/>
      <c r="Q107" s="87"/>
      <c r="R107" s="82"/>
      <c r="S107" s="9"/>
      <c r="T107" s="589"/>
    </row>
    <row r="108" spans="1:24" ht="0.75" hidden="1" customHeight="1" thickBot="1" x14ac:dyDescent="0.25">
      <c r="A108" s="773"/>
      <c r="B108" s="560"/>
      <c r="C108" s="130" t="s">
        <v>102</v>
      </c>
      <c r="D108" s="130"/>
      <c r="E108" s="130"/>
      <c r="F108" s="130"/>
      <c r="G108" s="130"/>
      <c r="H108" s="130">
        <v>21047</v>
      </c>
      <c r="I108" s="130">
        <v>28355</v>
      </c>
      <c r="J108" s="130">
        <v>39058</v>
      </c>
      <c r="K108" s="131">
        <v>9516</v>
      </c>
      <c r="L108" s="90"/>
      <c r="M108" s="90"/>
      <c r="N108" s="90"/>
      <c r="O108" s="90"/>
      <c r="P108" s="89"/>
      <c r="Q108" s="89"/>
      <c r="R108" s="90"/>
      <c r="S108" s="132"/>
      <c r="T108" s="593"/>
    </row>
    <row r="109" spans="1:24" ht="17.25" thickTop="1" thickBot="1" x14ac:dyDescent="0.3">
      <c r="A109" s="802" t="s">
        <v>112</v>
      </c>
      <c r="B109" s="803"/>
      <c r="C109" s="804"/>
      <c r="D109" s="133">
        <f t="shared" ref="D109:S109" si="33">D5+D26+D68</f>
        <v>7125871</v>
      </c>
      <c r="E109" s="133">
        <f t="shared" si="33"/>
        <v>7561840</v>
      </c>
      <c r="F109" s="133">
        <f t="shared" si="33"/>
        <v>9082354</v>
      </c>
      <c r="G109" s="133">
        <f t="shared" si="33"/>
        <v>9080838</v>
      </c>
      <c r="H109" s="133">
        <f t="shared" si="33"/>
        <v>8537685</v>
      </c>
      <c r="I109" s="133">
        <f t="shared" si="33"/>
        <v>9096722</v>
      </c>
      <c r="J109" s="133">
        <f t="shared" si="33"/>
        <v>9201831</v>
      </c>
      <c r="K109" s="133">
        <f t="shared" si="33"/>
        <v>9722622</v>
      </c>
      <c r="L109" s="133">
        <f t="shared" si="33"/>
        <v>9640328.2399999984</v>
      </c>
      <c r="M109" s="134">
        <f t="shared" si="33"/>
        <v>10178626.01</v>
      </c>
      <c r="N109" s="133">
        <f t="shared" si="33"/>
        <v>10779180.440000001</v>
      </c>
      <c r="O109" s="134">
        <f t="shared" si="33"/>
        <v>10941629.260000002</v>
      </c>
      <c r="P109" s="134">
        <f t="shared" si="33"/>
        <v>11829472.720000001</v>
      </c>
      <c r="Q109" s="134">
        <f t="shared" si="33"/>
        <v>12870365.969999999</v>
      </c>
      <c r="R109" s="135">
        <f t="shared" si="33"/>
        <v>12010967</v>
      </c>
      <c r="S109" s="594">
        <f t="shared" si="33"/>
        <v>431180</v>
      </c>
      <c r="T109" s="595">
        <f>T5+T26+T68</f>
        <v>12442147</v>
      </c>
    </row>
    <row r="110" spans="1:24" ht="13.5" thickTop="1" x14ac:dyDescent="0.2"/>
    <row r="112" spans="1:24" x14ac:dyDescent="0.2">
      <c r="O112" s="566"/>
      <c r="P112" s="566"/>
      <c r="Q112" s="566"/>
    </row>
  </sheetData>
  <mergeCells count="51">
    <mergeCell ref="A3:A4"/>
    <mergeCell ref="B3:B4"/>
    <mergeCell ref="C3:C4"/>
    <mergeCell ref="D3:D4"/>
    <mergeCell ref="E3:E4"/>
    <mergeCell ref="R3:R4"/>
    <mergeCell ref="G3:G4"/>
    <mergeCell ref="H3:H4"/>
    <mergeCell ref="I3:I4"/>
    <mergeCell ref="J3:J4"/>
    <mergeCell ref="K3:K4"/>
    <mergeCell ref="L3:L4"/>
    <mergeCell ref="A107:A108"/>
    <mergeCell ref="A109:C109"/>
    <mergeCell ref="B69:C69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B62:C62"/>
    <mergeCell ref="A63:A67"/>
    <mergeCell ref="B64:B67"/>
    <mergeCell ref="B68:C68"/>
    <mergeCell ref="B106:C106"/>
    <mergeCell ref="A13:A16"/>
    <mergeCell ref="B14:B16"/>
    <mergeCell ref="B17:C17"/>
    <mergeCell ref="A18:A25"/>
    <mergeCell ref="B19:B25"/>
    <mergeCell ref="B26:C26"/>
    <mergeCell ref="A1:C1"/>
    <mergeCell ref="A2:C2"/>
    <mergeCell ref="T3:T4"/>
    <mergeCell ref="A70:A105"/>
    <mergeCell ref="B73:B105"/>
    <mergeCell ref="B5:C5"/>
    <mergeCell ref="B6:C6"/>
    <mergeCell ref="A7:A11"/>
    <mergeCell ref="B7:B11"/>
    <mergeCell ref="B12:C12"/>
    <mergeCell ref="M3:M4"/>
    <mergeCell ref="N3:N4"/>
    <mergeCell ref="O3:O4"/>
    <mergeCell ref="P3:P4"/>
    <mergeCell ref="F3:F4"/>
    <mergeCell ref="Q3:Q4"/>
  </mergeCells>
  <pageMargins left="0.19685039370078741" right="0.11811023622047245" top="0.15748031496062992" bottom="0.15748031496062992" header="0" footer="0"/>
  <pageSetup paperSize="9" scale="86" orientation="portrait" r:id="rId1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5"/>
  <sheetViews>
    <sheetView topLeftCell="A91" zoomScaleNormal="100" workbookViewId="0">
      <selection activeCell="U163" sqref="U163"/>
    </sheetView>
  </sheetViews>
  <sheetFormatPr defaultRowHeight="15" x14ac:dyDescent="0.25"/>
  <cols>
    <col min="1" max="1" width="10.42578125" customWidth="1"/>
    <col min="2" max="2" width="8.42578125" customWidth="1"/>
    <col min="3" max="3" width="27.28515625" customWidth="1"/>
    <col min="4" max="12" width="14.28515625" hidden="1" customWidth="1"/>
    <col min="13" max="13" width="16.42578125" hidden="1" customWidth="1"/>
    <col min="14" max="14" width="15.140625" hidden="1" customWidth="1"/>
    <col min="15" max="15" width="15.28515625" hidden="1" customWidth="1"/>
    <col min="16" max="16" width="14.140625" hidden="1" customWidth="1"/>
    <col min="17" max="17" width="13.5703125" customWidth="1"/>
    <col min="18" max="18" width="12.7109375" customWidth="1"/>
    <col min="19" max="19" width="11" customWidth="1"/>
    <col min="20" max="20" width="11.28515625" style="568" customWidth="1"/>
    <col min="21" max="21" width="12.5703125" style="568" customWidth="1"/>
    <col min="251" max="251" width="11.5703125" customWidth="1"/>
    <col min="253" max="253" width="30.140625" customWidth="1"/>
    <col min="254" max="265" width="0" hidden="1" customWidth="1"/>
    <col min="266" max="266" width="15.28515625" customWidth="1"/>
    <col min="267" max="267" width="14.85546875" customWidth="1"/>
    <col min="268" max="268" width="14.140625" customWidth="1"/>
    <col min="269" max="269" width="8.28515625" customWidth="1"/>
    <col min="270" max="270" width="14" customWidth="1"/>
    <col min="271" max="271" width="13.28515625" customWidth="1"/>
    <col min="274" max="274" width="10.140625" bestFit="1" customWidth="1"/>
    <col min="275" max="275" width="14.5703125" customWidth="1"/>
    <col min="276" max="276" width="11.42578125" customWidth="1"/>
    <col min="277" max="278" width="10.140625" customWidth="1"/>
    <col min="507" max="507" width="11.5703125" customWidth="1"/>
    <col min="509" max="509" width="30.140625" customWidth="1"/>
    <col min="510" max="521" width="0" hidden="1" customWidth="1"/>
    <col min="522" max="522" width="15.28515625" customWidth="1"/>
    <col min="523" max="523" width="14.85546875" customWidth="1"/>
    <col min="524" max="524" width="14.140625" customWidth="1"/>
    <col min="525" max="525" width="8.28515625" customWidth="1"/>
    <col min="526" max="526" width="14" customWidth="1"/>
    <col min="527" max="527" width="13.28515625" customWidth="1"/>
    <col min="530" max="530" width="10.140625" bestFit="1" customWidth="1"/>
    <col min="531" max="531" width="14.5703125" customWidth="1"/>
    <col min="532" max="532" width="11.42578125" customWidth="1"/>
    <col min="533" max="534" width="10.140625" customWidth="1"/>
    <col min="763" max="763" width="11.5703125" customWidth="1"/>
    <col min="765" max="765" width="30.140625" customWidth="1"/>
    <col min="766" max="777" width="0" hidden="1" customWidth="1"/>
    <col min="778" max="778" width="15.28515625" customWidth="1"/>
    <col min="779" max="779" width="14.85546875" customWidth="1"/>
    <col min="780" max="780" width="14.140625" customWidth="1"/>
    <col min="781" max="781" width="8.28515625" customWidth="1"/>
    <col min="782" max="782" width="14" customWidth="1"/>
    <col min="783" max="783" width="13.28515625" customWidth="1"/>
    <col min="786" max="786" width="10.140625" bestFit="1" customWidth="1"/>
    <col min="787" max="787" width="14.5703125" customWidth="1"/>
    <col min="788" max="788" width="11.42578125" customWidth="1"/>
    <col min="789" max="790" width="10.140625" customWidth="1"/>
    <col min="1019" max="1019" width="11.5703125" customWidth="1"/>
    <col min="1021" max="1021" width="30.140625" customWidth="1"/>
    <col min="1022" max="1033" width="0" hidden="1" customWidth="1"/>
    <col min="1034" max="1034" width="15.28515625" customWidth="1"/>
    <col min="1035" max="1035" width="14.85546875" customWidth="1"/>
    <col min="1036" max="1036" width="14.140625" customWidth="1"/>
    <col min="1037" max="1037" width="8.28515625" customWidth="1"/>
    <col min="1038" max="1038" width="14" customWidth="1"/>
    <col min="1039" max="1039" width="13.28515625" customWidth="1"/>
    <col min="1042" max="1042" width="10.140625" bestFit="1" customWidth="1"/>
    <col min="1043" max="1043" width="14.5703125" customWidth="1"/>
    <col min="1044" max="1044" width="11.42578125" customWidth="1"/>
    <col min="1045" max="1046" width="10.140625" customWidth="1"/>
    <col min="1275" max="1275" width="11.5703125" customWidth="1"/>
    <col min="1277" max="1277" width="30.140625" customWidth="1"/>
    <col min="1278" max="1289" width="0" hidden="1" customWidth="1"/>
    <col min="1290" max="1290" width="15.28515625" customWidth="1"/>
    <col min="1291" max="1291" width="14.85546875" customWidth="1"/>
    <col min="1292" max="1292" width="14.140625" customWidth="1"/>
    <col min="1293" max="1293" width="8.28515625" customWidth="1"/>
    <col min="1294" max="1294" width="14" customWidth="1"/>
    <col min="1295" max="1295" width="13.28515625" customWidth="1"/>
    <col min="1298" max="1298" width="10.140625" bestFit="1" customWidth="1"/>
    <col min="1299" max="1299" width="14.5703125" customWidth="1"/>
    <col min="1300" max="1300" width="11.42578125" customWidth="1"/>
    <col min="1301" max="1302" width="10.140625" customWidth="1"/>
    <col min="1531" max="1531" width="11.5703125" customWidth="1"/>
    <col min="1533" max="1533" width="30.140625" customWidth="1"/>
    <col min="1534" max="1545" width="0" hidden="1" customWidth="1"/>
    <col min="1546" max="1546" width="15.28515625" customWidth="1"/>
    <col min="1547" max="1547" width="14.85546875" customWidth="1"/>
    <col min="1548" max="1548" width="14.140625" customWidth="1"/>
    <col min="1549" max="1549" width="8.28515625" customWidth="1"/>
    <col min="1550" max="1550" width="14" customWidth="1"/>
    <col min="1551" max="1551" width="13.28515625" customWidth="1"/>
    <col min="1554" max="1554" width="10.140625" bestFit="1" customWidth="1"/>
    <col min="1555" max="1555" width="14.5703125" customWidth="1"/>
    <col min="1556" max="1556" width="11.42578125" customWidth="1"/>
    <col min="1557" max="1558" width="10.140625" customWidth="1"/>
    <col min="1787" max="1787" width="11.5703125" customWidth="1"/>
    <col min="1789" max="1789" width="30.140625" customWidth="1"/>
    <col min="1790" max="1801" width="0" hidden="1" customWidth="1"/>
    <col min="1802" max="1802" width="15.28515625" customWidth="1"/>
    <col min="1803" max="1803" width="14.85546875" customWidth="1"/>
    <col min="1804" max="1804" width="14.140625" customWidth="1"/>
    <col min="1805" max="1805" width="8.28515625" customWidth="1"/>
    <col min="1806" max="1806" width="14" customWidth="1"/>
    <col min="1807" max="1807" width="13.28515625" customWidth="1"/>
    <col min="1810" max="1810" width="10.140625" bestFit="1" customWidth="1"/>
    <col min="1811" max="1811" width="14.5703125" customWidth="1"/>
    <col min="1812" max="1812" width="11.42578125" customWidth="1"/>
    <col min="1813" max="1814" width="10.140625" customWidth="1"/>
    <col min="2043" max="2043" width="11.5703125" customWidth="1"/>
    <col min="2045" max="2045" width="30.140625" customWidth="1"/>
    <col min="2046" max="2057" width="0" hidden="1" customWidth="1"/>
    <col min="2058" max="2058" width="15.28515625" customWidth="1"/>
    <col min="2059" max="2059" width="14.85546875" customWidth="1"/>
    <col min="2060" max="2060" width="14.140625" customWidth="1"/>
    <col min="2061" max="2061" width="8.28515625" customWidth="1"/>
    <col min="2062" max="2062" width="14" customWidth="1"/>
    <col min="2063" max="2063" width="13.28515625" customWidth="1"/>
    <col min="2066" max="2066" width="10.140625" bestFit="1" customWidth="1"/>
    <col min="2067" max="2067" width="14.5703125" customWidth="1"/>
    <col min="2068" max="2068" width="11.42578125" customWidth="1"/>
    <col min="2069" max="2070" width="10.140625" customWidth="1"/>
    <col min="2299" max="2299" width="11.5703125" customWidth="1"/>
    <col min="2301" max="2301" width="30.140625" customWidth="1"/>
    <col min="2302" max="2313" width="0" hidden="1" customWidth="1"/>
    <col min="2314" max="2314" width="15.28515625" customWidth="1"/>
    <col min="2315" max="2315" width="14.85546875" customWidth="1"/>
    <col min="2316" max="2316" width="14.140625" customWidth="1"/>
    <col min="2317" max="2317" width="8.28515625" customWidth="1"/>
    <col min="2318" max="2318" width="14" customWidth="1"/>
    <col min="2319" max="2319" width="13.28515625" customWidth="1"/>
    <col min="2322" max="2322" width="10.140625" bestFit="1" customWidth="1"/>
    <col min="2323" max="2323" width="14.5703125" customWidth="1"/>
    <col min="2324" max="2324" width="11.42578125" customWidth="1"/>
    <col min="2325" max="2326" width="10.140625" customWidth="1"/>
    <col min="2555" max="2555" width="11.5703125" customWidth="1"/>
    <col min="2557" max="2557" width="30.140625" customWidth="1"/>
    <col min="2558" max="2569" width="0" hidden="1" customWidth="1"/>
    <col min="2570" max="2570" width="15.28515625" customWidth="1"/>
    <col min="2571" max="2571" width="14.85546875" customWidth="1"/>
    <col min="2572" max="2572" width="14.140625" customWidth="1"/>
    <col min="2573" max="2573" width="8.28515625" customWidth="1"/>
    <col min="2574" max="2574" width="14" customWidth="1"/>
    <col min="2575" max="2575" width="13.28515625" customWidth="1"/>
    <col min="2578" max="2578" width="10.140625" bestFit="1" customWidth="1"/>
    <col min="2579" max="2579" width="14.5703125" customWidth="1"/>
    <col min="2580" max="2580" width="11.42578125" customWidth="1"/>
    <col min="2581" max="2582" width="10.140625" customWidth="1"/>
    <col min="2811" max="2811" width="11.5703125" customWidth="1"/>
    <col min="2813" max="2813" width="30.140625" customWidth="1"/>
    <col min="2814" max="2825" width="0" hidden="1" customWidth="1"/>
    <col min="2826" max="2826" width="15.28515625" customWidth="1"/>
    <col min="2827" max="2827" width="14.85546875" customWidth="1"/>
    <col min="2828" max="2828" width="14.140625" customWidth="1"/>
    <col min="2829" max="2829" width="8.28515625" customWidth="1"/>
    <col min="2830" max="2830" width="14" customWidth="1"/>
    <col min="2831" max="2831" width="13.28515625" customWidth="1"/>
    <col min="2834" max="2834" width="10.140625" bestFit="1" customWidth="1"/>
    <col min="2835" max="2835" width="14.5703125" customWidth="1"/>
    <col min="2836" max="2836" width="11.42578125" customWidth="1"/>
    <col min="2837" max="2838" width="10.140625" customWidth="1"/>
    <col min="3067" max="3067" width="11.5703125" customWidth="1"/>
    <col min="3069" max="3069" width="30.140625" customWidth="1"/>
    <col min="3070" max="3081" width="0" hidden="1" customWidth="1"/>
    <col min="3082" max="3082" width="15.28515625" customWidth="1"/>
    <col min="3083" max="3083" width="14.85546875" customWidth="1"/>
    <col min="3084" max="3084" width="14.140625" customWidth="1"/>
    <col min="3085" max="3085" width="8.28515625" customWidth="1"/>
    <col min="3086" max="3086" width="14" customWidth="1"/>
    <col min="3087" max="3087" width="13.28515625" customWidth="1"/>
    <col min="3090" max="3090" width="10.140625" bestFit="1" customWidth="1"/>
    <col min="3091" max="3091" width="14.5703125" customWidth="1"/>
    <col min="3092" max="3092" width="11.42578125" customWidth="1"/>
    <col min="3093" max="3094" width="10.140625" customWidth="1"/>
    <col min="3323" max="3323" width="11.5703125" customWidth="1"/>
    <col min="3325" max="3325" width="30.140625" customWidth="1"/>
    <col min="3326" max="3337" width="0" hidden="1" customWidth="1"/>
    <col min="3338" max="3338" width="15.28515625" customWidth="1"/>
    <col min="3339" max="3339" width="14.85546875" customWidth="1"/>
    <col min="3340" max="3340" width="14.140625" customWidth="1"/>
    <col min="3341" max="3341" width="8.28515625" customWidth="1"/>
    <col min="3342" max="3342" width="14" customWidth="1"/>
    <col min="3343" max="3343" width="13.28515625" customWidth="1"/>
    <col min="3346" max="3346" width="10.140625" bestFit="1" customWidth="1"/>
    <col min="3347" max="3347" width="14.5703125" customWidth="1"/>
    <col min="3348" max="3348" width="11.42578125" customWidth="1"/>
    <col min="3349" max="3350" width="10.140625" customWidth="1"/>
    <col min="3579" max="3579" width="11.5703125" customWidth="1"/>
    <col min="3581" max="3581" width="30.140625" customWidth="1"/>
    <col min="3582" max="3593" width="0" hidden="1" customWidth="1"/>
    <col min="3594" max="3594" width="15.28515625" customWidth="1"/>
    <col min="3595" max="3595" width="14.85546875" customWidth="1"/>
    <col min="3596" max="3596" width="14.140625" customWidth="1"/>
    <col min="3597" max="3597" width="8.28515625" customWidth="1"/>
    <col min="3598" max="3598" width="14" customWidth="1"/>
    <col min="3599" max="3599" width="13.28515625" customWidth="1"/>
    <col min="3602" max="3602" width="10.140625" bestFit="1" customWidth="1"/>
    <col min="3603" max="3603" width="14.5703125" customWidth="1"/>
    <col min="3604" max="3604" width="11.42578125" customWidth="1"/>
    <col min="3605" max="3606" width="10.140625" customWidth="1"/>
    <col min="3835" max="3835" width="11.5703125" customWidth="1"/>
    <col min="3837" max="3837" width="30.140625" customWidth="1"/>
    <col min="3838" max="3849" width="0" hidden="1" customWidth="1"/>
    <col min="3850" max="3850" width="15.28515625" customWidth="1"/>
    <col min="3851" max="3851" width="14.85546875" customWidth="1"/>
    <col min="3852" max="3852" width="14.140625" customWidth="1"/>
    <col min="3853" max="3853" width="8.28515625" customWidth="1"/>
    <col min="3854" max="3854" width="14" customWidth="1"/>
    <col min="3855" max="3855" width="13.28515625" customWidth="1"/>
    <col min="3858" max="3858" width="10.140625" bestFit="1" customWidth="1"/>
    <col min="3859" max="3859" width="14.5703125" customWidth="1"/>
    <col min="3860" max="3860" width="11.42578125" customWidth="1"/>
    <col min="3861" max="3862" width="10.140625" customWidth="1"/>
    <col min="4091" max="4091" width="11.5703125" customWidth="1"/>
    <col min="4093" max="4093" width="30.140625" customWidth="1"/>
    <col min="4094" max="4105" width="0" hidden="1" customWidth="1"/>
    <col min="4106" max="4106" width="15.28515625" customWidth="1"/>
    <col min="4107" max="4107" width="14.85546875" customWidth="1"/>
    <col min="4108" max="4108" width="14.140625" customWidth="1"/>
    <col min="4109" max="4109" width="8.28515625" customWidth="1"/>
    <col min="4110" max="4110" width="14" customWidth="1"/>
    <col min="4111" max="4111" width="13.28515625" customWidth="1"/>
    <col min="4114" max="4114" width="10.140625" bestFit="1" customWidth="1"/>
    <col min="4115" max="4115" width="14.5703125" customWidth="1"/>
    <col min="4116" max="4116" width="11.42578125" customWidth="1"/>
    <col min="4117" max="4118" width="10.140625" customWidth="1"/>
    <col min="4347" max="4347" width="11.5703125" customWidth="1"/>
    <col min="4349" max="4349" width="30.140625" customWidth="1"/>
    <col min="4350" max="4361" width="0" hidden="1" customWidth="1"/>
    <col min="4362" max="4362" width="15.28515625" customWidth="1"/>
    <col min="4363" max="4363" width="14.85546875" customWidth="1"/>
    <col min="4364" max="4364" width="14.140625" customWidth="1"/>
    <col min="4365" max="4365" width="8.28515625" customWidth="1"/>
    <col min="4366" max="4366" width="14" customWidth="1"/>
    <col min="4367" max="4367" width="13.28515625" customWidth="1"/>
    <col min="4370" max="4370" width="10.140625" bestFit="1" customWidth="1"/>
    <col min="4371" max="4371" width="14.5703125" customWidth="1"/>
    <col min="4372" max="4372" width="11.42578125" customWidth="1"/>
    <col min="4373" max="4374" width="10.140625" customWidth="1"/>
    <col min="4603" max="4603" width="11.5703125" customWidth="1"/>
    <col min="4605" max="4605" width="30.140625" customWidth="1"/>
    <col min="4606" max="4617" width="0" hidden="1" customWidth="1"/>
    <col min="4618" max="4618" width="15.28515625" customWidth="1"/>
    <col min="4619" max="4619" width="14.85546875" customWidth="1"/>
    <col min="4620" max="4620" width="14.140625" customWidth="1"/>
    <col min="4621" max="4621" width="8.28515625" customWidth="1"/>
    <col min="4622" max="4622" width="14" customWidth="1"/>
    <col min="4623" max="4623" width="13.28515625" customWidth="1"/>
    <col min="4626" max="4626" width="10.140625" bestFit="1" customWidth="1"/>
    <col min="4627" max="4627" width="14.5703125" customWidth="1"/>
    <col min="4628" max="4628" width="11.42578125" customWidth="1"/>
    <col min="4629" max="4630" width="10.140625" customWidth="1"/>
    <col min="4859" max="4859" width="11.5703125" customWidth="1"/>
    <col min="4861" max="4861" width="30.140625" customWidth="1"/>
    <col min="4862" max="4873" width="0" hidden="1" customWidth="1"/>
    <col min="4874" max="4874" width="15.28515625" customWidth="1"/>
    <col min="4875" max="4875" width="14.85546875" customWidth="1"/>
    <col min="4876" max="4876" width="14.140625" customWidth="1"/>
    <col min="4877" max="4877" width="8.28515625" customWidth="1"/>
    <col min="4878" max="4878" width="14" customWidth="1"/>
    <col min="4879" max="4879" width="13.28515625" customWidth="1"/>
    <col min="4882" max="4882" width="10.140625" bestFit="1" customWidth="1"/>
    <col min="4883" max="4883" width="14.5703125" customWidth="1"/>
    <col min="4884" max="4884" width="11.42578125" customWidth="1"/>
    <col min="4885" max="4886" width="10.140625" customWidth="1"/>
    <col min="5115" max="5115" width="11.5703125" customWidth="1"/>
    <col min="5117" max="5117" width="30.140625" customWidth="1"/>
    <col min="5118" max="5129" width="0" hidden="1" customWidth="1"/>
    <col min="5130" max="5130" width="15.28515625" customWidth="1"/>
    <col min="5131" max="5131" width="14.85546875" customWidth="1"/>
    <col min="5132" max="5132" width="14.140625" customWidth="1"/>
    <col min="5133" max="5133" width="8.28515625" customWidth="1"/>
    <col min="5134" max="5134" width="14" customWidth="1"/>
    <col min="5135" max="5135" width="13.28515625" customWidth="1"/>
    <col min="5138" max="5138" width="10.140625" bestFit="1" customWidth="1"/>
    <col min="5139" max="5139" width="14.5703125" customWidth="1"/>
    <col min="5140" max="5140" width="11.42578125" customWidth="1"/>
    <col min="5141" max="5142" width="10.140625" customWidth="1"/>
    <col min="5371" max="5371" width="11.5703125" customWidth="1"/>
    <col min="5373" max="5373" width="30.140625" customWidth="1"/>
    <col min="5374" max="5385" width="0" hidden="1" customWidth="1"/>
    <col min="5386" max="5386" width="15.28515625" customWidth="1"/>
    <col min="5387" max="5387" width="14.85546875" customWidth="1"/>
    <col min="5388" max="5388" width="14.140625" customWidth="1"/>
    <col min="5389" max="5389" width="8.28515625" customWidth="1"/>
    <col min="5390" max="5390" width="14" customWidth="1"/>
    <col min="5391" max="5391" width="13.28515625" customWidth="1"/>
    <col min="5394" max="5394" width="10.140625" bestFit="1" customWidth="1"/>
    <col min="5395" max="5395" width="14.5703125" customWidth="1"/>
    <col min="5396" max="5396" width="11.42578125" customWidth="1"/>
    <col min="5397" max="5398" width="10.140625" customWidth="1"/>
    <col min="5627" max="5627" width="11.5703125" customWidth="1"/>
    <col min="5629" max="5629" width="30.140625" customWidth="1"/>
    <col min="5630" max="5641" width="0" hidden="1" customWidth="1"/>
    <col min="5642" max="5642" width="15.28515625" customWidth="1"/>
    <col min="5643" max="5643" width="14.85546875" customWidth="1"/>
    <col min="5644" max="5644" width="14.140625" customWidth="1"/>
    <col min="5645" max="5645" width="8.28515625" customWidth="1"/>
    <col min="5646" max="5646" width="14" customWidth="1"/>
    <col min="5647" max="5647" width="13.28515625" customWidth="1"/>
    <col min="5650" max="5650" width="10.140625" bestFit="1" customWidth="1"/>
    <col min="5651" max="5651" width="14.5703125" customWidth="1"/>
    <col min="5652" max="5652" width="11.42578125" customWidth="1"/>
    <col min="5653" max="5654" width="10.140625" customWidth="1"/>
    <col min="5883" max="5883" width="11.5703125" customWidth="1"/>
    <col min="5885" max="5885" width="30.140625" customWidth="1"/>
    <col min="5886" max="5897" width="0" hidden="1" customWidth="1"/>
    <col min="5898" max="5898" width="15.28515625" customWidth="1"/>
    <col min="5899" max="5899" width="14.85546875" customWidth="1"/>
    <col min="5900" max="5900" width="14.140625" customWidth="1"/>
    <col min="5901" max="5901" width="8.28515625" customWidth="1"/>
    <col min="5902" max="5902" width="14" customWidth="1"/>
    <col min="5903" max="5903" width="13.28515625" customWidth="1"/>
    <col min="5906" max="5906" width="10.140625" bestFit="1" customWidth="1"/>
    <col min="5907" max="5907" width="14.5703125" customWidth="1"/>
    <col min="5908" max="5908" width="11.42578125" customWidth="1"/>
    <col min="5909" max="5910" width="10.140625" customWidth="1"/>
    <col min="6139" max="6139" width="11.5703125" customWidth="1"/>
    <col min="6141" max="6141" width="30.140625" customWidth="1"/>
    <col min="6142" max="6153" width="0" hidden="1" customWidth="1"/>
    <col min="6154" max="6154" width="15.28515625" customWidth="1"/>
    <col min="6155" max="6155" width="14.85546875" customWidth="1"/>
    <col min="6156" max="6156" width="14.140625" customWidth="1"/>
    <col min="6157" max="6157" width="8.28515625" customWidth="1"/>
    <col min="6158" max="6158" width="14" customWidth="1"/>
    <col min="6159" max="6159" width="13.28515625" customWidth="1"/>
    <col min="6162" max="6162" width="10.140625" bestFit="1" customWidth="1"/>
    <col min="6163" max="6163" width="14.5703125" customWidth="1"/>
    <col min="6164" max="6164" width="11.42578125" customWidth="1"/>
    <col min="6165" max="6166" width="10.140625" customWidth="1"/>
    <col min="6395" max="6395" width="11.5703125" customWidth="1"/>
    <col min="6397" max="6397" width="30.140625" customWidth="1"/>
    <col min="6398" max="6409" width="0" hidden="1" customWidth="1"/>
    <col min="6410" max="6410" width="15.28515625" customWidth="1"/>
    <col min="6411" max="6411" width="14.85546875" customWidth="1"/>
    <col min="6412" max="6412" width="14.140625" customWidth="1"/>
    <col min="6413" max="6413" width="8.28515625" customWidth="1"/>
    <col min="6414" max="6414" width="14" customWidth="1"/>
    <col min="6415" max="6415" width="13.28515625" customWidth="1"/>
    <col min="6418" max="6418" width="10.140625" bestFit="1" customWidth="1"/>
    <col min="6419" max="6419" width="14.5703125" customWidth="1"/>
    <col min="6420" max="6420" width="11.42578125" customWidth="1"/>
    <col min="6421" max="6422" width="10.140625" customWidth="1"/>
    <col min="6651" max="6651" width="11.5703125" customWidth="1"/>
    <col min="6653" max="6653" width="30.140625" customWidth="1"/>
    <col min="6654" max="6665" width="0" hidden="1" customWidth="1"/>
    <col min="6666" max="6666" width="15.28515625" customWidth="1"/>
    <col min="6667" max="6667" width="14.85546875" customWidth="1"/>
    <col min="6668" max="6668" width="14.140625" customWidth="1"/>
    <col min="6669" max="6669" width="8.28515625" customWidth="1"/>
    <col min="6670" max="6670" width="14" customWidth="1"/>
    <col min="6671" max="6671" width="13.28515625" customWidth="1"/>
    <col min="6674" max="6674" width="10.140625" bestFit="1" customWidth="1"/>
    <col min="6675" max="6675" width="14.5703125" customWidth="1"/>
    <col min="6676" max="6676" width="11.42578125" customWidth="1"/>
    <col min="6677" max="6678" width="10.140625" customWidth="1"/>
    <col min="6907" max="6907" width="11.5703125" customWidth="1"/>
    <col min="6909" max="6909" width="30.140625" customWidth="1"/>
    <col min="6910" max="6921" width="0" hidden="1" customWidth="1"/>
    <col min="6922" max="6922" width="15.28515625" customWidth="1"/>
    <col min="6923" max="6923" width="14.85546875" customWidth="1"/>
    <col min="6924" max="6924" width="14.140625" customWidth="1"/>
    <col min="6925" max="6925" width="8.28515625" customWidth="1"/>
    <col min="6926" max="6926" width="14" customWidth="1"/>
    <col min="6927" max="6927" width="13.28515625" customWidth="1"/>
    <col min="6930" max="6930" width="10.140625" bestFit="1" customWidth="1"/>
    <col min="6931" max="6931" width="14.5703125" customWidth="1"/>
    <col min="6932" max="6932" width="11.42578125" customWidth="1"/>
    <col min="6933" max="6934" width="10.140625" customWidth="1"/>
    <col min="7163" max="7163" width="11.5703125" customWidth="1"/>
    <col min="7165" max="7165" width="30.140625" customWidth="1"/>
    <col min="7166" max="7177" width="0" hidden="1" customWidth="1"/>
    <col min="7178" max="7178" width="15.28515625" customWidth="1"/>
    <col min="7179" max="7179" width="14.85546875" customWidth="1"/>
    <col min="7180" max="7180" width="14.140625" customWidth="1"/>
    <col min="7181" max="7181" width="8.28515625" customWidth="1"/>
    <col min="7182" max="7182" width="14" customWidth="1"/>
    <col min="7183" max="7183" width="13.28515625" customWidth="1"/>
    <col min="7186" max="7186" width="10.140625" bestFit="1" customWidth="1"/>
    <col min="7187" max="7187" width="14.5703125" customWidth="1"/>
    <col min="7188" max="7188" width="11.42578125" customWidth="1"/>
    <col min="7189" max="7190" width="10.140625" customWidth="1"/>
    <col min="7419" max="7419" width="11.5703125" customWidth="1"/>
    <col min="7421" max="7421" width="30.140625" customWidth="1"/>
    <col min="7422" max="7433" width="0" hidden="1" customWidth="1"/>
    <col min="7434" max="7434" width="15.28515625" customWidth="1"/>
    <col min="7435" max="7435" width="14.85546875" customWidth="1"/>
    <col min="7436" max="7436" width="14.140625" customWidth="1"/>
    <col min="7437" max="7437" width="8.28515625" customWidth="1"/>
    <col min="7438" max="7438" width="14" customWidth="1"/>
    <col min="7439" max="7439" width="13.28515625" customWidth="1"/>
    <col min="7442" max="7442" width="10.140625" bestFit="1" customWidth="1"/>
    <col min="7443" max="7443" width="14.5703125" customWidth="1"/>
    <col min="7444" max="7444" width="11.42578125" customWidth="1"/>
    <col min="7445" max="7446" width="10.140625" customWidth="1"/>
    <col min="7675" max="7675" width="11.5703125" customWidth="1"/>
    <col min="7677" max="7677" width="30.140625" customWidth="1"/>
    <col min="7678" max="7689" width="0" hidden="1" customWidth="1"/>
    <col min="7690" max="7690" width="15.28515625" customWidth="1"/>
    <col min="7691" max="7691" width="14.85546875" customWidth="1"/>
    <col min="7692" max="7692" width="14.140625" customWidth="1"/>
    <col min="7693" max="7693" width="8.28515625" customWidth="1"/>
    <col min="7694" max="7694" width="14" customWidth="1"/>
    <col min="7695" max="7695" width="13.28515625" customWidth="1"/>
    <col min="7698" max="7698" width="10.140625" bestFit="1" customWidth="1"/>
    <col min="7699" max="7699" width="14.5703125" customWidth="1"/>
    <col min="7700" max="7700" width="11.42578125" customWidth="1"/>
    <col min="7701" max="7702" width="10.140625" customWidth="1"/>
    <col min="7931" max="7931" width="11.5703125" customWidth="1"/>
    <col min="7933" max="7933" width="30.140625" customWidth="1"/>
    <col min="7934" max="7945" width="0" hidden="1" customWidth="1"/>
    <col min="7946" max="7946" width="15.28515625" customWidth="1"/>
    <col min="7947" max="7947" width="14.85546875" customWidth="1"/>
    <col min="7948" max="7948" width="14.140625" customWidth="1"/>
    <col min="7949" max="7949" width="8.28515625" customWidth="1"/>
    <col min="7950" max="7950" width="14" customWidth="1"/>
    <col min="7951" max="7951" width="13.28515625" customWidth="1"/>
    <col min="7954" max="7954" width="10.140625" bestFit="1" customWidth="1"/>
    <col min="7955" max="7955" width="14.5703125" customWidth="1"/>
    <col min="7956" max="7956" width="11.42578125" customWidth="1"/>
    <col min="7957" max="7958" width="10.140625" customWidth="1"/>
    <col min="8187" max="8187" width="11.5703125" customWidth="1"/>
    <col min="8189" max="8189" width="30.140625" customWidth="1"/>
    <col min="8190" max="8201" width="0" hidden="1" customWidth="1"/>
    <col min="8202" max="8202" width="15.28515625" customWidth="1"/>
    <col min="8203" max="8203" width="14.85546875" customWidth="1"/>
    <col min="8204" max="8204" width="14.140625" customWidth="1"/>
    <col min="8205" max="8205" width="8.28515625" customWidth="1"/>
    <col min="8206" max="8206" width="14" customWidth="1"/>
    <col min="8207" max="8207" width="13.28515625" customWidth="1"/>
    <col min="8210" max="8210" width="10.140625" bestFit="1" customWidth="1"/>
    <col min="8211" max="8211" width="14.5703125" customWidth="1"/>
    <col min="8212" max="8212" width="11.42578125" customWidth="1"/>
    <col min="8213" max="8214" width="10.140625" customWidth="1"/>
    <col min="8443" max="8443" width="11.5703125" customWidth="1"/>
    <col min="8445" max="8445" width="30.140625" customWidth="1"/>
    <col min="8446" max="8457" width="0" hidden="1" customWidth="1"/>
    <col min="8458" max="8458" width="15.28515625" customWidth="1"/>
    <col min="8459" max="8459" width="14.85546875" customWidth="1"/>
    <col min="8460" max="8460" width="14.140625" customWidth="1"/>
    <col min="8461" max="8461" width="8.28515625" customWidth="1"/>
    <col min="8462" max="8462" width="14" customWidth="1"/>
    <col min="8463" max="8463" width="13.28515625" customWidth="1"/>
    <col min="8466" max="8466" width="10.140625" bestFit="1" customWidth="1"/>
    <col min="8467" max="8467" width="14.5703125" customWidth="1"/>
    <col min="8468" max="8468" width="11.42578125" customWidth="1"/>
    <col min="8469" max="8470" width="10.140625" customWidth="1"/>
    <col min="8699" max="8699" width="11.5703125" customWidth="1"/>
    <col min="8701" max="8701" width="30.140625" customWidth="1"/>
    <col min="8702" max="8713" width="0" hidden="1" customWidth="1"/>
    <col min="8714" max="8714" width="15.28515625" customWidth="1"/>
    <col min="8715" max="8715" width="14.85546875" customWidth="1"/>
    <col min="8716" max="8716" width="14.140625" customWidth="1"/>
    <col min="8717" max="8717" width="8.28515625" customWidth="1"/>
    <col min="8718" max="8718" width="14" customWidth="1"/>
    <col min="8719" max="8719" width="13.28515625" customWidth="1"/>
    <col min="8722" max="8722" width="10.140625" bestFit="1" customWidth="1"/>
    <col min="8723" max="8723" width="14.5703125" customWidth="1"/>
    <col min="8724" max="8724" width="11.42578125" customWidth="1"/>
    <col min="8725" max="8726" width="10.140625" customWidth="1"/>
    <col min="8955" max="8955" width="11.5703125" customWidth="1"/>
    <col min="8957" max="8957" width="30.140625" customWidth="1"/>
    <col min="8958" max="8969" width="0" hidden="1" customWidth="1"/>
    <col min="8970" max="8970" width="15.28515625" customWidth="1"/>
    <col min="8971" max="8971" width="14.85546875" customWidth="1"/>
    <col min="8972" max="8972" width="14.140625" customWidth="1"/>
    <col min="8973" max="8973" width="8.28515625" customWidth="1"/>
    <col min="8974" max="8974" width="14" customWidth="1"/>
    <col min="8975" max="8975" width="13.28515625" customWidth="1"/>
    <col min="8978" max="8978" width="10.140625" bestFit="1" customWidth="1"/>
    <col min="8979" max="8979" width="14.5703125" customWidth="1"/>
    <col min="8980" max="8980" width="11.42578125" customWidth="1"/>
    <col min="8981" max="8982" width="10.140625" customWidth="1"/>
    <col min="9211" max="9211" width="11.5703125" customWidth="1"/>
    <col min="9213" max="9213" width="30.140625" customWidth="1"/>
    <col min="9214" max="9225" width="0" hidden="1" customWidth="1"/>
    <col min="9226" max="9226" width="15.28515625" customWidth="1"/>
    <col min="9227" max="9227" width="14.85546875" customWidth="1"/>
    <col min="9228" max="9228" width="14.140625" customWidth="1"/>
    <col min="9229" max="9229" width="8.28515625" customWidth="1"/>
    <col min="9230" max="9230" width="14" customWidth="1"/>
    <col min="9231" max="9231" width="13.28515625" customWidth="1"/>
    <col min="9234" max="9234" width="10.140625" bestFit="1" customWidth="1"/>
    <col min="9235" max="9235" width="14.5703125" customWidth="1"/>
    <col min="9236" max="9236" width="11.42578125" customWidth="1"/>
    <col min="9237" max="9238" width="10.140625" customWidth="1"/>
    <col min="9467" max="9467" width="11.5703125" customWidth="1"/>
    <col min="9469" max="9469" width="30.140625" customWidth="1"/>
    <col min="9470" max="9481" width="0" hidden="1" customWidth="1"/>
    <col min="9482" max="9482" width="15.28515625" customWidth="1"/>
    <col min="9483" max="9483" width="14.85546875" customWidth="1"/>
    <col min="9484" max="9484" width="14.140625" customWidth="1"/>
    <col min="9485" max="9485" width="8.28515625" customWidth="1"/>
    <col min="9486" max="9486" width="14" customWidth="1"/>
    <col min="9487" max="9487" width="13.28515625" customWidth="1"/>
    <col min="9490" max="9490" width="10.140625" bestFit="1" customWidth="1"/>
    <col min="9491" max="9491" width="14.5703125" customWidth="1"/>
    <col min="9492" max="9492" width="11.42578125" customWidth="1"/>
    <col min="9493" max="9494" width="10.140625" customWidth="1"/>
    <col min="9723" max="9723" width="11.5703125" customWidth="1"/>
    <col min="9725" max="9725" width="30.140625" customWidth="1"/>
    <col min="9726" max="9737" width="0" hidden="1" customWidth="1"/>
    <col min="9738" max="9738" width="15.28515625" customWidth="1"/>
    <col min="9739" max="9739" width="14.85546875" customWidth="1"/>
    <col min="9740" max="9740" width="14.140625" customWidth="1"/>
    <col min="9741" max="9741" width="8.28515625" customWidth="1"/>
    <col min="9742" max="9742" width="14" customWidth="1"/>
    <col min="9743" max="9743" width="13.28515625" customWidth="1"/>
    <col min="9746" max="9746" width="10.140625" bestFit="1" customWidth="1"/>
    <col min="9747" max="9747" width="14.5703125" customWidth="1"/>
    <col min="9748" max="9748" width="11.42578125" customWidth="1"/>
    <col min="9749" max="9750" width="10.140625" customWidth="1"/>
    <col min="9979" max="9979" width="11.5703125" customWidth="1"/>
    <col min="9981" max="9981" width="30.140625" customWidth="1"/>
    <col min="9982" max="9993" width="0" hidden="1" customWidth="1"/>
    <col min="9994" max="9994" width="15.28515625" customWidth="1"/>
    <col min="9995" max="9995" width="14.85546875" customWidth="1"/>
    <col min="9996" max="9996" width="14.140625" customWidth="1"/>
    <col min="9997" max="9997" width="8.28515625" customWidth="1"/>
    <col min="9998" max="9998" width="14" customWidth="1"/>
    <col min="9999" max="9999" width="13.28515625" customWidth="1"/>
    <col min="10002" max="10002" width="10.140625" bestFit="1" customWidth="1"/>
    <col min="10003" max="10003" width="14.5703125" customWidth="1"/>
    <col min="10004" max="10004" width="11.42578125" customWidth="1"/>
    <col min="10005" max="10006" width="10.140625" customWidth="1"/>
    <col min="10235" max="10235" width="11.5703125" customWidth="1"/>
    <col min="10237" max="10237" width="30.140625" customWidth="1"/>
    <col min="10238" max="10249" width="0" hidden="1" customWidth="1"/>
    <col min="10250" max="10250" width="15.28515625" customWidth="1"/>
    <col min="10251" max="10251" width="14.85546875" customWidth="1"/>
    <col min="10252" max="10252" width="14.140625" customWidth="1"/>
    <col min="10253" max="10253" width="8.28515625" customWidth="1"/>
    <col min="10254" max="10254" width="14" customWidth="1"/>
    <col min="10255" max="10255" width="13.28515625" customWidth="1"/>
    <col min="10258" max="10258" width="10.140625" bestFit="1" customWidth="1"/>
    <col min="10259" max="10259" width="14.5703125" customWidth="1"/>
    <col min="10260" max="10260" width="11.42578125" customWidth="1"/>
    <col min="10261" max="10262" width="10.140625" customWidth="1"/>
    <col min="10491" max="10491" width="11.5703125" customWidth="1"/>
    <col min="10493" max="10493" width="30.140625" customWidth="1"/>
    <col min="10494" max="10505" width="0" hidden="1" customWidth="1"/>
    <col min="10506" max="10506" width="15.28515625" customWidth="1"/>
    <col min="10507" max="10507" width="14.85546875" customWidth="1"/>
    <col min="10508" max="10508" width="14.140625" customWidth="1"/>
    <col min="10509" max="10509" width="8.28515625" customWidth="1"/>
    <col min="10510" max="10510" width="14" customWidth="1"/>
    <col min="10511" max="10511" width="13.28515625" customWidth="1"/>
    <col min="10514" max="10514" width="10.140625" bestFit="1" customWidth="1"/>
    <col min="10515" max="10515" width="14.5703125" customWidth="1"/>
    <col min="10516" max="10516" width="11.42578125" customWidth="1"/>
    <col min="10517" max="10518" width="10.140625" customWidth="1"/>
    <col min="10747" max="10747" width="11.5703125" customWidth="1"/>
    <col min="10749" max="10749" width="30.140625" customWidth="1"/>
    <col min="10750" max="10761" width="0" hidden="1" customWidth="1"/>
    <col min="10762" max="10762" width="15.28515625" customWidth="1"/>
    <col min="10763" max="10763" width="14.85546875" customWidth="1"/>
    <col min="10764" max="10764" width="14.140625" customWidth="1"/>
    <col min="10765" max="10765" width="8.28515625" customWidth="1"/>
    <col min="10766" max="10766" width="14" customWidth="1"/>
    <col min="10767" max="10767" width="13.28515625" customWidth="1"/>
    <col min="10770" max="10770" width="10.140625" bestFit="1" customWidth="1"/>
    <col min="10771" max="10771" width="14.5703125" customWidth="1"/>
    <col min="10772" max="10772" width="11.42578125" customWidth="1"/>
    <col min="10773" max="10774" width="10.140625" customWidth="1"/>
    <col min="11003" max="11003" width="11.5703125" customWidth="1"/>
    <col min="11005" max="11005" width="30.140625" customWidth="1"/>
    <col min="11006" max="11017" width="0" hidden="1" customWidth="1"/>
    <col min="11018" max="11018" width="15.28515625" customWidth="1"/>
    <col min="11019" max="11019" width="14.85546875" customWidth="1"/>
    <col min="11020" max="11020" width="14.140625" customWidth="1"/>
    <col min="11021" max="11021" width="8.28515625" customWidth="1"/>
    <col min="11022" max="11022" width="14" customWidth="1"/>
    <col min="11023" max="11023" width="13.28515625" customWidth="1"/>
    <col min="11026" max="11026" width="10.140625" bestFit="1" customWidth="1"/>
    <col min="11027" max="11027" width="14.5703125" customWidth="1"/>
    <col min="11028" max="11028" width="11.42578125" customWidth="1"/>
    <col min="11029" max="11030" width="10.140625" customWidth="1"/>
    <col min="11259" max="11259" width="11.5703125" customWidth="1"/>
    <col min="11261" max="11261" width="30.140625" customWidth="1"/>
    <col min="11262" max="11273" width="0" hidden="1" customWidth="1"/>
    <col min="11274" max="11274" width="15.28515625" customWidth="1"/>
    <col min="11275" max="11275" width="14.85546875" customWidth="1"/>
    <col min="11276" max="11276" width="14.140625" customWidth="1"/>
    <col min="11277" max="11277" width="8.28515625" customWidth="1"/>
    <col min="11278" max="11278" width="14" customWidth="1"/>
    <col min="11279" max="11279" width="13.28515625" customWidth="1"/>
    <col min="11282" max="11282" width="10.140625" bestFit="1" customWidth="1"/>
    <col min="11283" max="11283" width="14.5703125" customWidth="1"/>
    <col min="11284" max="11284" width="11.42578125" customWidth="1"/>
    <col min="11285" max="11286" width="10.140625" customWidth="1"/>
    <col min="11515" max="11515" width="11.5703125" customWidth="1"/>
    <col min="11517" max="11517" width="30.140625" customWidth="1"/>
    <col min="11518" max="11529" width="0" hidden="1" customWidth="1"/>
    <col min="11530" max="11530" width="15.28515625" customWidth="1"/>
    <col min="11531" max="11531" width="14.85546875" customWidth="1"/>
    <col min="11532" max="11532" width="14.140625" customWidth="1"/>
    <col min="11533" max="11533" width="8.28515625" customWidth="1"/>
    <col min="11534" max="11534" width="14" customWidth="1"/>
    <col min="11535" max="11535" width="13.28515625" customWidth="1"/>
    <col min="11538" max="11538" width="10.140625" bestFit="1" customWidth="1"/>
    <col min="11539" max="11539" width="14.5703125" customWidth="1"/>
    <col min="11540" max="11540" width="11.42578125" customWidth="1"/>
    <col min="11541" max="11542" width="10.140625" customWidth="1"/>
    <col min="11771" max="11771" width="11.5703125" customWidth="1"/>
    <col min="11773" max="11773" width="30.140625" customWidth="1"/>
    <col min="11774" max="11785" width="0" hidden="1" customWidth="1"/>
    <col min="11786" max="11786" width="15.28515625" customWidth="1"/>
    <col min="11787" max="11787" width="14.85546875" customWidth="1"/>
    <col min="11788" max="11788" width="14.140625" customWidth="1"/>
    <col min="11789" max="11789" width="8.28515625" customWidth="1"/>
    <col min="11790" max="11790" width="14" customWidth="1"/>
    <col min="11791" max="11791" width="13.28515625" customWidth="1"/>
    <col min="11794" max="11794" width="10.140625" bestFit="1" customWidth="1"/>
    <col min="11795" max="11795" width="14.5703125" customWidth="1"/>
    <col min="11796" max="11796" width="11.42578125" customWidth="1"/>
    <col min="11797" max="11798" width="10.140625" customWidth="1"/>
    <col min="12027" max="12027" width="11.5703125" customWidth="1"/>
    <col min="12029" max="12029" width="30.140625" customWidth="1"/>
    <col min="12030" max="12041" width="0" hidden="1" customWidth="1"/>
    <col min="12042" max="12042" width="15.28515625" customWidth="1"/>
    <col min="12043" max="12043" width="14.85546875" customWidth="1"/>
    <col min="12044" max="12044" width="14.140625" customWidth="1"/>
    <col min="12045" max="12045" width="8.28515625" customWidth="1"/>
    <col min="12046" max="12046" width="14" customWidth="1"/>
    <col min="12047" max="12047" width="13.28515625" customWidth="1"/>
    <col min="12050" max="12050" width="10.140625" bestFit="1" customWidth="1"/>
    <col min="12051" max="12051" width="14.5703125" customWidth="1"/>
    <col min="12052" max="12052" width="11.42578125" customWidth="1"/>
    <col min="12053" max="12054" width="10.140625" customWidth="1"/>
    <col min="12283" max="12283" width="11.5703125" customWidth="1"/>
    <col min="12285" max="12285" width="30.140625" customWidth="1"/>
    <col min="12286" max="12297" width="0" hidden="1" customWidth="1"/>
    <col min="12298" max="12298" width="15.28515625" customWidth="1"/>
    <col min="12299" max="12299" width="14.85546875" customWidth="1"/>
    <col min="12300" max="12300" width="14.140625" customWidth="1"/>
    <col min="12301" max="12301" width="8.28515625" customWidth="1"/>
    <col min="12302" max="12302" width="14" customWidth="1"/>
    <col min="12303" max="12303" width="13.28515625" customWidth="1"/>
    <col min="12306" max="12306" width="10.140625" bestFit="1" customWidth="1"/>
    <col min="12307" max="12307" width="14.5703125" customWidth="1"/>
    <col min="12308" max="12308" width="11.42578125" customWidth="1"/>
    <col min="12309" max="12310" width="10.140625" customWidth="1"/>
    <col min="12539" max="12539" width="11.5703125" customWidth="1"/>
    <col min="12541" max="12541" width="30.140625" customWidth="1"/>
    <col min="12542" max="12553" width="0" hidden="1" customWidth="1"/>
    <col min="12554" max="12554" width="15.28515625" customWidth="1"/>
    <col min="12555" max="12555" width="14.85546875" customWidth="1"/>
    <col min="12556" max="12556" width="14.140625" customWidth="1"/>
    <col min="12557" max="12557" width="8.28515625" customWidth="1"/>
    <col min="12558" max="12558" width="14" customWidth="1"/>
    <col min="12559" max="12559" width="13.28515625" customWidth="1"/>
    <col min="12562" max="12562" width="10.140625" bestFit="1" customWidth="1"/>
    <col min="12563" max="12563" width="14.5703125" customWidth="1"/>
    <col min="12564" max="12564" width="11.42578125" customWidth="1"/>
    <col min="12565" max="12566" width="10.140625" customWidth="1"/>
    <col min="12795" max="12795" width="11.5703125" customWidth="1"/>
    <col min="12797" max="12797" width="30.140625" customWidth="1"/>
    <col min="12798" max="12809" width="0" hidden="1" customWidth="1"/>
    <col min="12810" max="12810" width="15.28515625" customWidth="1"/>
    <col min="12811" max="12811" width="14.85546875" customWidth="1"/>
    <col min="12812" max="12812" width="14.140625" customWidth="1"/>
    <col min="12813" max="12813" width="8.28515625" customWidth="1"/>
    <col min="12814" max="12814" width="14" customWidth="1"/>
    <col min="12815" max="12815" width="13.28515625" customWidth="1"/>
    <col min="12818" max="12818" width="10.140625" bestFit="1" customWidth="1"/>
    <col min="12819" max="12819" width="14.5703125" customWidth="1"/>
    <col min="12820" max="12820" width="11.42578125" customWidth="1"/>
    <col min="12821" max="12822" width="10.140625" customWidth="1"/>
    <col min="13051" max="13051" width="11.5703125" customWidth="1"/>
    <col min="13053" max="13053" width="30.140625" customWidth="1"/>
    <col min="13054" max="13065" width="0" hidden="1" customWidth="1"/>
    <col min="13066" max="13066" width="15.28515625" customWidth="1"/>
    <col min="13067" max="13067" width="14.85546875" customWidth="1"/>
    <col min="13068" max="13068" width="14.140625" customWidth="1"/>
    <col min="13069" max="13069" width="8.28515625" customWidth="1"/>
    <col min="13070" max="13070" width="14" customWidth="1"/>
    <col min="13071" max="13071" width="13.28515625" customWidth="1"/>
    <col min="13074" max="13074" width="10.140625" bestFit="1" customWidth="1"/>
    <col min="13075" max="13075" width="14.5703125" customWidth="1"/>
    <col min="13076" max="13076" width="11.42578125" customWidth="1"/>
    <col min="13077" max="13078" width="10.140625" customWidth="1"/>
    <col min="13307" max="13307" width="11.5703125" customWidth="1"/>
    <col min="13309" max="13309" width="30.140625" customWidth="1"/>
    <col min="13310" max="13321" width="0" hidden="1" customWidth="1"/>
    <col min="13322" max="13322" width="15.28515625" customWidth="1"/>
    <col min="13323" max="13323" width="14.85546875" customWidth="1"/>
    <col min="13324" max="13324" width="14.140625" customWidth="1"/>
    <col min="13325" max="13325" width="8.28515625" customWidth="1"/>
    <col min="13326" max="13326" width="14" customWidth="1"/>
    <col min="13327" max="13327" width="13.28515625" customWidth="1"/>
    <col min="13330" max="13330" width="10.140625" bestFit="1" customWidth="1"/>
    <col min="13331" max="13331" width="14.5703125" customWidth="1"/>
    <col min="13332" max="13332" width="11.42578125" customWidth="1"/>
    <col min="13333" max="13334" width="10.140625" customWidth="1"/>
    <col min="13563" max="13563" width="11.5703125" customWidth="1"/>
    <col min="13565" max="13565" width="30.140625" customWidth="1"/>
    <col min="13566" max="13577" width="0" hidden="1" customWidth="1"/>
    <col min="13578" max="13578" width="15.28515625" customWidth="1"/>
    <col min="13579" max="13579" width="14.85546875" customWidth="1"/>
    <col min="13580" max="13580" width="14.140625" customWidth="1"/>
    <col min="13581" max="13581" width="8.28515625" customWidth="1"/>
    <col min="13582" max="13582" width="14" customWidth="1"/>
    <col min="13583" max="13583" width="13.28515625" customWidth="1"/>
    <col min="13586" max="13586" width="10.140625" bestFit="1" customWidth="1"/>
    <col min="13587" max="13587" width="14.5703125" customWidth="1"/>
    <col min="13588" max="13588" width="11.42578125" customWidth="1"/>
    <col min="13589" max="13590" width="10.140625" customWidth="1"/>
    <col min="13819" max="13819" width="11.5703125" customWidth="1"/>
    <col min="13821" max="13821" width="30.140625" customWidth="1"/>
    <col min="13822" max="13833" width="0" hidden="1" customWidth="1"/>
    <col min="13834" max="13834" width="15.28515625" customWidth="1"/>
    <col min="13835" max="13835" width="14.85546875" customWidth="1"/>
    <col min="13836" max="13836" width="14.140625" customWidth="1"/>
    <col min="13837" max="13837" width="8.28515625" customWidth="1"/>
    <col min="13838" max="13838" width="14" customWidth="1"/>
    <col min="13839" max="13839" width="13.28515625" customWidth="1"/>
    <col min="13842" max="13842" width="10.140625" bestFit="1" customWidth="1"/>
    <col min="13843" max="13843" width="14.5703125" customWidth="1"/>
    <col min="13844" max="13844" width="11.42578125" customWidth="1"/>
    <col min="13845" max="13846" width="10.140625" customWidth="1"/>
    <col min="14075" max="14075" width="11.5703125" customWidth="1"/>
    <col min="14077" max="14077" width="30.140625" customWidth="1"/>
    <col min="14078" max="14089" width="0" hidden="1" customWidth="1"/>
    <col min="14090" max="14090" width="15.28515625" customWidth="1"/>
    <col min="14091" max="14091" width="14.85546875" customWidth="1"/>
    <col min="14092" max="14092" width="14.140625" customWidth="1"/>
    <col min="14093" max="14093" width="8.28515625" customWidth="1"/>
    <col min="14094" max="14094" width="14" customWidth="1"/>
    <col min="14095" max="14095" width="13.28515625" customWidth="1"/>
    <col min="14098" max="14098" width="10.140625" bestFit="1" customWidth="1"/>
    <col min="14099" max="14099" width="14.5703125" customWidth="1"/>
    <col min="14100" max="14100" width="11.42578125" customWidth="1"/>
    <col min="14101" max="14102" width="10.140625" customWidth="1"/>
    <col min="14331" max="14331" width="11.5703125" customWidth="1"/>
    <col min="14333" max="14333" width="30.140625" customWidth="1"/>
    <col min="14334" max="14345" width="0" hidden="1" customWidth="1"/>
    <col min="14346" max="14346" width="15.28515625" customWidth="1"/>
    <col min="14347" max="14347" width="14.85546875" customWidth="1"/>
    <col min="14348" max="14348" width="14.140625" customWidth="1"/>
    <col min="14349" max="14349" width="8.28515625" customWidth="1"/>
    <col min="14350" max="14350" width="14" customWidth="1"/>
    <col min="14351" max="14351" width="13.28515625" customWidth="1"/>
    <col min="14354" max="14354" width="10.140625" bestFit="1" customWidth="1"/>
    <col min="14355" max="14355" width="14.5703125" customWidth="1"/>
    <col min="14356" max="14356" width="11.42578125" customWidth="1"/>
    <col min="14357" max="14358" width="10.140625" customWidth="1"/>
    <col min="14587" max="14587" width="11.5703125" customWidth="1"/>
    <col min="14589" max="14589" width="30.140625" customWidth="1"/>
    <col min="14590" max="14601" width="0" hidden="1" customWidth="1"/>
    <col min="14602" max="14602" width="15.28515625" customWidth="1"/>
    <col min="14603" max="14603" width="14.85546875" customWidth="1"/>
    <col min="14604" max="14604" width="14.140625" customWidth="1"/>
    <col min="14605" max="14605" width="8.28515625" customWidth="1"/>
    <col min="14606" max="14606" width="14" customWidth="1"/>
    <col min="14607" max="14607" width="13.28515625" customWidth="1"/>
    <col min="14610" max="14610" width="10.140625" bestFit="1" customWidth="1"/>
    <col min="14611" max="14611" width="14.5703125" customWidth="1"/>
    <col min="14612" max="14612" width="11.42578125" customWidth="1"/>
    <col min="14613" max="14614" width="10.140625" customWidth="1"/>
    <col min="14843" max="14843" width="11.5703125" customWidth="1"/>
    <col min="14845" max="14845" width="30.140625" customWidth="1"/>
    <col min="14846" max="14857" width="0" hidden="1" customWidth="1"/>
    <col min="14858" max="14858" width="15.28515625" customWidth="1"/>
    <col min="14859" max="14859" width="14.85546875" customWidth="1"/>
    <col min="14860" max="14860" width="14.140625" customWidth="1"/>
    <col min="14861" max="14861" width="8.28515625" customWidth="1"/>
    <col min="14862" max="14862" width="14" customWidth="1"/>
    <col min="14863" max="14863" width="13.28515625" customWidth="1"/>
    <col min="14866" max="14866" width="10.140625" bestFit="1" customWidth="1"/>
    <col min="14867" max="14867" width="14.5703125" customWidth="1"/>
    <col min="14868" max="14868" width="11.42578125" customWidth="1"/>
    <col min="14869" max="14870" width="10.140625" customWidth="1"/>
    <col min="15099" max="15099" width="11.5703125" customWidth="1"/>
    <col min="15101" max="15101" width="30.140625" customWidth="1"/>
    <col min="15102" max="15113" width="0" hidden="1" customWidth="1"/>
    <col min="15114" max="15114" width="15.28515625" customWidth="1"/>
    <col min="15115" max="15115" width="14.85546875" customWidth="1"/>
    <col min="15116" max="15116" width="14.140625" customWidth="1"/>
    <col min="15117" max="15117" width="8.28515625" customWidth="1"/>
    <col min="15118" max="15118" width="14" customWidth="1"/>
    <col min="15119" max="15119" width="13.28515625" customWidth="1"/>
    <col min="15122" max="15122" width="10.140625" bestFit="1" customWidth="1"/>
    <col min="15123" max="15123" width="14.5703125" customWidth="1"/>
    <col min="15124" max="15124" width="11.42578125" customWidth="1"/>
    <col min="15125" max="15126" width="10.140625" customWidth="1"/>
    <col min="15355" max="15355" width="11.5703125" customWidth="1"/>
    <col min="15357" max="15357" width="30.140625" customWidth="1"/>
    <col min="15358" max="15369" width="0" hidden="1" customWidth="1"/>
    <col min="15370" max="15370" width="15.28515625" customWidth="1"/>
    <col min="15371" max="15371" width="14.85546875" customWidth="1"/>
    <col min="15372" max="15372" width="14.140625" customWidth="1"/>
    <col min="15373" max="15373" width="8.28515625" customWidth="1"/>
    <col min="15374" max="15374" width="14" customWidth="1"/>
    <col min="15375" max="15375" width="13.28515625" customWidth="1"/>
    <col min="15378" max="15378" width="10.140625" bestFit="1" customWidth="1"/>
    <col min="15379" max="15379" width="14.5703125" customWidth="1"/>
    <col min="15380" max="15380" width="11.42578125" customWidth="1"/>
    <col min="15381" max="15382" width="10.140625" customWidth="1"/>
    <col min="15611" max="15611" width="11.5703125" customWidth="1"/>
    <col min="15613" max="15613" width="30.140625" customWidth="1"/>
    <col min="15614" max="15625" width="0" hidden="1" customWidth="1"/>
    <col min="15626" max="15626" width="15.28515625" customWidth="1"/>
    <col min="15627" max="15627" width="14.85546875" customWidth="1"/>
    <col min="15628" max="15628" width="14.140625" customWidth="1"/>
    <col min="15629" max="15629" width="8.28515625" customWidth="1"/>
    <col min="15630" max="15630" width="14" customWidth="1"/>
    <col min="15631" max="15631" width="13.28515625" customWidth="1"/>
    <col min="15634" max="15634" width="10.140625" bestFit="1" customWidth="1"/>
    <col min="15635" max="15635" width="14.5703125" customWidth="1"/>
    <col min="15636" max="15636" width="11.42578125" customWidth="1"/>
    <col min="15637" max="15638" width="10.140625" customWidth="1"/>
    <col min="15867" max="15867" width="11.5703125" customWidth="1"/>
    <col min="15869" max="15869" width="30.140625" customWidth="1"/>
    <col min="15870" max="15881" width="0" hidden="1" customWidth="1"/>
    <col min="15882" max="15882" width="15.28515625" customWidth="1"/>
    <col min="15883" max="15883" width="14.85546875" customWidth="1"/>
    <col min="15884" max="15884" width="14.140625" customWidth="1"/>
    <col min="15885" max="15885" width="8.28515625" customWidth="1"/>
    <col min="15886" max="15886" width="14" customWidth="1"/>
    <col min="15887" max="15887" width="13.28515625" customWidth="1"/>
    <col min="15890" max="15890" width="10.140625" bestFit="1" customWidth="1"/>
    <col min="15891" max="15891" width="14.5703125" customWidth="1"/>
    <col min="15892" max="15892" width="11.42578125" customWidth="1"/>
    <col min="15893" max="15894" width="10.140625" customWidth="1"/>
    <col min="16123" max="16123" width="11.5703125" customWidth="1"/>
    <col min="16125" max="16125" width="30.140625" customWidth="1"/>
    <col min="16126" max="16137" width="0" hidden="1" customWidth="1"/>
    <col min="16138" max="16138" width="15.28515625" customWidth="1"/>
    <col min="16139" max="16139" width="14.85546875" customWidth="1"/>
    <col min="16140" max="16140" width="14.140625" customWidth="1"/>
    <col min="16141" max="16141" width="8.28515625" customWidth="1"/>
    <col min="16142" max="16142" width="14" customWidth="1"/>
    <col min="16143" max="16143" width="13.28515625" customWidth="1"/>
    <col min="16146" max="16146" width="10.140625" bestFit="1" customWidth="1"/>
    <col min="16147" max="16147" width="14.5703125" customWidth="1"/>
    <col min="16148" max="16148" width="11.42578125" customWidth="1"/>
    <col min="16149" max="16150" width="10.140625" customWidth="1"/>
  </cols>
  <sheetData>
    <row r="1" spans="1:24" ht="15.75" thickBot="1" x14ac:dyDescent="0.3">
      <c r="A1" s="818" t="s">
        <v>406</v>
      </c>
      <c r="B1" s="818"/>
      <c r="C1" s="818"/>
    </row>
    <row r="2" spans="1:24" ht="14.25" customHeight="1" thickTop="1" thickBot="1" x14ac:dyDescent="0.3">
      <c r="A2" s="860" t="s">
        <v>113</v>
      </c>
      <c r="B2" s="862" t="s">
        <v>1</v>
      </c>
      <c r="C2" s="864" t="s">
        <v>114</v>
      </c>
      <c r="D2" s="788" t="s">
        <v>115</v>
      </c>
      <c r="E2" s="788" t="s">
        <v>116</v>
      </c>
      <c r="F2" s="788" t="s">
        <v>117</v>
      </c>
      <c r="G2" s="788" t="s">
        <v>118</v>
      </c>
      <c r="H2" s="788" t="s">
        <v>119</v>
      </c>
      <c r="I2" s="788" t="s">
        <v>8</v>
      </c>
      <c r="J2" s="788" t="s">
        <v>9</v>
      </c>
      <c r="K2" s="788" t="s">
        <v>10</v>
      </c>
      <c r="L2" s="788" t="s">
        <v>11</v>
      </c>
      <c r="M2" s="788" t="s">
        <v>12</v>
      </c>
      <c r="N2" s="788" t="s">
        <v>13</v>
      </c>
      <c r="O2" s="788" t="s">
        <v>14</v>
      </c>
      <c r="P2" s="788" t="s">
        <v>15</v>
      </c>
      <c r="Q2" s="788" t="s">
        <v>458</v>
      </c>
      <c r="R2" s="866" t="s">
        <v>424</v>
      </c>
      <c r="S2" s="858" t="s">
        <v>466</v>
      </c>
      <c r="T2" s="859"/>
      <c r="U2" s="770" t="s">
        <v>411</v>
      </c>
    </row>
    <row r="3" spans="1:24" ht="33" customHeight="1" thickBot="1" x14ac:dyDescent="0.3">
      <c r="A3" s="861"/>
      <c r="B3" s="863"/>
      <c r="C3" s="865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  <c r="R3" s="867"/>
      <c r="S3" s="689" t="s">
        <v>20</v>
      </c>
      <c r="T3" s="690" t="s">
        <v>22</v>
      </c>
      <c r="U3" s="771"/>
    </row>
    <row r="4" spans="1:24" ht="33" customHeight="1" thickTop="1" thickBot="1" x14ac:dyDescent="0.3">
      <c r="A4" s="136" t="s">
        <v>120</v>
      </c>
      <c r="B4" s="856" t="s">
        <v>121</v>
      </c>
      <c r="C4" s="857"/>
      <c r="D4" s="137">
        <v>778928</v>
      </c>
      <c r="E4" s="137">
        <v>871108</v>
      </c>
      <c r="F4" s="137">
        <v>1155712</v>
      </c>
      <c r="G4" s="137">
        <v>1166481</v>
      </c>
      <c r="H4" s="137">
        <v>1147628</v>
      </c>
      <c r="I4" s="137">
        <v>985015</v>
      </c>
      <c r="J4" s="137">
        <v>971730</v>
      </c>
      <c r="K4" s="137">
        <v>883614</v>
      </c>
      <c r="L4" s="138">
        <v>976223.29</v>
      </c>
      <c r="M4" s="138">
        <v>957107.49</v>
      </c>
      <c r="N4" s="139">
        <v>918554.61999999988</v>
      </c>
      <c r="O4" s="140">
        <v>1019134.8</v>
      </c>
      <c r="P4" s="140">
        <v>1045488.5499999999</v>
      </c>
      <c r="Q4" s="140">
        <f>SUM(Q5:Q8)</f>
        <v>1307060.76</v>
      </c>
      <c r="R4" s="139">
        <f>SUM(R5:R8)</f>
        <v>1299554</v>
      </c>
      <c r="S4" s="699">
        <f t="shared" ref="S4:U4" si="0">SUM(S5:S8)</f>
        <v>0</v>
      </c>
      <c r="T4" s="596">
        <f>SUM(T5:T8)</f>
        <v>104555</v>
      </c>
      <c r="U4" s="597">
        <f t="shared" si="0"/>
        <v>1404109</v>
      </c>
      <c r="X4" s="190">
        <f>T4+T70</f>
        <v>113057</v>
      </c>
    </row>
    <row r="5" spans="1:24" x14ac:dyDescent="0.25">
      <c r="A5" s="780"/>
      <c r="B5" s="141">
        <v>610</v>
      </c>
      <c r="C5" s="57" t="s">
        <v>122</v>
      </c>
      <c r="D5" s="58">
        <v>363938</v>
      </c>
      <c r="E5" s="58">
        <v>383290</v>
      </c>
      <c r="F5" s="58">
        <v>452765</v>
      </c>
      <c r="G5" s="58">
        <v>532728</v>
      </c>
      <c r="H5" s="58">
        <v>538578</v>
      </c>
      <c r="I5" s="57">
        <v>504967</v>
      </c>
      <c r="J5" s="58">
        <v>465252</v>
      </c>
      <c r="K5" s="58">
        <v>431649</v>
      </c>
      <c r="L5" s="124">
        <v>437364.06</v>
      </c>
      <c r="M5" s="124">
        <v>454979.56</v>
      </c>
      <c r="N5" s="20">
        <v>470394.73</v>
      </c>
      <c r="O5" s="19">
        <v>508902.26</v>
      </c>
      <c r="P5" s="19">
        <v>540360.73</v>
      </c>
      <c r="Q5" s="19">
        <v>702314.57</v>
      </c>
      <c r="R5" s="142">
        <v>671807</v>
      </c>
      <c r="S5" s="700"/>
      <c r="T5" s="764">
        <f>49820+1800+14000</f>
        <v>65620</v>
      </c>
      <c r="U5" s="599">
        <f>R5+S5+T5</f>
        <v>737427</v>
      </c>
    </row>
    <row r="6" spans="1:24" x14ac:dyDescent="0.25">
      <c r="A6" s="781"/>
      <c r="B6" s="143">
        <v>620</v>
      </c>
      <c r="C6" s="59" t="s">
        <v>123</v>
      </c>
      <c r="D6" s="60">
        <v>111465</v>
      </c>
      <c r="E6" s="60">
        <v>132411</v>
      </c>
      <c r="F6" s="60">
        <v>158202</v>
      </c>
      <c r="G6" s="60">
        <v>187864</v>
      </c>
      <c r="H6" s="60">
        <v>188430</v>
      </c>
      <c r="I6" s="59">
        <v>189093</v>
      </c>
      <c r="J6" s="60">
        <v>179953</v>
      </c>
      <c r="K6" s="60">
        <v>175243</v>
      </c>
      <c r="L6" s="125">
        <v>178000.1</v>
      </c>
      <c r="M6" s="125">
        <v>174131.76</v>
      </c>
      <c r="N6" s="26">
        <v>179809.87</v>
      </c>
      <c r="O6" s="25">
        <v>197673.12</v>
      </c>
      <c r="P6" s="25">
        <v>207010.55</v>
      </c>
      <c r="Q6" s="25">
        <v>266731.95</v>
      </c>
      <c r="R6" s="26">
        <v>250682</v>
      </c>
      <c r="S6" s="700"/>
      <c r="T6" s="600">
        <f>17412+630+4893</f>
        <v>22935</v>
      </c>
      <c r="U6" s="601">
        <f t="shared" ref="U6:U8" si="1">R6+S6+T6</f>
        <v>273617</v>
      </c>
    </row>
    <row r="7" spans="1:24" x14ac:dyDescent="0.25">
      <c r="A7" s="781"/>
      <c r="B7" s="143">
        <v>630</v>
      </c>
      <c r="C7" s="59" t="s">
        <v>124</v>
      </c>
      <c r="D7" s="60">
        <v>303525</v>
      </c>
      <c r="E7" s="60">
        <v>353781</v>
      </c>
      <c r="F7" s="60">
        <v>543916</v>
      </c>
      <c r="G7" s="60">
        <v>395781</v>
      </c>
      <c r="H7" s="60">
        <v>413206</v>
      </c>
      <c r="I7" s="59">
        <v>272860</v>
      </c>
      <c r="J7" s="60">
        <v>302729</v>
      </c>
      <c r="K7" s="60">
        <v>273797</v>
      </c>
      <c r="L7" s="125">
        <v>356359.19</v>
      </c>
      <c r="M7" s="125">
        <v>297179.95</v>
      </c>
      <c r="N7" s="26">
        <v>260734.03999999998</v>
      </c>
      <c r="O7" s="25">
        <v>294411.15000000002</v>
      </c>
      <c r="P7" s="25">
        <v>296326.19</v>
      </c>
      <c r="Q7" s="25">
        <v>334787.77</v>
      </c>
      <c r="R7" s="144">
        <v>377065</v>
      </c>
      <c r="S7" s="700"/>
      <c r="T7" s="600">
        <v>16000</v>
      </c>
      <c r="U7" s="601">
        <f t="shared" si="1"/>
        <v>393065</v>
      </c>
    </row>
    <row r="8" spans="1:24" ht="15.75" thickBot="1" x14ac:dyDescent="0.3">
      <c r="A8" s="781"/>
      <c r="B8" s="143">
        <v>640</v>
      </c>
      <c r="C8" s="59" t="s">
        <v>125</v>
      </c>
      <c r="D8" s="60"/>
      <c r="E8" s="60">
        <v>564</v>
      </c>
      <c r="F8" s="60">
        <v>232</v>
      </c>
      <c r="G8" s="60">
        <v>49367</v>
      </c>
      <c r="H8" s="60">
        <v>7414</v>
      </c>
      <c r="I8" s="59">
        <v>18095</v>
      </c>
      <c r="J8" s="145">
        <v>23796</v>
      </c>
      <c r="K8" s="145">
        <v>2925</v>
      </c>
      <c r="L8" s="146">
        <v>4499.9399999999996</v>
      </c>
      <c r="M8" s="125">
        <v>30816.22</v>
      </c>
      <c r="N8" s="26">
        <v>7615.98</v>
      </c>
      <c r="O8" s="25">
        <v>18148.27</v>
      </c>
      <c r="P8" s="25">
        <v>1791.08</v>
      </c>
      <c r="Q8" s="25">
        <v>3226.47</v>
      </c>
      <c r="R8" s="144">
        <v>0</v>
      </c>
      <c r="S8" s="701"/>
      <c r="T8" s="602"/>
      <c r="U8" s="603">
        <f t="shared" si="1"/>
        <v>0</v>
      </c>
    </row>
    <row r="9" spans="1:24" ht="15.75" hidden="1" thickBot="1" x14ac:dyDescent="0.3">
      <c r="A9" s="782"/>
      <c r="B9" s="143">
        <v>650</v>
      </c>
      <c r="C9" s="59"/>
      <c r="D9" s="60"/>
      <c r="E9" s="60">
        <v>1062</v>
      </c>
      <c r="F9" s="60">
        <v>597</v>
      </c>
      <c r="G9" s="60">
        <v>741</v>
      </c>
      <c r="H9" s="60"/>
      <c r="I9" s="147"/>
      <c r="J9" s="147"/>
      <c r="K9" s="147"/>
      <c r="L9" s="148"/>
      <c r="M9" s="149"/>
      <c r="N9" s="97"/>
      <c r="O9" s="97"/>
      <c r="P9" s="97"/>
      <c r="Q9" s="96"/>
      <c r="R9" s="150"/>
      <c r="S9" s="702"/>
      <c r="T9" s="151"/>
      <c r="U9" s="604"/>
    </row>
    <row r="10" spans="1:24" ht="15.75" thickBot="1" x14ac:dyDescent="0.3">
      <c r="A10" s="152" t="s">
        <v>126</v>
      </c>
      <c r="B10" s="805" t="s">
        <v>127</v>
      </c>
      <c r="C10" s="779"/>
      <c r="D10" s="153">
        <v>7269</v>
      </c>
      <c r="E10" s="153">
        <v>6772</v>
      </c>
      <c r="F10" s="153">
        <v>8265</v>
      </c>
      <c r="G10" s="153">
        <v>13828</v>
      </c>
      <c r="H10" s="84">
        <v>14882</v>
      </c>
      <c r="I10" s="84">
        <v>14051</v>
      </c>
      <c r="J10" s="84">
        <v>82274</v>
      </c>
      <c r="K10" s="84">
        <v>22548</v>
      </c>
      <c r="L10" s="85">
        <v>18623.79</v>
      </c>
      <c r="M10" s="85">
        <v>22356.78</v>
      </c>
      <c r="N10" s="154">
        <v>18604.68</v>
      </c>
      <c r="O10" s="155">
        <v>11492.61</v>
      </c>
      <c r="P10" s="155">
        <v>22020.720000000001</v>
      </c>
      <c r="Q10" s="155">
        <f>SUM(Q11:Q13)</f>
        <v>14191.44</v>
      </c>
      <c r="R10" s="154">
        <f>SUM(R11:R13)</f>
        <v>16500</v>
      </c>
      <c r="S10" s="703">
        <f t="shared" ref="S10:U10" si="2">SUM(S11:S13)</f>
        <v>0</v>
      </c>
      <c r="T10" s="86">
        <f t="shared" si="2"/>
        <v>0</v>
      </c>
      <c r="U10" s="605">
        <f t="shared" si="2"/>
        <v>16500</v>
      </c>
    </row>
    <row r="11" spans="1:24" x14ac:dyDescent="0.25">
      <c r="A11" s="842"/>
      <c r="B11" s="156">
        <v>630</v>
      </c>
      <c r="C11" s="16" t="s">
        <v>128</v>
      </c>
      <c r="D11" s="157"/>
      <c r="E11" s="157"/>
      <c r="F11" s="157"/>
      <c r="G11" s="157"/>
      <c r="H11" s="157">
        <v>2345</v>
      </c>
      <c r="I11" s="16">
        <v>2324</v>
      </c>
      <c r="J11" s="58">
        <v>1162</v>
      </c>
      <c r="K11" s="58">
        <v>2324</v>
      </c>
      <c r="L11" s="124">
        <v>3486</v>
      </c>
      <c r="M11" s="158">
        <v>2324</v>
      </c>
      <c r="N11" s="18">
        <v>2324</v>
      </c>
      <c r="O11" s="159">
        <v>1162</v>
      </c>
      <c r="P11" s="159">
        <v>2324</v>
      </c>
      <c r="Q11" s="159">
        <v>3486</v>
      </c>
      <c r="R11" s="160">
        <v>3500</v>
      </c>
      <c r="S11" s="700"/>
      <c r="T11" s="18"/>
      <c r="U11" s="599">
        <f t="shared" ref="U11:U13" si="3">R11+S11+T11</f>
        <v>3500</v>
      </c>
    </row>
    <row r="12" spans="1:24" x14ac:dyDescent="0.25">
      <c r="A12" s="847"/>
      <c r="B12" s="161">
        <v>630</v>
      </c>
      <c r="C12" s="22" t="s">
        <v>129</v>
      </c>
      <c r="D12" s="162"/>
      <c r="E12" s="162"/>
      <c r="F12" s="162"/>
      <c r="G12" s="162"/>
      <c r="H12" s="162">
        <v>12537</v>
      </c>
      <c r="I12" s="22">
        <v>11727</v>
      </c>
      <c r="J12" s="60">
        <v>13096</v>
      </c>
      <c r="K12" s="60">
        <v>9612</v>
      </c>
      <c r="L12" s="125">
        <v>14911.65</v>
      </c>
      <c r="M12" s="163">
        <v>19064.189999999999</v>
      </c>
      <c r="N12" s="24">
        <v>8451.5499999999993</v>
      </c>
      <c r="O12" s="113">
        <v>6786.26</v>
      </c>
      <c r="P12" s="113">
        <v>16482.330000000002</v>
      </c>
      <c r="Q12" s="113">
        <v>9813.93</v>
      </c>
      <c r="R12" s="24">
        <v>13000</v>
      </c>
      <c r="S12" s="701"/>
      <c r="T12" s="24"/>
      <c r="U12" s="601">
        <f t="shared" si="3"/>
        <v>13000</v>
      </c>
    </row>
    <row r="13" spans="1:24" ht="15.75" thickBot="1" x14ac:dyDescent="0.3">
      <c r="A13" s="843"/>
      <c r="B13" s="164">
        <v>630</v>
      </c>
      <c r="C13" s="165" t="s">
        <v>130</v>
      </c>
      <c r="D13" s="166"/>
      <c r="E13" s="166"/>
      <c r="F13" s="166"/>
      <c r="G13" s="166"/>
      <c r="H13" s="166"/>
      <c r="I13" s="165"/>
      <c r="J13" s="60">
        <v>68016</v>
      </c>
      <c r="K13" s="60">
        <v>10612</v>
      </c>
      <c r="L13" s="48">
        <v>226.14</v>
      </c>
      <c r="M13" s="167">
        <v>968.59</v>
      </c>
      <c r="N13" s="47">
        <v>7829.13</v>
      </c>
      <c r="O13" s="167">
        <v>3544.35</v>
      </c>
      <c r="P13" s="167">
        <v>3214.39</v>
      </c>
      <c r="Q13" s="167">
        <v>891.51</v>
      </c>
      <c r="R13" s="168"/>
      <c r="S13" s="702"/>
      <c r="T13" s="151"/>
      <c r="U13" s="606">
        <f t="shared" si="3"/>
        <v>0</v>
      </c>
    </row>
    <row r="14" spans="1:24" ht="15.75" thickBot="1" x14ac:dyDescent="0.3">
      <c r="A14" s="152" t="s">
        <v>131</v>
      </c>
      <c r="B14" s="805" t="s">
        <v>132</v>
      </c>
      <c r="C14" s="779"/>
      <c r="D14" s="153">
        <v>20846</v>
      </c>
      <c r="E14" s="153">
        <v>22240</v>
      </c>
      <c r="F14" s="153">
        <v>25427</v>
      </c>
      <c r="G14" s="153">
        <v>26903</v>
      </c>
      <c r="H14" s="84">
        <v>29798</v>
      </c>
      <c r="I14" s="84">
        <v>28936</v>
      </c>
      <c r="J14" s="84">
        <v>27963</v>
      </c>
      <c r="K14" s="84">
        <v>24050</v>
      </c>
      <c r="L14" s="85">
        <v>25050.219999999998</v>
      </c>
      <c r="M14" s="85">
        <v>28488.050000000003</v>
      </c>
      <c r="N14" s="154">
        <v>30083.289999999997</v>
      </c>
      <c r="O14" s="155">
        <v>33186.080000000002</v>
      </c>
      <c r="P14" s="155">
        <v>29084.07</v>
      </c>
      <c r="Q14" s="155">
        <f>SUM(Q15:Q18)</f>
        <v>51253.97</v>
      </c>
      <c r="R14" s="154">
        <f>SUM(R15:R18)</f>
        <v>39855</v>
      </c>
      <c r="S14" s="703">
        <f t="shared" ref="S14:U14" si="4">SUM(S15:S18)</f>
        <v>0</v>
      </c>
      <c r="T14" s="86">
        <f t="shared" si="4"/>
        <v>1889</v>
      </c>
      <c r="U14" s="605">
        <f t="shared" si="4"/>
        <v>41744</v>
      </c>
    </row>
    <row r="15" spans="1:24" x14ac:dyDescent="0.25">
      <c r="A15" s="842"/>
      <c r="B15" s="141">
        <v>610</v>
      </c>
      <c r="C15" s="169" t="s">
        <v>122</v>
      </c>
      <c r="D15" s="170"/>
      <c r="E15" s="170">
        <v>13875</v>
      </c>
      <c r="F15" s="170">
        <v>15734</v>
      </c>
      <c r="G15" s="170">
        <v>16231</v>
      </c>
      <c r="H15" s="170">
        <v>16787</v>
      </c>
      <c r="I15" s="57">
        <v>17943</v>
      </c>
      <c r="J15" s="58">
        <v>18167</v>
      </c>
      <c r="K15" s="58">
        <v>15592</v>
      </c>
      <c r="L15" s="19">
        <v>15883.66</v>
      </c>
      <c r="M15" s="19">
        <v>19536.88</v>
      </c>
      <c r="N15" s="20">
        <v>20405.939999999999</v>
      </c>
      <c r="O15" s="19">
        <v>22741.57</v>
      </c>
      <c r="P15" s="19">
        <v>20172.560000000001</v>
      </c>
      <c r="Q15" s="19">
        <v>32391.98</v>
      </c>
      <c r="R15" s="142">
        <v>26946</v>
      </c>
      <c r="S15" s="700"/>
      <c r="T15" s="598">
        <v>1400</v>
      </c>
      <c r="U15" s="599">
        <f t="shared" ref="U15:U18" si="5">R15+S15+T15</f>
        <v>28346</v>
      </c>
    </row>
    <row r="16" spans="1:24" x14ac:dyDescent="0.25">
      <c r="A16" s="847"/>
      <c r="B16" s="143">
        <v>620</v>
      </c>
      <c r="C16" s="171" t="s">
        <v>123</v>
      </c>
      <c r="D16" s="172"/>
      <c r="E16" s="172">
        <v>4647</v>
      </c>
      <c r="F16" s="172">
        <v>5411</v>
      </c>
      <c r="G16" s="172">
        <v>5677</v>
      </c>
      <c r="H16" s="172">
        <v>6011</v>
      </c>
      <c r="I16" s="59">
        <v>6464</v>
      </c>
      <c r="J16" s="60">
        <v>6580</v>
      </c>
      <c r="K16" s="60">
        <v>5691</v>
      </c>
      <c r="L16" s="25">
        <v>6220</v>
      </c>
      <c r="M16" s="25">
        <v>6654.3</v>
      </c>
      <c r="N16" s="26">
        <v>7320.69</v>
      </c>
      <c r="O16" s="25">
        <v>8093.18</v>
      </c>
      <c r="P16" s="25">
        <v>6866.62</v>
      </c>
      <c r="Q16" s="25">
        <v>12511.41</v>
      </c>
      <c r="R16" s="144">
        <v>10209</v>
      </c>
      <c r="S16" s="701"/>
      <c r="T16" s="600">
        <v>489</v>
      </c>
      <c r="U16" s="601">
        <f t="shared" si="5"/>
        <v>10698</v>
      </c>
    </row>
    <row r="17" spans="1:21" x14ac:dyDescent="0.25">
      <c r="A17" s="847"/>
      <c r="B17" s="143">
        <v>630</v>
      </c>
      <c r="C17" s="171" t="s">
        <v>124</v>
      </c>
      <c r="D17" s="172"/>
      <c r="E17" s="172">
        <v>3718</v>
      </c>
      <c r="F17" s="172">
        <v>4282</v>
      </c>
      <c r="G17" s="172">
        <v>4995</v>
      </c>
      <c r="H17" s="172">
        <v>7000</v>
      </c>
      <c r="I17" s="59">
        <v>4529</v>
      </c>
      <c r="J17" s="60">
        <v>3216</v>
      </c>
      <c r="K17" s="60">
        <v>2533</v>
      </c>
      <c r="L17" s="25">
        <v>2610.08</v>
      </c>
      <c r="M17" s="25">
        <v>2181.04</v>
      </c>
      <c r="N17" s="26">
        <v>2356.66</v>
      </c>
      <c r="O17" s="25">
        <v>2351.33</v>
      </c>
      <c r="P17" s="25">
        <v>1891.13</v>
      </c>
      <c r="Q17" s="25">
        <v>3021.6</v>
      </c>
      <c r="R17" s="144">
        <v>2700</v>
      </c>
      <c r="S17" s="701"/>
      <c r="T17" s="600"/>
      <c r="U17" s="601">
        <f t="shared" si="5"/>
        <v>2700</v>
      </c>
    </row>
    <row r="18" spans="1:21" ht="15.75" thickBot="1" x14ac:dyDescent="0.3">
      <c r="A18" s="843"/>
      <c r="B18" s="672"/>
      <c r="C18" s="147"/>
      <c r="D18" s="173"/>
      <c r="E18" s="173"/>
      <c r="F18" s="173"/>
      <c r="G18" s="173"/>
      <c r="H18" s="173"/>
      <c r="I18" s="174"/>
      <c r="J18" s="60"/>
      <c r="K18" s="60">
        <v>234</v>
      </c>
      <c r="L18" s="89">
        <v>336.48</v>
      </c>
      <c r="M18" s="89">
        <v>115.83</v>
      </c>
      <c r="N18" s="90"/>
      <c r="O18" s="90"/>
      <c r="P18" s="90">
        <v>153.76</v>
      </c>
      <c r="Q18" s="89">
        <v>3328.98</v>
      </c>
      <c r="R18" s="175"/>
      <c r="S18" s="702"/>
      <c r="T18" s="151"/>
      <c r="U18" s="604">
        <f t="shared" si="5"/>
        <v>0</v>
      </c>
    </row>
    <row r="19" spans="1:21" ht="15.75" thickBot="1" x14ac:dyDescent="0.3">
      <c r="A19" s="152" t="s">
        <v>133</v>
      </c>
      <c r="B19" s="805" t="s">
        <v>134</v>
      </c>
      <c r="C19" s="779"/>
      <c r="D19" s="153">
        <v>13145</v>
      </c>
      <c r="E19" s="153">
        <v>10057</v>
      </c>
      <c r="F19" s="153">
        <v>8498</v>
      </c>
      <c r="G19" s="153">
        <v>54518</v>
      </c>
      <c r="H19" s="84">
        <v>31457</v>
      </c>
      <c r="I19" s="84">
        <v>31963</v>
      </c>
      <c r="J19" s="84">
        <v>33449</v>
      </c>
      <c r="K19" s="84">
        <v>18092</v>
      </c>
      <c r="L19" s="85">
        <v>54586.799999999996</v>
      </c>
      <c r="M19" s="85">
        <v>16584.939999999999</v>
      </c>
      <c r="N19" s="84">
        <v>25483.510000000002</v>
      </c>
      <c r="O19" s="85">
        <v>21980.289999999997</v>
      </c>
      <c r="P19" s="85">
        <v>22643.670000000002</v>
      </c>
      <c r="Q19" s="85">
        <f>SUM(Q20:Q24)</f>
        <v>47845.259999999995</v>
      </c>
      <c r="R19" s="154">
        <f>SUM(R20:R24)</f>
        <v>17781</v>
      </c>
      <c r="S19" s="703">
        <f t="shared" ref="S19:U19" si="6">SUM(S20:S24)</f>
        <v>0</v>
      </c>
      <c r="T19" s="607">
        <f t="shared" si="6"/>
        <v>945</v>
      </c>
      <c r="U19" s="567">
        <f t="shared" si="6"/>
        <v>18726</v>
      </c>
    </row>
    <row r="20" spans="1:21" x14ac:dyDescent="0.25">
      <c r="A20" s="844"/>
      <c r="B20" s="176">
        <v>610</v>
      </c>
      <c r="C20" s="169" t="s">
        <v>122</v>
      </c>
      <c r="D20" s="170"/>
      <c r="E20" s="170">
        <v>0</v>
      </c>
      <c r="F20" s="170">
        <v>4482</v>
      </c>
      <c r="G20" s="170">
        <v>7787</v>
      </c>
      <c r="H20" s="170">
        <v>7509</v>
      </c>
      <c r="I20" s="169">
        <v>7692</v>
      </c>
      <c r="J20" s="58">
        <v>7969</v>
      </c>
      <c r="K20" s="58">
        <v>7777</v>
      </c>
      <c r="L20" s="19">
        <v>7662.08</v>
      </c>
      <c r="M20" s="19">
        <v>8679.9500000000007</v>
      </c>
      <c r="N20" s="20">
        <v>9877.67</v>
      </c>
      <c r="O20" s="19">
        <v>9786.5300000000007</v>
      </c>
      <c r="P20" s="19">
        <v>11379.37</v>
      </c>
      <c r="Q20" s="19">
        <v>12850.13</v>
      </c>
      <c r="R20" s="142">
        <v>12582</v>
      </c>
      <c r="S20" s="700"/>
      <c r="T20" s="598">
        <v>700</v>
      </c>
      <c r="U20" s="599">
        <f t="shared" ref="U20:U24" si="7">R20+S20+T20</f>
        <v>13282</v>
      </c>
    </row>
    <row r="21" spans="1:21" x14ac:dyDescent="0.25">
      <c r="A21" s="845"/>
      <c r="B21" s="177">
        <v>620</v>
      </c>
      <c r="C21" s="171" t="s">
        <v>123</v>
      </c>
      <c r="D21" s="145"/>
      <c r="E21" s="145">
        <v>0</v>
      </c>
      <c r="F21" s="145">
        <v>2058</v>
      </c>
      <c r="G21" s="145">
        <v>3864</v>
      </c>
      <c r="H21" s="145">
        <v>2426</v>
      </c>
      <c r="I21" s="171">
        <v>2683</v>
      </c>
      <c r="J21" s="60">
        <v>3469</v>
      </c>
      <c r="K21" s="60">
        <v>3267</v>
      </c>
      <c r="L21" s="25">
        <v>3320.66</v>
      </c>
      <c r="M21" s="25">
        <v>3113.97</v>
      </c>
      <c r="N21" s="26">
        <v>3720.13</v>
      </c>
      <c r="O21" s="25">
        <v>3643.9399999999996</v>
      </c>
      <c r="P21" s="25">
        <v>4236.46</v>
      </c>
      <c r="Q21" s="25">
        <v>4685.3100000000004</v>
      </c>
      <c r="R21" s="144">
        <v>4649</v>
      </c>
      <c r="S21" s="701"/>
      <c r="T21" s="600">
        <v>245</v>
      </c>
      <c r="U21" s="601">
        <f t="shared" si="7"/>
        <v>4894</v>
      </c>
    </row>
    <row r="22" spans="1:21" x14ac:dyDescent="0.25">
      <c r="A22" s="845"/>
      <c r="B22" s="177">
        <v>630</v>
      </c>
      <c r="C22" s="171" t="s">
        <v>124</v>
      </c>
      <c r="D22" s="145"/>
      <c r="E22" s="145">
        <v>0</v>
      </c>
      <c r="F22" s="145">
        <v>1958</v>
      </c>
      <c r="G22" s="145">
        <v>42867</v>
      </c>
      <c r="H22" s="145">
        <v>1012</v>
      </c>
      <c r="I22" s="171">
        <v>989</v>
      </c>
      <c r="J22" s="60">
        <v>1227</v>
      </c>
      <c r="K22" s="60">
        <v>947</v>
      </c>
      <c r="L22" s="25">
        <v>588.04</v>
      </c>
      <c r="M22" s="25">
        <v>634.67999999999995</v>
      </c>
      <c r="N22" s="26">
        <v>827.63</v>
      </c>
      <c r="O22" s="25">
        <v>828.40000000000055</v>
      </c>
      <c r="P22" s="25">
        <v>675.31999999999971</v>
      </c>
      <c r="Q22" s="25">
        <v>1203.7900000000004</v>
      </c>
      <c r="R22" s="144">
        <v>550</v>
      </c>
      <c r="S22" s="701"/>
      <c r="T22" s="600"/>
      <c r="U22" s="601">
        <f t="shared" si="7"/>
        <v>550</v>
      </c>
    </row>
    <row r="23" spans="1:21" x14ac:dyDescent="0.25">
      <c r="A23" s="845"/>
      <c r="B23" s="177">
        <v>640</v>
      </c>
      <c r="C23" s="59" t="s">
        <v>125</v>
      </c>
      <c r="D23" s="60"/>
      <c r="E23" s="60"/>
      <c r="F23" s="60"/>
      <c r="G23" s="60"/>
      <c r="H23" s="60"/>
      <c r="I23" s="59"/>
      <c r="J23" s="60">
        <v>3100</v>
      </c>
      <c r="K23" s="60"/>
      <c r="L23" s="26"/>
      <c r="M23" s="25">
        <v>113.93</v>
      </c>
      <c r="N23" s="26"/>
      <c r="O23" s="25">
        <v>124.72</v>
      </c>
      <c r="P23" s="25"/>
      <c r="Q23" s="25"/>
      <c r="R23" s="144"/>
      <c r="S23" s="701"/>
      <c r="T23" s="600"/>
      <c r="U23" s="601">
        <f t="shared" si="7"/>
        <v>0</v>
      </c>
    </row>
    <row r="24" spans="1:21" ht="15.75" thickBot="1" x14ac:dyDescent="0.3">
      <c r="A24" s="846"/>
      <c r="B24" s="178">
        <v>600</v>
      </c>
      <c r="C24" s="147" t="s">
        <v>135</v>
      </c>
      <c r="D24" s="179"/>
      <c r="E24" s="179"/>
      <c r="F24" s="179"/>
      <c r="G24" s="179"/>
      <c r="H24" s="60">
        <v>20510</v>
      </c>
      <c r="I24" s="147">
        <v>20599</v>
      </c>
      <c r="J24" s="60">
        <v>17684</v>
      </c>
      <c r="K24" s="60">
        <v>6101</v>
      </c>
      <c r="L24" s="89">
        <v>43016.02</v>
      </c>
      <c r="M24" s="89">
        <v>4042.409999999998</v>
      </c>
      <c r="N24" s="90">
        <v>11058.08</v>
      </c>
      <c r="O24" s="89">
        <v>7596.7</v>
      </c>
      <c r="P24" s="89">
        <v>6352.52</v>
      </c>
      <c r="Q24" s="89">
        <v>29106.03</v>
      </c>
      <c r="R24" s="175"/>
      <c r="S24" s="702"/>
      <c r="T24" s="151"/>
      <c r="U24" s="604">
        <f t="shared" si="7"/>
        <v>0</v>
      </c>
    </row>
    <row r="25" spans="1:21" ht="15.75" thickBot="1" x14ac:dyDescent="0.3">
      <c r="A25" s="152" t="s">
        <v>136</v>
      </c>
      <c r="B25" s="805" t="s">
        <v>137</v>
      </c>
      <c r="C25" s="779"/>
      <c r="D25" s="180">
        <v>86802</v>
      </c>
      <c r="E25" s="180">
        <v>77342</v>
      </c>
      <c r="F25" s="180">
        <v>79566</v>
      </c>
      <c r="G25" s="180">
        <v>75201</v>
      </c>
      <c r="H25" s="180">
        <v>66074</v>
      </c>
      <c r="I25" s="84">
        <v>84841</v>
      </c>
      <c r="J25" s="84">
        <v>92558</v>
      </c>
      <c r="K25" s="84">
        <v>89614</v>
      </c>
      <c r="L25" s="85">
        <v>87966.26</v>
      </c>
      <c r="M25" s="85">
        <v>89070.75</v>
      </c>
      <c r="N25" s="154">
        <v>84152.6</v>
      </c>
      <c r="O25" s="155">
        <v>63074.71</v>
      </c>
      <c r="P25" s="155">
        <v>62531</v>
      </c>
      <c r="Q25" s="155">
        <f>SUM(Q26)</f>
        <v>57263.12</v>
      </c>
      <c r="R25" s="154">
        <f>R26</f>
        <v>65000</v>
      </c>
      <c r="S25" s="626">
        <f t="shared" ref="S25:U25" si="8">S26</f>
        <v>0</v>
      </c>
      <c r="T25" s="607">
        <f t="shared" si="8"/>
        <v>0</v>
      </c>
      <c r="U25" s="567">
        <f t="shared" si="8"/>
        <v>65000</v>
      </c>
    </row>
    <row r="26" spans="1:21" ht="15.75" thickBot="1" x14ac:dyDescent="0.3">
      <c r="A26" s="181"/>
      <c r="B26" s="182">
        <v>630</v>
      </c>
      <c r="C26" s="183" t="s">
        <v>138</v>
      </c>
      <c r="D26" s="184">
        <v>86802</v>
      </c>
      <c r="E26" s="184">
        <v>77342</v>
      </c>
      <c r="F26" s="184">
        <v>79566</v>
      </c>
      <c r="G26" s="184">
        <v>75201</v>
      </c>
      <c r="H26" s="184">
        <v>66074</v>
      </c>
      <c r="I26" s="174">
        <v>84841</v>
      </c>
      <c r="J26" s="174">
        <v>92558</v>
      </c>
      <c r="K26" s="103">
        <v>89614</v>
      </c>
      <c r="L26" s="89">
        <v>87966.26</v>
      </c>
      <c r="M26" s="89">
        <v>89070.75</v>
      </c>
      <c r="N26" s="90">
        <v>84152.6</v>
      </c>
      <c r="O26" s="89">
        <v>63074.71</v>
      </c>
      <c r="P26" s="89">
        <v>62531</v>
      </c>
      <c r="Q26" s="89">
        <v>57263.12</v>
      </c>
      <c r="R26" s="175">
        <v>65000</v>
      </c>
      <c r="S26" s="704"/>
      <c r="T26" s="608"/>
      <c r="U26" s="609">
        <f>R26+S26+T26</f>
        <v>65000</v>
      </c>
    </row>
    <row r="27" spans="1:21" ht="15.75" thickBot="1" x14ac:dyDescent="0.3">
      <c r="A27" s="152" t="s">
        <v>139</v>
      </c>
      <c r="B27" s="805" t="s">
        <v>140</v>
      </c>
      <c r="C27" s="779"/>
      <c r="D27" s="180">
        <v>0</v>
      </c>
      <c r="E27" s="180">
        <v>1826</v>
      </c>
      <c r="F27" s="180">
        <v>66</v>
      </c>
      <c r="G27" s="180">
        <v>770</v>
      </c>
      <c r="H27" s="180">
        <v>2589</v>
      </c>
      <c r="I27" s="84">
        <v>366</v>
      </c>
      <c r="J27" s="84">
        <v>274</v>
      </c>
      <c r="K27" s="84">
        <v>464</v>
      </c>
      <c r="L27" s="84">
        <v>276.29000000000002</v>
      </c>
      <c r="M27" s="85">
        <v>34.4</v>
      </c>
      <c r="N27" s="154">
        <v>81.5</v>
      </c>
      <c r="O27" s="155">
        <v>1.5</v>
      </c>
      <c r="P27" s="155">
        <v>1.5</v>
      </c>
      <c r="Q27" s="155">
        <f>SUM(Q28)</f>
        <v>18.02</v>
      </c>
      <c r="R27" s="154">
        <f>R28</f>
        <v>500</v>
      </c>
      <c r="S27" s="626">
        <f t="shared" ref="S27:U27" si="9">S28</f>
        <v>0</v>
      </c>
      <c r="T27" s="607">
        <f t="shared" si="9"/>
        <v>0</v>
      </c>
      <c r="U27" s="567">
        <f t="shared" si="9"/>
        <v>500</v>
      </c>
    </row>
    <row r="28" spans="1:21" ht="15.75" thickBot="1" x14ac:dyDescent="0.3">
      <c r="A28" s="185"/>
      <c r="B28" s="186"/>
      <c r="C28" s="183" t="s">
        <v>141</v>
      </c>
      <c r="D28" s="184">
        <v>0</v>
      </c>
      <c r="E28" s="184">
        <v>1826</v>
      </c>
      <c r="F28" s="184">
        <v>66</v>
      </c>
      <c r="G28" s="184">
        <v>770</v>
      </c>
      <c r="H28" s="184">
        <v>2589</v>
      </c>
      <c r="I28" s="174">
        <v>366</v>
      </c>
      <c r="J28" s="174">
        <v>274</v>
      </c>
      <c r="K28" s="103">
        <v>464</v>
      </c>
      <c r="L28" s="89">
        <v>276.29000000000002</v>
      </c>
      <c r="M28" s="89">
        <v>34.4</v>
      </c>
      <c r="N28" s="90">
        <v>81.5</v>
      </c>
      <c r="O28" s="89">
        <v>1.5</v>
      </c>
      <c r="P28" s="89">
        <v>1.5</v>
      </c>
      <c r="Q28" s="89">
        <v>18.02</v>
      </c>
      <c r="R28" s="175">
        <v>500</v>
      </c>
      <c r="S28" s="703"/>
      <c r="T28" s="610"/>
      <c r="U28" s="570">
        <f>R28+S28+T28</f>
        <v>500</v>
      </c>
    </row>
    <row r="29" spans="1:21" ht="15.75" thickBot="1" x14ac:dyDescent="0.3">
      <c r="A29" s="152" t="s">
        <v>142</v>
      </c>
      <c r="B29" s="805" t="s">
        <v>143</v>
      </c>
      <c r="C29" s="779"/>
      <c r="D29" s="153">
        <v>80362</v>
      </c>
      <c r="E29" s="153">
        <v>93674</v>
      </c>
      <c r="F29" s="153">
        <v>104461</v>
      </c>
      <c r="G29" s="153">
        <v>126342</v>
      </c>
      <c r="H29" s="84">
        <v>137485</v>
      </c>
      <c r="I29" s="84">
        <v>141454</v>
      </c>
      <c r="J29" s="84">
        <v>150296</v>
      </c>
      <c r="K29" s="84">
        <v>153336</v>
      </c>
      <c r="L29" s="85">
        <v>153063.15</v>
      </c>
      <c r="M29" s="85">
        <v>160199.88999999998</v>
      </c>
      <c r="N29" s="154">
        <v>160815.16</v>
      </c>
      <c r="O29" s="155">
        <v>182466.47</v>
      </c>
      <c r="P29" s="155">
        <v>205874.57</v>
      </c>
      <c r="Q29" s="155">
        <f>SUM(Q30:Q33)</f>
        <v>228019.05</v>
      </c>
      <c r="R29" s="154">
        <f>SUM(R30:R33)</f>
        <v>267388</v>
      </c>
      <c r="S29" s="626">
        <f t="shared" ref="S29:U29" si="10">SUM(S30:S33)</f>
        <v>0</v>
      </c>
      <c r="T29" s="607">
        <f t="shared" si="10"/>
        <v>0</v>
      </c>
      <c r="U29" s="567">
        <f t="shared" si="10"/>
        <v>267388</v>
      </c>
    </row>
    <row r="30" spans="1:21" x14ac:dyDescent="0.25">
      <c r="A30" s="780"/>
      <c r="B30" s="176">
        <v>610</v>
      </c>
      <c r="C30" s="57" t="s">
        <v>122</v>
      </c>
      <c r="D30" s="187"/>
      <c r="E30" s="187">
        <v>56762</v>
      </c>
      <c r="F30" s="187">
        <v>60944</v>
      </c>
      <c r="G30" s="187">
        <v>75340</v>
      </c>
      <c r="H30" s="187">
        <v>84414</v>
      </c>
      <c r="I30" s="57">
        <v>89012</v>
      </c>
      <c r="J30" s="58">
        <v>92984</v>
      </c>
      <c r="K30" s="58">
        <v>93001</v>
      </c>
      <c r="L30" s="124">
        <v>93672.78</v>
      </c>
      <c r="M30" s="124">
        <v>102320.64</v>
      </c>
      <c r="N30" s="20">
        <v>102319.48</v>
      </c>
      <c r="O30" s="19">
        <v>109786.57</v>
      </c>
      <c r="P30" s="19">
        <v>123486.16</v>
      </c>
      <c r="Q30" s="19">
        <v>129732.70999999999</v>
      </c>
      <c r="R30" s="142">
        <v>126938</v>
      </c>
      <c r="S30" s="700"/>
      <c r="T30" s="598"/>
      <c r="U30" s="599">
        <f t="shared" ref="U30:U33" si="11">R30+S30+T30</f>
        <v>126938</v>
      </c>
    </row>
    <row r="31" spans="1:21" x14ac:dyDescent="0.25">
      <c r="A31" s="781"/>
      <c r="B31" s="177">
        <v>620</v>
      </c>
      <c r="C31" s="59" t="s">
        <v>123</v>
      </c>
      <c r="D31" s="188"/>
      <c r="E31" s="188">
        <v>20315</v>
      </c>
      <c r="F31" s="188">
        <v>21709</v>
      </c>
      <c r="G31" s="188">
        <v>27650</v>
      </c>
      <c r="H31" s="188">
        <v>30919</v>
      </c>
      <c r="I31" s="59">
        <v>32877</v>
      </c>
      <c r="J31" s="60">
        <v>34488</v>
      </c>
      <c r="K31" s="60">
        <v>34548</v>
      </c>
      <c r="L31" s="125">
        <v>37213.83</v>
      </c>
      <c r="M31" s="125">
        <v>35543.370000000003</v>
      </c>
      <c r="N31" s="26">
        <v>37856.519999999997</v>
      </c>
      <c r="O31" s="25">
        <v>40417.53</v>
      </c>
      <c r="P31" s="25">
        <v>45335.28</v>
      </c>
      <c r="Q31" s="25">
        <v>47330.69</v>
      </c>
      <c r="R31" s="144">
        <v>46411</v>
      </c>
      <c r="S31" s="701"/>
      <c r="T31" s="600"/>
      <c r="U31" s="601">
        <f t="shared" si="11"/>
        <v>46411</v>
      </c>
    </row>
    <row r="32" spans="1:21" x14ac:dyDescent="0.25">
      <c r="A32" s="781"/>
      <c r="B32" s="177">
        <v>630</v>
      </c>
      <c r="C32" s="59" t="s">
        <v>124</v>
      </c>
      <c r="D32" s="188"/>
      <c r="E32" s="188">
        <v>16597</v>
      </c>
      <c r="F32" s="188">
        <v>21078</v>
      </c>
      <c r="G32" s="188">
        <v>23021</v>
      </c>
      <c r="H32" s="188">
        <v>22152</v>
      </c>
      <c r="I32" s="59">
        <v>19565</v>
      </c>
      <c r="J32" s="60">
        <v>22824</v>
      </c>
      <c r="K32" s="60">
        <v>25787</v>
      </c>
      <c r="L32" s="125">
        <v>22014.74</v>
      </c>
      <c r="M32" s="125">
        <v>22171.17</v>
      </c>
      <c r="N32" s="26">
        <v>20256.810000000001</v>
      </c>
      <c r="O32" s="25">
        <v>29552.34</v>
      </c>
      <c r="P32" s="25">
        <v>36953.129999999997</v>
      </c>
      <c r="Q32" s="25">
        <v>23590.739999999998</v>
      </c>
      <c r="R32" s="144">
        <v>19000</v>
      </c>
      <c r="S32" s="701"/>
      <c r="T32" s="600"/>
      <c r="U32" s="601">
        <f t="shared" si="11"/>
        <v>19000</v>
      </c>
    </row>
    <row r="33" spans="1:22" ht="15.75" thickBot="1" x14ac:dyDescent="0.3">
      <c r="A33" s="782"/>
      <c r="B33" s="177">
        <v>650</v>
      </c>
      <c r="C33" s="59" t="s">
        <v>96</v>
      </c>
      <c r="D33" s="184"/>
      <c r="E33" s="184"/>
      <c r="F33" s="184"/>
      <c r="G33" s="184"/>
      <c r="H33" s="184"/>
      <c r="I33" s="174"/>
      <c r="J33" s="174"/>
      <c r="K33" s="189"/>
      <c r="L33" s="89">
        <v>161.80000000000001</v>
      </c>
      <c r="M33" s="89">
        <v>164.71</v>
      </c>
      <c r="N33" s="90">
        <v>382.35</v>
      </c>
      <c r="O33" s="89">
        <v>2710.03</v>
      </c>
      <c r="P33" s="89">
        <v>100</v>
      </c>
      <c r="Q33" s="89">
        <v>27364.91</v>
      </c>
      <c r="R33" s="175">
        <v>75039</v>
      </c>
      <c r="S33" s="702"/>
      <c r="T33" s="611"/>
      <c r="U33" s="606">
        <f t="shared" si="11"/>
        <v>75039</v>
      </c>
    </row>
    <row r="34" spans="1:22" ht="15.75" thickBot="1" x14ac:dyDescent="0.3">
      <c r="A34" s="152" t="s">
        <v>144</v>
      </c>
      <c r="B34" s="805" t="s">
        <v>145</v>
      </c>
      <c r="C34" s="779"/>
      <c r="D34" s="180">
        <v>1328</v>
      </c>
      <c r="E34" s="180">
        <v>332</v>
      </c>
      <c r="F34" s="180">
        <v>797</v>
      </c>
      <c r="G34" s="180">
        <v>3524</v>
      </c>
      <c r="H34" s="180">
        <v>112</v>
      </c>
      <c r="I34" s="84">
        <v>600</v>
      </c>
      <c r="J34" s="84">
        <v>1028</v>
      </c>
      <c r="K34" s="84">
        <v>1230</v>
      </c>
      <c r="L34" s="85">
        <v>600</v>
      </c>
      <c r="M34" s="85">
        <v>1048.67</v>
      </c>
      <c r="N34" s="154">
        <v>1510.99</v>
      </c>
      <c r="O34" s="155">
        <v>1870</v>
      </c>
      <c r="P34" s="155">
        <v>2000</v>
      </c>
      <c r="Q34" s="155">
        <f>SUM(Q35)</f>
        <v>2240.37</v>
      </c>
      <c r="R34" s="154">
        <f>R35</f>
        <v>1000</v>
      </c>
      <c r="S34" s="626">
        <f t="shared" ref="S34:U34" si="12">S35</f>
        <v>0</v>
      </c>
      <c r="T34" s="607">
        <f t="shared" si="12"/>
        <v>0</v>
      </c>
      <c r="U34" s="567">
        <f t="shared" si="12"/>
        <v>1000</v>
      </c>
    </row>
    <row r="35" spans="1:22" ht="15.75" thickBot="1" x14ac:dyDescent="0.3">
      <c r="A35" s="289"/>
      <c r="B35" s="290"/>
      <c r="C35" s="94" t="s">
        <v>146</v>
      </c>
      <c r="D35" s="676">
        <v>1328</v>
      </c>
      <c r="E35" s="676">
        <v>332</v>
      </c>
      <c r="F35" s="676">
        <v>797</v>
      </c>
      <c r="G35" s="676">
        <v>3524</v>
      </c>
      <c r="H35" s="676">
        <v>112</v>
      </c>
      <c r="I35" s="94">
        <v>600</v>
      </c>
      <c r="J35" s="94">
        <v>1028</v>
      </c>
      <c r="K35" s="103">
        <v>1230</v>
      </c>
      <c r="L35" s="192">
        <v>600</v>
      </c>
      <c r="M35" s="192">
        <v>1048.67</v>
      </c>
      <c r="N35" s="15">
        <v>1510.99</v>
      </c>
      <c r="O35" s="14">
        <v>1870</v>
      </c>
      <c r="P35" s="14">
        <v>2000</v>
      </c>
      <c r="Q35" s="14">
        <v>2240.37</v>
      </c>
      <c r="R35" s="193">
        <v>1000</v>
      </c>
      <c r="S35" s="703"/>
      <c r="T35" s="610"/>
      <c r="U35" s="570">
        <f>R35+S35+T35</f>
        <v>1000</v>
      </c>
    </row>
    <row r="36" spans="1:22" ht="15.75" thickBot="1" x14ac:dyDescent="0.3">
      <c r="A36" s="194" t="s">
        <v>147</v>
      </c>
      <c r="B36" s="805" t="s">
        <v>148</v>
      </c>
      <c r="C36" s="779"/>
      <c r="D36" s="153">
        <v>64894</v>
      </c>
      <c r="E36" s="153">
        <v>59384</v>
      </c>
      <c r="F36" s="153">
        <v>62471</v>
      </c>
      <c r="G36" s="153">
        <v>47851</v>
      </c>
      <c r="H36" s="34">
        <v>43042</v>
      </c>
      <c r="I36" s="34">
        <v>42993</v>
      </c>
      <c r="J36" s="34">
        <v>45897</v>
      </c>
      <c r="K36" s="34">
        <v>45604</v>
      </c>
      <c r="L36" s="35">
        <v>70768.37</v>
      </c>
      <c r="M36" s="35">
        <v>57765.42</v>
      </c>
      <c r="N36" s="195">
        <v>67218.58</v>
      </c>
      <c r="O36" s="196">
        <v>62580.25</v>
      </c>
      <c r="P36" s="196">
        <v>56923.06</v>
      </c>
      <c r="Q36" s="196">
        <f>SUM(Q37:Q40)</f>
        <v>61855.359999999993</v>
      </c>
      <c r="R36" s="195">
        <f>SUM(R37:R40)</f>
        <v>63568</v>
      </c>
      <c r="S36" s="626">
        <f t="shared" ref="S36:U36" si="13">SUM(S37:S40)</f>
        <v>0</v>
      </c>
      <c r="T36" s="607">
        <f>SUM(T37:T40)</f>
        <v>13395</v>
      </c>
      <c r="U36" s="567">
        <f t="shared" si="13"/>
        <v>76963</v>
      </c>
    </row>
    <row r="37" spans="1:22" x14ac:dyDescent="0.25">
      <c r="A37" s="780"/>
      <c r="B37" s="176">
        <v>610</v>
      </c>
      <c r="C37" s="57" t="s">
        <v>122</v>
      </c>
      <c r="D37" s="187"/>
      <c r="E37" s="187"/>
      <c r="F37" s="187"/>
      <c r="G37" s="187"/>
      <c r="H37" s="187">
        <v>19662</v>
      </c>
      <c r="I37" s="57">
        <v>20165</v>
      </c>
      <c r="J37" s="58">
        <v>21683</v>
      </c>
      <c r="K37" s="58">
        <v>23558</v>
      </c>
      <c r="L37" s="19">
        <v>34957.480000000003</v>
      </c>
      <c r="M37" s="19">
        <v>28518.63</v>
      </c>
      <c r="N37" s="20">
        <v>34041.99</v>
      </c>
      <c r="O37" s="19">
        <v>33212</v>
      </c>
      <c r="P37" s="19">
        <v>33912.11</v>
      </c>
      <c r="Q37" s="19">
        <v>39048.269999999997</v>
      </c>
      <c r="R37" s="142">
        <v>37314</v>
      </c>
      <c r="S37" s="700"/>
      <c r="T37" s="765">
        <v>9926</v>
      </c>
      <c r="U37" s="599">
        <f t="shared" ref="U37:U40" si="14">R37+S37+T37</f>
        <v>47240</v>
      </c>
    </row>
    <row r="38" spans="1:22" x14ac:dyDescent="0.25">
      <c r="A38" s="781"/>
      <c r="B38" s="177">
        <v>620</v>
      </c>
      <c r="C38" s="59" t="s">
        <v>123</v>
      </c>
      <c r="D38" s="188"/>
      <c r="E38" s="188"/>
      <c r="F38" s="188"/>
      <c r="G38" s="188"/>
      <c r="H38" s="188">
        <v>6810</v>
      </c>
      <c r="I38" s="59">
        <v>7285</v>
      </c>
      <c r="J38" s="60">
        <v>7713</v>
      </c>
      <c r="K38" s="60">
        <v>8188</v>
      </c>
      <c r="L38" s="25">
        <v>13167.56</v>
      </c>
      <c r="M38" s="25">
        <v>9242.2099999999991</v>
      </c>
      <c r="N38" s="26">
        <v>11670.69</v>
      </c>
      <c r="O38" s="25">
        <v>11626.24</v>
      </c>
      <c r="P38" s="25">
        <v>11789.54</v>
      </c>
      <c r="Q38" s="25">
        <v>13624.06</v>
      </c>
      <c r="R38" s="144">
        <v>13256</v>
      </c>
      <c r="S38" s="701"/>
      <c r="T38" s="600">
        <v>3469</v>
      </c>
      <c r="U38" s="601">
        <f t="shared" si="14"/>
        <v>16725</v>
      </c>
      <c r="V38" s="190"/>
    </row>
    <row r="39" spans="1:22" x14ac:dyDescent="0.25">
      <c r="A39" s="781"/>
      <c r="B39" s="177">
        <v>630</v>
      </c>
      <c r="C39" s="59" t="s">
        <v>124</v>
      </c>
      <c r="D39" s="188"/>
      <c r="E39" s="188"/>
      <c r="F39" s="188"/>
      <c r="G39" s="188"/>
      <c r="H39" s="188">
        <v>16570</v>
      </c>
      <c r="I39" s="59">
        <v>15543</v>
      </c>
      <c r="J39" s="60">
        <v>16501</v>
      </c>
      <c r="K39" s="60">
        <v>13727</v>
      </c>
      <c r="L39" s="25">
        <v>20379.169999999998</v>
      </c>
      <c r="M39" s="25">
        <v>19888.419999999998</v>
      </c>
      <c r="N39" s="26">
        <v>21248.55</v>
      </c>
      <c r="O39" s="25">
        <v>16832.53</v>
      </c>
      <c r="P39" s="25">
        <v>11149.41</v>
      </c>
      <c r="Q39" s="25">
        <v>8952.9599999999991</v>
      </c>
      <c r="R39" s="144">
        <v>12998</v>
      </c>
      <c r="S39" s="701"/>
      <c r="T39" s="600"/>
      <c r="U39" s="601">
        <f t="shared" si="14"/>
        <v>12998</v>
      </c>
    </row>
    <row r="40" spans="1:22" ht="15.75" thickBot="1" x14ac:dyDescent="0.3">
      <c r="A40" s="782"/>
      <c r="B40" s="177">
        <v>640</v>
      </c>
      <c r="C40" s="147" t="s">
        <v>125</v>
      </c>
      <c r="D40" s="173"/>
      <c r="E40" s="173"/>
      <c r="F40" s="173"/>
      <c r="G40" s="173"/>
      <c r="H40" s="173"/>
      <c r="I40" s="174"/>
      <c r="J40" s="60"/>
      <c r="K40" s="60">
        <v>131</v>
      </c>
      <c r="L40" s="89">
        <v>2264.16</v>
      </c>
      <c r="M40" s="89">
        <v>116.16</v>
      </c>
      <c r="N40" s="90">
        <v>257.35000000000002</v>
      </c>
      <c r="O40" s="89">
        <v>909.48</v>
      </c>
      <c r="P40" s="89">
        <v>72</v>
      </c>
      <c r="Q40" s="89">
        <v>230.07</v>
      </c>
      <c r="R40" s="175"/>
      <c r="S40" s="702"/>
      <c r="T40" s="611"/>
      <c r="U40" s="606">
        <f t="shared" si="14"/>
        <v>0</v>
      </c>
    </row>
    <row r="41" spans="1:22" ht="15.75" thickBot="1" x14ac:dyDescent="0.3">
      <c r="A41" s="152" t="s">
        <v>149</v>
      </c>
      <c r="B41" s="805" t="s">
        <v>150</v>
      </c>
      <c r="C41" s="779"/>
      <c r="D41" s="180">
        <v>0</v>
      </c>
      <c r="E41" s="180">
        <v>0</v>
      </c>
      <c r="F41" s="180">
        <v>0</v>
      </c>
      <c r="G41" s="180">
        <v>66</v>
      </c>
      <c r="H41" s="180">
        <v>175</v>
      </c>
      <c r="I41" s="84">
        <v>269</v>
      </c>
      <c r="J41" s="84">
        <v>182</v>
      </c>
      <c r="K41" s="84">
        <v>104</v>
      </c>
      <c r="L41" s="85">
        <v>169.4</v>
      </c>
      <c r="M41" s="85">
        <v>87.6</v>
      </c>
      <c r="N41" s="154">
        <v>40.1</v>
      </c>
      <c r="O41" s="154">
        <v>0</v>
      </c>
      <c r="P41" s="154">
        <v>69.25</v>
      </c>
      <c r="Q41" s="155">
        <f>SUM(Q42)</f>
        <v>440.25</v>
      </c>
      <c r="R41" s="154">
        <f>R42</f>
        <v>200</v>
      </c>
      <c r="S41" s="703">
        <f t="shared" ref="S41:U41" si="15">S42</f>
        <v>0</v>
      </c>
      <c r="T41" s="607">
        <f t="shared" si="15"/>
        <v>0</v>
      </c>
      <c r="U41" s="567">
        <f t="shared" si="15"/>
        <v>200</v>
      </c>
    </row>
    <row r="42" spans="1:22" ht="15.75" thickBot="1" x14ac:dyDescent="0.3">
      <c r="A42" s="197"/>
      <c r="B42" s="198">
        <v>640</v>
      </c>
      <c r="C42" s="174" t="s">
        <v>151</v>
      </c>
      <c r="D42" s="184"/>
      <c r="E42" s="184"/>
      <c r="F42" s="184"/>
      <c r="G42" s="184">
        <v>66</v>
      </c>
      <c r="H42" s="184">
        <v>175</v>
      </c>
      <c r="I42" s="174">
        <v>269</v>
      </c>
      <c r="J42" s="174">
        <v>182</v>
      </c>
      <c r="K42" s="174">
        <v>104</v>
      </c>
      <c r="L42" s="199">
        <v>169.4</v>
      </c>
      <c r="M42" s="192">
        <v>87.6</v>
      </c>
      <c r="N42" s="15">
        <v>40.1</v>
      </c>
      <c r="O42" s="15"/>
      <c r="P42" s="15">
        <v>69.25</v>
      </c>
      <c r="Q42" s="14">
        <v>440.25</v>
      </c>
      <c r="R42" s="193">
        <v>200</v>
      </c>
      <c r="S42" s="703"/>
      <c r="T42" s="610"/>
      <c r="U42" s="570">
        <f>R42+S42+T42</f>
        <v>200</v>
      </c>
    </row>
    <row r="43" spans="1:22" ht="15.75" thickBot="1" x14ac:dyDescent="0.3">
      <c r="A43" s="152" t="s">
        <v>152</v>
      </c>
      <c r="B43" s="805" t="s">
        <v>153</v>
      </c>
      <c r="C43" s="779"/>
      <c r="D43" s="153">
        <v>29310</v>
      </c>
      <c r="E43" s="153">
        <v>30173</v>
      </c>
      <c r="F43" s="153">
        <v>33061</v>
      </c>
      <c r="G43" s="153">
        <v>31215</v>
      </c>
      <c r="H43" s="34">
        <v>30188</v>
      </c>
      <c r="I43" s="34">
        <v>30251</v>
      </c>
      <c r="J43" s="34">
        <v>29902</v>
      </c>
      <c r="K43" s="34">
        <v>27922</v>
      </c>
      <c r="L43" s="34">
        <v>26736.059999999998</v>
      </c>
      <c r="M43" s="35">
        <v>31580.040000000005</v>
      </c>
      <c r="N43" s="195">
        <v>36470.850000000006</v>
      </c>
      <c r="O43" s="196">
        <v>54203.55</v>
      </c>
      <c r="P43" s="196">
        <v>87006.54</v>
      </c>
      <c r="Q43" s="196">
        <f>SUM(Q44:Q49)</f>
        <v>79163.91</v>
      </c>
      <c r="R43" s="195">
        <f>SUM(R44:R49)</f>
        <v>98937</v>
      </c>
      <c r="S43" s="626">
        <f t="shared" ref="S43:U43" si="16">SUM(S44:S49)</f>
        <v>0</v>
      </c>
      <c r="T43" s="607">
        <f t="shared" si="16"/>
        <v>0</v>
      </c>
      <c r="U43" s="567">
        <f t="shared" si="16"/>
        <v>98937</v>
      </c>
    </row>
    <row r="44" spans="1:22" x14ac:dyDescent="0.25">
      <c r="A44" s="780"/>
      <c r="B44" s="141">
        <v>610</v>
      </c>
      <c r="C44" s="57" t="s">
        <v>122</v>
      </c>
      <c r="D44" s="187"/>
      <c r="E44" s="187">
        <v>17128</v>
      </c>
      <c r="F44" s="187">
        <v>19186</v>
      </c>
      <c r="G44" s="187">
        <v>18647</v>
      </c>
      <c r="H44" s="187">
        <v>19330</v>
      </c>
      <c r="I44" s="57">
        <v>19430</v>
      </c>
      <c r="J44" s="58">
        <v>19249</v>
      </c>
      <c r="K44" s="58">
        <v>18860</v>
      </c>
      <c r="L44" s="124">
        <v>17749.95</v>
      </c>
      <c r="M44" s="124">
        <v>21482.58</v>
      </c>
      <c r="N44" s="20">
        <v>23137.49</v>
      </c>
      <c r="O44" s="19">
        <v>24187.48</v>
      </c>
      <c r="P44" s="19">
        <v>31091.66</v>
      </c>
      <c r="Q44" s="19">
        <v>33641.449999999997</v>
      </c>
      <c r="R44" s="142">
        <v>35574</v>
      </c>
      <c r="S44" s="705"/>
      <c r="T44" s="612"/>
      <c r="U44" s="613">
        <f t="shared" ref="U44:U49" si="17">R44+S44+T44</f>
        <v>35574</v>
      </c>
    </row>
    <row r="45" spans="1:22" x14ac:dyDescent="0.25">
      <c r="A45" s="781"/>
      <c r="B45" s="143">
        <v>620</v>
      </c>
      <c r="C45" s="59" t="s">
        <v>123</v>
      </c>
      <c r="D45" s="188"/>
      <c r="E45" s="188">
        <v>6174</v>
      </c>
      <c r="F45" s="188">
        <v>6440</v>
      </c>
      <c r="G45" s="188">
        <v>6250</v>
      </c>
      <c r="H45" s="188">
        <v>6780</v>
      </c>
      <c r="I45" s="59">
        <v>6793</v>
      </c>
      <c r="J45" s="60">
        <v>6741</v>
      </c>
      <c r="K45" s="60">
        <v>6528</v>
      </c>
      <c r="L45" s="125">
        <v>6227.83</v>
      </c>
      <c r="M45" s="125">
        <v>7544.26</v>
      </c>
      <c r="N45" s="26">
        <v>8118.17</v>
      </c>
      <c r="O45" s="25">
        <v>8499.7000000000007</v>
      </c>
      <c r="P45" s="25">
        <v>10918.71</v>
      </c>
      <c r="Q45" s="25">
        <v>11858.77</v>
      </c>
      <c r="R45" s="144">
        <v>12613</v>
      </c>
      <c r="S45" s="701"/>
      <c r="T45" s="600"/>
      <c r="U45" s="601">
        <f t="shared" si="17"/>
        <v>12613</v>
      </c>
    </row>
    <row r="46" spans="1:22" x14ac:dyDescent="0.25">
      <c r="A46" s="781"/>
      <c r="B46" s="143">
        <v>630</v>
      </c>
      <c r="C46" s="59" t="s">
        <v>124</v>
      </c>
      <c r="D46" s="188"/>
      <c r="E46" s="188">
        <v>6871</v>
      </c>
      <c r="F46" s="188">
        <v>7435</v>
      </c>
      <c r="G46" s="188">
        <v>6318</v>
      </c>
      <c r="H46" s="188">
        <v>4078</v>
      </c>
      <c r="I46" s="59">
        <v>4028</v>
      </c>
      <c r="J46" s="60">
        <v>3912</v>
      </c>
      <c r="K46" s="60">
        <v>2534</v>
      </c>
      <c r="L46" s="125">
        <v>2758.28</v>
      </c>
      <c r="M46" s="125">
        <v>2553.1999999999998</v>
      </c>
      <c r="N46" s="26">
        <v>5215.1899999999996</v>
      </c>
      <c r="O46" s="25">
        <v>7214.1500000000005</v>
      </c>
      <c r="P46" s="25">
        <v>3273.6100000000006</v>
      </c>
      <c r="Q46" s="25">
        <v>2843.350000000004</v>
      </c>
      <c r="R46" s="144">
        <v>2800</v>
      </c>
      <c r="S46" s="701"/>
      <c r="T46" s="600"/>
      <c r="U46" s="601">
        <f t="shared" si="17"/>
        <v>2800</v>
      </c>
    </row>
    <row r="47" spans="1:22" x14ac:dyDescent="0.25">
      <c r="A47" s="781"/>
      <c r="B47" s="200">
        <v>630</v>
      </c>
      <c r="C47" s="62" t="s">
        <v>442</v>
      </c>
      <c r="D47" s="201"/>
      <c r="E47" s="201"/>
      <c r="F47" s="201"/>
      <c r="G47" s="201"/>
      <c r="H47" s="201"/>
      <c r="I47" s="62"/>
      <c r="J47" s="93"/>
      <c r="K47" s="93"/>
      <c r="L47" s="202"/>
      <c r="M47" s="202"/>
      <c r="N47" s="49"/>
      <c r="O47" s="48"/>
      <c r="P47" s="48"/>
      <c r="Q47" s="48">
        <v>8549.6</v>
      </c>
      <c r="R47" s="203">
        <v>22100</v>
      </c>
      <c r="S47" s="702"/>
      <c r="T47" s="611"/>
      <c r="U47" s="606">
        <f t="shared" si="17"/>
        <v>22100</v>
      </c>
    </row>
    <row r="48" spans="1:22" x14ac:dyDescent="0.25">
      <c r="A48" s="781"/>
      <c r="B48" s="200">
        <v>630</v>
      </c>
      <c r="C48" s="62" t="s">
        <v>154</v>
      </c>
      <c r="D48" s="201"/>
      <c r="E48" s="201"/>
      <c r="F48" s="201"/>
      <c r="G48" s="201"/>
      <c r="H48" s="201"/>
      <c r="I48" s="62"/>
      <c r="J48" s="93"/>
      <c r="K48" s="93"/>
      <c r="L48" s="202"/>
      <c r="M48" s="202"/>
      <c r="N48" s="49"/>
      <c r="O48" s="48"/>
      <c r="P48" s="48"/>
      <c r="Q48" s="48">
        <v>22270.739999999998</v>
      </c>
      <c r="R48" s="203">
        <v>25850</v>
      </c>
      <c r="S48" s="702"/>
      <c r="T48" s="611"/>
      <c r="U48" s="606">
        <f t="shared" si="17"/>
        <v>25850</v>
      </c>
    </row>
    <row r="49" spans="1:21" ht="15.75" thickBot="1" x14ac:dyDescent="0.3">
      <c r="A49" s="782"/>
      <c r="B49" s="204">
        <v>630</v>
      </c>
      <c r="C49" s="61" t="s">
        <v>109</v>
      </c>
      <c r="D49" s="205"/>
      <c r="E49" s="205"/>
      <c r="F49" s="205"/>
      <c r="G49" s="205"/>
      <c r="H49" s="205"/>
      <c r="I49" s="61"/>
      <c r="J49" s="76"/>
      <c r="K49" s="76"/>
      <c r="L49" s="206"/>
      <c r="M49" s="206"/>
      <c r="N49" s="32"/>
      <c r="O49" s="31">
        <v>14302.22</v>
      </c>
      <c r="P49" s="31">
        <v>41722.559999999998</v>
      </c>
      <c r="Q49" s="31"/>
      <c r="R49" s="207"/>
      <c r="S49" s="706"/>
      <c r="T49" s="614"/>
      <c r="U49" s="615">
        <f t="shared" si="17"/>
        <v>0</v>
      </c>
    </row>
    <row r="50" spans="1:21" ht="15.75" thickBot="1" x14ac:dyDescent="0.3">
      <c r="A50" s="152" t="s">
        <v>155</v>
      </c>
      <c r="B50" s="805" t="s">
        <v>156</v>
      </c>
      <c r="C50" s="779"/>
      <c r="D50" s="180">
        <v>13278</v>
      </c>
      <c r="E50" s="180">
        <v>366029</v>
      </c>
      <c r="F50" s="180">
        <v>277733</v>
      </c>
      <c r="G50" s="180">
        <v>398013</v>
      </c>
      <c r="H50" s="180">
        <v>368170</v>
      </c>
      <c r="I50" s="84">
        <v>294633</v>
      </c>
      <c r="J50" s="84">
        <v>216960</v>
      </c>
      <c r="K50" s="84">
        <v>236599</v>
      </c>
      <c r="L50" s="85">
        <v>216987.18</v>
      </c>
      <c r="M50" s="85">
        <v>226497.02000000002</v>
      </c>
      <c r="N50" s="154">
        <v>249510.29</v>
      </c>
      <c r="O50" s="155">
        <v>263692.45</v>
      </c>
      <c r="P50" s="155">
        <v>362393.4</v>
      </c>
      <c r="Q50" s="155">
        <f>SUM(Q51:Q55)</f>
        <v>432250.81000000006</v>
      </c>
      <c r="R50" s="154">
        <f>SUM(R51:R55)</f>
        <v>444157</v>
      </c>
      <c r="S50" s="626">
        <f t="shared" ref="S50:U50" si="18">SUM(S51:S55)</f>
        <v>0</v>
      </c>
      <c r="T50" s="607">
        <f t="shared" si="18"/>
        <v>0</v>
      </c>
      <c r="U50" s="567">
        <f t="shared" si="18"/>
        <v>444157</v>
      </c>
    </row>
    <row r="51" spans="1:21" x14ac:dyDescent="0.25">
      <c r="A51" s="844"/>
      <c r="B51" s="720">
        <v>640</v>
      </c>
      <c r="C51" s="209" t="s">
        <v>157</v>
      </c>
      <c r="D51" s="210"/>
      <c r="E51" s="210"/>
      <c r="F51" s="210"/>
      <c r="G51" s="210"/>
      <c r="H51" s="210">
        <v>307476</v>
      </c>
      <c r="I51" s="211">
        <v>234550</v>
      </c>
      <c r="J51" s="58">
        <v>150070</v>
      </c>
      <c r="K51" s="58">
        <v>167336</v>
      </c>
      <c r="L51" s="19">
        <v>148104</v>
      </c>
      <c r="M51" s="159">
        <v>157211</v>
      </c>
      <c r="N51" s="18">
        <v>183945</v>
      </c>
      <c r="O51" s="159">
        <v>167281</v>
      </c>
      <c r="P51" s="159">
        <v>263000</v>
      </c>
      <c r="Q51" s="159">
        <v>334227.87</v>
      </c>
      <c r="R51" s="18">
        <v>346757</v>
      </c>
      <c r="S51" s="705"/>
      <c r="T51" s="612"/>
      <c r="U51" s="613">
        <f t="shared" ref="U51:U55" si="19">R51+S51+T51</f>
        <v>346757</v>
      </c>
    </row>
    <row r="52" spans="1:21" ht="16.5" customHeight="1" x14ac:dyDescent="0.25">
      <c r="A52" s="845"/>
      <c r="B52" s="208">
        <v>640</v>
      </c>
      <c r="C52" s="730" t="s">
        <v>443</v>
      </c>
      <c r="D52" s="213"/>
      <c r="E52" s="213"/>
      <c r="F52" s="213"/>
      <c r="G52" s="213"/>
      <c r="H52" s="213"/>
      <c r="I52" s="214"/>
      <c r="J52" s="73"/>
      <c r="K52" s="73"/>
      <c r="L52" s="45"/>
      <c r="M52" s="215"/>
      <c r="N52" s="44"/>
      <c r="O52" s="215">
        <v>28183</v>
      </c>
      <c r="P52" s="215"/>
      <c r="Q52" s="215"/>
      <c r="R52" s="216">
        <v>2400</v>
      </c>
      <c r="S52" s="700"/>
      <c r="T52" s="598"/>
      <c r="U52" s="599">
        <f t="shared" si="19"/>
        <v>2400</v>
      </c>
    </row>
    <row r="53" spans="1:21" x14ac:dyDescent="0.25">
      <c r="A53" s="845"/>
      <c r="B53" s="208">
        <v>630</v>
      </c>
      <c r="C53" s="212" t="s">
        <v>158</v>
      </c>
      <c r="D53" s="213"/>
      <c r="E53" s="213"/>
      <c r="F53" s="213"/>
      <c r="G53" s="213"/>
      <c r="H53" s="213">
        <v>9596</v>
      </c>
      <c r="I53" s="214">
        <v>3094</v>
      </c>
      <c r="J53" s="60">
        <v>2060</v>
      </c>
      <c r="K53" s="60">
        <v>1011</v>
      </c>
      <c r="L53" s="45">
        <v>1770</v>
      </c>
      <c r="M53" s="215">
        <v>1790</v>
      </c>
      <c r="N53" s="44">
        <v>1340</v>
      </c>
      <c r="O53" s="215">
        <v>3846.12</v>
      </c>
      <c r="P53" s="215">
        <v>1800</v>
      </c>
      <c r="Q53" s="215">
        <v>1980</v>
      </c>
      <c r="R53" s="44">
        <v>3100</v>
      </c>
      <c r="S53" s="701"/>
      <c r="T53" s="600"/>
      <c r="U53" s="601">
        <f t="shared" si="19"/>
        <v>3100</v>
      </c>
    </row>
    <row r="54" spans="1:21" x14ac:dyDescent="0.25">
      <c r="A54" s="845"/>
      <c r="B54" s="208">
        <v>630</v>
      </c>
      <c r="C54" s="212" t="s">
        <v>159</v>
      </c>
      <c r="D54" s="213"/>
      <c r="E54" s="213"/>
      <c r="F54" s="213"/>
      <c r="G54" s="213"/>
      <c r="H54" s="213"/>
      <c r="I54" s="214"/>
      <c r="J54" s="60"/>
      <c r="K54" s="60"/>
      <c r="L54" s="45"/>
      <c r="M54" s="215"/>
      <c r="N54" s="44">
        <v>0</v>
      </c>
      <c r="O54" s="215"/>
      <c r="P54" s="215">
        <v>27926.51</v>
      </c>
      <c r="Q54" s="215">
        <v>25015.09</v>
      </c>
      <c r="R54" s="216">
        <v>26900</v>
      </c>
      <c r="S54" s="701"/>
      <c r="T54" s="600"/>
      <c r="U54" s="601">
        <f t="shared" si="19"/>
        <v>26900</v>
      </c>
    </row>
    <row r="55" spans="1:21" ht="15.75" thickBot="1" x14ac:dyDescent="0.3">
      <c r="A55" s="846"/>
      <c r="B55" s="178">
        <v>640</v>
      </c>
      <c r="C55" s="217" t="s">
        <v>160</v>
      </c>
      <c r="D55" s="218"/>
      <c r="E55" s="218"/>
      <c r="F55" s="218"/>
      <c r="G55" s="218"/>
      <c r="H55" s="218">
        <v>49953</v>
      </c>
      <c r="I55" s="219">
        <v>56989</v>
      </c>
      <c r="J55" s="76">
        <v>64830</v>
      </c>
      <c r="K55" s="76">
        <v>68252</v>
      </c>
      <c r="L55" s="96">
        <v>67113.179999999993</v>
      </c>
      <c r="M55" s="104">
        <v>67496.02</v>
      </c>
      <c r="N55" s="105">
        <v>64225.29</v>
      </c>
      <c r="O55" s="104">
        <v>64382.33</v>
      </c>
      <c r="P55" s="104">
        <v>69666.89</v>
      </c>
      <c r="Q55" s="104">
        <v>71027.850000000006</v>
      </c>
      <c r="R55" s="220">
        <v>65000</v>
      </c>
      <c r="S55" s="706"/>
      <c r="T55" s="614"/>
      <c r="U55" s="615">
        <f t="shared" si="19"/>
        <v>65000</v>
      </c>
    </row>
    <row r="56" spans="1:21" ht="15.75" thickBot="1" x14ac:dyDescent="0.3">
      <c r="A56" s="152" t="s">
        <v>161</v>
      </c>
      <c r="B56" s="805" t="s">
        <v>162</v>
      </c>
      <c r="C56" s="779"/>
      <c r="D56" s="153">
        <v>33426</v>
      </c>
      <c r="E56" s="153">
        <v>39800</v>
      </c>
      <c r="F56" s="153">
        <v>42953</v>
      </c>
      <c r="G56" s="153">
        <v>66506</v>
      </c>
      <c r="H56" s="153">
        <v>76065</v>
      </c>
      <c r="I56" s="84">
        <v>59613</v>
      </c>
      <c r="J56" s="84">
        <v>58168</v>
      </c>
      <c r="K56" s="84">
        <v>57293</v>
      </c>
      <c r="L56" s="84">
        <v>53359.31</v>
      </c>
      <c r="M56" s="85">
        <v>49261.270000000004</v>
      </c>
      <c r="N56" s="154">
        <v>69492.78</v>
      </c>
      <c r="O56" s="155">
        <v>86003.890000000014</v>
      </c>
      <c r="P56" s="155">
        <v>106730.37000000001</v>
      </c>
      <c r="Q56" s="155">
        <f>Q57+Q61+Q62+Q63+Q64+Q65+Q66</f>
        <v>101186.41</v>
      </c>
      <c r="R56" s="154">
        <f>R57+R61+R62+R63+R64+R65+R66</f>
        <v>94933</v>
      </c>
      <c r="S56" s="626">
        <f t="shared" ref="S56:U56" si="20">S57+S61+S62+S63+S64+S65+S66</f>
        <v>0</v>
      </c>
      <c r="T56" s="607">
        <f t="shared" si="20"/>
        <v>945</v>
      </c>
      <c r="U56" s="567">
        <f t="shared" si="20"/>
        <v>95878</v>
      </c>
    </row>
    <row r="57" spans="1:21" ht="15.75" thickBot="1" x14ac:dyDescent="0.3">
      <c r="A57" s="842"/>
      <c r="B57" s="848" t="s">
        <v>163</v>
      </c>
      <c r="C57" s="849"/>
      <c r="D57" s="225">
        <v>0</v>
      </c>
      <c r="E57" s="225">
        <v>13477</v>
      </c>
      <c r="F57" s="225">
        <v>15800</v>
      </c>
      <c r="G57" s="225">
        <v>26596</v>
      </c>
      <c r="H57" s="225">
        <v>25323</v>
      </c>
      <c r="I57" s="12">
        <v>25388</v>
      </c>
      <c r="J57" s="12">
        <v>23577</v>
      </c>
      <c r="K57" s="12">
        <v>25508</v>
      </c>
      <c r="L57" s="12">
        <v>26966.809999999998</v>
      </c>
      <c r="M57" s="226">
        <v>26493.65</v>
      </c>
      <c r="N57" s="193">
        <v>11116.460000000001</v>
      </c>
      <c r="O57" s="227">
        <v>18582.04</v>
      </c>
      <c r="P57" s="227">
        <v>14813.99</v>
      </c>
      <c r="Q57" s="227">
        <f>SUM(Q58:Q60)</f>
        <v>26680.239999999994</v>
      </c>
      <c r="R57" s="193">
        <f>SUM(R58:R60)</f>
        <v>27480</v>
      </c>
      <c r="S57" s="626">
        <f t="shared" ref="S57:U57" si="21">SUM(S58:S60)</f>
        <v>0</v>
      </c>
      <c r="T57" s="610">
        <f t="shared" si="21"/>
        <v>945</v>
      </c>
      <c r="U57" s="570">
        <f t="shared" si="21"/>
        <v>28425</v>
      </c>
    </row>
    <row r="58" spans="1:21" x14ac:dyDescent="0.25">
      <c r="A58" s="847"/>
      <c r="B58" s="228">
        <v>610</v>
      </c>
      <c r="C58" s="43" t="s">
        <v>122</v>
      </c>
      <c r="D58" s="112"/>
      <c r="E58" s="112"/>
      <c r="F58" s="112"/>
      <c r="G58" s="112"/>
      <c r="H58" s="112">
        <v>16865</v>
      </c>
      <c r="I58" s="43">
        <v>17260</v>
      </c>
      <c r="J58" s="58">
        <v>15432</v>
      </c>
      <c r="K58" s="58">
        <v>15427</v>
      </c>
      <c r="L58" s="46">
        <v>14767.98</v>
      </c>
      <c r="M58" s="215">
        <v>15800.44</v>
      </c>
      <c r="N58" s="44">
        <v>9158.7800000000007</v>
      </c>
      <c r="O58" s="215">
        <v>10007.84</v>
      </c>
      <c r="P58" s="215">
        <v>10778.65</v>
      </c>
      <c r="Q58" s="215">
        <v>13605.65</v>
      </c>
      <c r="R58" s="229">
        <v>14592</v>
      </c>
      <c r="S58" s="700"/>
      <c r="T58" s="598">
        <v>700</v>
      </c>
      <c r="U58" s="599">
        <f t="shared" ref="U58:U66" si="22">R58+S58+T58</f>
        <v>15292</v>
      </c>
    </row>
    <row r="59" spans="1:21" x14ac:dyDescent="0.25">
      <c r="A59" s="847"/>
      <c r="B59" s="228">
        <v>620</v>
      </c>
      <c r="C59" s="43" t="s">
        <v>123</v>
      </c>
      <c r="D59" s="112"/>
      <c r="E59" s="112"/>
      <c r="F59" s="112"/>
      <c r="G59" s="112"/>
      <c r="H59" s="112">
        <v>6017</v>
      </c>
      <c r="I59" s="43">
        <v>6225</v>
      </c>
      <c r="J59" s="60">
        <v>5547</v>
      </c>
      <c r="K59" s="60">
        <v>5746</v>
      </c>
      <c r="L59" s="46">
        <v>5836.68</v>
      </c>
      <c r="M59" s="215">
        <v>5402.44</v>
      </c>
      <c r="N59" s="44">
        <v>1957.68</v>
      </c>
      <c r="O59" s="215">
        <v>3763.52</v>
      </c>
      <c r="P59" s="215">
        <v>4035.34</v>
      </c>
      <c r="Q59" s="215">
        <v>5883.76</v>
      </c>
      <c r="R59" s="229">
        <v>5388</v>
      </c>
      <c r="S59" s="701"/>
      <c r="T59" s="600">
        <v>245</v>
      </c>
      <c r="U59" s="601">
        <f t="shared" si="22"/>
        <v>5633</v>
      </c>
    </row>
    <row r="60" spans="1:21" ht="15.75" thickBot="1" x14ac:dyDescent="0.3">
      <c r="A60" s="847"/>
      <c r="B60" s="230">
        <v>630</v>
      </c>
      <c r="C60" s="102" t="s">
        <v>124</v>
      </c>
      <c r="D60" s="231"/>
      <c r="E60" s="231"/>
      <c r="F60" s="231"/>
      <c r="G60" s="231"/>
      <c r="H60" s="231">
        <v>2441</v>
      </c>
      <c r="I60" s="102">
        <v>1903</v>
      </c>
      <c r="J60" s="76">
        <v>2598</v>
      </c>
      <c r="K60" s="76">
        <v>4335</v>
      </c>
      <c r="L60" s="97">
        <v>6362.15</v>
      </c>
      <c r="M60" s="104">
        <v>5290.77</v>
      </c>
      <c r="N60" s="105"/>
      <c r="O60" s="104">
        <v>4810.68</v>
      </c>
      <c r="P60" s="104"/>
      <c r="Q60" s="104">
        <v>7190.8299999999945</v>
      </c>
      <c r="R60" s="207">
        <v>7500</v>
      </c>
      <c r="S60" s="707"/>
      <c r="T60" s="616"/>
      <c r="U60" s="617">
        <f t="shared" si="22"/>
        <v>7500</v>
      </c>
    </row>
    <row r="61" spans="1:21" x14ac:dyDescent="0.25">
      <c r="A61" s="847"/>
      <c r="B61" s="228">
        <v>600</v>
      </c>
      <c r="C61" s="43" t="s">
        <v>164</v>
      </c>
      <c r="D61" s="112"/>
      <c r="E61" s="112"/>
      <c r="F61" s="112"/>
      <c r="G61" s="112"/>
      <c r="H61" s="112"/>
      <c r="I61" s="43">
        <v>9190</v>
      </c>
      <c r="J61" s="112">
        <v>6912</v>
      </c>
      <c r="K61" s="112">
        <v>9446</v>
      </c>
      <c r="L61" s="112">
        <v>4778.18</v>
      </c>
      <c r="M61" s="158">
        <v>8683.39</v>
      </c>
      <c r="N61" s="44">
        <v>34595.32</v>
      </c>
      <c r="O61" s="215">
        <v>40079.160000000003</v>
      </c>
      <c r="P61" s="215">
        <v>63662.49</v>
      </c>
      <c r="Q61" s="215">
        <f>12357.88+4539.77</f>
        <v>16897.650000000001</v>
      </c>
      <c r="R61" s="229">
        <v>16500</v>
      </c>
      <c r="S61" s="700"/>
      <c r="T61" s="598"/>
      <c r="U61" s="599">
        <f t="shared" si="22"/>
        <v>16500</v>
      </c>
    </row>
    <row r="62" spans="1:21" x14ac:dyDescent="0.25">
      <c r="A62" s="847"/>
      <c r="B62" s="228">
        <v>600</v>
      </c>
      <c r="C62" s="43" t="s">
        <v>165</v>
      </c>
      <c r="D62" s="112"/>
      <c r="E62" s="112"/>
      <c r="F62" s="112"/>
      <c r="G62" s="112"/>
      <c r="H62" s="112"/>
      <c r="I62" s="43">
        <v>2000</v>
      </c>
      <c r="J62" s="112"/>
      <c r="K62" s="112"/>
      <c r="L62" s="112"/>
      <c r="M62" s="232"/>
      <c r="N62" s="44">
        <v>0</v>
      </c>
      <c r="O62" s="215"/>
      <c r="P62" s="215"/>
      <c r="Q62" s="215">
        <f>10671.51+10944.36</f>
        <v>21615.870000000003</v>
      </c>
      <c r="R62" s="144">
        <v>0</v>
      </c>
      <c r="S62" s="701"/>
      <c r="T62" s="600"/>
      <c r="U62" s="601">
        <f t="shared" si="22"/>
        <v>0</v>
      </c>
    </row>
    <row r="63" spans="1:21" x14ac:dyDescent="0.25">
      <c r="A63" s="847"/>
      <c r="B63" s="228">
        <v>600</v>
      </c>
      <c r="C63" s="22" t="s">
        <v>166</v>
      </c>
      <c r="D63" s="23"/>
      <c r="E63" s="23"/>
      <c r="F63" s="23"/>
      <c r="G63" s="23"/>
      <c r="H63" s="23"/>
      <c r="I63" s="22">
        <v>10000</v>
      </c>
      <c r="J63" s="23">
        <v>1500</v>
      </c>
      <c r="K63" s="23">
        <v>370</v>
      </c>
      <c r="L63" s="23">
        <v>592.20000000000005</v>
      </c>
      <c r="M63" s="163">
        <v>1220</v>
      </c>
      <c r="N63" s="24">
        <v>0</v>
      </c>
      <c r="O63" s="113"/>
      <c r="P63" s="113"/>
      <c r="Q63" s="113">
        <v>4000</v>
      </c>
      <c r="R63" s="144">
        <v>4000</v>
      </c>
      <c r="S63" s="701"/>
      <c r="T63" s="600"/>
      <c r="U63" s="601">
        <f t="shared" si="22"/>
        <v>4000</v>
      </c>
    </row>
    <row r="64" spans="1:21" x14ac:dyDescent="0.25">
      <c r="A64" s="847"/>
      <c r="B64" s="228">
        <v>600</v>
      </c>
      <c r="C64" s="22" t="s">
        <v>167</v>
      </c>
      <c r="D64" s="23"/>
      <c r="E64" s="23"/>
      <c r="F64" s="23"/>
      <c r="G64" s="23"/>
      <c r="H64" s="23"/>
      <c r="I64" s="22">
        <v>1871</v>
      </c>
      <c r="J64" s="23">
        <v>2416</v>
      </c>
      <c r="K64" s="23">
        <v>4274</v>
      </c>
      <c r="L64" s="23">
        <v>2000</v>
      </c>
      <c r="M64" s="163">
        <v>3500</v>
      </c>
      <c r="N64" s="24"/>
      <c r="O64" s="113">
        <v>3571.7</v>
      </c>
      <c r="P64" s="113"/>
      <c r="Q64" s="113">
        <f>1594+2000</f>
        <v>3594</v>
      </c>
      <c r="R64" s="144">
        <v>6000</v>
      </c>
      <c r="S64" s="701"/>
      <c r="T64" s="600"/>
      <c r="U64" s="601">
        <f t="shared" si="22"/>
        <v>6000</v>
      </c>
    </row>
    <row r="65" spans="1:22" x14ac:dyDescent="0.25">
      <c r="A65" s="847"/>
      <c r="B65" s="228">
        <v>600</v>
      </c>
      <c r="C65" s="22" t="s">
        <v>168</v>
      </c>
      <c r="D65" s="23"/>
      <c r="E65" s="23"/>
      <c r="F65" s="23"/>
      <c r="G65" s="23"/>
      <c r="H65" s="23"/>
      <c r="I65" s="22">
        <v>3240</v>
      </c>
      <c r="J65" s="23">
        <v>832</v>
      </c>
      <c r="K65" s="23">
        <v>1493</v>
      </c>
      <c r="L65" s="23">
        <v>1232</v>
      </c>
      <c r="M65" s="163">
        <v>1000</v>
      </c>
      <c r="N65" s="24"/>
      <c r="O65" s="113"/>
      <c r="P65" s="113"/>
      <c r="Q65" s="113"/>
      <c r="R65" s="144">
        <v>1000</v>
      </c>
      <c r="S65" s="701"/>
      <c r="T65" s="600"/>
      <c r="U65" s="601">
        <f t="shared" si="22"/>
        <v>1000</v>
      </c>
    </row>
    <row r="66" spans="1:22" ht="15.75" thickBot="1" x14ac:dyDescent="0.3">
      <c r="A66" s="847"/>
      <c r="B66" s="228">
        <v>600</v>
      </c>
      <c r="C66" s="22" t="s">
        <v>169</v>
      </c>
      <c r="D66" s="23"/>
      <c r="E66" s="23"/>
      <c r="F66" s="23"/>
      <c r="G66" s="23"/>
      <c r="H66" s="23"/>
      <c r="I66" s="22">
        <v>7924</v>
      </c>
      <c r="J66" s="23">
        <v>11969</v>
      </c>
      <c r="K66" s="23">
        <v>11202</v>
      </c>
      <c r="L66" s="23">
        <v>15790.12</v>
      </c>
      <c r="M66" s="163">
        <v>6364.23</v>
      </c>
      <c r="N66" s="24">
        <v>23781</v>
      </c>
      <c r="O66" s="113">
        <v>23770.99</v>
      </c>
      <c r="P66" s="113">
        <v>28253.89</v>
      </c>
      <c r="Q66" s="113">
        <v>28398.65</v>
      </c>
      <c r="R66" s="26">
        <v>39953</v>
      </c>
      <c r="S66" s="701"/>
      <c r="T66" s="600"/>
      <c r="U66" s="601">
        <f t="shared" si="22"/>
        <v>39953</v>
      </c>
    </row>
    <row r="67" spans="1:22" ht="15.75" hidden="1" thickBot="1" x14ac:dyDescent="0.3">
      <c r="A67" s="847"/>
      <c r="B67" s="228">
        <v>600</v>
      </c>
      <c r="C67" s="22" t="s">
        <v>170</v>
      </c>
      <c r="D67" s="23"/>
      <c r="E67" s="23"/>
      <c r="F67" s="23"/>
      <c r="G67" s="23"/>
      <c r="H67" s="23"/>
      <c r="I67" s="22"/>
      <c r="J67" s="23">
        <v>4512</v>
      </c>
      <c r="K67" s="23">
        <v>5000</v>
      </c>
      <c r="L67" s="23"/>
      <c r="M67" s="233"/>
      <c r="N67" s="47">
        <v>0</v>
      </c>
      <c r="O67" s="167"/>
      <c r="P67" s="167"/>
      <c r="Q67" s="47"/>
      <c r="R67" s="234"/>
      <c r="S67" s="701"/>
      <c r="T67" s="602"/>
      <c r="U67" s="603"/>
    </row>
    <row r="68" spans="1:22" ht="15.75" hidden="1" thickBot="1" x14ac:dyDescent="0.3">
      <c r="A68" s="847"/>
      <c r="B68" s="228">
        <v>600</v>
      </c>
      <c r="C68" s="235" t="s">
        <v>171</v>
      </c>
      <c r="D68" s="23"/>
      <c r="E68" s="23"/>
      <c r="F68" s="23"/>
      <c r="G68" s="23"/>
      <c r="H68" s="23"/>
      <c r="I68" s="22"/>
      <c r="J68" s="23">
        <v>6450</v>
      </c>
      <c r="K68" s="112"/>
      <c r="L68" s="23"/>
      <c r="M68" s="23"/>
      <c r="N68" s="24">
        <v>0</v>
      </c>
      <c r="O68" s="113"/>
      <c r="P68" s="113"/>
      <c r="Q68" s="24"/>
      <c r="R68" s="234"/>
      <c r="S68" s="701"/>
      <c r="T68" s="602"/>
      <c r="U68" s="603"/>
    </row>
    <row r="69" spans="1:22" ht="15.75" hidden="1" thickBot="1" x14ac:dyDescent="0.3">
      <c r="A69" s="843"/>
      <c r="B69" s="236">
        <v>600</v>
      </c>
      <c r="C69" s="61" t="s">
        <v>172</v>
      </c>
      <c r="D69" s="189"/>
      <c r="E69" s="189"/>
      <c r="F69" s="189"/>
      <c r="G69" s="189"/>
      <c r="H69" s="189"/>
      <c r="I69" s="174"/>
      <c r="J69" s="174"/>
      <c r="K69" s="237"/>
      <c r="L69" s="237">
        <v>2000</v>
      </c>
      <c r="M69" s="29">
        <v>2000</v>
      </c>
      <c r="N69" s="30">
        <v>0</v>
      </c>
      <c r="O69" s="238"/>
      <c r="P69" s="238"/>
      <c r="Q69" s="30"/>
      <c r="R69" s="239"/>
      <c r="S69" s="702"/>
      <c r="T69" s="151"/>
      <c r="U69" s="604"/>
    </row>
    <row r="70" spans="1:22" ht="15.75" thickBot="1" x14ac:dyDescent="0.3">
      <c r="A70" s="152" t="s">
        <v>173</v>
      </c>
      <c r="B70" s="805" t="s">
        <v>174</v>
      </c>
      <c r="C70" s="779"/>
      <c r="D70" s="153">
        <v>16132</v>
      </c>
      <c r="E70" s="153">
        <v>16995</v>
      </c>
      <c r="F70" s="153">
        <v>21045</v>
      </c>
      <c r="G70" s="153">
        <v>23225</v>
      </c>
      <c r="H70" s="153">
        <v>22830</v>
      </c>
      <c r="I70" s="240">
        <v>22296</v>
      </c>
      <c r="J70" s="240">
        <v>33352</v>
      </c>
      <c r="K70" s="84">
        <v>37492</v>
      </c>
      <c r="L70" s="85">
        <v>38137.74</v>
      </c>
      <c r="M70" s="119">
        <v>48253.93</v>
      </c>
      <c r="N70" s="154">
        <v>65222.28</v>
      </c>
      <c r="O70" s="155">
        <v>78515.91</v>
      </c>
      <c r="P70" s="155">
        <v>87575.21</v>
      </c>
      <c r="Q70" s="155">
        <f>SUM(Q71:Q73)</f>
        <v>113415.88</v>
      </c>
      <c r="R70" s="154">
        <f>SUM(R71:R73)</f>
        <v>123484</v>
      </c>
      <c r="S70" s="626">
        <f t="shared" ref="S70:U70" si="23">SUM(S71:S73)</f>
        <v>0</v>
      </c>
      <c r="T70" s="607">
        <f t="shared" si="23"/>
        <v>8502</v>
      </c>
      <c r="U70" s="567">
        <f t="shared" si="23"/>
        <v>131986</v>
      </c>
    </row>
    <row r="71" spans="1:22" x14ac:dyDescent="0.25">
      <c r="A71" s="842"/>
      <c r="B71" s="241" t="s">
        <v>175</v>
      </c>
      <c r="C71" s="16" t="s">
        <v>122</v>
      </c>
      <c r="D71" s="157"/>
      <c r="E71" s="157"/>
      <c r="F71" s="157"/>
      <c r="G71" s="157"/>
      <c r="H71" s="157"/>
      <c r="I71" s="16"/>
      <c r="J71" s="16"/>
      <c r="K71" s="17"/>
      <c r="L71" s="17"/>
      <c r="M71" s="18"/>
      <c r="N71" s="160">
        <v>65222.28</v>
      </c>
      <c r="O71" s="678">
        <v>54948.07</v>
      </c>
      <c r="P71" s="678">
        <v>60328.94</v>
      </c>
      <c r="Q71" s="678">
        <v>81894.320000000007</v>
      </c>
      <c r="R71" s="160">
        <v>84882</v>
      </c>
      <c r="S71" s="705"/>
      <c r="T71" s="612">
        <f>9*700</f>
        <v>6300</v>
      </c>
      <c r="U71" s="613">
        <f t="shared" ref="U71:U73" si="24">R71+S71+T71</f>
        <v>91182</v>
      </c>
    </row>
    <row r="72" spans="1:22" x14ac:dyDescent="0.25">
      <c r="A72" s="847"/>
      <c r="B72" s="242" t="s">
        <v>175</v>
      </c>
      <c r="C72" s="22" t="s">
        <v>123</v>
      </c>
      <c r="D72" s="162"/>
      <c r="E72" s="162"/>
      <c r="F72" s="162"/>
      <c r="G72" s="162"/>
      <c r="H72" s="162"/>
      <c r="I72" s="22"/>
      <c r="J72" s="22"/>
      <c r="K72" s="23"/>
      <c r="L72" s="23"/>
      <c r="M72" s="24"/>
      <c r="N72" s="243"/>
      <c r="O72" s="244">
        <v>17076.54</v>
      </c>
      <c r="P72" s="244">
        <v>18947.38</v>
      </c>
      <c r="Q72" s="244">
        <v>24987.200000000001</v>
      </c>
      <c r="R72" s="243">
        <v>30602</v>
      </c>
      <c r="S72" s="701"/>
      <c r="T72" s="600">
        <v>2202</v>
      </c>
      <c r="U72" s="601">
        <f t="shared" si="24"/>
        <v>32804</v>
      </c>
    </row>
    <row r="73" spans="1:22" ht="15.75" thickBot="1" x14ac:dyDescent="0.3">
      <c r="A73" s="843"/>
      <c r="B73" s="245">
        <v>600</v>
      </c>
      <c r="C73" s="61" t="s">
        <v>124</v>
      </c>
      <c r="D73" s="205"/>
      <c r="E73" s="205"/>
      <c r="F73" s="205"/>
      <c r="G73" s="205"/>
      <c r="H73" s="205"/>
      <c r="I73" s="61"/>
      <c r="J73" s="61"/>
      <c r="K73" s="76"/>
      <c r="L73" s="76"/>
      <c r="M73" s="32"/>
      <c r="N73" s="207"/>
      <c r="O73" s="679">
        <v>6491.2999999999993</v>
      </c>
      <c r="P73" s="679">
        <v>8298.89</v>
      </c>
      <c r="Q73" s="679">
        <v>6534.36</v>
      </c>
      <c r="R73" s="207">
        <v>8000</v>
      </c>
      <c r="S73" s="706"/>
      <c r="T73" s="614"/>
      <c r="U73" s="615">
        <f t="shared" si="24"/>
        <v>8000</v>
      </c>
    </row>
    <row r="74" spans="1:22" ht="15.75" thickBot="1" x14ac:dyDescent="0.3">
      <c r="A74" s="152" t="s">
        <v>176</v>
      </c>
      <c r="B74" s="850" t="s">
        <v>177</v>
      </c>
      <c r="C74" s="851"/>
      <c r="D74" s="153">
        <v>1016763</v>
      </c>
      <c r="E74" s="153">
        <v>271062</v>
      </c>
      <c r="F74" s="153">
        <v>471453</v>
      </c>
      <c r="G74" s="153">
        <v>456862</v>
      </c>
      <c r="H74" s="84">
        <v>440003</v>
      </c>
      <c r="I74" s="84">
        <v>428961</v>
      </c>
      <c r="J74" s="84">
        <v>454364</v>
      </c>
      <c r="K74" s="84">
        <v>445324</v>
      </c>
      <c r="L74" s="85">
        <v>440667.17</v>
      </c>
      <c r="M74" s="85">
        <v>406831.45</v>
      </c>
      <c r="N74" s="154">
        <v>398077.16</v>
      </c>
      <c r="O74" s="155">
        <v>411260.17</v>
      </c>
      <c r="P74" s="155">
        <v>607295.49</v>
      </c>
      <c r="Q74" s="155">
        <f>SUM(Q75:Q78)</f>
        <v>519637.36</v>
      </c>
      <c r="R74" s="154">
        <f>SUM(R75:R78)</f>
        <v>576846</v>
      </c>
      <c r="S74" s="626">
        <f t="shared" ref="S74:U74" si="25">SUM(S75:S78)</f>
        <v>-19548</v>
      </c>
      <c r="T74" s="607">
        <f t="shared" si="25"/>
        <v>0</v>
      </c>
      <c r="U74" s="567">
        <f t="shared" si="25"/>
        <v>557298</v>
      </c>
    </row>
    <row r="75" spans="1:22" x14ac:dyDescent="0.25">
      <c r="A75" s="844"/>
      <c r="B75" s="156">
        <v>630</v>
      </c>
      <c r="C75" s="246" t="s">
        <v>97</v>
      </c>
      <c r="D75" s="247"/>
      <c r="E75" s="247"/>
      <c r="F75" s="247"/>
      <c r="G75" s="247"/>
      <c r="H75" s="210">
        <v>4585</v>
      </c>
      <c r="I75" s="248">
        <v>1644</v>
      </c>
      <c r="J75" s="246"/>
      <c r="K75" s="17"/>
      <c r="L75" s="158"/>
      <c r="M75" s="215"/>
      <c r="N75" s="44"/>
      <c r="O75" s="215"/>
      <c r="P75" s="215">
        <v>21699.02</v>
      </c>
      <c r="Q75" s="215"/>
      <c r="R75" s="216"/>
      <c r="S75" s="700"/>
      <c r="T75" s="618"/>
      <c r="U75" s="619">
        <f t="shared" ref="U75:U78" si="26">R75+S75+T75</f>
        <v>0</v>
      </c>
    </row>
    <row r="76" spans="1:22" x14ac:dyDescent="0.25">
      <c r="A76" s="845"/>
      <c r="B76" s="242" t="s">
        <v>178</v>
      </c>
      <c r="C76" s="249" t="s">
        <v>179</v>
      </c>
      <c r="D76" s="250"/>
      <c r="E76" s="250"/>
      <c r="F76" s="250"/>
      <c r="G76" s="250"/>
      <c r="H76" s="172">
        <v>7659</v>
      </c>
      <c r="I76" s="251">
        <v>5301</v>
      </c>
      <c r="J76" s="172">
        <v>3974</v>
      </c>
      <c r="K76" s="252">
        <v>3974</v>
      </c>
      <c r="L76" s="253">
        <v>3974.17</v>
      </c>
      <c r="M76" s="113">
        <v>4974.0200000000004</v>
      </c>
      <c r="N76" s="24">
        <v>3974.17</v>
      </c>
      <c r="O76" s="113">
        <v>3974.17</v>
      </c>
      <c r="P76" s="113">
        <v>3974.17</v>
      </c>
      <c r="Q76" s="113">
        <v>3974.17</v>
      </c>
      <c r="R76" s="243">
        <v>3900</v>
      </c>
      <c r="S76" s="701"/>
      <c r="T76" s="600"/>
      <c r="U76" s="601">
        <f t="shared" si="26"/>
        <v>3900</v>
      </c>
    </row>
    <row r="77" spans="1:22" x14ac:dyDescent="0.25">
      <c r="A77" s="845"/>
      <c r="B77" s="242" t="s">
        <v>178</v>
      </c>
      <c r="C77" s="249" t="s">
        <v>180</v>
      </c>
      <c r="D77" s="254"/>
      <c r="E77" s="254"/>
      <c r="F77" s="254"/>
      <c r="G77" s="254"/>
      <c r="H77" s="255"/>
      <c r="I77" s="256"/>
      <c r="J77" s="255"/>
      <c r="K77" s="257"/>
      <c r="L77" s="258"/>
      <c r="M77" s="167"/>
      <c r="N77" s="47"/>
      <c r="O77" s="167">
        <v>49000</v>
      </c>
      <c r="P77" s="167">
        <v>97445.88</v>
      </c>
      <c r="Q77" s="167"/>
      <c r="R77" s="168">
        <v>0</v>
      </c>
      <c r="S77" s="701"/>
      <c r="T77" s="611"/>
      <c r="U77" s="606">
        <f t="shared" si="26"/>
        <v>0</v>
      </c>
    </row>
    <row r="78" spans="1:22" ht="15.75" thickBot="1" x14ac:dyDescent="0.3">
      <c r="A78" s="846"/>
      <c r="B78" s="164">
        <v>640</v>
      </c>
      <c r="C78" s="259" t="s">
        <v>181</v>
      </c>
      <c r="D78" s="76"/>
      <c r="E78" s="76"/>
      <c r="F78" s="76"/>
      <c r="G78" s="76"/>
      <c r="H78" s="205">
        <v>427759</v>
      </c>
      <c r="I78" s="260">
        <v>422016</v>
      </c>
      <c r="J78" s="205">
        <v>450390</v>
      </c>
      <c r="K78" s="261">
        <v>441350</v>
      </c>
      <c r="L78" s="262">
        <v>436693</v>
      </c>
      <c r="M78" s="238">
        <v>401857.43</v>
      </c>
      <c r="N78" s="30">
        <v>394102.99</v>
      </c>
      <c r="O78" s="238">
        <v>358286</v>
      </c>
      <c r="P78" s="238">
        <v>484176.42</v>
      </c>
      <c r="Q78" s="238">
        <v>515663.19</v>
      </c>
      <c r="R78" s="263">
        <v>572946</v>
      </c>
      <c r="S78" s="702">
        <v>-19548</v>
      </c>
      <c r="T78" s="611"/>
      <c r="U78" s="606">
        <f t="shared" si="26"/>
        <v>553398</v>
      </c>
      <c r="V78" s="190"/>
    </row>
    <row r="79" spans="1:22" ht="15.75" hidden="1" thickBot="1" x14ac:dyDescent="0.3">
      <c r="A79" s="264" t="s">
        <v>182</v>
      </c>
      <c r="B79" s="852" t="s">
        <v>183</v>
      </c>
      <c r="C79" s="853"/>
      <c r="D79" s="265"/>
      <c r="E79" s="265"/>
      <c r="F79" s="265"/>
      <c r="G79" s="265"/>
      <c r="H79" s="265"/>
      <c r="I79" s="266">
        <v>0</v>
      </c>
      <c r="J79" s="266">
        <v>0</v>
      </c>
      <c r="K79" s="267">
        <v>0</v>
      </c>
      <c r="L79" s="268"/>
      <c r="M79" s="267">
        <v>0</v>
      </c>
      <c r="N79" s="269"/>
      <c r="O79" s="269"/>
      <c r="P79" s="269"/>
      <c r="Q79" s="746"/>
      <c r="R79" s="270">
        <v>0</v>
      </c>
      <c r="S79" s="703"/>
      <c r="T79" s="620"/>
      <c r="U79" s="621"/>
    </row>
    <row r="80" spans="1:22" ht="15.75" hidden="1" thickBot="1" x14ac:dyDescent="0.3">
      <c r="A80" s="673"/>
      <c r="B80" s="230">
        <v>630</v>
      </c>
      <c r="C80" s="271" t="s">
        <v>184</v>
      </c>
      <c r="D80" s="272"/>
      <c r="E80" s="272"/>
      <c r="F80" s="272"/>
      <c r="G80" s="272"/>
      <c r="H80" s="272"/>
      <c r="I80" s="273" t="s">
        <v>185</v>
      </c>
      <c r="J80" s="273" t="s">
        <v>185</v>
      </c>
      <c r="K80" s="231"/>
      <c r="L80" s="104"/>
      <c r="M80" s="105"/>
      <c r="N80" s="105"/>
      <c r="O80" s="105"/>
      <c r="P80" s="105"/>
      <c r="Q80" s="104"/>
      <c r="R80" s="220"/>
      <c r="S80" s="704"/>
      <c r="T80" s="622"/>
      <c r="U80" s="623"/>
    </row>
    <row r="81" spans="1:21" ht="15.75" thickBot="1" x14ac:dyDescent="0.3">
      <c r="A81" s="221" t="s">
        <v>186</v>
      </c>
      <c r="B81" s="854" t="s">
        <v>187</v>
      </c>
      <c r="C81" s="855"/>
      <c r="D81" s="222">
        <v>11817</v>
      </c>
      <c r="E81" s="222">
        <v>11784</v>
      </c>
      <c r="F81" s="222">
        <v>12315</v>
      </c>
      <c r="G81" s="222">
        <v>20259</v>
      </c>
      <c r="H81" s="99">
        <v>14522</v>
      </c>
      <c r="I81" s="99">
        <v>159820</v>
      </c>
      <c r="J81" s="99">
        <v>64721</v>
      </c>
      <c r="K81" s="99">
        <v>10450</v>
      </c>
      <c r="L81" s="100">
        <v>10682.39</v>
      </c>
      <c r="M81" s="100">
        <v>9819.23</v>
      </c>
      <c r="N81" s="223">
        <v>9873.75</v>
      </c>
      <c r="O81" s="224">
        <v>11427.249999999998</v>
      </c>
      <c r="P81" s="224">
        <v>14386.410000000002</v>
      </c>
      <c r="Q81" s="224">
        <f>SUM(Q82:Q85)</f>
        <v>17575.48</v>
      </c>
      <c r="R81" s="223">
        <f>SUM(R82:R85)</f>
        <v>15134</v>
      </c>
      <c r="S81" s="626">
        <f t="shared" ref="S81:U81" si="27">SUM(S82:S85)</f>
        <v>0</v>
      </c>
      <c r="T81" s="607">
        <f>SUM(T82:T85)</f>
        <v>1725</v>
      </c>
      <c r="U81" s="567">
        <f t="shared" si="27"/>
        <v>16859</v>
      </c>
    </row>
    <row r="82" spans="1:21" x14ac:dyDescent="0.25">
      <c r="A82" s="842"/>
      <c r="B82" s="176">
        <v>610</v>
      </c>
      <c r="C82" s="57" t="s">
        <v>122</v>
      </c>
      <c r="D82" s="187"/>
      <c r="E82" s="187">
        <v>7435</v>
      </c>
      <c r="F82" s="187">
        <v>7170</v>
      </c>
      <c r="G82" s="187">
        <v>13170</v>
      </c>
      <c r="H82" s="187">
        <v>9057</v>
      </c>
      <c r="I82" s="57">
        <v>7158</v>
      </c>
      <c r="J82" s="58">
        <v>7062</v>
      </c>
      <c r="K82" s="58">
        <v>6902</v>
      </c>
      <c r="L82" s="124">
        <v>7013.99</v>
      </c>
      <c r="M82" s="124">
        <v>6670.5</v>
      </c>
      <c r="N82" s="20">
        <v>6756.74</v>
      </c>
      <c r="O82" s="19">
        <v>6231.04</v>
      </c>
      <c r="P82" s="19">
        <v>9222.5300000000007</v>
      </c>
      <c r="Q82" s="19">
        <v>10920.12</v>
      </c>
      <c r="R82" s="142">
        <v>10314</v>
      </c>
      <c r="S82" s="700"/>
      <c r="T82" s="598">
        <f>700+650</f>
        <v>1350</v>
      </c>
      <c r="U82" s="599">
        <f t="shared" ref="U82:U85" si="28">R82+S82+T82</f>
        <v>11664</v>
      </c>
    </row>
    <row r="83" spans="1:21" x14ac:dyDescent="0.25">
      <c r="A83" s="847"/>
      <c r="B83" s="177">
        <v>620</v>
      </c>
      <c r="C83" s="59" t="s">
        <v>123</v>
      </c>
      <c r="D83" s="188"/>
      <c r="E83" s="188">
        <v>2722</v>
      </c>
      <c r="F83" s="188">
        <v>2589</v>
      </c>
      <c r="G83" s="188">
        <v>4447</v>
      </c>
      <c r="H83" s="188">
        <v>3981</v>
      </c>
      <c r="I83" s="59">
        <v>2874</v>
      </c>
      <c r="J83" s="60">
        <v>2706</v>
      </c>
      <c r="K83" s="60">
        <v>2594</v>
      </c>
      <c r="L83" s="125">
        <v>2904.51</v>
      </c>
      <c r="M83" s="125">
        <v>2212.12</v>
      </c>
      <c r="N83" s="26">
        <v>2382.5100000000002</v>
      </c>
      <c r="O83" s="25">
        <v>2182.2399999999998</v>
      </c>
      <c r="P83" s="25">
        <v>3409.77</v>
      </c>
      <c r="Q83" s="25">
        <v>4028.34</v>
      </c>
      <c r="R83" s="144">
        <v>3820</v>
      </c>
      <c r="S83" s="701"/>
      <c r="T83" s="600">
        <f>245+130</f>
        <v>375</v>
      </c>
      <c r="U83" s="601">
        <f t="shared" si="28"/>
        <v>4195</v>
      </c>
    </row>
    <row r="84" spans="1:21" x14ac:dyDescent="0.25">
      <c r="A84" s="847"/>
      <c r="B84" s="177">
        <v>630</v>
      </c>
      <c r="C84" s="59" t="s">
        <v>124</v>
      </c>
      <c r="D84" s="188"/>
      <c r="E84" s="188">
        <v>1627</v>
      </c>
      <c r="F84" s="188">
        <v>2556</v>
      </c>
      <c r="G84" s="188">
        <v>2642</v>
      </c>
      <c r="H84" s="188">
        <v>1484</v>
      </c>
      <c r="I84" s="59">
        <v>1204</v>
      </c>
      <c r="J84" s="60">
        <v>1574</v>
      </c>
      <c r="K84" s="60">
        <v>954</v>
      </c>
      <c r="L84" s="125">
        <v>763.89</v>
      </c>
      <c r="M84" s="125">
        <v>936.61</v>
      </c>
      <c r="N84" s="26">
        <v>734.5</v>
      </c>
      <c r="O84" s="25">
        <v>3013.97</v>
      </c>
      <c r="P84" s="25">
        <v>1754.11</v>
      </c>
      <c r="Q84" s="25">
        <v>2627.02</v>
      </c>
      <c r="R84" s="144">
        <v>1000</v>
      </c>
      <c r="S84" s="701"/>
      <c r="T84" s="600"/>
      <c r="U84" s="601">
        <f t="shared" si="28"/>
        <v>1000</v>
      </c>
    </row>
    <row r="85" spans="1:21" ht="15.75" thickBot="1" x14ac:dyDescent="0.3">
      <c r="A85" s="843"/>
      <c r="B85" s="245">
        <v>600</v>
      </c>
      <c r="C85" s="274" t="s">
        <v>188</v>
      </c>
      <c r="D85" s="275"/>
      <c r="E85" s="275"/>
      <c r="F85" s="275"/>
      <c r="G85" s="275"/>
      <c r="H85" s="275"/>
      <c r="I85" s="274">
        <v>148584</v>
      </c>
      <c r="J85" s="276">
        <v>53379</v>
      </c>
      <c r="K85" s="76"/>
      <c r="L85" s="206"/>
      <c r="M85" s="76"/>
      <c r="N85" s="32"/>
      <c r="O85" s="32"/>
      <c r="P85" s="32"/>
      <c r="Q85" s="32"/>
      <c r="R85" s="207"/>
      <c r="S85" s="702"/>
      <c r="T85" s="151"/>
      <c r="U85" s="604">
        <f t="shared" si="28"/>
        <v>0</v>
      </c>
    </row>
    <row r="86" spans="1:21" ht="15.75" thickBot="1" x14ac:dyDescent="0.3">
      <c r="A86" s="277" t="s">
        <v>189</v>
      </c>
      <c r="B86" s="850" t="s">
        <v>190</v>
      </c>
      <c r="C86" s="851"/>
      <c r="D86" s="153">
        <v>11518</v>
      </c>
      <c r="E86" s="153">
        <v>13012</v>
      </c>
      <c r="F86" s="153">
        <v>13643</v>
      </c>
      <c r="G86" s="153">
        <v>15109</v>
      </c>
      <c r="H86" s="153">
        <v>14271</v>
      </c>
      <c r="I86" s="84">
        <v>14580</v>
      </c>
      <c r="J86" s="84">
        <v>13755</v>
      </c>
      <c r="K86" s="84">
        <v>12987</v>
      </c>
      <c r="L86" s="85">
        <v>12440.38</v>
      </c>
      <c r="M86" s="85">
        <v>12085.220000000001</v>
      </c>
      <c r="N86" s="154">
        <v>14820</v>
      </c>
      <c r="O86" s="155">
        <v>17802.890000000003</v>
      </c>
      <c r="P86" s="155">
        <v>18901.939999999999</v>
      </c>
      <c r="Q86" s="155">
        <f>SUM(Q87:Q90)</f>
        <v>19832.530000000002</v>
      </c>
      <c r="R86" s="154">
        <f>SUM(R87:R90)</f>
        <v>21115</v>
      </c>
      <c r="S86" s="626">
        <f t="shared" ref="S86:U86" si="29">SUM(S87:S90)</f>
        <v>0</v>
      </c>
      <c r="T86" s="607">
        <f t="shared" si="29"/>
        <v>945</v>
      </c>
      <c r="U86" s="567">
        <f t="shared" si="29"/>
        <v>22060</v>
      </c>
    </row>
    <row r="87" spans="1:21" x14ac:dyDescent="0.25">
      <c r="A87" s="842"/>
      <c r="B87" s="176">
        <v>610</v>
      </c>
      <c r="C87" s="57" t="s">
        <v>122</v>
      </c>
      <c r="D87" s="187"/>
      <c r="E87" s="187">
        <v>8099</v>
      </c>
      <c r="F87" s="187">
        <v>8597</v>
      </c>
      <c r="G87" s="187">
        <v>9417</v>
      </c>
      <c r="H87" s="187">
        <v>9528</v>
      </c>
      <c r="I87" s="57">
        <v>9523</v>
      </c>
      <c r="J87" s="58">
        <v>8900</v>
      </c>
      <c r="K87" s="58">
        <v>8730</v>
      </c>
      <c r="L87" s="19">
        <v>8356.07</v>
      </c>
      <c r="M87" s="19">
        <v>8369.9699999999993</v>
      </c>
      <c r="N87" s="20">
        <v>10167.75</v>
      </c>
      <c r="O87" s="19">
        <v>12358.6</v>
      </c>
      <c r="P87" s="19">
        <v>13120.16</v>
      </c>
      <c r="Q87" s="19">
        <v>14108.2</v>
      </c>
      <c r="R87" s="142">
        <v>14718</v>
      </c>
      <c r="S87" s="700"/>
      <c r="T87" s="598">
        <v>700</v>
      </c>
      <c r="U87" s="599">
        <f t="shared" ref="U87:U90" si="30">R87+S87+T87</f>
        <v>15418</v>
      </c>
    </row>
    <row r="88" spans="1:21" x14ac:dyDescent="0.25">
      <c r="A88" s="847"/>
      <c r="B88" s="177">
        <v>620</v>
      </c>
      <c r="C88" s="59" t="s">
        <v>123</v>
      </c>
      <c r="D88" s="188"/>
      <c r="E88" s="188">
        <v>2855</v>
      </c>
      <c r="F88" s="188">
        <v>3220</v>
      </c>
      <c r="G88" s="188">
        <v>3567</v>
      </c>
      <c r="H88" s="188">
        <v>3607</v>
      </c>
      <c r="I88" s="59">
        <v>3617</v>
      </c>
      <c r="J88" s="60">
        <v>3393</v>
      </c>
      <c r="K88" s="60">
        <v>3330</v>
      </c>
      <c r="L88" s="25">
        <v>3406.87</v>
      </c>
      <c r="M88" s="25">
        <v>2973.01</v>
      </c>
      <c r="N88" s="26">
        <v>3841.92</v>
      </c>
      <c r="O88" s="25">
        <v>4614.21</v>
      </c>
      <c r="P88" s="25">
        <v>4873.08</v>
      </c>
      <c r="Q88" s="25">
        <v>4776.7</v>
      </c>
      <c r="R88" s="144">
        <v>5397</v>
      </c>
      <c r="S88" s="701"/>
      <c r="T88" s="600">
        <v>245</v>
      </c>
      <c r="U88" s="601">
        <f t="shared" si="30"/>
        <v>5642</v>
      </c>
    </row>
    <row r="89" spans="1:21" ht="15.75" thickBot="1" x14ac:dyDescent="0.3">
      <c r="A89" s="847"/>
      <c r="B89" s="278">
        <v>630</v>
      </c>
      <c r="C89" s="62" t="s">
        <v>124</v>
      </c>
      <c r="D89" s="205"/>
      <c r="E89" s="205">
        <v>2058</v>
      </c>
      <c r="F89" s="205">
        <v>1826</v>
      </c>
      <c r="G89" s="205">
        <v>2125</v>
      </c>
      <c r="H89" s="205">
        <v>1136</v>
      </c>
      <c r="I89" s="61">
        <v>1440</v>
      </c>
      <c r="J89" s="76">
        <v>1462</v>
      </c>
      <c r="K89" s="93">
        <v>927</v>
      </c>
      <c r="L89" s="125">
        <v>677.44</v>
      </c>
      <c r="M89" s="125">
        <v>629.37</v>
      </c>
      <c r="N89" s="26">
        <v>810.33</v>
      </c>
      <c r="O89" s="25">
        <v>830.08</v>
      </c>
      <c r="P89" s="25">
        <v>908.7</v>
      </c>
      <c r="Q89" s="25">
        <v>947.63</v>
      </c>
      <c r="R89" s="144">
        <v>1000</v>
      </c>
      <c r="S89" s="701"/>
      <c r="T89" s="600"/>
      <c r="U89" s="601">
        <f t="shared" si="30"/>
        <v>1000</v>
      </c>
    </row>
    <row r="90" spans="1:21" ht="15.75" thickBot="1" x14ac:dyDescent="0.3">
      <c r="A90" s="843"/>
      <c r="B90" s="245">
        <v>640</v>
      </c>
      <c r="C90" s="61" t="s">
        <v>125</v>
      </c>
      <c r="D90" s="218"/>
      <c r="E90" s="218"/>
      <c r="F90" s="218"/>
      <c r="G90" s="218"/>
      <c r="H90" s="218"/>
      <c r="I90" s="191"/>
      <c r="J90" s="149"/>
      <c r="K90" s="189"/>
      <c r="L90" s="279"/>
      <c r="M90" s="279">
        <v>112.87</v>
      </c>
      <c r="N90" s="90"/>
      <c r="O90" s="90"/>
      <c r="P90" s="90"/>
      <c r="Q90" s="90"/>
      <c r="R90" s="175"/>
      <c r="S90" s="704"/>
      <c r="T90" s="608"/>
      <c r="U90" s="609">
        <f t="shared" si="30"/>
        <v>0</v>
      </c>
    </row>
    <row r="91" spans="1:21" ht="15.75" thickBot="1" x14ac:dyDescent="0.3">
      <c r="A91" s="221" t="s">
        <v>191</v>
      </c>
      <c r="B91" s="832" t="s">
        <v>192</v>
      </c>
      <c r="C91" s="809"/>
      <c r="D91" s="222">
        <v>0</v>
      </c>
      <c r="E91" s="222">
        <v>221337</v>
      </c>
      <c r="F91" s="222">
        <v>136394</v>
      </c>
      <c r="G91" s="222">
        <v>214824</v>
      </c>
      <c r="H91" s="222">
        <v>646088</v>
      </c>
      <c r="I91" s="84">
        <v>152165</v>
      </c>
      <c r="J91" s="84">
        <v>173492</v>
      </c>
      <c r="K91" s="84">
        <v>219663</v>
      </c>
      <c r="L91" s="85">
        <v>485501.09</v>
      </c>
      <c r="M91" s="85">
        <v>315963.52000000002</v>
      </c>
      <c r="N91" s="154">
        <v>306308.77</v>
      </c>
      <c r="O91" s="155">
        <v>235650.84</v>
      </c>
      <c r="P91" s="155">
        <v>258445.63</v>
      </c>
      <c r="Q91" s="155">
        <f>SUM(Q105:Q109)</f>
        <v>225107.38</v>
      </c>
      <c r="R91" s="154">
        <f>SUM(R105:R109)</f>
        <v>203210</v>
      </c>
      <c r="S91" s="626">
        <f t="shared" ref="S91:U91" si="31">SUM(S105:S109)</f>
        <v>-8579</v>
      </c>
      <c r="T91" s="607">
        <f t="shared" si="31"/>
        <v>0</v>
      </c>
      <c r="U91" s="567">
        <f t="shared" si="31"/>
        <v>194631</v>
      </c>
    </row>
    <row r="92" spans="1:21" ht="13.5" hidden="1" customHeight="1" x14ac:dyDescent="0.25">
      <c r="A92" s="844"/>
      <c r="B92" s="176">
        <v>630</v>
      </c>
      <c r="C92" s="57" t="s">
        <v>193</v>
      </c>
      <c r="D92" s="280"/>
      <c r="E92" s="280"/>
      <c r="F92" s="280"/>
      <c r="G92" s="280"/>
      <c r="H92" s="280"/>
      <c r="I92" s="281"/>
      <c r="J92" s="281"/>
      <c r="K92" s="281"/>
      <c r="L92" s="159">
        <v>164829</v>
      </c>
      <c r="M92" s="159">
        <v>115488</v>
      </c>
      <c r="N92" s="18">
        <v>98750</v>
      </c>
      <c r="O92" s="159"/>
      <c r="P92" s="159"/>
      <c r="Q92" s="18"/>
      <c r="R92" s="282"/>
      <c r="S92" s="700"/>
      <c r="T92" s="618"/>
      <c r="U92" s="619"/>
    </row>
    <row r="93" spans="1:21" ht="13.5" hidden="1" customHeight="1" x14ac:dyDescent="0.25">
      <c r="A93" s="845"/>
      <c r="B93" s="177"/>
      <c r="C93" s="62" t="s">
        <v>194</v>
      </c>
      <c r="D93" s="283"/>
      <c r="E93" s="283"/>
      <c r="F93" s="283"/>
      <c r="G93" s="283"/>
      <c r="H93" s="283"/>
      <c r="I93" s="284"/>
      <c r="J93" s="284"/>
      <c r="K93" s="284"/>
      <c r="L93" s="215">
        <v>9696.5400000000009</v>
      </c>
      <c r="M93" s="285"/>
      <c r="N93" s="286"/>
      <c r="O93" s="285"/>
      <c r="P93" s="285"/>
      <c r="Q93" s="286"/>
      <c r="R93" s="287"/>
      <c r="S93" s="701"/>
      <c r="T93" s="602"/>
      <c r="U93" s="603"/>
    </row>
    <row r="94" spans="1:21" ht="13.5" hidden="1" customHeight="1" x14ac:dyDescent="0.25">
      <c r="A94" s="845"/>
      <c r="B94" s="177"/>
      <c r="C94" s="62" t="s">
        <v>195</v>
      </c>
      <c r="D94" s="283"/>
      <c r="E94" s="283"/>
      <c r="F94" s="283"/>
      <c r="G94" s="283"/>
      <c r="H94" s="283"/>
      <c r="I94" s="284"/>
      <c r="J94" s="284"/>
      <c r="K94" s="284"/>
      <c r="L94" s="215">
        <v>9955.2999999999993</v>
      </c>
      <c r="M94" s="285"/>
      <c r="N94" s="286"/>
      <c r="O94" s="285"/>
      <c r="P94" s="285"/>
      <c r="Q94" s="286"/>
      <c r="R94" s="287"/>
      <c r="S94" s="701"/>
      <c r="T94" s="602"/>
      <c r="U94" s="603"/>
    </row>
    <row r="95" spans="1:21" ht="13.5" hidden="1" customHeight="1" x14ac:dyDescent="0.25">
      <c r="A95" s="845"/>
      <c r="B95" s="177"/>
      <c r="C95" s="62" t="s">
        <v>196</v>
      </c>
      <c r="D95" s="283"/>
      <c r="E95" s="283"/>
      <c r="F95" s="283"/>
      <c r="G95" s="283"/>
      <c r="H95" s="283"/>
      <c r="I95" s="284"/>
      <c r="J95" s="284"/>
      <c r="K95" s="284"/>
      <c r="L95" s="215">
        <v>11550</v>
      </c>
      <c r="M95" s="285"/>
      <c r="N95" s="286"/>
      <c r="O95" s="285"/>
      <c r="P95" s="285"/>
      <c r="Q95" s="286"/>
      <c r="R95" s="287"/>
      <c r="S95" s="701"/>
      <c r="T95" s="602"/>
      <c r="U95" s="603"/>
    </row>
    <row r="96" spans="1:21" ht="13.5" hidden="1" customHeight="1" x14ac:dyDescent="0.25">
      <c r="A96" s="845"/>
      <c r="B96" s="177"/>
      <c r="C96" s="59" t="s">
        <v>197</v>
      </c>
      <c r="D96" s="283"/>
      <c r="E96" s="283"/>
      <c r="F96" s="283"/>
      <c r="G96" s="283"/>
      <c r="H96" s="283"/>
      <c r="I96" s="284"/>
      <c r="J96" s="284"/>
      <c r="K96" s="284"/>
      <c r="L96" s="215">
        <v>11848</v>
      </c>
      <c r="M96" s="285"/>
      <c r="N96" s="286"/>
      <c r="O96" s="285"/>
      <c r="P96" s="285"/>
      <c r="Q96" s="286"/>
      <c r="R96" s="287"/>
      <c r="S96" s="701"/>
      <c r="T96" s="602"/>
      <c r="U96" s="603"/>
    </row>
    <row r="97" spans="1:21" ht="13.5" hidden="1" customHeight="1" x14ac:dyDescent="0.25">
      <c r="A97" s="845"/>
      <c r="B97" s="288"/>
      <c r="C97" s="91" t="s">
        <v>198</v>
      </c>
      <c r="D97" s="73"/>
      <c r="E97" s="73"/>
      <c r="F97" s="73"/>
      <c r="G97" s="73"/>
      <c r="H97" s="73"/>
      <c r="I97" s="91"/>
      <c r="J97" s="73"/>
      <c r="K97" s="73"/>
      <c r="L97" s="45">
        <v>55733.87</v>
      </c>
      <c r="M97" s="25">
        <v>17376</v>
      </c>
      <c r="N97" s="46"/>
      <c r="O97" s="45">
        <v>39179.72</v>
      </c>
      <c r="P97" s="45"/>
      <c r="Q97" s="46"/>
      <c r="R97" s="229"/>
      <c r="S97" s="701"/>
      <c r="T97" s="602"/>
      <c r="U97" s="603"/>
    </row>
    <row r="98" spans="1:21" ht="13.5" hidden="1" customHeight="1" x14ac:dyDescent="0.25">
      <c r="A98" s="845"/>
      <c r="B98" s="278"/>
      <c r="C98" s="62" t="s">
        <v>199</v>
      </c>
      <c r="D98" s="93"/>
      <c r="E98" s="93"/>
      <c r="F98" s="93"/>
      <c r="G98" s="93"/>
      <c r="H98" s="93"/>
      <c r="I98" s="62"/>
      <c r="J98" s="93"/>
      <c r="K98" s="60"/>
      <c r="L98" s="25">
        <v>41848</v>
      </c>
      <c r="M98" s="25"/>
      <c r="N98" s="26"/>
      <c r="O98" s="25"/>
      <c r="P98" s="25"/>
      <c r="Q98" s="26"/>
      <c r="R98" s="144"/>
      <c r="S98" s="701"/>
      <c r="T98" s="602"/>
      <c r="U98" s="603"/>
    </row>
    <row r="99" spans="1:21" ht="13.5" hidden="1" customHeight="1" x14ac:dyDescent="0.25">
      <c r="A99" s="845"/>
      <c r="B99" s="278"/>
      <c r="C99" s="62"/>
      <c r="D99" s="93"/>
      <c r="E99" s="93"/>
      <c r="F99" s="93"/>
      <c r="G99" s="93"/>
      <c r="H99" s="93"/>
      <c r="I99" s="62"/>
      <c r="J99" s="93"/>
      <c r="K99" s="60"/>
      <c r="L99" s="26"/>
      <c r="M99" s="25"/>
      <c r="N99" s="26"/>
      <c r="O99" s="25"/>
      <c r="P99" s="25"/>
      <c r="Q99" s="26"/>
      <c r="R99" s="144"/>
      <c r="S99" s="701"/>
      <c r="T99" s="602"/>
      <c r="U99" s="603"/>
    </row>
    <row r="100" spans="1:21" ht="13.5" hidden="1" customHeight="1" x14ac:dyDescent="0.25">
      <c r="A100" s="845"/>
      <c r="B100" s="278"/>
      <c r="C100" s="62"/>
      <c r="D100" s="93"/>
      <c r="E100" s="93"/>
      <c r="F100" s="93"/>
      <c r="G100" s="93"/>
      <c r="H100" s="93"/>
      <c r="I100" s="62"/>
      <c r="J100" s="93"/>
      <c r="K100" s="60"/>
      <c r="L100" s="26"/>
      <c r="M100" s="25"/>
      <c r="N100" s="26"/>
      <c r="O100" s="25"/>
      <c r="P100" s="25"/>
      <c r="Q100" s="26"/>
      <c r="R100" s="144"/>
      <c r="S100" s="701"/>
      <c r="T100" s="602"/>
      <c r="U100" s="603"/>
    </row>
    <row r="101" spans="1:21" ht="13.5" hidden="1" customHeight="1" x14ac:dyDescent="0.25">
      <c r="A101" s="845"/>
      <c r="B101" s="278"/>
      <c r="C101" s="59"/>
      <c r="D101" s="60"/>
      <c r="E101" s="60"/>
      <c r="F101" s="60"/>
      <c r="G101" s="60"/>
      <c r="H101" s="60"/>
      <c r="I101" s="59"/>
      <c r="J101" s="60"/>
      <c r="K101" s="60"/>
      <c r="L101" s="26"/>
      <c r="M101" s="25"/>
      <c r="N101" s="26"/>
      <c r="O101" s="25"/>
      <c r="P101" s="25"/>
      <c r="Q101" s="26"/>
      <c r="R101" s="144"/>
      <c r="S101" s="701"/>
      <c r="T101" s="602"/>
      <c r="U101" s="603"/>
    </row>
    <row r="102" spans="1:21" ht="13.5" hidden="1" customHeight="1" x14ac:dyDescent="0.25">
      <c r="A102" s="845"/>
      <c r="B102" s="278">
        <v>630</v>
      </c>
      <c r="C102" s="59" t="s">
        <v>200</v>
      </c>
      <c r="D102" s="60"/>
      <c r="E102" s="60"/>
      <c r="F102" s="60"/>
      <c r="G102" s="60"/>
      <c r="H102" s="60"/>
      <c r="I102" s="59">
        <v>800</v>
      </c>
      <c r="J102" s="60"/>
      <c r="K102" s="60"/>
      <c r="L102" s="26"/>
      <c r="M102" s="25"/>
      <c r="N102" s="26"/>
      <c r="O102" s="25"/>
      <c r="P102" s="25"/>
      <c r="Q102" s="26"/>
      <c r="R102" s="144"/>
      <c r="S102" s="701"/>
      <c r="T102" s="602"/>
      <c r="U102" s="603"/>
    </row>
    <row r="103" spans="1:21" ht="13.5" hidden="1" customHeight="1" x14ac:dyDescent="0.25">
      <c r="A103" s="845"/>
      <c r="B103" s="278">
        <v>630</v>
      </c>
      <c r="C103" s="59" t="s">
        <v>201</v>
      </c>
      <c r="D103" s="60"/>
      <c r="E103" s="60"/>
      <c r="F103" s="60"/>
      <c r="G103" s="60"/>
      <c r="H103" s="60"/>
      <c r="I103" s="59">
        <v>2124</v>
      </c>
      <c r="J103" s="60">
        <v>1200</v>
      </c>
      <c r="K103" s="26">
        <v>56752</v>
      </c>
      <c r="L103" s="26"/>
      <c r="M103" s="25"/>
      <c r="N103" s="26"/>
      <c r="O103" s="25"/>
      <c r="P103" s="25"/>
      <c r="Q103" s="26"/>
      <c r="R103" s="144"/>
      <c r="S103" s="701"/>
      <c r="T103" s="602"/>
      <c r="U103" s="603"/>
    </row>
    <row r="104" spans="1:21" ht="13.5" hidden="1" customHeight="1" x14ac:dyDescent="0.25">
      <c r="A104" s="845"/>
      <c r="B104" s="278">
        <v>630</v>
      </c>
      <c r="C104" s="59" t="s">
        <v>202</v>
      </c>
      <c r="D104" s="60"/>
      <c r="E104" s="60"/>
      <c r="F104" s="60"/>
      <c r="G104" s="60"/>
      <c r="H104" s="60"/>
      <c r="I104" s="59"/>
      <c r="J104" s="60">
        <v>22691</v>
      </c>
      <c r="K104" s="26">
        <v>859</v>
      </c>
      <c r="L104" s="26"/>
      <c r="M104" s="25">
        <v>774.55</v>
      </c>
      <c r="N104" s="26"/>
      <c r="O104" s="25"/>
      <c r="P104" s="25"/>
      <c r="Q104" s="26"/>
      <c r="R104" s="144"/>
      <c r="S104" s="701"/>
      <c r="T104" s="602"/>
      <c r="U104" s="603"/>
    </row>
    <row r="105" spans="1:21" ht="13.5" hidden="1" customHeight="1" x14ac:dyDescent="0.25">
      <c r="A105" s="845"/>
      <c r="B105" s="278">
        <v>630</v>
      </c>
      <c r="C105" s="59" t="s">
        <v>203</v>
      </c>
      <c r="D105" s="60"/>
      <c r="E105" s="60"/>
      <c r="F105" s="60"/>
      <c r="G105" s="60"/>
      <c r="H105" s="60"/>
      <c r="I105" s="59">
        <v>4435</v>
      </c>
      <c r="J105" s="60"/>
      <c r="K105" s="60">
        <v>0</v>
      </c>
      <c r="L105" s="25">
        <v>931.15</v>
      </c>
      <c r="M105" s="25">
        <v>7872</v>
      </c>
      <c r="N105" s="26">
        <v>6215.72</v>
      </c>
      <c r="O105" s="25"/>
      <c r="P105" s="25">
        <v>50244.21</v>
      </c>
      <c r="Q105" s="26"/>
      <c r="R105" s="144">
        <v>0</v>
      </c>
      <c r="S105" s="701"/>
      <c r="T105" s="600"/>
      <c r="U105" s="601">
        <f t="shared" ref="U105:U109" si="32">R105+S105+T105</f>
        <v>0</v>
      </c>
    </row>
    <row r="106" spans="1:21" ht="13.5" customHeight="1" x14ac:dyDescent="0.25">
      <c r="A106" s="845"/>
      <c r="B106" s="278">
        <v>630</v>
      </c>
      <c r="C106" s="62" t="s">
        <v>204</v>
      </c>
      <c r="D106" s="93"/>
      <c r="E106" s="93"/>
      <c r="F106" s="93"/>
      <c r="G106" s="93"/>
      <c r="H106" s="93"/>
      <c r="I106" s="62"/>
      <c r="J106" s="93"/>
      <c r="K106" s="93"/>
      <c r="L106" s="49"/>
      <c r="M106" s="48"/>
      <c r="N106" s="49">
        <v>17446.490000000002</v>
      </c>
      <c r="O106" s="48"/>
      <c r="P106" s="48"/>
      <c r="Q106" s="49"/>
      <c r="R106" s="203"/>
      <c r="S106" s="701"/>
      <c r="T106" s="602"/>
      <c r="U106" s="603">
        <f t="shared" si="32"/>
        <v>0</v>
      </c>
    </row>
    <row r="107" spans="1:21" ht="13.5" customHeight="1" x14ac:dyDescent="0.25">
      <c r="A107" s="845"/>
      <c r="B107" s="278">
        <v>630</v>
      </c>
      <c r="C107" s="62" t="s">
        <v>205</v>
      </c>
      <c r="D107" s="93"/>
      <c r="E107" s="93"/>
      <c r="F107" s="93"/>
      <c r="G107" s="93"/>
      <c r="H107" s="93"/>
      <c r="I107" s="62">
        <v>931</v>
      </c>
      <c r="J107" s="93">
        <v>0</v>
      </c>
      <c r="K107" s="93"/>
      <c r="L107" s="93"/>
      <c r="M107" s="202"/>
      <c r="N107" s="49">
        <v>0</v>
      </c>
      <c r="O107" s="48"/>
      <c r="P107" s="48"/>
      <c r="Q107" s="49">
        <v>0</v>
      </c>
      <c r="R107" s="203"/>
      <c r="S107" s="701"/>
      <c r="T107" s="602"/>
      <c r="U107" s="603">
        <f t="shared" si="32"/>
        <v>0</v>
      </c>
    </row>
    <row r="108" spans="1:21" ht="13.5" customHeight="1" x14ac:dyDescent="0.25">
      <c r="A108" s="845"/>
      <c r="B108" s="278">
        <v>630</v>
      </c>
      <c r="C108" s="62" t="s">
        <v>206</v>
      </c>
      <c r="D108" s="93"/>
      <c r="E108" s="93"/>
      <c r="F108" s="93"/>
      <c r="G108" s="93"/>
      <c r="H108" s="93"/>
      <c r="I108" s="59">
        <v>10805</v>
      </c>
      <c r="J108" s="60">
        <v>3148</v>
      </c>
      <c r="K108" s="93">
        <v>17518</v>
      </c>
      <c r="L108" s="48">
        <v>34575.230000000003</v>
      </c>
      <c r="M108" s="48">
        <v>22975.97</v>
      </c>
      <c r="N108" s="49">
        <v>28524.560000000001</v>
      </c>
      <c r="O108" s="48">
        <v>26839.279999999999</v>
      </c>
      <c r="P108" s="48">
        <v>38980.9</v>
      </c>
      <c r="Q108" s="48">
        <v>31233.38</v>
      </c>
      <c r="R108" s="203">
        <v>40000</v>
      </c>
      <c r="S108" s="701"/>
      <c r="T108" s="600"/>
      <c r="U108" s="601">
        <f t="shared" si="32"/>
        <v>40000</v>
      </c>
    </row>
    <row r="109" spans="1:21" ht="13.5" customHeight="1" thickBot="1" x14ac:dyDescent="0.3">
      <c r="A109" s="846"/>
      <c r="B109" s="245">
        <v>640</v>
      </c>
      <c r="C109" s="61" t="s">
        <v>207</v>
      </c>
      <c r="D109" s="76"/>
      <c r="E109" s="76">
        <v>217951</v>
      </c>
      <c r="F109" s="76">
        <v>132776</v>
      </c>
      <c r="G109" s="76">
        <v>141830</v>
      </c>
      <c r="H109" s="76">
        <v>137000</v>
      </c>
      <c r="I109" s="61">
        <v>133070</v>
      </c>
      <c r="J109" s="76">
        <v>146453</v>
      </c>
      <c r="K109" s="76">
        <v>144534</v>
      </c>
      <c r="L109" s="206">
        <v>144534</v>
      </c>
      <c r="M109" s="206">
        <v>151477</v>
      </c>
      <c r="N109" s="32">
        <v>155372</v>
      </c>
      <c r="O109" s="31">
        <v>169631.84</v>
      </c>
      <c r="P109" s="31">
        <v>169220.52</v>
      </c>
      <c r="Q109" s="31">
        <v>193874</v>
      </c>
      <c r="R109" s="207">
        <v>163210</v>
      </c>
      <c r="S109" s="702">
        <v>-8579</v>
      </c>
      <c r="T109" s="611"/>
      <c r="U109" s="606">
        <f t="shared" si="32"/>
        <v>154631</v>
      </c>
    </row>
    <row r="110" spans="1:21" ht="15.75" thickBot="1" x14ac:dyDescent="0.3">
      <c r="A110" s="152" t="s">
        <v>208</v>
      </c>
      <c r="B110" s="805" t="s">
        <v>209</v>
      </c>
      <c r="C110" s="779"/>
      <c r="D110" s="84">
        <v>10589</v>
      </c>
      <c r="E110" s="84">
        <v>11917</v>
      </c>
      <c r="F110" s="84">
        <v>11883</v>
      </c>
      <c r="G110" s="84">
        <v>4189</v>
      </c>
      <c r="H110" s="84">
        <v>5005</v>
      </c>
      <c r="I110" s="84">
        <v>5041</v>
      </c>
      <c r="J110" s="84">
        <v>5609</v>
      </c>
      <c r="K110" s="84">
        <v>6003</v>
      </c>
      <c r="L110" s="85">
        <v>3745.53</v>
      </c>
      <c r="M110" s="85">
        <v>5989.44</v>
      </c>
      <c r="N110" s="154">
        <v>5966.9</v>
      </c>
      <c r="O110" s="155">
        <v>6273.49</v>
      </c>
      <c r="P110" s="155">
        <v>6274.93</v>
      </c>
      <c r="Q110" s="155">
        <f>Q111</f>
        <v>6281.35</v>
      </c>
      <c r="R110" s="154">
        <f>R111</f>
        <v>6000</v>
      </c>
      <c r="S110" s="626">
        <f t="shared" ref="S110:U110" si="33">S111</f>
        <v>0</v>
      </c>
      <c r="T110" s="607">
        <f t="shared" si="33"/>
        <v>0</v>
      </c>
      <c r="U110" s="567">
        <f t="shared" si="33"/>
        <v>6000</v>
      </c>
    </row>
    <row r="111" spans="1:21" ht="15.75" thickBot="1" x14ac:dyDescent="0.3">
      <c r="A111" s="289"/>
      <c r="B111" s="290"/>
      <c r="C111" s="94" t="s">
        <v>210</v>
      </c>
      <c r="D111" s="103">
        <v>10589</v>
      </c>
      <c r="E111" s="103">
        <v>11917</v>
      </c>
      <c r="F111" s="103">
        <v>11883</v>
      </c>
      <c r="G111" s="103">
        <v>4189</v>
      </c>
      <c r="H111" s="103">
        <v>5005</v>
      </c>
      <c r="I111" s="94">
        <v>5041</v>
      </c>
      <c r="J111" s="103">
        <v>5609</v>
      </c>
      <c r="K111" s="15">
        <v>6003</v>
      </c>
      <c r="L111" s="14">
        <v>3745.53</v>
      </c>
      <c r="M111" s="14">
        <v>5989.44</v>
      </c>
      <c r="N111" s="15">
        <v>5966.9</v>
      </c>
      <c r="O111" s="14">
        <v>6273.49</v>
      </c>
      <c r="P111" s="14">
        <v>6274.93</v>
      </c>
      <c r="Q111" s="14">
        <v>6281.35</v>
      </c>
      <c r="R111" s="193">
        <v>6000</v>
      </c>
      <c r="S111" s="703"/>
      <c r="T111" s="610"/>
      <c r="U111" s="570">
        <f>R111+S111+T111</f>
        <v>6000</v>
      </c>
    </row>
    <row r="112" spans="1:21" ht="15.75" thickBot="1" x14ac:dyDescent="0.3">
      <c r="A112" s="221" t="s">
        <v>211</v>
      </c>
      <c r="B112" s="832" t="s">
        <v>212</v>
      </c>
      <c r="C112" s="809"/>
      <c r="D112" s="99">
        <v>0</v>
      </c>
      <c r="E112" s="99">
        <v>122817</v>
      </c>
      <c r="F112" s="99">
        <v>236905</v>
      </c>
      <c r="G112" s="99">
        <v>210760</v>
      </c>
      <c r="H112" s="99">
        <v>216000</v>
      </c>
      <c r="I112" s="99">
        <v>173560</v>
      </c>
      <c r="J112" s="99">
        <v>168880</v>
      </c>
      <c r="K112" s="99">
        <v>168880</v>
      </c>
      <c r="L112" s="100">
        <v>166668</v>
      </c>
      <c r="M112" s="100">
        <v>150364</v>
      </c>
      <c r="N112" s="223">
        <v>136000</v>
      </c>
      <c r="O112" s="224">
        <v>141246.73000000001</v>
      </c>
      <c r="P112" s="224">
        <v>166152.71</v>
      </c>
      <c r="Q112" s="224">
        <v>167000</v>
      </c>
      <c r="R112" s="223">
        <f>R113+R114</f>
        <v>141229</v>
      </c>
      <c r="S112" s="626">
        <f t="shared" ref="S112:U112" si="34">S113+S114</f>
        <v>-8515</v>
      </c>
      <c r="T112" s="607">
        <f t="shared" si="34"/>
        <v>0</v>
      </c>
      <c r="U112" s="567">
        <f t="shared" si="34"/>
        <v>132714</v>
      </c>
    </row>
    <row r="113" spans="1:23" hidden="1" x14ac:dyDescent="0.25">
      <c r="A113" s="844"/>
      <c r="B113" s="291">
        <v>630</v>
      </c>
      <c r="C113" s="209" t="s">
        <v>213</v>
      </c>
      <c r="D113" s="281"/>
      <c r="E113" s="281"/>
      <c r="F113" s="281"/>
      <c r="G113" s="281"/>
      <c r="H113" s="281"/>
      <c r="I113" s="281"/>
      <c r="J113" s="281"/>
      <c r="K113" s="292"/>
      <c r="L113" s="19"/>
      <c r="M113" s="19"/>
      <c r="N113" s="142"/>
      <c r="O113" s="293">
        <v>3112.73</v>
      </c>
      <c r="P113" s="293"/>
      <c r="Q113" s="293"/>
      <c r="R113" s="142"/>
      <c r="S113" s="612"/>
      <c r="T113" s="624"/>
      <c r="U113" s="625">
        <f t="shared" ref="U113:U114" si="35">R113+S113+T113</f>
        <v>0</v>
      </c>
    </row>
    <row r="114" spans="1:23" ht="15.75" thickBot="1" x14ac:dyDescent="0.3">
      <c r="A114" s="846"/>
      <c r="B114" s="204">
        <v>640</v>
      </c>
      <c r="C114" s="274" t="s">
        <v>214</v>
      </c>
      <c r="D114" s="76"/>
      <c r="E114" s="76">
        <v>122817</v>
      </c>
      <c r="F114" s="76">
        <v>236905</v>
      </c>
      <c r="G114" s="76">
        <v>210760</v>
      </c>
      <c r="H114" s="76">
        <v>216000</v>
      </c>
      <c r="I114" s="61">
        <v>173560</v>
      </c>
      <c r="J114" s="76">
        <v>168880</v>
      </c>
      <c r="K114" s="32">
        <v>168880</v>
      </c>
      <c r="L114" s="31">
        <v>166668</v>
      </c>
      <c r="M114" s="31">
        <v>150364</v>
      </c>
      <c r="N114" s="32">
        <v>136000</v>
      </c>
      <c r="O114" s="31">
        <v>138134</v>
      </c>
      <c r="P114" s="31">
        <v>166152.71</v>
      </c>
      <c r="Q114" s="31">
        <v>167000</v>
      </c>
      <c r="R114" s="32">
        <v>141229</v>
      </c>
      <c r="S114" s="706">
        <v>-8515</v>
      </c>
      <c r="T114" s="614"/>
      <c r="U114" s="615">
        <f t="shared" si="35"/>
        <v>132714</v>
      </c>
    </row>
    <row r="115" spans="1:23" ht="15.75" thickBot="1" x14ac:dyDescent="0.3">
      <c r="A115" s="221" t="s">
        <v>215</v>
      </c>
      <c r="B115" s="832" t="s">
        <v>216</v>
      </c>
      <c r="C115" s="809"/>
      <c r="D115" s="99">
        <v>0</v>
      </c>
      <c r="E115" s="99">
        <v>56430</v>
      </c>
      <c r="F115" s="99">
        <v>359789</v>
      </c>
      <c r="G115" s="99">
        <v>312928</v>
      </c>
      <c r="H115" s="99">
        <v>336361</v>
      </c>
      <c r="I115" s="99">
        <v>283963</v>
      </c>
      <c r="J115" s="99">
        <v>347786</v>
      </c>
      <c r="K115" s="99">
        <v>268221</v>
      </c>
      <c r="L115" s="99">
        <v>263798.23</v>
      </c>
      <c r="M115" s="100">
        <v>287887.32</v>
      </c>
      <c r="N115" s="223">
        <v>314491.48</v>
      </c>
      <c r="O115" s="224">
        <v>300556.48</v>
      </c>
      <c r="P115" s="224">
        <v>267198.25</v>
      </c>
      <c r="Q115" s="224">
        <f>SUM(Q116:Q121)</f>
        <v>301913.75</v>
      </c>
      <c r="R115" s="223">
        <f>SUM(R116:R121)</f>
        <v>455815</v>
      </c>
      <c r="S115" s="626">
        <f>SUM(S116:S121)</f>
        <v>0</v>
      </c>
      <c r="T115" s="607">
        <f>SUM(T116:T121)</f>
        <v>2564</v>
      </c>
      <c r="U115" s="567">
        <f>SUM(U116:U121)</f>
        <v>458379</v>
      </c>
      <c r="V115" s="294"/>
    </row>
    <row r="116" spans="1:23" x14ac:dyDescent="0.25">
      <c r="A116" s="844"/>
      <c r="B116" s="176">
        <v>610</v>
      </c>
      <c r="C116" s="57" t="s">
        <v>122</v>
      </c>
      <c r="D116" s="58"/>
      <c r="E116" s="58"/>
      <c r="F116" s="58"/>
      <c r="G116" s="58"/>
      <c r="H116" s="58"/>
      <c r="I116" s="57">
        <v>264635</v>
      </c>
      <c r="J116" s="58">
        <v>24997</v>
      </c>
      <c r="K116" s="58">
        <v>24062</v>
      </c>
      <c r="L116" s="20">
        <v>22719.55</v>
      </c>
      <c r="M116" s="159">
        <v>28495.57</v>
      </c>
      <c r="N116" s="18">
        <v>28348.01</v>
      </c>
      <c r="O116" s="159">
        <v>31464.639999999999</v>
      </c>
      <c r="P116" s="159">
        <v>33530.71</v>
      </c>
      <c r="Q116" s="159">
        <v>39895.85</v>
      </c>
      <c r="R116" s="160">
        <v>40176</v>
      </c>
      <c r="S116" s="705"/>
      <c r="T116" s="612">
        <v>1900</v>
      </c>
      <c r="U116" s="613">
        <f t="shared" ref="U116:U121" si="36">R116+S116+T116</f>
        <v>42076</v>
      </c>
    </row>
    <row r="117" spans="1:23" x14ac:dyDescent="0.25">
      <c r="A117" s="845"/>
      <c r="B117" s="177">
        <v>620</v>
      </c>
      <c r="C117" s="59" t="s">
        <v>123</v>
      </c>
      <c r="D117" s="60"/>
      <c r="E117" s="60"/>
      <c r="F117" s="60"/>
      <c r="G117" s="60"/>
      <c r="H117" s="60"/>
      <c r="I117" s="59"/>
      <c r="J117" s="60">
        <v>9316</v>
      </c>
      <c r="K117" s="60">
        <v>8959</v>
      </c>
      <c r="L117" s="26">
        <v>9337.6200000000008</v>
      </c>
      <c r="M117" s="113">
        <v>10210.040000000001</v>
      </c>
      <c r="N117" s="24">
        <v>10765.88</v>
      </c>
      <c r="O117" s="113">
        <v>11782.59</v>
      </c>
      <c r="P117" s="113">
        <v>12285.58</v>
      </c>
      <c r="Q117" s="113">
        <v>14108.66</v>
      </c>
      <c r="R117" s="243">
        <v>14761</v>
      </c>
      <c r="S117" s="701"/>
      <c r="T117" s="600">
        <v>664</v>
      </c>
      <c r="U117" s="601">
        <f t="shared" si="36"/>
        <v>15425</v>
      </c>
    </row>
    <row r="118" spans="1:23" x14ac:dyDescent="0.25">
      <c r="A118" s="845"/>
      <c r="B118" s="177">
        <v>630</v>
      </c>
      <c r="C118" s="59" t="s">
        <v>124</v>
      </c>
      <c r="D118" s="60"/>
      <c r="E118" s="60"/>
      <c r="F118" s="60"/>
      <c r="G118" s="60"/>
      <c r="H118" s="60"/>
      <c r="I118" s="59"/>
      <c r="J118" s="60">
        <v>291329</v>
      </c>
      <c r="K118" s="60">
        <v>212898</v>
      </c>
      <c r="L118" s="26">
        <v>204427.59</v>
      </c>
      <c r="M118" s="113">
        <v>218239.71</v>
      </c>
      <c r="N118" s="24">
        <v>254385.59</v>
      </c>
      <c r="O118" s="113">
        <v>246224.25</v>
      </c>
      <c r="P118" s="113">
        <v>219779.39</v>
      </c>
      <c r="Q118" s="113">
        <v>232209.24</v>
      </c>
      <c r="R118" s="243">
        <v>222600</v>
      </c>
      <c r="S118" s="701"/>
      <c r="T118" s="600"/>
      <c r="U118" s="601">
        <f t="shared" si="36"/>
        <v>222600</v>
      </c>
    </row>
    <row r="119" spans="1:23" x14ac:dyDescent="0.25">
      <c r="A119" s="845"/>
      <c r="B119" s="143">
        <v>630</v>
      </c>
      <c r="C119" s="739" t="s">
        <v>446</v>
      </c>
      <c r="D119" s="60"/>
      <c r="E119" s="60"/>
      <c r="F119" s="60"/>
      <c r="G119" s="60"/>
      <c r="H119" s="60"/>
      <c r="I119" s="59"/>
      <c r="J119" s="60"/>
      <c r="K119" s="26"/>
      <c r="L119" s="26"/>
      <c r="M119" s="113"/>
      <c r="N119" s="24"/>
      <c r="O119" s="113"/>
      <c r="P119" s="113"/>
      <c r="Q119" s="113"/>
      <c r="R119" s="243">
        <v>170000</v>
      </c>
      <c r="S119" s="702"/>
      <c r="T119" s="611"/>
      <c r="U119" s="601">
        <f>R119+S119+T119</f>
        <v>170000</v>
      </c>
      <c r="W119" s="190"/>
    </row>
    <row r="120" spans="1:23" x14ac:dyDescent="0.25">
      <c r="A120" s="845"/>
      <c r="B120" s="143">
        <v>630</v>
      </c>
      <c r="C120" s="59" t="s">
        <v>449</v>
      </c>
      <c r="D120" s="60"/>
      <c r="E120" s="60"/>
      <c r="F120" s="60"/>
      <c r="G120" s="60"/>
      <c r="H120" s="60"/>
      <c r="I120" s="59"/>
      <c r="J120" s="60"/>
      <c r="K120" s="26"/>
      <c r="L120" s="26"/>
      <c r="M120" s="113"/>
      <c r="N120" s="24"/>
      <c r="O120" s="113"/>
      <c r="P120" s="113"/>
      <c r="Q120" s="113"/>
      <c r="R120" s="295">
        <v>0</v>
      </c>
      <c r="S120" s="702"/>
      <c r="T120" s="611"/>
      <c r="U120" s="606">
        <f t="shared" si="36"/>
        <v>0</v>
      </c>
    </row>
    <row r="121" spans="1:23" ht="15.75" thickBot="1" x14ac:dyDescent="0.3">
      <c r="A121" s="846"/>
      <c r="B121" s="178">
        <v>640</v>
      </c>
      <c r="C121" s="191" t="s">
        <v>214</v>
      </c>
      <c r="D121" s="149"/>
      <c r="E121" s="149">
        <v>56430</v>
      </c>
      <c r="F121" s="149">
        <v>66388</v>
      </c>
      <c r="G121" s="149">
        <v>33070</v>
      </c>
      <c r="H121" s="149">
        <v>34000</v>
      </c>
      <c r="I121" s="191">
        <v>19328</v>
      </c>
      <c r="J121" s="149">
        <v>22144</v>
      </c>
      <c r="K121" s="97">
        <v>22144</v>
      </c>
      <c r="L121" s="97">
        <v>27144</v>
      </c>
      <c r="M121" s="96">
        <v>30942</v>
      </c>
      <c r="N121" s="97">
        <v>20992</v>
      </c>
      <c r="O121" s="96">
        <v>11085</v>
      </c>
      <c r="P121" s="96">
        <v>1465.14</v>
      </c>
      <c r="Q121" s="96">
        <v>15700</v>
      </c>
      <c r="R121" s="207">
        <v>8278</v>
      </c>
      <c r="S121" s="706"/>
      <c r="T121" s="614"/>
      <c r="U121" s="615">
        <f t="shared" si="36"/>
        <v>8278</v>
      </c>
    </row>
    <row r="122" spans="1:23" ht="15.75" thickBot="1" x14ac:dyDescent="0.3">
      <c r="A122" s="221" t="s">
        <v>217</v>
      </c>
      <c r="B122" s="832" t="s">
        <v>218</v>
      </c>
      <c r="C122" s="809"/>
      <c r="D122" s="99">
        <v>398161</v>
      </c>
      <c r="E122" s="99">
        <v>245269</v>
      </c>
      <c r="F122" s="99">
        <v>266050</v>
      </c>
      <c r="G122" s="99">
        <v>237941</v>
      </c>
      <c r="H122" s="99">
        <v>273708</v>
      </c>
      <c r="I122" s="99">
        <v>262675</v>
      </c>
      <c r="J122" s="99">
        <v>162661</v>
      </c>
      <c r="K122" s="99">
        <v>165913</v>
      </c>
      <c r="L122" s="100">
        <v>173111</v>
      </c>
      <c r="M122" s="100">
        <v>179007.07</v>
      </c>
      <c r="N122" s="223">
        <v>207573.5</v>
      </c>
      <c r="O122" s="224">
        <v>252852.5</v>
      </c>
      <c r="P122" s="224">
        <v>259830</v>
      </c>
      <c r="Q122" s="224">
        <f>SUM(Q123:Q126)</f>
        <v>341183.70999999996</v>
      </c>
      <c r="R122" s="223">
        <f>SUM(R123:R126)</f>
        <v>312893</v>
      </c>
      <c r="S122" s="626">
        <f t="shared" ref="S122:T122" si="37">SUM(S123:S126)</f>
        <v>0</v>
      </c>
      <c r="T122" s="607">
        <f t="shared" si="37"/>
        <v>0</v>
      </c>
      <c r="U122" s="567">
        <f>SUM(U123:U126)</f>
        <v>312893</v>
      </c>
    </row>
    <row r="123" spans="1:23" x14ac:dyDescent="0.25">
      <c r="A123" s="842"/>
      <c r="B123" s="296"/>
      <c r="C123" s="57" t="s">
        <v>403</v>
      </c>
      <c r="D123" s="58">
        <v>373863</v>
      </c>
      <c r="E123" s="58">
        <v>211312</v>
      </c>
      <c r="F123" s="58">
        <v>220574</v>
      </c>
      <c r="G123" s="58">
        <v>190734</v>
      </c>
      <c r="H123" s="58">
        <v>216608</v>
      </c>
      <c r="I123" s="57">
        <v>202225</v>
      </c>
      <c r="J123" s="58">
        <v>118262</v>
      </c>
      <c r="K123" s="58">
        <v>116713</v>
      </c>
      <c r="L123" s="19">
        <v>116713</v>
      </c>
      <c r="M123" s="19">
        <v>132538</v>
      </c>
      <c r="N123" s="20">
        <v>117290</v>
      </c>
      <c r="O123" s="20">
        <v>150490</v>
      </c>
      <c r="P123" s="20">
        <v>157200</v>
      </c>
      <c r="Q123" s="19">
        <v>183913.71</v>
      </c>
      <c r="R123" s="142">
        <v>205423</v>
      </c>
      <c r="S123" s="705">
        <v>28635</v>
      </c>
      <c r="T123" s="612"/>
      <c r="U123" s="613">
        <f t="shared" ref="U123:U126" si="38">R123+S123+T123</f>
        <v>234058</v>
      </c>
    </row>
    <row r="124" spans="1:23" x14ac:dyDescent="0.25">
      <c r="A124" s="847"/>
      <c r="B124" s="297"/>
      <c r="C124" s="59" t="s">
        <v>219</v>
      </c>
      <c r="D124" s="60"/>
      <c r="E124" s="60"/>
      <c r="F124" s="60"/>
      <c r="G124" s="60"/>
      <c r="H124" s="60"/>
      <c r="I124" s="59"/>
      <c r="J124" s="60"/>
      <c r="K124" s="60"/>
      <c r="L124" s="25"/>
      <c r="M124" s="25">
        <v>3467.07</v>
      </c>
      <c r="N124" s="26">
        <v>50283.5</v>
      </c>
      <c r="O124" s="26">
        <v>101647</v>
      </c>
      <c r="P124" s="26">
        <v>53450</v>
      </c>
      <c r="Q124" s="25">
        <v>57270</v>
      </c>
      <c r="R124" s="144">
        <v>47470</v>
      </c>
      <c r="S124" s="701">
        <v>-28635</v>
      </c>
      <c r="T124" s="758"/>
      <c r="U124" s="601">
        <f t="shared" si="38"/>
        <v>18835</v>
      </c>
    </row>
    <row r="125" spans="1:23" x14ac:dyDescent="0.25">
      <c r="A125" s="847"/>
      <c r="B125" s="297"/>
      <c r="C125" s="59" t="s">
        <v>220</v>
      </c>
      <c r="D125" s="60"/>
      <c r="E125" s="60"/>
      <c r="F125" s="60"/>
      <c r="G125" s="60"/>
      <c r="H125" s="60"/>
      <c r="I125" s="59"/>
      <c r="J125" s="60"/>
      <c r="K125" s="60"/>
      <c r="L125" s="25"/>
      <c r="M125" s="25"/>
      <c r="N125" s="26"/>
      <c r="O125" s="26"/>
      <c r="P125" s="26"/>
      <c r="Q125" s="25">
        <v>20000</v>
      </c>
      <c r="R125" s="144">
        <v>10000</v>
      </c>
      <c r="S125" s="701"/>
      <c r="T125" s="759"/>
      <c r="U125" s="606">
        <f t="shared" si="38"/>
        <v>10000</v>
      </c>
    </row>
    <row r="126" spans="1:23" ht="15.75" thickBot="1" x14ac:dyDescent="0.3">
      <c r="A126" s="843"/>
      <c r="B126" s="298"/>
      <c r="C126" s="61" t="s">
        <v>221</v>
      </c>
      <c r="D126" s="76">
        <v>24298</v>
      </c>
      <c r="E126" s="76">
        <v>33957</v>
      </c>
      <c r="F126" s="76">
        <v>45476</v>
      </c>
      <c r="G126" s="76">
        <v>47207</v>
      </c>
      <c r="H126" s="76">
        <v>57100</v>
      </c>
      <c r="I126" s="61">
        <v>60450</v>
      </c>
      <c r="J126" s="76">
        <v>44399</v>
      </c>
      <c r="K126" s="76">
        <v>49200</v>
      </c>
      <c r="L126" s="31">
        <v>56398</v>
      </c>
      <c r="M126" s="31">
        <v>43002</v>
      </c>
      <c r="N126" s="32">
        <v>40000</v>
      </c>
      <c r="O126" s="32">
        <v>715.5</v>
      </c>
      <c r="P126" s="32">
        <v>49180</v>
      </c>
      <c r="Q126" s="31">
        <v>80000</v>
      </c>
      <c r="R126" s="207">
        <v>50000</v>
      </c>
      <c r="S126" s="706"/>
      <c r="T126" s="760"/>
      <c r="U126" s="615">
        <f t="shared" si="38"/>
        <v>50000</v>
      </c>
    </row>
    <row r="127" spans="1:23" ht="15.75" thickBot="1" x14ac:dyDescent="0.3">
      <c r="A127" s="152" t="s">
        <v>222</v>
      </c>
      <c r="B127" s="805" t="s">
        <v>223</v>
      </c>
      <c r="C127" s="779"/>
      <c r="D127" s="84">
        <v>16298</v>
      </c>
      <c r="E127" s="84">
        <v>196674</v>
      </c>
      <c r="F127" s="84">
        <v>276704</v>
      </c>
      <c r="G127" s="84">
        <v>322185</v>
      </c>
      <c r="H127" s="84">
        <v>434860</v>
      </c>
      <c r="I127" s="84">
        <v>399432</v>
      </c>
      <c r="J127" s="84">
        <v>332348</v>
      </c>
      <c r="K127" s="84">
        <v>315787</v>
      </c>
      <c r="L127" s="85">
        <v>311192.31999999995</v>
      </c>
      <c r="M127" s="85">
        <v>355810.5</v>
      </c>
      <c r="N127" s="154">
        <v>384915.19</v>
      </c>
      <c r="O127" s="155">
        <v>388070.83</v>
      </c>
      <c r="P127" s="155">
        <v>361113.8</v>
      </c>
      <c r="Q127" s="155">
        <f>SUM(Q128:Q141)</f>
        <v>408594.14</v>
      </c>
      <c r="R127" s="154">
        <f>SUM(R128:R141)</f>
        <v>257023</v>
      </c>
      <c r="S127" s="626">
        <f t="shared" ref="S127:U127" si="39">SUM(S128:S141)</f>
        <v>0</v>
      </c>
      <c r="T127" s="607">
        <f>SUM(T128:T141)</f>
        <v>4500</v>
      </c>
      <c r="U127" s="567">
        <f t="shared" si="39"/>
        <v>261523</v>
      </c>
      <c r="V127" s="190"/>
    </row>
    <row r="128" spans="1:23" x14ac:dyDescent="0.25">
      <c r="A128" s="842"/>
      <c r="B128" s="299"/>
      <c r="C128" s="169" t="s">
        <v>224</v>
      </c>
      <c r="D128" s="300">
        <v>4913</v>
      </c>
      <c r="E128" s="300">
        <v>3850</v>
      </c>
      <c r="F128" s="300">
        <v>5112</v>
      </c>
      <c r="G128" s="300"/>
      <c r="H128" s="300"/>
      <c r="I128" s="169">
        <v>6756</v>
      </c>
      <c r="J128" s="300">
        <v>7114</v>
      </c>
      <c r="K128" s="58">
        <v>7113</v>
      </c>
      <c r="L128" s="20">
        <v>7438.6</v>
      </c>
      <c r="M128" s="19">
        <v>12903.29</v>
      </c>
      <c r="N128" s="20">
        <v>10157.040000000001</v>
      </c>
      <c r="O128" s="19">
        <v>15460.72</v>
      </c>
      <c r="P128" s="19">
        <v>9192</v>
      </c>
      <c r="Q128" s="19">
        <v>10989.94</v>
      </c>
      <c r="R128" s="142">
        <v>14300</v>
      </c>
      <c r="S128" s="700"/>
      <c r="T128" s="761"/>
      <c r="U128" s="599">
        <f t="shared" ref="U128:U141" si="40">R128+S128+T128</f>
        <v>14300</v>
      </c>
    </row>
    <row r="129" spans="1:26" x14ac:dyDescent="0.25">
      <c r="A129" s="847"/>
      <c r="B129" s="301"/>
      <c r="C129" s="171" t="s">
        <v>225</v>
      </c>
      <c r="D129" s="302"/>
      <c r="E129" s="302"/>
      <c r="F129" s="302"/>
      <c r="G129" s="302"/>
      <c r="H129" s="302"/>
      <c r="I129" s="303">
        <v>48971</v>
      </c>
      <c r="J129" s="302"/>
      <c r="K129" s="73"/>
      <c r="L129" s="46"/>
      <c r="M129" s="45"/>
      <c r="N129" s="46"/>
      <c r="O129" s="45"/>
      <c r="P129" s="45">
        <v>12970.5</v>
      </c>
      <c r="Q129" s="45">
        <v>4960</v>
      </c>
      <c r="R129" s="229">
        <v>0</v>
      </c>
      <c r="S129" s="701"/>
      <c r="T129" s="762"/>
      <c r="U129" s="603">
        <f t="shared" si="40"/>
        <v>0</v>
      </c>
    </row>
    <row r="130" spans="1:26" x14ac:dyDescent="0.25">
      <c r="A130" s="847"/>
      <c r="B130" s="301"/>
      <c r="C130" s="171" t="s">
        <v>226</v>
      </c>
      <c r="D130" s="302"/>
      <c r="E130" s="302"/>
      <c r="F130" s="302"/>
      <c r="G130" s="302"/>
      <c r="H130" s="302"/>
      <c r="I130" s="303">
        <v>24304</v>
      </c>
      <c r="J130" s="302">
        <v>10566</v>
      </c>
      <c r="K130" s="73">
        <v>3350</v>
      </c>
      <c r="L130" s="46">
        <v>4052</v>
      </c>
      <c r="M130" s="45">
        <v>10555.27</v>
      </c>
      <c r="N130" s="46"/>
      <c r="O130" s="45">
        <v>12040.65</v>
      </c>
      <c r="P130" s="45">
        <v>15000</v>
      </c>
      <c r="Q130" s="45">
        <v>42000</v>
      </c>
      <c r="R130" s="229">
        <v>10000</v>
      </c>
      <c r="S130" s="701"/>
      <c r="T130" s="758"/>
      <c r="U130" s="601">
        <f t="shared" si="40"/>
        <v>10000</v>
      </c>
      <c r="W130" s="190"/>
      <c r="X130" s="190"/>
      <c r="Z130" s="728"/>
    </row>
    <row r="131" spans="1:26" x14ac:dyDescent="0.25">
      <c r="A131" s="847"/>
      <c r="B131" s="301"/>
      <c r="C131" s="171" t="s">
        <v>227</v>
      </c>
      <c r="D131" s="302"/>
      <c r="E131" s="302"/>
      <c r="F131" s="302"/>
      <c r="G131" s="302"/>
      <c r="H131" s="302"/>
      <c r="I131" s="303"/>
      <c r="J131" s="302"/>
      <c r="K131" s="73"/>
      <c r="L131" s="46"/>
      <c r="M131" s="45">
        <v>19000</v>
      </c>
      <c r="N131" s="46">
        <v>10407.57</v>
      </c>
      <c r="O131" s="45">
        <v>19000</v>
      </c>
      <c r="P131" s="45">
        <v>3083.2</v>
      </c>
      <c r="Q131" s="45">
        <v>4899.3999999999996</v>
      </c>
      <c r="R131" s="229">
        <v>2000</v>
      </c>
      <c r="S131" s="701"/>
      <c r="T131" s="758"/>
      <c r="U131" s="601">
        <f t="shared" si="40"/>
        <v>2000</v>
      </c>
    </row>
    <row r="132" spans="1:26" x14ac:dyDescent="0.25">
      <c r="A132" s="847"/>
      <c r="B132" s="301"/>
      <c r="C132" s="171" t="s">
        <v>228</v>
      </c>
      <c r="D132" s="302"/>
      <c r="E132" s="302"/>
      <c r="F132" s="302"/>
      <c r="G132" s="302"/>
      <c r="H132" s="302"/>
      <c r="I132" s="303"/>
      <c r="J132" s="302"/>
      <c r="K132" s="73"/>
      <c r="L132" s="46"/>
      <c r="M132" s="45"/>
      <c r="N132" s="46">
        <v>15000</v>
      </c>
      <c r="O132" s="45">
        <v>2377</v>
      </c>
      <c r="P132" s="45">
        <v>11700</v>
      </c>
      <c r="Q132" s="45">
        <v>17500</v>
      </c>
      <c r="R132" s="229">
        <v>1000</v>
      </c>
      <c r="S132" s="701"/>
      <c r="T132" s="758"/>
      <c r="U132" s="601">
        <f t="shared" si="40"/>
        <v>1000</v>
      </c>
    </row>
    <row r="133" spans="1:26" x14ac:dyDescent="0.25">
      <c r="A133" s="847"/>
      <c r="B133" s="305"/>
      <c r="C133" s="171" t="s">
        <v>402</v>
      </c>
      <c r="D133" s="145"/>
      <c r="E133" s="145">
        <v>7568</v>
      </c>
      <c r="F133" s="145">
        <v>15767</v>
      </c>
      <c r="G133" s="145">
        <v>15084</v>
      </c>
      <c r="H133" s="145"/>
      <c r="I133" s="171">
        <v>13552</v>
      </c>
      <c r="J133" s="145">
        <v>11060</v>
      </c>
      <c r="K133" s="60">
        <v>9650</v>
      </c>
      <c r="L133" s="26">
        <v>9100</v>
      </c>
      <c r="M133" s="25">
        <v>10889.5</v>
      </c>
      <c r="N133" s="26">
        <v>15000</v>
      </c>
      <c r="O133" s="25">
        <v>7950</v>
      </c>
      <c r="P133" s="25"/>
      <c r="Q133" s="25"/>
      <c r="R133" s="144">
        <v>4000</v>
      </c>
      <c r="S133" s="701"/>
      <c r="T133" s="758"/>
      <c r="U133" s="601">
        <f t="shared" si="40"/>
        <v>4000</v>
      </c>
    </row>
    <row r="134" spans="1:26" x14ac:dyDescent="0.25">
      <c r="A134" s="847"/>
      <c r="B134" s="305"/>
      <c r="C134" s="171" t="s">
        <v>229</v>
      </c>
      <c r="D134" s="145"/>
      <c r="E134" s="145"/>
      <c r="F134" s="145"/>
      <c r="G134" s="145"/>
      <c r="H134" s="145"/>
      <c r="I134" s="171"/>
      <c r="J134" s="145"/>
      <c r="K134" s="60"/>
      <c r="L134" s="26"/>
      <c r="M134" s="26"/>
      <c r="N134" s="26"/>
      <c r="O134" s="25">
        <v>10000</v>
      </c>
      <c r="P134" s="25">
        <v>5000</v>
      </c>
      <c r="Q134" s="25"/>
      <c r="R134" s="144">
        <v>0</v>
      </c>
      <c r="S134" s="701"/>
      <c r="T134" s="758"/>
      <c r="U134" s="601">
        <f t="shared" si="40"/>
        <v>0</v>
      </c>
      <c r="W134" s="190"/>
    </row>
    <row r="135" spans="1:26" x14ac:dyDescent="0.25">
      <c r="A135" s="847"/>
      <c r="B135" s="305"/>
      <c r="C135" s="171" t="s">
        <v>230</v>
      </c>
      <c r="D135" s="145"/>
      <c r="E135" s="145"/>
      <c r="F135" s="145"/>
      <c r="G135" s="145"/>
      <c r="H135" s="145"/>
      <c r="I135" s="171"/>
      <c r="J135" s="145"/>
      <c r="K135" s="60"/>
      <c r="L135" s="26"/>
      <c r="M135" s="26"/>
      <c r="N135" s="26">
        <v>256.58</v>
      </c>
      <c r="O135" s="25">
        <v>4000</v>
      </c>
      <c r="P135" s="25">
        <v>6335</v>
      </c>
      <c r="Q135" s="25">
        <v>10280.42</v>
      </c>
      <c r="R135" s="144">
        <v>1000</v>
      </c>
      <c r="S135" s="701"/>
      <c r="T135" s="758"/>
      <c r="U135" s="601">
        <f t="shared" si="40"/>
        <v>1000</v>
      </c>
    </row>
    <row r="136" spans="1:26" x14ac:dyDescent="0.25">
      <c r="A136" s="847"/>
      <c r="B136" s="305"/>
      <c r="C136" s="171" t="s">
        <v>231</v>
      </c>
      <c r="D136" s="145"/>
      <c r="E136" s="145"/>
      <c r="F136" s="145"/>
      <c r="G136" s="145"/>
      <c r="H136" s="145"/>
      <c r="I136" s="171"/>
      <c r="J136" s="145"/>
      <c r="K136" s="60"/>
      <c r="L136" s="26"/>
      <c r="M136" s="26"/>
      <c r="N136" s="26">
        <v>4000</v>
      </c>
      <c r="O136" s="25">
        <v>1050</v>
      </c>
      <c r="P136" s="25">
        <v>42000.1</v>
      </c>
      <c r="Q136" s="25">
        <v>86465</v>
      </c>
      <c r="R136" s="144">
        <v>75178</v>
      </c>
      <c r="S136" s="701"/>
      <c r="T136" s="758"/>
      <c r="U136" s="601">
        <f t="shared" si="40"/>
        <v>75178</v>
      </c>
    </row>
    <row r="137" spans="1:26" x14ac:dyDescent="0.25">
      <c r="A137" s="847"/>
      <c r="B137" s="305"/>
      <c r="C137" s="171" t="s">
        <v>232</v>
      </c>
      <c r="D137" s="145"/>
      <c r="E137" s="145">
        <v>58189</v>
      </c>
      <c r="F137" s="145">
        <v>75483</v>
      </c>
      <c r="G137" s="145">
        <v>91400</v>
      </c>
      <c r="H137" s="145"/>
      <c r="I137" s="171">
        <v>152242</v>
      </c>
      <c r="J137" s="145">
        <v>162681</v>
      </c>
      <c r="K137" s="60">
        <v>150333</v>
      </c>
      <c r="L137" s="26">
        <v>119218</v>
      </c>
      <c r="M137" s="25">
        <v>148153</v>
      </c>
      <c r="N137" s="26">
        <v>76969</v>
      </c>
      <c r="O137" s="25">
        <v>70558</v>
      </c>
      <c r="P137" s="25">
        <v>77400</v>
      </c>
      <c r="Q137" s="25">
        <v>117346.38</v>
      </c>
      <c r="R137" s="144">
        <v>88613</v>
      </c>
      <c r="S137" s="701"/>
      <c r="T137" s="758"/>
      <c r="U137" s="601">
        <f t="shared" si="40"/>
        <v>88613</v>
      </c>
    </row>
    <row r="138" spans="1:26" x14ac:dyDescent="0.25">
      <c r="A138" s="847"/>
      <c r="B138" s="305"/>
      <c r="C138" s="171" t="s">
        <v>233</v>
      </c>
      <c r="D138" s="145"/>
      <c r="E138" s="145">
        <v>99250</v>
      </c>
      <c r="F138" s="145">
        <v>153754</v>
      </c>
      <c r="G138" s="145">
        <v>143286</v>
      </c>
      <c r="H138" s="145"/>
      <c r="I138" s="171">
        <v>86643</v>
      </c>
      <c r="J138" s="145">
        <v>82311</v>
      </c>
      <c r="K138" s="60">
        <v>93232</v>
      </c>
      <c r="L138" s="26">
        <v>109100</v>
      </c>
      <c r="M138" s="25">
        <v>88221</v>
      </c>
      <c r="N138" s="26">
        <v>81209</v>
      </c>
      <c r="O138" s="25">
        <v>72867</v>
      </c>
      <c r="P138" s="25"/>
      <c r="Q138" s="25"/>
      <c r="R138" s="144">
        <v>0</v>
      </c>
      <c r="S138" s="701"/>
      <c r="T138" s="600"/>
      <c r="U138" s="601">
        <f t="shared" si="40"/>
        <v>0</v>
      </c>
    </row>
    <row r="139" spans="1:26" x14ac:dyDescent="0.25">
      <c r="A139" s="847"/>
      <c r="B139" s="306"/>
      <c r="C139" s="59" t="s">
        <v>234</v>
      </c>
      <c r="D139" s="60"/>
      <c r="E139" s="60">
        <v>27817</v>
      </c>
      <c r="F139" s="60">
        <v>26588</v>
      </c>
      <c r="G139" s="60">
        <v>25790</v>
      </c>
      <c r="H139" s="60"/>
      <c r="I139" s="59">
        <v>66964</v>
      </c>
      <c r="J139" s="60">
        <v>58616</v>
      </c>
      <c r="K139" s="60">
        <v>52109</v>
      </c>
      <c r="L139" s="60">
        <v>49442</v>
      </c>
      <c r="M139" s="125">
        <v>49808</v>
      </c>
      <c r="N139" s="26">
        <v>60863</v>
      </c>
      <c r="O139" s="25">
        <v>64900</v>
      </c>
      <c r="P139" s="25">
        <v>67942</v>
      </c>
      <c r="Q139" s="25"/>
      <c r="R139" s="144">
        <v>0</v>
      </c>
      <c r="S139" s="701"/>
      <c r="T139" s="600"/>
      <c r="U139" s="601">
        <f t="shared" si="40"/>
        <v>0</v>
      </c>
    </row>
    <row r="140" spans="1:26" x14ac:dyDescent="0.25">
      <c r="A140" s="847"/>
      <c r="B140" s="307"/>
      <c r="C140" s="62" t="s">
        <v>235</v>
      </c>
      <c r="D140" s="93"/>
      <c r="E140" s="93"/>
      <c r="F140" s="93"/>
      <c r="G140" s="93"/>
      <c r="H140" s="93"/>
      <c r="I140" s="62"/>
      <c r="J140" s="93"/>
      <c r="K140" s="93"/>
      <c r="L140" s="93">
        <v>12841.72</v>
      </c>
      <c r="M140" s="202">
        <v>16280.44</v>
      </c>
      <c r="N140" s="49">
        <v>18152</v>
      </c>
      <c r="O140" s="48">
        <v>24031</v>
      </c>
      <c r="P140" s="48">
        <v>24298</v>
      </c>
      <c r="Q140" s="48">
        <v>25498</v>
      </c>
      <c r="R140" s="203">
        <v>7498</v>
      </c>
      <c r="S140" s="701"/>
      <c r="T140" s="600"/>
      <c r="U140" s="601">
        <f t="shared" si="40"/>
        <v>7498</v>
      </c>
    </row>
    <row r="141" spans="1:26" ht="15.75" thickBot="1" x14ac:dyDescent="0.3">
      <c r="A141" s="843"/>
      <c r="B141" s="308"/>
      <c r="C141" s="61" t="s">
        <v>236</v>
      </c>
      <c r="D141" s="76"/>
      <c r="E141" s="76"/>
      <c r="F141" s="76"/>
      <c r="G141" s="76"/>
      <c r="H141" s="76"/>
      <c r="I141" s="61"/>
      <c r="J141" s="76"/>
      <c r="K141" s="76"/>
      <c r="L141" s="76"/>
      <c r="M141" s="76"/>
      <c r="N141" s="32">
        <v>92901</v>
      </c>
      <c r="O141" s="31">
        <v>83836.460000000006</v>
      </c>
      <c r="P141" s="31">
        <v>86193</v>
      </c>
      <c r="Q141" s="31">
        <v>88655</v>
      </c>
      <c r="R141" s="207">
        <v>53434</v>
      </c>
      <c r="S141" s="702"/>
      <c r="T141" s="611">
        <v>4500</v>
      </c>
      <c r="U141" s="606">
        <f t="shared" si="40"/>
        <v>57934</v>
      </c>
    </row>
    <row r="142" spans="1:26" ht="15.75" thickBot="1" x14ac:dyDescent="0.3">
      <c r="A142" s="264" t="s">
        <v>237</v>
      </c>
      <c r="B142" s="805" t="s">
        <v>238</v>
      </c>
      <c r="C142" s="779"/>
      <c r="D142" s="84">
        <v>0</v>
      </c>
      <c r="E142" s="84">
        <v>44944</v>
      </c>
      <c r="F142" s="84">
        <v>55765</v>
      </c>
      <c r="G142" s="84">
        <v>48780</v>
      </c>
      <c r="H142" s="84">
        <v>52570</v>
      </c>
      <c r="I142" s="84">
        <v>48691</v>
      </c>
      <c r="J142" s="84">
        <v>46108</v>
      </c>
      <c r="K142" s="99">
        <v>47470</v>
      </c>
      <c r="L142" s="100">
        <v>48334.8</v>
      </c>
      <c r="M142" s="100">
        <v>45244.800000000003</v>
      </c>
      <c r="N142" s="223">
        <v>51246.22</v>
      </c>
      <c r="O142" s="224">
        <v>45133.520000000004</v>
      </c>
      <c r="P142" s="224">
        <v>47476.15</v>
      </c>
      <c r="Q142" s="224">
        <f>Q144+Q143</f>
        <v>47435.44</v>
      </c>
      <c r="R142" s="223">
        <f>R144+R143</f>
        <v>58836</v>
      </c>
      <c r="S142" s="626">
        <f t="shared" ref="S142:U142" si="41">S144+S143</f>
        <v>0</v>
      </c>
      <c r="T142" s="607">
        <f t="shared" si="41"/>
        <v>0</v>
      </c>
      <c r="U142" s="567">
        <f t="shared" si="41"/>
        <v>58836</v>
      </c>
    </row>
    <row r="143" spans="1:26" x14ac:dyDescent="0.25">
      <c r="A143" s="842"/>
      <c r="B143" s="176">
        <v>630</v>
      </c>
      <c r="C143" s="169" t="s">
        <v>239</v>
      </c>
      <c r="D143" s="300"/>
      <c r="E143" s="300">
        <v>36679</v>
      </c>
      <c r="F143" s="300">
        <v>46803</v>
      </c>
      <c r="G143" s="300">
        <v>39726</v>
      </c>
      <c r="H143" s="300">
        <v>43006</v>
      </c>
      <c r="I143" s="169">
        <v>38795</v>
      </c>
      <c r="J143" s="169">
        <v>36600</v>
      </c>
      <c r="K143" s="58">
        <v>37500</v>
      </c>
      <c r="L143" s="19">
        <v>40890</v>
      </c>
      <c r="M143" s="19">
        <v>37800</v>
      </c>
      <c r="N143" s="20">
        <v>39750</v>
      </c>
      <c r="O143" s="19">
        <v>33550</v>
      </c>
      <c r="P143" s="19">
        <v>37036.15</v>
      </c>
      <c r="Q143" s="19">
        <v>37925.440000000002</v>
      </c>
      <c r="R143" s="20">
        <v>39836</v>
      </c>
      <c r="S143" s="700"/>
      <c r="T143" s="598"/>
      <c r="U143" s="599">
        <f t="shared" ref="U143:U144" si="42">R143+S143+T143</f>
        <v>39836</v>
      </c>
    </row>
    <row r="144" spans="1:26" ht="15.75" thickBot="1" x14ac:dyDescent="0.3">
      <c r="A144" s="843"/>
      <c r="B144" s="245">
        <v>630</v>
      </c>
      <c r="C144" s="274" t="s">
        <v>240</v>
      </c>
      <c r="D144" s="276"/>
      <c r="E144" s="276">
        <v>8265</v>
      </c>
      <c r="F144" s="276">
        <v>8962</v>
      </c>
      <c r="G144" s="276">
        <v>9054</v>
      </c>
      <c r="H144" s="276">
        <v>9564</v>
      </c>
      <c r="I144" s="274">
        <v>9896</v>
      </c>
      <c r="J144" s="274">
        <v>9508</v>
      </c>
      <c r="K144" s="76">
        <v>9970</v>
      </c>
      <c r="L144" s="31">
        <v>7444.8</v>
      </c>
      <c r="M144" s="31">
        <v>7444.8</v>
      </c>
      <c r="N144" s="32">
        <v>11496.22</v>
      </c>
      <c r="O144" s="31">
        <v>11583.52</v>
      </c>
      <c r="P144" s="31">
        <v>10440</v>
      </c>
      <c r="Q144" s="31">
        <v>9510</v>
      </c>
      <c r="R144" s="207">
        <v>19000</v>
      </c>
      <c r="S144" s="702"/>
      <c r="T144" s="611"/>
      <c r="U144" s="606">
        <f t="shared" si="42"/>
        <v>19000</v>
      </c>
    </row>
    <row r="145" spans="1:21" ht="15.75" thickBot="1" x14ac:dyDescent="0.3">
      <c r="A145" s="221" t="s">
        <v>241</v>
      </c>
      <c r="B145" s="805" t="s">
        <v>242</v>
      </c>
      <c r="C145" s="779"/>
      <c r="D145" s="84">
        <v>6008</v>
      </c>
      <c r="E145" s="84">
        <v>6373</v>
      </c>
      <c r="F145" s="84">
        <v>76413</v>
      </c>
      <c r="G145" s="84">
        <v>50904</v>
      </c>
      <c r="H145" s="84">
        <v>43602</v>
      </c>
      <c r="I145" s="84">
        <v>80402</v>
      </c>
      <c r="J145" s="84">
        <v>65201</v>
      </c>
      <c r="K145" s="84">
        <v>82763</v>
      </c>
      <c r="L145" s="85">
        <v>85325.96</v>
      </c>
      <c r="M145" s="85">
        <v>98428.31</v>
      </c>
      <c r="N145" s="154">
        <v>91637.849999999991</v>
      </c>
      <c r="O145" s="154">
        <v>98282.1</v>
      </c>
      <c r="P145" s="154">
        <v>86440.45</v>
      </c>
      <c r="Q145" s="155">
        <f>SUM(Q146:Q149)</f>
        <v>124303.2</v>
      </c>
      <c r="R145" s="154">
        <f>SUM(R146:R149)</f>
        <v>104038</v>
      </c>
      <c r="S145" s="626">
        <f t="shared" ref="S145:U145" si="43">SUM(S146:S149)</f>
        <v>-1080</v>
      </c>
      <c r="T145" s="607">
        <f t="shared" si="43"/>
        <v>0</v>
      </c>
      <c r="U145" s="567">
        <f t="shared" si="43"/>
        <v>102958</v>
      </c>
    </row>
    <row r="146" spans="1:21" x14ac:dyDescent="0.25">
      <c r="A146" s="826"/>
      <c r="B146" s="839"/>
      <c r="C146" s="59" t="s">
        <v>243</v>
      </c>
      <c r="D146" s="60"/>
      <c r="E146" s="60">
        <v>5842</v>
      </c>
      <c r="F146" s="60">
        <v>6108</v>
      </c>
      <c r="G146" s="60">
        <v>13480</v>
      </c>
      <c r="H146" s="60">
        <v>6009</v>
      </c>
      <c r="I146" s="59">
        <v>6900</v>
      </c>
      <c r="J146" s="145">
        <v>3787</v>
      </c>
      <c r="K146" s="60">
        <v>3290</v>
      </c>
      <c r="L146" s="45">
        <v>1483</v>
      </c>
      <c r="M146" s="45">
        <v>9142.9500000000007</v>
      </c>
      <c r="N146" s="46">
        <v>5153.01</v>
      </c>
      <c r="O146" s="46"/>
      <c r="P146" s="46"/>
      <c r="Q146" s="45"/>
      <c r="R146" s="229"/>
      <c r="S146" s="700"/>
      <c r="T146" s="618"/>
      <c r="U146" s="619">
        <f t="shared" ref="U146:U149" si="44">R146+S146+T146</f>
        <v>0</v>
      </c>
    </row>
    <row r="147" spans="1:21" x14ac:dyDescent="0.25">
      <c r="A147" s="826"/>
      <c r="B147" s="840"/>
      <c r="C147" s="59" t="s">
        <v>94</v>
      </c>
      <c r="D147" s="60"/>
      <c r="E147" s="60"/>
      <c r="F147" s="60"/>
      <c r="G147" s="60"/>
      <c r="H147" s="60"/>
      <c r="I147" s="59"/>
      <c r="J147" s="145"/>
      <c r="K147" s="60"/>
      <c r="L147" s="45"/>
      <c r="M147" s="45"/>
      <c r="N147" s="46"/>
      <c r="O147" s="45">
        <v>4985.1000000000004</v>
      </c>
      <c r="P147" s="45">
        <v>14458.009999999998</v>
      </c>
      <c r="Q147" s="45">
        <v>18101.53</v>
      </c>
      <c r="R147" s="229">
        <v>12748</v>
      </c>
      <c r="S147" s="700"/>
      <c r="T147" s="598"/>
      <c r="U147" s="619">
        <f t="shared" si="44"/>
        <v>12748</v>
      </c>
    </row>
    <row r="148" spans="1:21" x14ac:dyDescent="0.25">
      <c r="A148" s="826"/>
      <c r="B148" s="840"/>
      <c r="C148" s="59" t="s">
        <v>244</v>
      </c>
      <c r="D148" s="60"/>
      <c r="E148" s="60">
        <v>0</v>
      </c>
      <c r="F148" s="60">
        <v>66388</v>
      </c>
      <c r="G148" s="60">
        <v>33390</v>
      </c>
      <c r="H148" s="60">
        <v>32749</v>
      </c>
      <c r="I148" s="59">
        <v>70000</v>
      </c>
      <c r="J148" s="145">
        <v>59118</v>
      </c>
      <c r="K148" s="60">
        <v>75103</v>
      </c>
      <c r="L148" s="25">
        <v>81056.960000000006</v>
      </c>
      <c r="M148" s="25">
        <v>86285.36</v>
      </c>
      <c r="N148" s="26">
        <v>5874.72</v>
      </c>
      <c r="O148" s="25">
        <v>90485</v>
      </c>
      <c r="P148" s="25">
        <v>71812.44</v>
      </c>
      <c r="Q148" s="25">
        <v>103201.67</v>
      </c>
      <c r="R148" s="144">
        <v>89790</v>
      </c>
      <c r="S148" s="701">
        <v>-1080</v>
      </c>
      <c r="T148" s="600"/>
      <c r="U148" s="601">
        <f t="shared" si="44"/>
        <v>88710</v>
      </c>
    </row>
    <row r="149" spans="1:21" ht="15.75" thickBot="1" x14ac:dyDescent="0.3">
      <c r="A149" s="827"/>
      <c r="B149" s="841"/>
      <c r="C149" s="61" t="s">
        <v>245</v>
      </c>
      <c r="D149" s="76"/>
      <c r="E149" s="76">
        <v>531</v>
      </c>
      <c r="F149" s="76">
        <v>3917</v>
      </c>
      <c r="G149" s="76">
        <v>4034</v>
      </c>
      <c r="H149" s="76">
        <v>796</v>
      </c>
      <c r="I149" s="61">
        <v>3502</v>
      </c>
      <c r="J149" s="276">
        <v>2296</v>
      </c>
      <c r="K149" s="76">
        <v>4370</v>
      </c>
      <c r="L149" s="31">
        <v>2786</v>
      </c>
      <c r="M149" s="31">
        <v>3000</v>
      </c>
      <c r="N149" s="32">
        <v>80610.12</v>
      </c>
      <c r="O149" s="31">
        <v>2812</v>
      </c>
      <c r="P149" s="31">
        <v>170</v>
      </c>
      <c r="Q149" s="31">
        <v>3000</v>
      </c>
      <c r="R149" s="32">
        <v>1500</v>
      </c>
      <c r="S149" s="614"/>
      <c r="T149" s="614"/>
      <c r="U149" s="615">
        <f t="shared" si="44"/>
        <v>1500</v>
      </c>
    </row>
    <row r="150" spans="1:21" ht="15.75" thickBot="1" x14ac:dyDescent="0.3">
      <c r="A150" s="152" t="s">
        <v>246</v>
      </c>
      <c r="B150" s="805" t="s">
        <v>247</v>
      </c>
      <c r="C150" s="779"/>
      <c r="D150" s="84">
        <v>2960832</v>
      </c>
      <c r="E150" s="84">
        <v>3369814</v>
      </c>
      <c r="F150" s="84">
        <v>3780057</v>
      </c>
      <c r="G150" s="84">
        <v>4405952.43</v>
      </c>
      <c r="H150" s="84">
        <v>4455752</v>
      </c>
      <c r="I150" s="84">
        <v>4609033</v>
      </c>
      <c r="J150" s="84">
        <v>4840194</v>
      </c>
      <c r="K150" s="84">
        <v>4773475</v>
      </c>
      <c r="L150" s="85">
        <v>4944992.8499999996</v>
      </c>
      <c r="M150" s="85">
        <v>5255422.8499999996</v>
      </c>
      <c r="N150" s="154">
        <v>5401219.4500000002</v>
      </c>
      <c r="O150" s="155">
        <v>5606281.4399999995</v>
      </c>
      <c r="P150" s="155">
        <v>5915004.5199999996</v>
      </c>
      <c r="Q150" s="155">
        <f>Q151+Q156</f>
        <v>6513428.6599999992</v>
      </c>
      <c r="R150" s="154">
        <f>R151+R156</f>
        <v>6562751</v>
      </c>
      <c r="S150" s="626">
        <f t="shared" ref="S150:U150" si="45">S151+S156</f>
        <v>0</v>
      </c>
      <c r="T150" s="607">
        <f t="shared" si="45"/>
        <v>59569</v>
      </c>
      <c r="U150" s="567">
        <f t="shared" si="45"/>
        <v>6622320</v>
      </c>
    </row>
    <row r="151" spans="1:21" ht="15.75" thickBot="1" x14ac:dyDescent="0.3">
      <c r="A151" s="825"/>
      <c r="B151" s="828" t="s">
        <v>248</v>
      </c>
      <c r="C151" s="829"/>
      <c r="D151" s="80">
        <v>29177</v>
      </c>
      <c r="E151" s="80">
        <v>27518</v>
      </c>
      <c r="F151" s="80">
        <v>28447</v>
      </c>
      <c r="G151" s="80">
        <v>30677</v>
      </c>
      <c r="H151" s="80">
        <v>31410</v>
      </c>
      <c r="I151" s="80">
        <v>41249</v>
      </c>
      <c r="J151" s="80">
        <v>38808</v>
      </c>
      <c r="K151" s="80">
        <v>36313</v>
      </c>
      <c r="L151" s="81">
        <v>35493.83</v>
      </c>
      <c r="M151" s="81">
        <v>51463.890000000007</v>
      </c>
      <c r="N151" s="309">
        <v>56202.630000000005</v>
      </c>
      <c r="O151" s="310">
        <v>54280.090000000004</v>
      </c>
      <c r="P151" s="310">
        <v>61314.87</v>
      </c>
      <c r="Q151" s="310">
        <f>SUM(Q152:Q155)</f>
        <v>51737.259999999995</v>
      </c>
      <c r="R151" s="309">
        <f>SUM(R152:R155)</f>
        <v>63447</v>
      </c>
      <c r="S151" s="626">
        <f t="shared" ref="S151:U151" si="46">SUM(S152:S155)</f>
        <v>0</v>
      </c>
      <c r="T151" s="607">
        <f t="shared" si="46"/>
        <v>2294</v>
      </c>
      <c r="U151" s="567">
        <f t="shared" si="46"/>
        <v>65741</v>
      </c>
    </row>
    <row r="152" spans="1:21" x14ac:dyDescent="0.25">
      <c r="A152" s="826"/>
      <c r="B152" s="288">
        <v>610</v>
      </c>
      <c r="C152" s="91" t="s">
        <v>122</v>
      </c>
      <c r="D152" s="189"/>
      <c r="E152" s="189">
        <v>18854</v>
      </c>
      <c r="F152" s="189">
        <v>18290</v>
      </c>
      <c r="G152" s="189">
        <v>19464</v>
      </c>
      <c r="H152" s="189">
        <v>22248</v>
      </c>
      <c r="I152" s="174">
        <v>29541</v>
      </c>
      <c r="J152" s="145">
        <v>26330</v>
      </c>
      <c r="K152" s="60">
        <v>25388</v>
      </c>
      <c r="L152" s="189">
        <v>24578.53</v>
      </c>
      <c r="M152" s="311">
        <v>33902.800000000003</v>
      </c>
      <c r="N152" s="312">
        <v>34953.550000000003</v>
      </c>
      <c r="O152" s="313">
        <v>37117.040000000001</v>
      </c>
      <c r="P152" s="313">
        <v>39049.72</v>
      </c>
      <c r="Q152" s="313">
        <v>35866.21</v>
      </c>
      <c r="R152" s="314">
        <v>43704</v>
      </c>
      <c r="S152" s="700"/>
      <c r="T152" s="598">
        <v>1700</v>
      </c>
      <c r="U152" s="599">
        <f t="shared" ref="U152:U155" si="47">R152+S152+T152</f>
        <v>45404</v>
      </c>
    </row>
    <row r="153" spans="1:21" x14ac:dyDescent="0.25">
      <c r="A153" s="826"/>
      <c r="B153" s="177">
        <v>620</v>
      </c>
      <c r="C153" s="59" t="s">
        <v>123</v>
      </c>
      <c r="D153" s="60"/>
      <c r="E153" s="60">
        <v>6473</v>
      </c>
      <c r="F153" s="60">
        <v>6340</v>
      </c>
      <c r="G153" s="60">
        <v>6869</v>
      </c>
      <c r="H153" s="60">
        <v>6877</v>
      </c>
      <c r="I153" s="59">
        <v>9575</v>
      </c>
      <c r="J153" s="145">
        <v>9735</v>
      </c>
      <c r="K153" s="60">
        <v>9358</v>
      </c>
      <c r="L153" s="60">
        <v>9719.7999999999993</v>
      </c>
      <c r="M153" s="315">
        <v>11551.79</v>
      </c>
      <c r="N153" s="127">
        <v>12736.3</v>
      </c>
      <c r="O153" s="128">
        <v>13736.32</v>
      </c>
      <c r="P153" s="128">
        <v>15439.53</v>
      </c>
      <c r="Q153" s="128">
        <v>12794.52</v>
      </c>
      <c r="R153" s="316">
        <v>15743</v>
      </c>
      <c r="S153" s="701"/>
      <c r="T153" s="600">
        <v>594</v>
      </c>
      <c r="U153" s="601">
        <f t="shared" si="47"/>
        <v>16337</v>
      </c>
    </row>
    <row r="154" spans="1:21" ht="15.75" thickBot="1" x14ac:dyDescent="0.3">
      <c r="A154" s="826"/>
      <c r="B154" s="143">
        <v>630</v>
      </c>
      <c r="C154" s="59" t="s">
        <v>124</v>
      </c>
      <c r="D154" s="76"/>
      <c r="E154" s="76">
        <v>2191</v>
      </c>
      <c r="F154" s="76">
        <v>3817</v>
      </c>
      <c r="G154" s="76">
        <v>4344</v>
      </c>
      <c r="H154" s="76">
        <v>2285</v>
      </c>
      <c r="I154" s="61">
        <v>2133</v>
      </c>
      <c r="J154" s="145">
        <v>2743</v>
      </c>
      <c r="K154" s="60">
        <v>1567</v>
      </c>
      <c r="L154" s="60">
        <v>1195.5</v>
      </c>
      <c r="M154" s="125">
        <v>1127.3</v>
      </c>
      <c r="N154" s="26">
        <v>8512.7800000000007</v>
      </c>
      <c r="O154" s="25">
        <v>3426.73</v>
      </c>
      <c r="P154" s="25">
        <v>3125.62</v>
      </c>
      <c r="Q154" s="25">
        <v>3076.53</v>
      </c>
      <c r="R154" s="144">
        <v>4000</v>
      </c>
      <c r="S154" s="701"/>
      <c r="T154" s="600"/>
      <c r="U154" s="601">
        <f t="shared" si="47"/>
        <v>4000</v>
      </c>
    </row>
    <row r="155" spans="1:21" ht="15.75" thickBot="1" x14ac:dyDescent="0.3">
      <c r="A155" s="826"/>
      <c r="B155" s="675">
        <v>640</v>
      </c>
      <c r="C155" s="217" t="s">
        <v>125</v>
      </c>
      <c r="D155" s="149"/>
      <c r="E155" s="149"/>
      <c r="F155" s="149"/>
      <c r="G155" s="149"/>
      <c r="H155" s="149"/>
      <c r="I155" s="191"/>
      <c r="J155" s="179"/>
      <c r="K155" s="189"/>
      <c r="L155" s="189"/>
      <c r="M155" s="279">
        <v>4882</v>
      </c>
      <c r="N155" s="90"/>
      <c r="O155" s="89"/>
      <c r="P155" s="89">
        <v>3700</v>
      </c>
      <c r="Q155" s="89"/>
      <c r="R155" s="175"/>
      <c r="S155" s="704"/>
      <c r="T155" s="608"/>
      <c r="U155" s="609">
        <f t="shared" si="47"/>
        <v>0</v>
      </c>
    </row>
    <row r="156" spans="1:21" ht="15.75" thickBot="1" x14ac:dyDescent="0.3">
      <c r="A156" s="826"/>
      <c r="B156" s="830" t="s">
        <v>249</v>
      </c>
      <c r="C156" s="831"/>
      <c r="D156" s="54">
        <v>2931655</v>
      </c>
      <c r="E156" s="54">
        <v>3342296</v>
      </c>
      <c r="F156" s="54">
        <v>3751610</v>
      </c>
      <c r="G156" s="54">
        <v>4375275.43</v>
      </c>
      <c r="H156" s="54">
        <v>4424342</v>
      </c>
      <c r="I156" s="54">
        <v>4567784</v>
      </c>
      <c r="J156" s="54">
        <v>4801386</v>
      </c>
      <c r="K156" s="54">
        <v>4737162</v>
      </c>
      <c r="L156" s="55">
        <v>4909499.0199999996</v>
      </c>
      <c r="M156" s="55">
        <v>5203958.96</v>
      </c>
      <c r="N156" s="317">
        <v>5345016.82</v>
      </c>
      <c r="O156" s="318">
        <v>5552001.3499999996</v>
      </c>
      <c r="P156" s="318">
        <v>5853689.6499999994</v>
      </c>
      <c r="Q156" s="318">
        <f>SUM(Q157:Q168)</f>
        <v>6461691.3999999994</v>
      </c>
      <c r="R156" s="317">
        <f>SUM(R157:R168)</f>
        <v>6499304</v>
      </c>
      <c r="S156" s="626">
        <f>SUM(S157:S168)</f>
        <v>0</v>
      </c>
      <c r="T156" s="610">
        <f>SUM(T157:T168)</f>
        <v>57275</v>
      </c>
      <c r="U156" s="570">
        <f>SUM(U157:U168)</f>
        <v>6556579</v>
      </c>
    </row>
    <row r="157" spans="1:21" x14ac:dyDescent="0.25">
      <c r="A157" s="826"/>
      <c r="B157" s="839"/>
      <c r="C157" s="91" t="s">
        <v>250</v>
      </c>
      <c r="D157" s="73">
        <v>1541725</v>
      </c>
      <c r="E157" s="73">
        <v>1718084</v>
      </c>
      <c r="F157" s="73">
        <v>1793999</v>
      </c>
      <c r="G157" s="73">
        <v>1958942</v>
      </c>
      <c r="H157" s="73">
        <v>2084677</v>
      </c>
      <c r="I157" s="91">
        <v>2039732</v>
      </c>
      <c r="J157" s="73">
        <v>2241882</v>
      </c>
      <c r="K157" s="73">
        <v>2385291</v>
      </c>
      <c r="L157" s="45">
        <v>2363727.67</v>
      </c>
      <c r="M157" s="45">
        <v>2385302.7000000002</v>
      </c>
      <c r="N157" s="46">
        <v>2457964.41</v>
      </c>
      <c r="O157" s="45">
        <v>2387323.0499999998</v>
      </c>
      <c r="P157" s="45">
        <v>2377088.1</v>
      </c>
      <c r="Q157" s="748">
        <v>2542642.4799999995</v>
      </c>
      <c r="R157" s="229">
        <v>2750047</v>
      </c>
      <c r="S157" s="700"/>
      <c r="T157" s="598"/>
      <c r="U157" s="599">
        <f t="shared" ref="U157:U168" si="48">R157+S157+T157</f>
        <v>2750047</v>
      </c>
    </row>
    <row r="158" spans="1:21" ht="17.25" customHeight="1" x14ac:dyDescent="0.25">
      <c r="A158" s="826"/>
      <c r="B158" s="840"/>
      <c r="C158" s="59" t="s">
        <v>251</v>
      </c>
      <c r="D158" s="60">
        <v>1389930</v>
      </c>
      <c r="E158" s="60">
        <v>1591682</v>
      </c>
      <c r="F158" s="60">
        <v>1867423</v>
      </c>
      <c r="G158" s="60">
        <v>2134669.4300000002</v>
      </c>
      <c r="H158" s="60">
        <v>2069302</v>
      </c>
      <c r="I158" s="59">
        <v>2182809</v>
      </c>
      <c r="J158" s="60">
        <v>2169532</v>
      </c>
      <c r="K158" s="60">
        <v>1972245</v>
      </c>
      <c r="L158" s="25">
        <v>2097007.99</v>
      </c>
      <c r="M158" s="25">
        <v>2239643.29</v>
      </c>
      <c r="N158" s="26">
        <v>2410623.65</v>
      </c>
      <c r="O158" s="25">
        <v>2546291.14</v>
      </c>
      <c r="P158" s="25">
        <v>2674051.77</v>
      </c>
      <c r="Q158" s="749">
        <v>2839554.52</v>
      </c>
      <c r="R158" s="144">
        <v>3025359</v>
      </c>
      <c r="S158" s="701"/>
      <c r="T158" s="600">
        <v>31063</v>
      </c>
      <c r="U158" s="601">
        <f t="shared" si="48"/>
        <v>3056422</v>
      </c>
    </row>
    <row r="159" spans="1:21" ht="17.25" customHeight="1" x14ac:dyDescent="0.25">
      <c r="A159" s="826"/>
      <c r="B159" s="840"/>
      <c r="C159" s="62" t="s">
        <v>252</v>
      </c>
      <c r="D159" s="93"/>
      <c r="E159" s="93"/>
      <c r="F159" s="93"/>
      <c r="G159" s="93"/>
      <c r="H159" s="93"/>
      <c r="I159" s="62"/>
      <c r="J159" s="62"/>
      <c r="K159" s="93">
        <v>6822</v>
      </c>
      <c r="L159" s="48">
        <v>58464.77</v>
      </c>
      <c r="M159" s="48">
        <v>145561.9699999993</v>
      </c>
      <c r="N159" s="49">
        <v>13019.76</v>
      </c>
      <c r="O159" s="48">
        <v>88405.36</v>
      </c>
      <c r="P159" s="48">
        <v>106886.92</v>
      </c>
      <c r="Q159" s="48">
        <v>135605.85999999999</v>
      </c>
      <c r="R159" s="203"/>
      <c r="S159" s="701"/>
      <c r="T159" s="600"/>
      <c r="U159" s="601">
        <f t="shared" si="48"/>
        <v>0</v>
      </c>
    </row>
    <row r="160" spans="1:21" ht="17.25" customHeight="1" x14ac:dyDescent="0.25">
      <c r="A160" s="826"/>
      <c r="B160" s="840"/>
      <c r="C160" s="62" t="s">
        <v>253</v>
      </c>
      <c r="D160" s="93"/>
      <c r="E160" s="93"/>
      <c r="F160" s="93"/>
      <c r="G160" s="93"/>
      <c r="H160" s="93"/>
      <c r="I160" s="62">
        <v>11276</v>
      </c>
      <c r="J160" s="62">
        <v>23184</v>
      </c>
      <c r="K160" s="93">
        <v>0</v>
      </c>
      <c r="L160" s="48">
        <v>4779.37</v>
      </c>
      <c r="M160" s="48">
        <v>0</v>
      </c>
      <c r="N160" s="49">
        <v>0</v>
      </c>
      <c r="O160" s="48"/>
      <c r="P160" s="48">
        <v>10000</v>
      </c>
      <c r="Q160" s="48">
        <v>2000</v>
      </c>
      <c r="R160" s="203"/>
      <c r="S160" s="701"/>
      <c r="T160" s="600">
        <v>7500</v>
      </c>
      <c r="U160" s="601">
        <f t="shared" si="48"/>
        <v>7500</v>
      </c>
    </row>
    <row r="161" spans="1:21" x14ac:dyDescent="0.25">
      <c r="A161" s="826"/>
      <c r="B161" s="840"/>
      <c r="C161" s="62" t="s">
        <v>457</v>
      </c>
      <c r="D161" s="93"/>
      <c r="E161" s="93"/>
      <c r="F161" s="93"/>
      <c r="G161" s="93"/>
      <c r="H161" s="93"/>
      <c r="I161" s="62"/>
      <c r="J161" s="62"/>
      <c r="K161" s="93"/>
      <c r="L161" s="48"/>
      <c r="M161" s="48"/>
      <c r="N161" s="49"/>
      <c r="O161" s="48"/>
      <c r="P161" s="48"/>
      <c r="Q161" s="750">
        <v>197961.72999999998</v>
      </c>
      <c r="R161" s="203"/>
      <c r="S161" s="701"/>
      <c r="T161" s="600"/>
      <c r="U161" s="601">
        <f t="shared" si="48"/>
        <v>0</v>
      </c>
    </row>
    <row r="162" spans="1:21" x14ac:dyDescent="0.25">
      <c r="A162" s="826"/>
      <c r="B162" s="840"/>
      <c r="C162" s="62" t="s">
        <v>62</v>
      </c>
      <c r="D162" s="93"/>
      <c r="E162" s="93"/>
      <c r="F162" s="93"/>
      <c r="G162" s="93"/>
      <c r="H162" s="93"/>
      <c r="I162" s="62"/>
      <c r="J162" s="62"/>
      <c r="K162" s="93"/>
      <c r="L162" s="48"/>
      <c r="M162" s="48"/>
      <c r="N162" s="49"/>
      <c r="O162" s="48"/>
      <c r="P162" s="48">
        <v>208274.06</v>
      </c>
      <c r="Q162" s="750"/>
      <c r="R162" s="203">
        <v>0</v>
      </c>
      <c r="S162" s="701"/>
      <c r="T162" s="600"/>
      <c r="U162" s="601">
        <f t="shared" si="48"/>
        <v>0</v>
      </c>
    </row>
    <row r="163" spans="1:21" ht="12.75" customHeight="1" x14ac:dyDescent="0.25">
      <c r="A163" s="826"/>
      <c r="B163" s="840"/>
      <c r="C163" s="62" t="s">
        <v>254</v>
      </c>
      <c r="D163" s="93"/>
      <c r="E163" s="93"/>
      <c r="F163" s="93"/>
      <c r="G163" s="93"/>
      <c r="H163" s="93">
        <v>2568</v>
      </c>
      <c r="I163" s="62">
        <v>2134</v>
      </c>
      <c r="J163" s="62"/>
      <c r="K163" s="93">
        <v>0</v>
      </c>
      <c r="L163" s="48">
        <v>240.97</v>
      </c>
      <c r="M163" s="48">
        <v>0</v>
      </c>
      <c r="N163" s="49">
        <v>0</v>
      </c>
      <c r="O163" s="48"/>
      <c r="P163" s="48">
        <v>4600</v>
      </c>
      <c r="Q163" s="750">
        <v>48000</v>
      </c>
      <c r="R163" s="203">
        <v>15000</v>
      </c>
      <c r="S163" s="701"/>
      <c r="T163" s="600">
        <v>5000</v>
      </c>
      <c r="U163" s="601">
        <f t="shared" si="48"/>
        <v>20000</v>
      </c>
    </row>
    <row r="164" spans="1:21" ht="15" customHeight="1" x14ac:dyDescent="0.25">
      <c r="A164" s="826"/>
      <c r="B164" s="840"/>
      <c r="C164" s="62" t="s">
        <v>459</v>
      </c>
      <c r="D164" s="93"/>
      <c r="E164" s="93"/>
      <c r="F164" s="93"/>
      <c r="G164" s="93"/>
      <c r="H164" s="93"/>
      <c r="I164" s="62"/>
      <c r="J164" s="62"/>
      <c r="K164" s="93"/>
      <c r="L164" s="48">
        <v>8661.25</v>
      </c>
      <c r="M164" s="48"/>
      <c r="N164" s="49">
        <v>0</v>
      </c>
      <c r="O164" s="48"/>
      <c r="P164" s="48"/>
      <c r="Q164" s="750">
        <v>21500</v>
      </c>
      <c r="R164" s="203">
        <v>7000</v>
      </c>
      <c r="S164" s="701"/>
      <c r="T164" s="600">
        <v>7500</v>
      </c>
      <c r="U164" s="601">
        <f t="shared" si="48"/>
        <v>14500</v>
      </c>
    </row>
    <row r="165" spans="1:21" ht="15" hidden="1" customHeight="1" x14ac:dyDescent="0.25">
      <c r="A165" s="826"/>
      <c r="B165" s="840"/>
      <c r="C165" s="62" t="s">
        <v>355</v>
      </c>
      <c r="D165" s="93"/>
      <c r="E165" s="93"/>
      <c r="F165" s="93"/>
      <c r="G165" s="93"/>
      <c r="H165" s="93"/>
      <c r="I165" s="62"/>
      <c r="J165" s="62"/>
      <c r="K165" s="93"/>
      <c r="L165" s="48"/>
      <c r="M165" s="48"/>
      <c r="N165" s="49"/>
      <c r="O165" s="48"/>
      <c r="P165" s="48"/>
      <c r="Q165" s="750"/>
      <c r="R165" s="203"/>
      <c r="S165" s="701"/>
      <c r="T165" s="600"/>
      <c r="U165" s="601">
        <f t="shared" si="48"/>
        <v>0</v>
      </c>
    </row>
    <row r="166" spans="1:21" ht="15" customHeight="1" x14ac:dyDescent="0.25">
      <c r="A166" s="826"/>
      <c r="B166" s="840"/>
      <c r="C166" s="62" t="s">
        <v>467</v>
      </c>
      <c r="D166" s="93"/>
      <c r="E166" s="93"/>
      <c r="F166" s="93"/>
      <c r="G166" s="93"/>
      <c r="H166" s="93"/>
      <c r="I166" s="62"/>
      <c r="J166" s="62"/>
      <c r="K166" s="93"/>
      <c r="L166" s="48"/>
      <c r="M166" s="48"/>
      <c r="N166" s="49"/>
      <c r="O166" s="48"/>
      <c r="P166" s="48"/>
      <c r="Q166" s="750"/>
      <c r="R166" s="203"/>
      <c r="S166" s="701"/>
      <c r="T166" s="600">
        <v>6212</v>
      </c>
      <c r="U166" s="601">
        <f t="shared" si="48"/>
        <v>6212</v>
      </c>
    </row>
    <row r="167" spans="1:21" ht="14.25" customHeight="1" x14ac:dyDescent="0.25">
      <c r="A167" s="826"/>
      <c r="B167" s="840"/>
      <c r="C167" s="62" t="s">
        <v>98</v>
      </c>
      <c r="D167" s="93"/>
      <c r="E167" s="93"/>
      <c r="F167" s="93"/>
      <c r="G167" s="93"/>
      <c r="H167" s="93">
        <v>2166</v>
      </c>
      <c r="I167" s="62">
        <v>10924</v>
      </c>
      <c r="J167" s="62">
        <v>33868</v>
      </c>
      <c r="K167" s="93">
        <v>0</v>
      </c>
      <c r="L167" s="48"/>
      <c r="M167" s="48"/>
      <c r="N167" s="49">
        <v>0</v>
      </c>
      <c r="O167" s="48">
        <v>415.8</v>
      </c>
      <c r="P167" s="48">
        <v>2494.8000000000002</v>
      </c>
      <c r="Q167" s="750">
        <v>22623.81</v>
      </c>
      <c r="R167" s="203">
        <v>0</v>
      </c>
      <c r="S167" s="701"/>
      <c r="T167" s="600"/>
      <c r="U167" s="601">
        <f t="shared" si="48"/>
        <v>0</v>
      </c>
    </row>
    <row r="168" spans="1:21" ht="15.75" thickBot="1" x14ac:dyDescent="0.3">
      <c r="A168" s="827"/>
      <c r="B168" s="841"/>
      <c r="C168" s="61" t="s">
        <v>255</v>
      </c>
      <c r="D168" s="76"/>
      <c r="E168" s="76">
        <v>32530</v>
      </c>
      <c r="F168" s="76">
        <v>90188</v>
      </c>
      <c r="G168" s="76">
        <v>281664</v>
      </c>
      <c r="H168" s="76">
        <v>265629</v>
      </c>
      <c r="I168" s="61">
        <v>320909</v>
      </c>
      <c r="J168" s="61">
        <v>332920</v>
      </c>
      <c r="K168" s="76">
        <v>372804</v>
      </c>
      <c r="L168" s="31">
        <v>376617</v>
      </c>
      <c r="M168" s="31">
        <v>433451</v>
      </c>
      <c r="N168" s="32">
        <v>463409</v>
      </c>
      <c r="O168" s="31">
        <v>529566</v>
      </c>
      <c r="P168" s="31">
        <v>470294</v>
      </c>
      <c r="Q168" s="752">
        <v>651803</v>
      </c>
      <c r="R168" s="207">
        <v>701898</v>
      </c>
      <c r="S168" s="706"/>
      <c r="T168" s="614"/>
      <c r="U168" s="615">
        <f t="shared" si="48"/>
        <v>701898</v>
      </c>
    </row>
    <row r="169" spans="1:21" ht="15.75" hidden="1" thickBot="1" x14ac:dyDescent="0.3">
      <c r="A169" s="319" t="s">
        <v>256</v>
      </c>
      <c r="B169" s="805" t="s">
        <v>257</v>
      </c>
      <c r="C169" s="779"/>
      <c r="D169" s="84">
        <v>14672</v>
      </c>
      <c r="E169" s="84">
        <v>18356</v>
      </c>
      <c r="F169" s="84">
        <v>24962</v>
      </c>
      <c r="G169" s="84">
        <v>26012</v>
      </c>
      <c r="H169" s="84">
        <v>24167</v>
      </c>
      <c r="I169" s="84">
        <v>21978</v>
      </c>
      <c r="J169" s="84">
        <v>26182</v>
      </c>
      <c r="K169" s="84">
        <v>16605</v>
      </c>
      <c r="L169" s="85">
        <v>19312.66</v>
      </c>
      <c r="M169" s="85">
        <v>17232.5</v>
      </c>
      <c r="N169" s="154">
        <v>19393.890000000003</v>
      </c>
      <c r="O169" s="154">
        <v>0</v>
      </c>
      <c r="P169" s="154">
        <v>0</v>
      </c>
      <c r="Q169" s="155">
        <v>0</v>
      </c>
      <c r="R169" s="154">
        <v>0</v>
      </c>
      <c r="S169" s="703"/>
      <c r="T169" s="626"/>
      <c r="U169" s="605">
        <v>0</v>
      </c>
    </row>
    <row r="170" spans="1:21" ht="15.75" hidden="1" thickBot="1" x14ac:dyDescent="0.3">
      <c r="A170" s="822"/>
      <c r="B170" s="320">
        <v>610</v>
      </c>
      <c r="C170" s="91" t="s">
        <v>122</v>
      </c>
      <c r="D170" s="73"/>
      <c r="E170" s="73">
        <v>11817</v>
      </c>
      <c r="F170" s="73">
        <v>16331</v>
      </c>
      <c r="G170" s="73">
        <v>16188</v>
      </c>
      <c r="H170" s="73">
        <v>16639</v>
      </c>
      <c r="I170" s="73">
        <v>14808</v>
      </c>
      <c r="J170" s="73">
        <v>14984</v>
      </c>
      <c r="K170" s="73">
        <v>11095</v>
      </c>
      <c r="L170" s="45">
        <v>11946.75</v>
      </c>
      <c r="M170" s="45">
        <v>12156.96</v>
      </c>
      <c r="N170" s="46">
        <v>13480.65</v>
      </c>
      <c r="O170" s="46"/>
      <c r="P170" s="46"/>
      <c r="Q170" s="45"/>
      <c r="R170" s="229">
        <v>0</v>
      </c>
      <c r="S170" s="700"/>
      <c r="T170" s="598"/>
      <c r="U170" s="599">
        <v>0</v>
      </c>
    </row>
    <row r="171" spans="1:21" ht="15.75" hidden="1" thickBot="1" x14ac:dyDescent="0.3">
      <c r="A171" s="823"/>
      <c r="B171" s="143">
        <v>620</v>
      </c>
      <c r="C171" s="59" t="s">
        <v>123</v>
      </c>
      <c r="D171" s="60"/>
      <c r="E171" s="60">
        <v>3983</v>
      </c>
      <c r="F171" s="60">
        <v>5610</v>
      </c>
      <c r="G171" s="60">
        <v>5689</v>
      </c>
      <c r="H171" s="60">
        <v>5822</v>
      </c>
      <c r="I171" s="60">
        <v>5320</v>
      </c>
      <c r="J171" s="60">
        <v>5972</v>
      </c>
      <c r="K171" s="60">
        <v>4227</v>
      </c>
      <c r="L171" s="25">
        <v>4902.95</v>
      </c>
      <c r="M171" s="25">
        <v>3941.03</v>
      </c>
      <c r="N171" s="26">
        <v>4701.62</v>
      </c>
      <c r="O171" s="26"/>
      <c r="P171" s="26"/>
      <c r="Q171" s="25"/>
      <c r="R171" s="144">
        <v>0</v>
      </c>
      <c r="S171" s="701"/>
      <c r="T171" s="600"/>
      <c r="U171" s="601">
        <v>0</v>
      </c>
    </row>
    <row r="172" spans="1:21" ht="15.75" hidden="1" thickBot="1" x14ac:dyDescent="0.3">
      <c r="A172" s="823"/>
      <c r="B172" s="143">
        <v>630</v>
      </c>
      <c r="C172" s="59" t="s">
        <v>124</v>
      </c>
      <c r="D172" s="60"/>
      <c r="E172" s="60">
        <v>2556</v>
      </c>
      <c r="F172" s="60">
        <v>3021</v>
      </c>
      <c r="G172" s="60">
        <v>4135</v>
      </c>
      <c r="H172" s="60">
        <v>1706</v>
      </c>
      <c r="I172" s="60">
        <v>1850</v>
      </c>
      <c r="J172" s="60">
        <v>1495</v>
      </c>
      <c r="K172" s="60">
        <v>1200</v>
      </c>
      <c r="L172" s="25">
        <v>931.46</v>
      </c>
      <c r="M172" s="25">
        <v>1055.02</v>
      </c>
      <c r="N172" s="26">
        <v>1132.97</v>
      </c>
      <c r="O172" s="26"/>
      <c r="P172" s="26"/>
      <c r="Q172" s="25"/>
      <c r="R172" s="144">
        <v>0</v>
      </c>
      <c r="S172" s="701"/>
      <c r="T172" s="600"/>
      <c r="U172" s="601">
        <v>0</v>
      </c>
    </row>
    <row r="173" spans="1:21" ht="15.75" hidden="1" thickBot="1" x14ac:dyDescent="0.3">
      <c r="A173" s="824"/>
      <c r="B173" s="204">
        <v>640</v>
      </c>
      <c r="C173" s="61" t="s">
        <v>258</v>
      </c>
      <c r="D173" s="76"/>
      <c r="E173" s="76"/>
      <c r="F173" s="76"/>
      <c r="G173" s="76"/>
      <c r="H173" s="76"/>
      <c r="I173" s="76"/>
      <c r="J173" s="76">
        <v>3731</v>
      </c>
      <c r="K173" s="189">
        <v>83</v>
      </c>
      <c r="L173" s="89">
        <v>1531.5</v>
      </c>
      <c r="M173" s="89">
        <v>79.489999999999995</v>
      </c>
      <c r="N173" s="90">
        <v>78.650000000000006</v>
      </c>
      <c r="O173" s="90"/>
      <c r="P173" s="90"/>
      <c r="Q173" s="89"/>
      <c r="R173" s="175"/>
      <c r="S173" s="702"/>
      <c r="T173" s="611"/>
      <c r="U173" s="606"/>
    </row>
    <row r="174" spans="1:21" ht="15.75" thickBot="1" x14ac:dyDescent="0.3">
      <c r="A174" s="152" t="s">
        <v>259</v>
      </c>
      <c r="B174" s="805" t="s">
        <v>260</v>
      </c>
      <c r="C174" s="779"/>
      <c r="D174" s="84">
        <v>42988</v>
      </c>
      <c r="E174" s="84">
        <v>41924</v>
      </c>
      <c r="F174" s="84">
        <v>49127</v>
      </c>
      <c r="G174" s="84">
        <v>48507</v>
      </c>
      <c r="H174" s="84">
        <v>53865</v>
      </c>
      <c r="I174" s="84">
        <v>59113.2</v>
      </c>
      <c r="J174" s="84">
        <v>51352</v>
      </c>
      <c r="K174" s="84">
        <v>57413</v>
      </c>
      <c r="L174" s="85">
        <v>142019.73000000001</v>
      </c>
      <c r="M174" s="85">
        <v>67235.890000000014</v>
      </c>
      <c r="N174" s="154">
        <v>59484.65</v>
      </c>
      <c r="O174" s="155">
        <v>64756.130000000005</v>
      </c>
      <c r="P174" s="154">
        <v>109958.24</v>
      </c>
      <c r="Q174" s="155">
        <f>Q175+Q182</f>
        <v>135589.79999999999</v>
      </c>
      <c r="R174" s="154">
        <f>R175+R182</f>
        <v>120610</v>
      </c>
      <c r="S174" s="626">
        <f t="shared" ref="S174:U174" si="49">S175+S182</f>
        <v>0</v>
      </c>
      <c r="T174" s="607">
        <f t="shared" si="49"/>
        <v>4723</v>
      </c>
      <c r="U174" s="567">
        <f t="shared" si="49"/>
        <v>125333</v>
      </c>
    </row>
    <row r="175" spans="1:21" ht="15.75" thickBot="1" x14ac:dyDescent="0.3">
      <c r="A175" s="825"/>
      <c r="B175" s="828" t="s">
        <v>261</v>
      </c>
      <c r="C175" s="829"/>
      <c r="D175" s="80">
        <v>39801</v>
      </c>
      <c r="E175" s="80">
        <v>41194</v>
      </c>
      <c r="F175" s="80">
        <v>47169</v>
      </c>
      <c r="G175" s="80">
        <v>47600</v>
      </c>
      <c r="H175" s="80">
        <v>53724</v>
      </c>
      <c r="I175" s="80">
        <v>56208.2</v>
      </c>
      <c r="J175" s="80">
        <v>47897</v>
      </c>
      <c r="K175" s="80">
        <v>54913</v>
      </c>
      <c r="L175" s="81">
        <v>59991.65</v>
      </c>
      <c r="M175" s="81">
        <v>64735.890000000007</v>
      </c>
      <c r="N175" s="309">
        <v>54463.6</v>
      </c>
      <c r="O175" s="310">
        <v>60460.66</v>
      </c>
      <c r="P175" s="309">
        <v>105530.11</v>
      </c>
      <c r="Q175" s="310">
        <f>SUM(Q176:Q180)</f>
        <v>129250.44999999998</v>
      </c>
      <c r="R175" s="309">
        <f>SUM(R176:R180)</f>
        <v>115610</v>
      </c>
      <c r="S175" s="626">
        <f t="shared" ref="S175:U175" si="50">SUM(S176:S180)</f>
        <v>0</v>
      </c>
      <c r="T175" s="607">
        <f t="shared" si="50"/>
        <v>4723</v>
      </c>
      <c r="U175" s="567">
        <f t="shared" si="50"/>
        <v>120333</v>
      </c>
    </row>
    <row r="176" spans="1:21" x14ac:dyDescent="0.25">
      <c r="A176" s="826"/>
      <c r="B176" s="288">
        <v>610</v>
      </c>
      <c r="C176" s="91" t="s">
        <v>122</v>
      </c>
      <c r="D176" s="73"/>
      <c r="E176" s="73">
        <v>22141</v>
      </c>
      <c r="F176" s="73">
        <v>25294</v>
      </c>
      <c r="G176" s="73">
        <v>27320</v>
      </c>
      <c r="H176" s="73">
        <v>30945</v>
      </c>
      <c r="I176" s="73">
        <v>30403</v>
      </c>
      <c r="J176" s="73">
        <v>28630</v>
      </c>
      <c r="K176" s="73">
        <v>28741</v>
      </c>
      <c r="L176" s="45">
        <v>31950.86</v>
      </c>
      <c r="M176" s="45">
        <v>36896.54</v>
      </c>
      <c r="N176" s="46">
        <v>32643.72</v>
      </c>
      <c r="O176" s="45">
        <v>34750.01</v>
      </c>
      <c r="P176" s="45">
        <v>39563.769999999997</v>
      </c>
      <c r="Q176" s="45">
        <v>51910.33</v>
      </c>
      <c r="R176" s="229">
        <v>51222</v>
      </c>
      <c r="S176" s="700"/>
      <c r="T176" s="598">
        <f>3500</f>
        <v>3500</v>
      </c>
      <c r="U176" s="599">
        <f t="shared" ref="U176:U180" si="51">R176+S176+T176</f>
        <v>54722</v>
      </c>
    </row>
    <row r="177" spans="1:21" x14ac:dyDescent="0.25">
      <c r="A177" s="826"/>
      <c r="B177" s="177">
        <v>620</v>
      </c>
      <c r="C177" s="59" t="s">
        <v>123</v>
      </c>
      <c r="D177" s="60"/>
      <c r="E177" s="60">
        <v>8265</v>
      </c>
      <c r="F177" s="60">
        <v>9427</v>
      </c>
      <c r="G177" s="60">
        <v>10234</v>
      </c>
      <c r="H177" s="60">
        <v>11482</v>
      </c>
      <c r="I177" s="60">
        <v>11730.2</v>
      </c>
      <c r="J177" s="60">
        <v>10691</v>
      </c>
      <c r="K177" s="60">
        <v>10646</v>
      </c>
      <c r="L177" s="25">
        <v>12860.64</v>
      </c>
      <c r="M177" s="25">
        <v>12687.37</v>
      </c>
      <c r="N177" s="26">
        <v>12446.38</v>
      </c>
      <c r="O177" s="25">
        <v>13294.12</v>
      </c>
      <c r="P177" s="25">
        <v>14895.57</v>
      </c>
      <c r="Q177" s="25">
        <v>19183.12</v>
      </c>
      <c r="R177" s="144">
        <v>18838</v>
      </c>
      <c r="S177" s="701"/>
      <c r="T177" s="600">
        <v>1223</v>
      </c>
      <c r="U177" s="601">
        <f t="shared" si="51"/>
        <v>20061</v>
      </c>
    </row>
    <row r="178" spans="1:21" x14ac:dyDescent="0.25">
      <c r="A178" s="826"/>
      <c r="B178" s="278">
        <v>630</v>
      </c>
      <c r="C178" s="62" t="s">
        <v>124</v>
      </c>
      <c r="D178" s="60"/>
      <c r="E178" s="60">
        <v>10788</v>
      </c>
      <c r="F178" s="60">
        <v>12448</v>
      </c>
      <c r="G178" s="60">
        <v>10046</v>
      </c>
      <c r="H178" s="60">
        <v>11297</v>
      </c>
      <c r="I178" s="60">
        <v>14075</v>
      </c>
      <c r="J178" s="60">
        <v>8576</v>
      </c>
      <c r="K178" s="60">
        <v>15451</v>
      </c>
      <c r="L178" s="125">
        <v>15180.15</v>
      </c>
      <c r="M178" s="125">
        <v>15023.18</v>
      </c>
      <c r="N178" s="26">
        <v>9257.17</v>
      </c>
      <c r="O178" s="25">
        <v>12173.76</v>
      </c>
      <c r="P178" s="25">
        <v>13915.91</v>
      </c>
      <c r="Q178" s="25">
        <v>9666.8799999999974</v>
      </c>
      <c r="R178" s="144">
        <v>13550</v>
      </c>
      <c r="S178" s="701"/>
      <c r="T178" s="600"/>
      <c r="U178" s="601">
        <f t="shared" si="51"/>
        <v>13550</v>
      </c>
    </row>
    <row r="179" spans="1:21" x14ac:dyDescent="0.25">
      <c r="A179" s="826"/>
      <c r="B179" s="143">
        <v>640</v>
      </c>
      <c r="C179" s="171" t="s">
        <v>125</v>
      </c>
      <c r="D179" s="145"/>
      <c r="E179" s="145"/>
      <c r="F179" s="145"/>
      <c r="G179" s="145"/>
      <c r="H179" s="145"/>
      <c r="I179" s="60"/>
      <c r="J179" s="60"/>
      <c r="K179" s="60">
        <v>75</v>
      </c>
      <c r="L179" s="26"/>
      <c r="M179" s="25">
        <v>128.80000000000001</v>
      </c>
      <c r="N179" s="26">
        <v>116.33</v>
      </c>
      <c r="O179" s="25">
        <v>242.77</v>
      </c>
      <c r="P179" s="25">
        <v>133.86000000000001</v>
      </c>
      <c r="Q179" s="25">
        <v>88.44</v>
      </c>
      <c r="R179" s="144"/>
      <c r="S179" s="701"/>
      <c r="T179" s="602"/>
      <c r="U179" s="603">
        <f t="shared" si="51"/>
        <v>0</v>
      </c>
    </row>
    <row r="180" spans="1:21" ht="15.75" thickBot="1" x14ac:dyDescent="0.3">
      <c r="A180" s="826"/>
      <c r="B180" s="204">
        <v>630</v>
      </c>
      <c r="C180" s="274" t="s">
        <v>61</v>
      </c>
      <c r="D180" s="276"/>
      <c r="E180" s="276"/>
      <c r="F180" s="276"/>
      <c r="G180" s="276"/>
      <c r="H180" s="276"/>
      <c r="I180" s="76"/>
      <c r="J180" s="76"/>
      <c r="K180" s="76"/>
      <c r="L180" s="32"/>
      <c r="M180" s="31"/>
      <c r="N180" s="32"/>
      <c r="O180" s="31"/>
      <c r="P180" s="31">
        <v>37021</v>
      </c>
      <c r="Q180" s="31">
        <v>48401.68</v>
      </c>
      <c r="R180" s="207">
        <v>32000</v>
      </c>
      <c r="S180" s="706"/>
      <c r="T180" s="614"/>
      <c r="U180" s="615">
        <f t="shared" si="51"/>
        <v>32000</v>
      </c>
    </row>
    <row r="181" spans="1:21" ht="15.75" hidden="1" thickBot="1" x14ac:dyDescent="0.3">
      <c r="A181" s="826"/>
      <c r="B181" s="290">
        <v>630</v>
      </c>
      <c r="C181" s="217" t="s">
        <v>105</v>
      </c>
      <c r="D181" s="272"/>
      <c r="E181" s="272"/>
      <c r="F181" s="272"/>
      <c r="G181" s="272"/>
      <c r="H181" s="272"/>
      <c r="I181" s="321"/>
      <c r="J181" s="321"/>
      <c r="K181" s="76"/>
      <c r="L181" s="96">
        <v>82028.08</v>
      </c>
      <c r="M181" s="97"/>
      <c r="N181" s="97"/>
      <c r="O181" s="96"/>
      <c r="P181" s="96"/>
      <c r="Q181" s="96"/>
      <c r="R181" s="150"/>
      <c r="S181" s="703"/>
      <c r="T181" s="620"/>
      <c r="U181" s="621"/>
    </row>
    <row r="182" spans="1:21" ht="15.75" thickBot="1" x14ac:dyDescent="0.3">
      <c r="A182" s="826"/>
      <c r="B182" s="830" t="s">
        <v>262</v>
      </c>
      <c r="C182" s="831"/>
      <c r="D182" s="322">
        <v>3187</v>
      </c>
      <c r="E182" s="322">
        <v>730</v>
      </c>
      <c r="F182" s="322">
        <v>1958</v>
      </c>
      <c r="G182" s="322">
        <v>907</v>
      </c>
      <c r="H182" s="322">
        <v>141</v>
      </c>
      <c r="I182" s="321">
        <v>2905</v>
      </c>
      <c r="J182" s="321">
        <v>3455</v>
      </c>
      <c r="K182" s="321">
        <v>2500</v>
      </c>
      <c r="L182" s="321">
        <v>0</v>
      </c>
      <c r="M182" s="323">
        <v>2500</v>
      </c>
      <c r="N182" s="321">
        <v>5021.05</v>
      </c>
      <c r="O182" s="323">
        <v>4295.47</v>
      </c>
      <c r="P182" s="323">
        <v>4428.13</v>
      </c>
      <c r="Q182" s="747">
        <f>Q183</f>
        <v>6339.35</v>
      </c>
      <c r="R182" s="324">
        <f>R183</f>
        <v>5000</v>
      </c>
      <c r="S182" s="626">
        <f t="shared" ref="S182:U182" si="52">S183</f>
        <v>0</v>
      </c>
      <c r="T182" s="607">
        <f t="shared" si="52"/>
        <v>0</v>
      </c>
      <c r="U182" s="567">
        <f t="shared" si="52"/>
        <v>5000</v>
      </c>
    </row>
    <row r="183" spans="1:21" ht="15.75" thickBot="1" x14ac:dyDescent="0.3">
      <c r="A183" s="827"/>
      <c r="B183" s="325">
        <v>630</v>
      </c>
      <c r="C183" s="61" t="s">
        <v>124</v>
      </c>
      <c r="D183" s="76">
        <v>3187</v>
      </c>
      <c r="E183" s="76">
        <v>730</v>
      </c>
      <c r="F183" s="76">
        <v>1958</v>
      </c>
      <c r="G183" s="76">
        <v>907</v>
      </c>
      <c r="H183" s="76">
        <v>141</v>
      </c>
      <c r="I183" s="61">
        <v>2905</v>
      </c>
      <c r="J183" s="61">
        <v>3455</v>
      </c>
      <c r="K183" s="76">
        <v>2500</v>
      </c>
      <c r="L183" s="32">
        <v>0</v>
      </c>
      <c r="M183" s="31">
        <v>2500</v>
      </c>
      <c r="N183" s="32">
        <v>5021.05</v>
      </c>
      <c r="O183" s="31">
        <v>4295.47</v>
      </c>
      <c r="P183" s="31">
        <v>4428.13</v>
      </c>
      <c r="Q183" s="31">
        <v>6339.35</v>
      </c>
      <c r="R183" s="207">
        <v>5000</v>
      </c>
      <c r="S183" s="703"/>
      <c r="T183" s="610"/>
      <c r="U183" s="570">
        <f>R183+S183+T183</f>
        <v>5000</v>
      </c>
    </row>
    <row r="184" spans="1:21" ht="15.75" thickBot="1" x14ac:dyDescent="0.3">
      <c r="A184" s="674" t="s">
        <v>259</v>
      </c>
      <c r="B184" s="832" t="s">
        <v>263</v>
      </c>
      <c r="C184" s="809"/>
      <c r="D184" s="99">
        <v>90752</v>
      </c>
      <c r="E184" s="99">
        <v>96030</v>
      </c>
      <c r="F184" s="99">
        <v>117540</v>
      </c>
      <c r="G184" s="99">
        <v>141455</v>
      </c>
      <c r="H184" s="99">
        <v>157876</v>
      </c>
      <c r="I184" s="99">
        <v>153798</v>
      </c>
      <c r="J184" s="99">
        <v>141580</v>
      </c>
      <c r="K184" s="99">
        <v>144793</v>
      </c>
      <c r="L184" s="100">
        <v>138341.56</v>
      </c>
      <c r="M184" s="100">
        <v>147764.81</v>
      </c>
      <c r="N184" s="223">
        <v>187629.79</v>
      </c>
      <c r="O184" s="224">
        <v>231026.1</v>
      </c>
      <c r="P184" s="223">
        <v>241971.54</v>
      </c>
      <c r="Q184" s="224">
        <f>SUM(Q185:Q188)</f>
        <v>327330.75</v>
      </c>
      <c r="R184" s="223">
        <f>SUM(R185:R188)</f>
        <v>335691</v>
      </c>
      <c r="S184" s="626">
        <f t="shared" ref="S184:U184" si="53">SUM(S185:S188)</f>
        <v>0</v>
      </c>
      <c r="T184" s="607">
        <f t="shared" si="53"/>
        <v>12753</v>
      </c>
      <c r="U184" s="567">
        <f t="shared" si="53"/>
        <v>348444</v>
      </c>
    </row>
    <row r="185" spans="1:21" x14ac:dyDescent="0.25">
      <c r="A185" s="833"/>
      <c r="B185" s="176">
        <v>610</v>
      </c>
      <c r="C185" s="57" t="s">
        <v>122</v>
      </c>
      <c r="D185" s="58"/>
      <c r="E185" s="58">
        <v>65691</v>
      </c>
      <c r="F185" s="58">
        <v>80097</v>
      </c>
      <c r="G185" s="58">
        <v>93395</v>
      </c>
      <c r="H185" s="58">
        <v>102238</v>
      </c>
      <c r="I185" s="57">
        <v>102422</v>
      </c>
      <c r="J185" s="58">
        <v>93404</v>
      </c>
      <c r="K185" s="58">
        <v>93846</v>
      </c>
      <c r="L185" s="19">
        <v>85213.93</v>
      </c>
      <c r="M185" s="124">
        <v>101710.97</v>
      </c>
      <c r="N185" s="20">
        <v>126027.75</v>
      </c>
      <c r="O185" s="19">
        <v>154366.21</v>
      </c>
      <c r="P185" s="19">
        <v>162844.91</v>
      </c>
      <c r="Q185" s="19">
        <v>223275.62</v>
      </c>
      <c r="R185" s="142">
        <v>232548</v>
      </c>
      <c r="S185" s="700"/>
      <c r="T185" s="598">
        <f>27*350</f>
        <v>9450</v>
      </c>
      <c r="U185" s="599">
        <f t="shared" ref="U185:U188" si="54">R185+S185+T185</f>
        <v>241998</v>
      </c>
    </row>
    <row r="186" spans="1:21" x14ac:dyDescent="0.25">
      <c r="A186" s="834"/>
      <c r="B186" s="177">
        <v>620</v>
      </c>
      <c r="C186" s="59" t="s">
        <v>123</v>
      </c>
      <c r="D186" s="60"/>
      <c r="E186" s="60">
        <v>22738</v>
      </c>
      <c r="F186" s="60">
        <v>27783</v>
      </c>
      <c r="G186" s="60">
        <v>32056</v>
      </c>
      <c r="H186" s="60">
        <v>35361</v>
      </c>
      <c r="I186" s="59">
        <v>35526</v>
      </c>
      <c r="J186" s="60">
        <v>32703</v>
      </c>
      <c r="K186" s="60">
        <v>32877</v>
      </c>
      <c r="L186" s="25">
        <v>32579.829999999994</v>
      </c>
      <c r="M186" s="125">
        <v>29560.18</v>
      </c>
      <c r="N186" s="26">
        <v>41405.870000000003</v>
      </c>
      <c r="O186" s="25">
        <v>53348.97</v>
      </c>
      <c r="P186" s="25">
        <v>57717.62</v>
      </c>
      <c r="Q186" s="25">
        <v>78315.259999999995</v>
      </c>
      <c r="R186" s="144">
        <v>81743</v>
      </c>
      <c r="S186" s="701"/>
      <c r="T186" s="600">
        <v>3303</v>
      </c>
      <c r="U186" s="601">
        <f t="shared" si="54"/>
        <v>85046</v>
      </c>
    </row>
    <row r="187" spans="1:21" x14ac:dyDescent="0.25">
      <c r="A187" s="834"/>
      <c r="B187" s="278">
        <v>630</v>
      </c>
      <c r="C187" s="62" t="s">
        <v>124</v>
      </c>
      <c r="D187" s="93"/>
      <c r="E187" s="93">
        <v>7369</v>
      </c>
      <c r="F187" s="93">
        <v>8830</v>
      </c>
      <c r="G187" s="93">
        <v>15669</v>
      </c>
      <c r="H187" s="93">
        <v>19477</v>
      </c>
      <c r="I187" s="62">
        <v>15050</v>
      </c>
      <c r="J187" s="60">
        <v>14133</v>
      </c>
      <c r="K187" s="60">
        <v>17748</v>
      </c>
      <c r="L187" s="48">
        <v>20156.86</v>
      </c>
      <c r="M187" s="48">
        <v>15870.11</v>
      </c>
      <c r="N187" s="49">
        <v>19809.259999999998</v>
      </c>
      <c r="O187" s="48">
        <v>22572.22</v>
      </c>
      <c r="P187" s="48">
        <v>20719.09</v>
      </c>
      <c r="Q187" s="48">
        <v>25179.48</v>
      </c>
      <c r="R187" s="203">
        <v>21400</v>
      </c>
      <c r="S187" s="701"/>
      <c r="T187" s="600"/>
      <c r="U187" s="601">
        <f t="shared" si="54"/>
        <v>21400</v>
      </c>
    </row>
    <row r="188" spans="1:21" ht="15.75" thickBot="1" x14ac:dyDescent="0.3">
      <c r="A188" s="834"/>
      <c r="B188" s="245">
        <v>640</v>
      </c>
      <c r="C188" s="61" t="s">
        <v>125</v>
      </c>
      <c r="D188" s="76"/>
      <c r="E188" s="76"/>
      <c r="F188" s="76"/>
      <c r="G188" s="76"/>
      <c r="H188" s="76"/>
      <c r="I188" s="61"/>
      <c r="J188" s="76">
        <v>1340</v>
      </c>
      <c r="K188" s="76">
        <v>322</v>
      </c>
      <c r="L188" s="31">
        <v>390.94</v>
      </c>
      <c r="M188" s="31">
        <v>623.54999999999995</v>
      </c>
      <c r="N188" s="32">
        <v>386.91</v>
      </c>
      <c r="O188" s="31">
        <v>738.7</v>
      </c>
      <c r="P188" s="31">
        <v>689.92</v>
      </c>
      <c r="Q188" s="31">
        <v>560.39</v>
      </c>
      <c r="R188" s="207"/>
      <c r="S188" s="702"/>
      <c r="T188" s="611"/>
      <c r="U188" s="606">
        <f t="shared" si="54"/>
        <v>0</v>
      </c>
    </row>
    <row r="189" spans="1:21" ht="15.75" hidden="1" thickBot="1" x14ac:dyDescent="0.3">
      <c r="A189" s="835"/>
      <c r="B189" s="178">
        <v>630</v>
      </c>
      <c r="C189" s="191" t="s">
        <v>264</v>
      </c>
      <c r="D189" s="149"/>
      <c r="E189" s="149">
        <v>232</v>
      </c>
      <c r="F189" s="149">
        <v>830</v>
      </c>
      <c r="G189" s="149">
        <v>335</v>
      </c>
      <c r="H189" s="149">
        <v>800</v>
      </c>
      <c r="I189" s="191">
        <v>800</v>
      </c>
      <c r="J189" s="191"/>
      <c r="K189" s="149"/>
      <c r="L189" s="97"/>
      <c r="M189" s="97"/>
      <c r="N189" s="97"/>
      <c r="O189" s="96"/>
      <c r="P189" s="96"/>
      <c r="Q189" s="96"/>
      <c r="R189" s="150"/>
      <c r="S189" s="703"/>
      <c r="T189" s="620"/>
      <c r="U189" s="621"/>
    </row>
    <row r="190" spans="1:21" ht="15.75" thickBot="1" x14ac:dyDescent="0.3">
      <c r="A190" s="326" t="s">
        <v>265</v>
      </c>
      <c r="B190" s="832" t="s">
        <v>266</v>
      </c>
      <c r="C190" s="809"/>
      <c r="D190" s="222">
        <v>35152</v>
      </c>
      <c r="E190" s="222">
        <v>34654</v>
      </c>
      <c r="F190" s="222">
        <v>45741</v>
      </c>
      <c r="G190" s="222">
        <v>45381</v>
      </c>
      <c r="H190" s="99">
        <v>47758</v>
      </c>
      <c r="I190" s="99">
        <v>57427</v>
      </c>
      <c r="J190" s="99">
        <v>33860</v>
      </c>
      <c r="K190" s="99">
        <v>33843</v>
      </c>
      <c r="L190" s="100">
        <v>35020.590000000004</v>
      </c>
      <c r="M190" s="100">
        <v>40552.410000000003</v>
      </c>
      <c r="N190" s="223">
        <v>37850.049999999996</v>
      </c>
      <c r="O190" s="224">
        <v>37981.53</v>
      </c>
      <c r="P190" s="223">
        <v>31489.34</v>
      </c>
      <c r="Q190" s="224">
        <f>SUM(Q191:Q194)</f>
        <v>40039.15</v>
      </c>
      <c r="R190" s="223">
        <f>SUM(R191:R194)</f>
        <v>40697</v>
      </c>
      <c r="S190" s="626">
        <f t="shared" ref="S190:U190" si="55">SUM(S191:S194)</f>
        <v>0</v>
      </c>
      <c r="T190" s="607">
        <f t="shared" si="55"/>
        <v>1889</v>
      </c>
      <c r="U190" s="567">
        <f t="shared" si="55"/>
        <v>42586</v>
      </c>
    </row>
    <row r="191" spans="1:21" x14ac:dyDescent="0.25">
      <c r="A191" s="836"/>
      <c r="B191" s="176">
        <v>610</v>
      </c>
      <c r="C191" s="169" t="s">
        <v>122</v>
      </c>
      <c r="D191" s="300"/>
      <c r="E191" s="300">
        <v>21277</v>
      </c>
      <c r="F191" s="300">
        <v>26622</v>
      </c>
      <c r="G191" s="300">
        <v>27938</v>
      </c>
      <c r="H191" s="300">
        <v>29205</v>
      </c>
      <c r="I191" s="58">
        <v>32982</v>
      </c>
      <c r="J191" s="58">
        <v>19537</v>
      </c>
      <c r="K191" s="58">
        <v>19331</v>
      </c>
      <c r="L191" s="19">
        <v>19931.3</v>
      </c>
      <c r="M191" s="19">
        <v>21474.28</v>
      </c>
      <c r="N191" s="20">
        <v>19698.37</v>
      </c>
      <c r="O191" s="19">
        <v>20600.240000000002</v>
      </c>
      <c r="P191" s="19">
        <v>19790.259999999998</v>
      </c>
      <c r="Q191" s="19">
        <v>21979.15</v>
      </c>
      <c r="R191" s="142">
        <v>22164</v>
      </c>
      <c r="S191" s="705"/>
      <c r="T191" s="612">
        <v>1400</v>
      </c>
      <c r="U191" s="613">
        <f t="shared" ref="U191:U194" si="56">R191+S191+T191</f>
        <v>23564</v>
      </c>
    </row>
    <row r="192" spans="1:21" x14ac:dyDescent="0.25">
      <c r="A192" s="837"/>
      <c r="B192" s="177">
        <v>620</v>
      </c>
      <c r="C192" s="171" t="s">
        <v>123</v>
      </c>
      <c r="D192" s="145"/>
      <c r="E192" s="145">
        <v>8033</v>
      </c>
      <c r="F192" s="145">
        <v>9792</v>
      </c>
      <c r="G192" s="145">
        <v>10190</v>
      </c>
      <c r="H192" s="145">
        <v>10431</v>
      </c>
      <c r="I192" s="60">
        <v>13206</v>
      </c>
      <c r="J192" s="60">
        <v>7857</v>
      </c>
      <c r="K192" s="60">
        <v>7510</v>
      </c>
      <c r="L192" s="25">
        <v>8330.59</v>
      </c>
      <c r="M192" s="25">
        <v>7982.2</v>
      </c>
      <c r="N192" s="26">
        <v>7602.19</v>
      </c>
      <c r="O192" s="25">
        <v>8776.16</v>
      </c>
      <c r="P192" s="25">
        <v>7193.52</v>
      </c>
      <c r="Q192" s="25">
        <v>8019.72</v>
      </c>
      <c r="R192" s="144">
        <v>7998</v>
      </c>
      <c r="S192" s="701"/>
      <c r="T192" s="600">
        <v>489</v>
      </c>
      <c r="U192" s="601">
        <f t="shared" si="56"/>
        <v>8487</v>
      </c>
    </row>
    <row r="193" spans="1:21" x14ac:dyDescent="0.25">
      <c r="A193" s="837"/>
      <c r="B193" s="177">
        <v>630</v>
      </c>
      <c r="C193" s="171" t="s">
        <v>124</v>
      </c>
      <c r="D193" s="145"/>
      <c r="E193" s="145">
        <v>5344</v>
      </c>
      <c r="F193" s="145">
        <v>9327</v>
      </c>
      <c r="G193" s="145">
        <v>7253</v>
      </c>
      <c r="H193" s="145">
        <v>8122</v>
      </c>
      <c r="I193" s="60">
        <v>7483</v>
      </c>
      <c r="J193" s="60">
        <v>6466</v>
      </c>
      <c r="K193" s="60">
        <v>6899</v>
      </c>
      <c r="L193" s="25">
        <v>6669.76</v>
      </c>
      <c r="M193" s="25">
        <v>10990.38</v>
      </c>
      <c r="N193" s="26">
        <v>10449.24</v>
      </c>
      <c r="O193" s="25">
        <v>5491.5700000000006</v>
      </c>
      <c r="P193" s="25">
        <v>4505.5600000000004</v>
      </c>
      <c r="Q193" s="25">
        <v>10040.280000000001</v>
      </c>
      <c r="R193" s="26">
        <v>10535</v>
      </c>
      <c r="S193" s="701"/>
      <c r="T193" s="600"/>
      <c r="U193" s="601">
        <f t="shared" si="56"/>
        <v>10535</v>
      </c>
    </row>
    <row r="194" spans="1:21" ht="15.75" thickBot="1" x14ac:dyDescent="0.3">
      <c r="A194" s="838"/>
      <c r="B194" s="178">
        <v>640</v>
      </c>
      <c r="C194" s="217" t="s">
        <v>125</v>
      </c>
      <c r="D194" s="272"/>
      <c r="E194" s="272"/>
      <c r="F194" s="272"/>
      <c r="G194" s="272"/>
      <c r="H194" s="272"/>
      <c r="I194" s="149">
        <v>3756</v>
      </c>
      <c r="J194" s="149"/>
      <c r="K194" s="149">
        <v>103</v>
      </c>
      <c r="L194" s="327">
        <v>88.94</v>
      </c>
      <c r="M194" s="206">
        <v>105.55</v>
      </c>
      <c r="N194" s="32">
        <v>100.25</v>
      </c>
      <c r="O194" s="31">
        <v>3113.56</v>
      </c>
      <c r="P194" s="31"/>
      <c r="Q194" s="31"/>
      <c r="R194" s="207"/>
      <c r="S194" s="706"/>
      <c r="T194" s="629"/>
      <c r="U194" s="630">
        <f t="shared" si="56"/>
        <v>0</v>
      </c>
    </row>
    <row r="195" spans="1:21" ht="36" customHeight="1" thickBot="1" x14ac:dyDescent="0.3">
      <c r="A195" s="328" t="s">
        <v>267</v>
      </c>
      <c r="B195" s="820" t="s">
        <v>268</v>
      </c>
      <c r="C195" s="821"/>
      <c r="D195" s="721">
        <v>105855</v>
      </c>
      <c r="E195" s="721">
        <v>102071</v>
      </c>
      <c r="F195" s="721">
        <v>77475</v>
      </c>
      <c r="G195" s="721">
        <v>119794</v>
      </c>
      <c r="H195" s="329">
        <v>122484</v>
      </c>
      <c r="I195" s="329">
        <v>95592</v>
      </c>
      <c r="J195" s="329">
        <v>235945</v>
      </c>
      <c r="K195" s="329">
        <v>566990</v>
      </c>
      <c r="L195" s="330">
        <v>568843.26</v>
      </c>
      <c r="M195" s="330">
        <v>470939.22999999992</v>
      </c>
      <c r="N195" s="331">
        <v>341351.46</v>
      </c>
      <c r="O195" s="332">
        <v>302230.36999999994</v>
      </c>
      <c r="P195" s="331">
        <v>332895.13</v>
      </c>
      <c r="Q195" s="332">
        <f>Q196+Q201+Q204+Q206+Q207+Q208+Q209</f>
        <v>380830.30000000005</v>
      </c>
      <c r="R195" s="331">
        <f>R196+R201+R202+R203+R204+R205+R206+R207+R208+R209</f>
        <v>352166</v>
      </c>
      <c r="S195" s="708">
        <f t="shared" ref="S195:T195" si="57">S196+S201+S202+S203+S204+S205+S206+S207+S208+S209</f>
        <v>0</v>
      </c>
      <c r="T195" s="627">
        <f t="shared" si="57"/>
        <v>0</v>
      </c>
      <c r="U195" s="628">
        <f>U196+U201+U202+U203+U204+U205+U206+U207+U208+U209</f>
        <v>352166</v>
      </c>
    </row>
    <row r="196" spans="1:21" ht="26.45" customHeight="1" thickBot="1" x14ac:dyDescent="0.3">
      <c r="A196" s="819"/>
      <c r="B196" s="820" t="s">
        <v>269</v>
      </c>
      <c r="C196" s="821"/>
      <c r="D196" s="333">
        <v>26024</v>
      </c>
      <c r="E196" s="333">
        <v>26422</v>
      </c>
      <c r="F196" s="333">
        <v>12381</v>
      </c>
      <c r="G196" s="333">
        <v>67096</v>
      </c>
      <c r="H196" s="334">
        <v>63788</v>
      </c>
      <c r="I196" s="334">
        <v>2494</v>
      </c>
      <c r="J196" s="334">
        <v>41385</v>
      </c>
      <c r="K196" s="334">
        <v>80229</v>
      </c>
      <c r="L196" s="335">
        <v>66952.969999999987</v>
      </c>
      <c r="M196" s="335">
        <v>85074.98</v>
      </c>
      <c r="N196" s="334">
        <v>7365</v>
      </c>
      <c r="O196" s="335">
        <v>28865.35</v>
      </c>
      <c r="P196" s="334">
        <v>120501.78</v>
      </c>
      <c r="Q196" s="335">
        <f>SUM(Q197:Q200)</f>
        <v>126996.82000000002</v>
      </c>
      <c r="R196" s="334">
        <f>SUM(R197:R200)</f>
        <v>141442</v>
      </c>
      <c r="S196" s="708">
        <f t="shared" ref="S196:U196" si="58">SUM(S197:S200)</f>
        <v>0</v>
      </c>
      <c r="T196" s="627">
        <f t="shared" si="58"/>
        <v>0</v>
      </c>
      <c r="U196" s="628">
        <f t="shared" si="58"/>
        <v>141442</v>
      </c>
    </row>
    <row r="197" spans="1:21" x14ac:dyDescent="0.25">
      <c r="A197" s="819"/>
      <c r="B197" s="141">
        <v>610</v>
      </c>
      <c r="C197" s="57" t="s">
        <v>122</v>
      </c>
      <c r="D197" s="58"/>
      <c r="E197" s="58">
        <v>16132</v>
      </c>
      <c r="F197" s="58">
        <v>7933</v>
      </c>
      <c r="G197" s="58">
        <v>43567</v>
      </c>
      <c r="H197" s="58">
        <v>42257</v>
      </c>
      <c r="I197" s="336">
        <v>2163</v>
      </c>
      <c r="J197" s="336">
        <v>27310</v>
      </c>
      <c r="K197" s="336">
        <v>54820</v>
      </c>
      <c r="L197" s="337">
        <v>43998.71</v>
      </c>
      <c r="M197" s="337">
        <v>61007.02</v>
      </c>
      <c r="N197" s="338">
        <v>1010.2</v>
      </c>
      <c r="O197" s="339">
        <v>19809.79</v>
      </c>
      <c r="P197" s="339">
        <v>74996.97</v>
      </c>
      <c r="Q197" s="339">
        <f>56196.16+27075.32</f>
        <v>83271.48000000001</v>
      </c>
      <c r="R197" s="338">
        <v>91152</v>
      </c>
      <c r="S197" s="700"/>
      <c r="T197" s="598"/>
      <c r="U197" s="599">
        <f t="shared" ref="U197:U209" si="59">R197+S197+T197</f>
        <v>91152</v>
      </c>
    </row>
    <row r="198" spans="1:21" x14ac:dyDescent="0.25">
      <c r="A198" s="819"/>
      <c r="B198" s="143">
        <v>620</v>
      </c>
      <c r="C198" s="59" t="s">
        <v>123</v>
      </c>
      <c r="D198" s="60"/>
      <c r="E198" s="60">
        <v>5344</v>
      </c>
      <c r="F198" s="60">
        <v>2622</v>
      </c>
      <c r="G198" s="60">
        <v>14529</v>
      </c>
      <c r="H198" s="60">
        <v>14713</v>
      </c>
      <c r="I198" s="340">
        <v>323</v>
      </c>
      <c r="J198" s="340">
        <v>10254</v>
      </c>
      <c r="K198" s="340">
        <v>19614</v>
      </c>
      <c r="L198" s="341">
        <v>18142.439999999999</v>
      </c>
      <c r="M198" s="341">
        <v>19303.48</v>
      </c>
      <c r="N198" s="342">
        <v>430.73</v>
      </c>
      <c r="O198" s="341">
        <v>6838.92</v>
      </c>
      <c r="P198" s="341">
        <v>26581.7</v>
      </c>
      <c r="Q198" s="341">
        <f>19207.42+7654.08</f>
        <v>26861.5</v>
      </c>
      <c r="R198" s="342">
        <v>32290</v>
      </c>
      <c r="S198" s="701"/>
      <c r="T198" s="600"/>
      <c r="U198" s="601">
        <f t="shared" si="59"/>
        <v>32290</v>
      </c>
    </row>
    <row r="199" spans="1:21" x14ac:dyDescent="0.25">
      <c r="A199" s="819"/>
      <c r="B199" s="143">
        <v>630</v>
      </c>
      <c r="C199" s="59" t="s">
        <v>124</v>
      </c>
      <c r="D199" s="60"/>
      <c r="E199" s="60">
        <v>4946</v>
      </c>
      <c r="F199" s="60">
        <v>1826</v>
      </c>
      <c r="G199" s="60">
        <v>9000</v>
      </c>
      <c r="H199" s="60">
        <v>6818</v>
      </c>
      <c r="I199" s="60">
        <v>8</v>
      </c>
      <c r="J199" s="60">
        <v>3821</v>
      </c>
      <c r="K199" s="340">
        <v>5011</v>
      </c>
      <c r="L199" s="341">
        <v>4277.1499999999996</v>
      </c>
      <c r="M199" s="341">
        <v>4479.7</v>
      </c>
      <c r="N199" s="342">
        <v>5924.07</v>
      </c>
      <c r="O199" s="341">
        <v>2216.64</v>
      </c>
      <c r="P199" s="341">
        <v>18923.11</v>
      </c>
      <c r="Q199" s="341">
        <f>4242.89+10525.6</f>
        <v>14768.490000000002</v>
      </c>
      <c r="R199" s="342">
        <v>18000</v>
      </c>
      <c r="S199" s="701"/>
      <c r="T199" s="600"/>
      <c r="U199" s="601">
        <f t="shared" si="59"/>
        <v>18000</v>
      </c>
    </row>
    <row r="200" spans="1:21" ht="15.75" thickBot="1" x14ac:dyDescent="0.3">
      <c r="A200" s="819"/>
      <c r="B200" s="204"/>
      <c r="C200" s="274"/>
      <c r="D200" s="276"/>
      <c r="E200" s="276"/>
      <c r="F200" s="276"/>
      <c r="G200" s="276"/>
      <c r="H200" s="276"/>
      <c r="I200" s="276"/>
      <c r="J200" s="276"/>
      <c r="K200" s="343">
        <v>784</v>
      </c>
      <c r="L200" s="344">
        <v>534.66999999999996</v>
      </c>
      <c r="M200" s="344">
        <v>284.77999999999997</v>
      </c>
      <c r="N200" s="345"/>
      <c r="O200" s="344"/>
      <c r="P200" s="344"/>
      <c r="Q200" s="344">
        <f>88.52+2006.83</f>
        <v>2095.35</v>
      </c>
      <c r="R200" s="346"/>
      <c r="S200" s="706"/>
      <c r="T200" s="629"/>
      <c r="U200" s="630">
        <f t="shared" si="59"/>
        <v>0</v>
      </c>
    </row>
    <row r="201" spans="1:21" x14ac:dyDescent="0.25">
      <c r="A201" s="819"/>
      <c r="B201" s="347"/>
      <c r="C201" s="303" t="s">
        <v>270</v>
      </c>
      <c r="D201" s="302"/>
      <c r="E201" s="302"/>
      <c r="F201" s="302"/>
      <c r="G201" s="302"/>
      <c r="H201" s="302"/>
      <c r="I201" s="303">
        <v>9265</v>
      </c>
      <c r="J201" s="145">
        <v>11343</v>
      </c>
      <c r="K201" s="60">
        <v>6313</v>
      </c>
      <c r="L201" s="45">
        <v>5404.14</v>
      </c>
      <c r="M201" s="45">
        <v>4327.68</v>
      </c>
      <c r="N201" s="46"/>
      <c r="O201" s="45">
        <v>3575.04</v>
      </c>
      <c r="P201" s="45">
        <v>3928.96</v>
      </c>
      <c r="Q201" s="45">
        <v>5212.5200000000004</v>
      </c>
      <c r="R201" s="229">
        <v>3500</v>
      </c>
      <c r="S201" s="700"/>
      <c r="T201" s="46"/>
      <c r="U201" s="599">
        <f t="shared" si="59"/>
        <v>3500</v>
      </c>
    </row>
    <row r="202" spans="1:21" x14ac:dyDescent="0.25">
      <c r="A202" s="819"/>
      <c r="B202" s="348"/>
      <c r="C202" s="171" t="s">
        <v>271</v>
      </c>
      <c r="D202" s="145"/>
      <c r="E202" s="145"/>
      <c r="F202" s="145"/>
      <c r="G202" s="145"/>
      <c r="H202" s="145"/>
      <c r="I202" s="171"/>
      <c r="J202" s="145"/>
      <c r="K202" s="60"/>
      <c r="L202" s="25"/>
      <c r="M202" s="26"/>
      <c r="N202" s="26">
        <v>0</v>
      </c>
      <c r="O202" s="25">
        <v>30265.35</v>
      </c>
      <c r="P202" s="25"/>
      <c r="Q202" s="25"/>
      <c r="R202" s="144"/>
      <c r="S202" s="701"/>
      <c r="T202" s="26"/>
      <c r="U202" s="601">
        <f t="shared" si="59"/>
        <v>0</v>
      </c>
    </row>
    <row r="203" spans="1:21" ht="12.75" customHeight="1" x14ac:dyDescent="0.25">
      <c r="A203" s="819"/>
      <c r="B203" s="348">
        <v>630</v>
      </c>
      <c r="C203" s="171" t="s">
        <v>271</v>
      </c>
      <c r="D203" s="145"/>
      <c r="E203" s="145"/>
      <c r="F203" s="145"/>
      <c r="G203" s="145"/>
      <c r="H203" s="145"/>
      <c r="I203" s="171"/>
      <c r="J203" s="145"/>
      <c r="K203" s="60"/>
      <c r="L203" s="25"/>
      <c r="M203" s="26"/>
      <c r="N203" s="26">
        <v>0</v>
      </c>
      <c r="O203" s="25"/>
      <c r="P203" s="25"/>
      <c r="Q203" s="25"/>
      <c r="R203" s="144"/>
      <c r="S203" s="701"/>
      <c r="T203" s="26"/>
      <c r="U203" s="601">
        <f t="shared" si="59"/>
        <v>0</v>
      </c>
    </row>
    <row r="204" spans="1:21" ht="12.75" customHeight="1" x14ac:dyDescent="0.25">
      <c r="A204" s="819"/>
      <c r="B204" s="348">
        <v>630</v>
      </c>
      <c r="C204" s="171" t="s">
        <v>272</v>
      </c>
      <c r="D204" s="145"/>
      <c r="E204" s="145"/>
      <c r="F204" s="145"/>
      <c r="G204" s="145"/>
      <c r="H204" s="145"/>
      <c r="I204" s="171">
        <v>66358</v>
      </c>
      <c r="J204" s="145">
        <v>95746</v>
      </c>
      <c r="K204" s="60">
        <v>85709</v>
      </c>
      <c r="L204" s="25">
        <v>56320.98000000001</v>
      </c>
      <c r="M204" s="25">
        <v>47905.93</v>
      </c>
      <c r="N204" s="26">
        <v>34336.340000000004</v>
      </c>
      <c r="O204" s="25">
        <v>29495.23</v>
      </c>
      <c r="P204" s="25">
        <v>24290.5</v>
      </c>
      <c r="Q204" s="25">
        <f>106179.65+280.8</f>
        <v>106460.45</v>
      </c>
      <c r="R204" s="144">
        <v>35000</v>
      </c>
      <c r="S204" s="701"/>
      <c r="T204" s="26"/>
      <c r="U204" s="601">
        <f t="shared" si="59"/>
        <v>35000</v>
      </c>
    </row>
    <row r="205" spans="1:21" x14ac:dyDescent="0.25">
      <c r="A205" s="819"/>
      <c r="B205" s="348">
        <v>630</v>
      </c>
      <c r="C205" s="171"/>
      <c r="D205" s="145"/>
      <c r="E205" s="145"/>
      <c r="F205" s="145"/>
      <c r="G205" s="145"/>
      <c r="H205" s="145"/>
      <c r="I205" s="60">
        <v>642</v>
      </c>
      <c r="J205" s="145"/>
      <c r="K205" s="60"/>
      <c r="L205" s="25"/>
      <c r="M205" s="25">
        <v>323039.83999999997</v>
      </c>
      <c r="N205" s="26">
        <v>0</v>
      </c>
      <c r="O205" s="25"/>
      <c r="P205" s="25"/>
      <c r="Q205" s="25"/>
      <c r="R205" s="144"/>
      <c r="S205" s="701"/>
      <c r="T205" s="26"/>
      <c r="U205" s="601">
        <f t="shared" si="59"/>
        <v>0</v>
      </c>
    </row>
    <row r="206" spans="1:21" x14ac:dyDescent="0.25">
      <c r="A206" s="819"/>
      <c r="B206" s="348"/>
      <c r="C206" s="171" t="s">
        <v>100</v>
      </c>
      <c r="D206" s="145"/>
      <c r="E206" s="145"/>
      <c r="F206" s="145"/>
      <c r="G206" s="145"/>
      <c r="H206" s="145"/>
      <c r="I206" s="171"/>
      <c r="J206" s="145">
        <v>85602</v>
      </c>
      <c r="K206" s="60">
        <v>393394</v>
      </c>
      <c r="L206" s="25">
        <v>426977.77</v>
      </c>
      <c r="M206" s="25">
        <v>6176.6</v>
      </c>
      <c r="N206" s="26">
        <v>281171.12</v>
      </c>
      <c r="O206" s="25">
        <v>192626.66999999998</v>
      </c>
      <c r="P206" s="25">
        <v>166083.10999999999</v>
      </c>
      <c r="Q206" s="25">
        <f>28407.8+100088.88</f>
        <v>128496.68000000001</v>
      </c>
      <c r="R206" s="144">
        <v>150000</v>
      </c>
      <c r="S206" s="701"/>
      <c r="T206" s="26"/>
      <c r="U206" s="601">
        <f t="shared" si="59"/>
        <v>150000</v>
      </c>
    </row>
    <row r="207" spans="1:21" x14ac:dyDescent="0.25">
      <c r="A207" s="819"/>
      <c r="B207" s="348">
        <v>630</v>
      </c>
      <c r="C207" s="171" t="s">
        <v>273</v>
      </c>
      <c r="D207" s="145"/>
      <c r="E207" s="145"/>
      <c r="F207" s="145"/>
      <c r="G207" s="145"/>
      <c r="H207" s="145"/>
      <c r="I207" s="171">
        <v>16833</v>
      </c>
      <c r="J207" s="145">
        <v>1809</v>
      </c>
      <c r="K207" s="60">
        <v>1345</v>
      </c>
      <c r="L207" s="25">
        <v>13077.4</v>
      </c>
      <c r="M207" s="25">
        <v>10590.8</v>
      </c>
      <c r="N207" s="26">
        <v>6654.32</v>
      </c>
      <c r="O207" s="25">
        <v>7292.93</v>
      </c>
      <c r="P207" s="25">
        <v>7200.5999999999995</v>
      </c>
      <c r="Q207" s="25">
        <f>7172.11+2506.62+371</f>
        <v>10049.73</v>
      </c>
      <c r="R207" s="144"/>
      <c r="S207" s="701"/>
      <c r="T207" s="26"/>
      <c r="U207" s="601">
        <f t="shared" si="59"/>
        <v>0</v>
      </c>
    </row>
    <row r="208" spans="1:21" x14ac:dyDescent="0.25">
      <c r="A208" s="819"/>
      <c r="B208" s="349"/>
      <c r="C208" s="171" t="s">
        <v>274</v>
      </c>
      <c r="D208" s="350"/>
      <c r="E208" s="350"/>
      <c r="F208" s="350"/>
      <c r="G208" s="350"/>
      <c r="H208" s="350"/>
      <c r="I208" s="351"/>
      <c r="J208" s="145"/>
      <c r="K208" s="60"/>
      <c r="L208" s="48"/>
      <c r="M208" s="48"/>
      <c r="N208" s="49">
        <v>9556.68</v>
      </c>
      <c r="O208" s="48">
        <v>7519.8</v>
      </c>
      <c r="P208" s="48">
        <v>6557</v>
      </c>
      <c r="Q208" s="48">
        <f>315.4</f>
        <v>315.39999999999998</v>
      </c>
      <c r="R208" s="203">
        <v>20224</v>
      </c>
      <c r="S208" s="702"/>
      <c r="T208" s="49"/>
      <c r="U208" s="606">
        <f t="shared" si="59"/>
        <v>20224</v>
      </c>
    </row>
    <row r="209" spans="1:21" ht="15.75" thickBot="1" x14ac:dyDescent="0.3">
      <c r="A209" s="819"/>
      <c r="B209" s="352">
        <v>630</v>
      </c>
      <c r="C209" s="353" t="s">
        <v>275</v>
      </c>
      <c r="D209" s="354"/>
      <c r="E209" s="354"/>
      <c r="F209" s="354"/>
      <c r="G209" s="354"/>
      <c r="H209" s="354"/>
      <c r="I209" s="353"/>
      <c r="J209" s="145">
        <v>60</v>
      </c>
      <c r="K209" s="60"/>
      <c r="L209" s="48">
        <v>110</v>
      </c>
      <c r="M209" s="355"/>
      <c r="N209" s="355">
        <v>2268</v>
      </c>
      <c r="O209" s="356">
        <v>2590</v>
      </c>
      <c r="P209" s="356">
        <v>4333.18</v>
      </c>
      <c r="Q209" s="356">
        <v>3298.7</v>
      </c>
      <c r="R209" s="357">
        <v>2000</v>
      </c>
      <c r="S209" s="702"/>
      <c r="T209" s="151"/>
      <c r="U209" s="606">
        <f t="shared" si="59"/>
        <v>2000</v>
      </c>
    </row>
    <row r="210" spans="1:21" ht="17.25" thickTop="1" thickBot="1" x14ac:dyDescent="0.3">
      <c r="A210" s="358"/>
      <c r="B210" s="359"/>
      <c r="C210" s="360" t="s">
        <v>276</v>
      </c>
      <c r="D210" s="133">
        <v>5867125</v>
      </c>
      <c r="E210" s="133">
        <v>6460200</v>
      </c>
      <c r="F210" s="133">
        <v>7832271</v>
      </c>
      <c r="G210" s="133">
        <v>8716285.4299999997</v>
      </c>
      <c r="H210" s="133">
        <v>9309387</v>
      </c>
      <c r="I210" s="133">
        <v>8743512.1999999993</v>
      </c>
      <c r="J210" s="133">
        <v>8908071</v>
      </c>
      <c r="K210" s="133">
        <v>8934542</v>
      </c>
      <c r="L210" s="134">
        <v>9572545.3800000008</v>
      </c>
      <c r="M210" s="134">
        <v>9554914.7999999989</v>
      </c>
      <c r="N210" s="361">
        <v>9695081.3400000017</v>
      </c>
      <c r="O210" s="677">
        <v>10029034.879999999</v>
      </c>
      <c r="P210" s="361">
        <v>10815176.439999999</v>
      </c>
      <c r="Q210" s="753">
        <f>Q4+Q10+Q14+Q19+Q25+Q27+Q29+Q34+Q36+Q41+Q43+Q50+Q56+Q70+Q74+Q81+Q86+Q91+Q110+Q112+Q115+Q122+Q127+Q142+Q145+Q150+Q174+Q184+Q190+Q195</f>
        <v>12072287.610000001</v>
      </c>
      <c r="R210" s="361">
        <f>R195+R190+R184+R174+R150+R145+R142+R127+R122+R115+R112+R110+R91+R86+R81+R74+R70+R56+R50+R43+R36+R34+R29+R27+R25+R19+R14+R10+R4+R41</f>
        <v>12096911</v>
      </c>
      <c r="S210" s="594">
        <f>S195+S190+S184+S174+S150+S145+S142+S127+S122+S115+S112+S110+S91+S86+S81+S74+S70+S56+S50+S43+S36+S34+S29+S27+S25+S19+S14+S10+S4+S41</f>
        <v>-37722</v>
      </c>
      <c r="T210" s="594">
        <f>T195+T190+T184+T174+T150+T145+T142+T127+T122+T115+T112+T110+T91+T86+T81+T74+T70+T56+T50+T43+T36+T34+T29+T27+T25+T19+T14+T10+T4+T41</f>
        <v>218899</v>
      </c>
      <c r="U210" s="595">
        <f>U195+U190+U184+U174+U150+U145+U142+U127+U122+U115+U112+U110+U91+U86+U81+U74+U70+U56+U50+U43+U36+U34+U29+U27+U25+U19+U14+U10+U4+U41</f>
        <v>12278088</v>
      </c>
    </row>
    <row r="211" spans="1:21" ht="15.75" thickTop="1" x14ac:dyDescent="0.25">
      <c r="S211" s="304"/>
    </row>
    <row r="212" spans="1:21" x14ac:dyDescent="0.25">
      <c r="M212" s="304"/>
      <c r="Q212" s="304"/>
      <c r="R212" s="190"/>
      <c r="S212" s="304"/>
      <c r="T212" s="631"/>
    </row>
    <row r="213" spans="1:21" x14ac:dyDescent="0.25">
      <c r="N213" s="190"/>
      <c r="Q213" s="190"/>
      <c r="R213" s="190"/>
      <c r="S213" s="304"/>
      <c r="T213" s="631"/>
      <c r="U213" s="631"/>
    </row>
    <row r="214" spans="1:21" x14ac:dyDescent="0.25">
      <c r="M214" s="304"/>
      <c r="S214" s="304"/>
    </row>
    <row r="215" spans="1:21" x14ac:dyDescent="0.25">
      <c r="N215" s="190"/>
      <c r="O215" s="190"/>
      <c r="P215" s="190"/>
      <c r="Q215" s="190"/>
      <c r="R215" s="190"/>
      <c r="S215" s="304"/>
      <c r="T215" s="631"/>
      <c r="U215" s="631"/>
    </row>
    <row r="216" spans="1:21" x14ac:dyDescent="0.25">
      <c r="S216" s="304"/>
    </row>
    <row r="217" spans="1:21" x14ac:dyDescent="0.25">
      <c r="L217" s="190"/>
      <c r="M217" s="190"/>
      <c r="N217" s="190"/>
      <c r="O217" s="190"/>
      <c r="P217" s="190"/>
      <c r="Q217" s="190"/>
      <c r="R217" s="190"/>
      <c r="S217" s="304"/>
      <c r="T217" s="631"/>
      <c r="U217" s="631"/>
    </row>
    <row r="218" spans="1:21" x14ac:dyDescent="0.25">
      <c r="S218" s="304"/>
    </row>
    <row r="219" spans="1:21" x14ac:dyDescent="0.25">
      <c r="N219" s="190"/>
      <c r="O219" s="190"/>
      <c r="P219" s="190"/>
      <c r="Q219" s="190"/>
      <c r="S219" s="304"/>
    </row>
    <row r="220" spans="1:21" x14ac:dyDescent="0.25">
      <c r="S220" s="304"/>
    </row>
    <row r="221" spans="1:21" x14ac:dyDescent="0.25">
      <c r="R221" s="190"/>
      <c r="S221" s="190"/>
      <c r="T221" s="190"/>
      <c r="U221" s="190"/>
    </row>
    <row r="222" spans="1:21" x14ac:dyDescent="0.25">
      <c r="R222" s="190"/>
      <c r="S222" s="304"/>
    </row>
    <row r="223" spans="1:21" x14ac:dyDescent="0.25">
      <c r="S223" s="304"/>
    </row>
    <row r="224" spans="1:21" x14ac:dyDescent="0.25">
      <c r="S224" s="304"/>
    </row>
    <row r="225" spans="19:19" x14ac:dyDescent="0.25">
      <c r="S225" s="304"/>
    </row>
    <row r="226" spans="19:19" x14ac:dyDescent="0.25">
      <c r="S226" s="304"/>
    </row>
    <row r="227" spans="19:19" x14ac:dyDescent="0.25">
      <c r="S227" s="304"/>
    </row>
    <row r="228" spans="19:19" x14ac:dyDescent="0.25">
      <c r="S228" s="304"/>
    </row>
    <row r="229" spans="19:19" x14ac:dyDescent="0.25">
      <c r="S229" s="304"/>
    </row>
    <row r="230" spans="19:19" x14ac:dyDescent="0.25">
      <c r="S230" s="304"/>
    </row>
    <row r="231" spans="19:19" x14ac:dyDescent="0.25">
      <c r="S231" s="304"/>
    </row>
    <row r="232" spans="19:19" x14ac:dyDescent="0.25">
      <c r="S232" s="304"/>
    </row>
    <row r="233" spans="19:19" x14ac:dyDescent="0.25">
      <c r="S233" s="304"/>
    </row>
    <row r="234" spans="19:19" x14ac:dyDescent="0.25">
      <c r="S234" s="304"/>
    </row>
    <row r="235" spans="19:19" x14ac:dyDescent="0.25">
      <c r="S235" s="304"/>
    </row>
    <row r="236" spans="19:19" x14ac:dyDescent="0.25">
      <c r="S236" s="304"/>
    </row>
    <row r="237" spans="19:19" x14ac:dyDescent="0.25">
      <c r="S237" s="304"/>
    </row>
    <row r="238" spans="19:19" x14ac:dyDescent="0.25">
      <c r="S238" s="304"/>
    </row>
    <row r="239" spans="19:19" x14ac:dyDescent="0.25">
      <c r="S239" s="304"/>
    </row>
    <row r="240" spans="19:19" x14ac:dyDescent="0.25">
      <c r="S240" s="304"/>
    </row>
    <row r="241" spans="19:19" x14ac:dyDescent="0.25">
      <c r="S241" s="304"/>
    </row>
    <row r="242" spans="19:19" x14ac:dyDescent="0.25">
      <c r="S242" s="304"/>
    </row>
    <row r="243" spans="19:19" x14ac:dyDescent="0.25">
      <c r="S243" s="304"/>
    </row>
    <row r="244" spans="19:19" x14ac:dyDescent="0.25">
      <c r="S244" s="304"/>
    </row>
    <row r="245" spans="19:19" x14ac:dyDescent="0.25">
      <c r="S245" s="304"/>
    </row>
    <row r="246" spans="19:19" x14ac:dyDescent="0.25">
      <c r="S246" s="304"/>
    </row>
    <row r="247" spans="19:19" x14ac:dyDescent="0.25">
      <c r="S247" s="304"/>
    </row>
    <row r="248" spans="19:19" x14ac:dyDescent="0.25">
      <c r="S248" s="304"/>
    </row>
    <row r="249" spans="19:19" x14ac:dyDescent="0.25">
      <c r="S249" s="304"/>
    </row>
    <row r="250" spans="19:19" x14ac:dyDescent="0.25">
      <c r="S250" s="304"/>
    </row>
    <row r="251" spans="19:19" x14ac:dyDescent="0.25">
      <c r="S251" s="304"/>
    </row>
    <row r="252" spans="19:19" x14ac:dyDescent="0.25">
      <c r="S252" s="304"/>
    </row>
    <row r="253" spans="19:19" x14ac:dyDescent="0.25">
      <c r="S253" s="304"/>
    </row>
    <row r="254" spans="19:19" x14ac:dyDescent="0.25">
      <c r="S254" s="304"/>
    </row>
    <row r="255" spans="19:19" x14ac:dyDescent="0.25">
      <c r="S255" s="304"/>
    </row>
  </sheetData>
  <mergeCells count="87">
    <mergeCell ref="S2:T2"/>
    <mergeCell ref="L2:L3"/>
    <mergeCell ref="A2:A3"/>
    <mergeCell ref="B2:B3"/>
    <mergeCell ref="C2:C3"/>
    <mergeCell ref="D2:D3"/>
    <mergeCell ref="E2:E3"/>
    <mergeCell ref="F2:F3"/>
    <mergeCell ref="N2:N3"/>
    <mergeCell ref="O2:O3"/>
    <mergeCell ref="P2:P3"/>
    <mergeCell ref="Q2:Q3"/>
    <mergeCell ref="R2:R3"/>
    <mergeCell ref="B25:C25"/>
    <mergeCell ref="B4:C4"/>
    <mergeCell ref="A5:A9"/>
    <mergeCell ref="B10:C10"/>
    <mergeCell ref="M2:M3"/>
    <mergeCell ref="G2:G3"/>
    <mergeCell ref="H2:H3"/>
    <mergeCell ref="I2:I3"/>
    <mergeCell ref="J2:J3"/>
    <mergeCell ref="K2:K3"/>
    <mergeCell ref="A11:A13"/>
    <mergeCell ref="B14:C14"/>
    <mergeCell ref="A15:A18"/>
    <mergeCell ref="B19:C19"/>
    <mergeCell ref="A20:A24"/>
    <mergeCell ref="B56:C56"/>
    <mergeCell ref="B27:C27"/>
    <mergeCell ref="B29:C29"/>
    <mergeCell ref="A30:A33"/>
    <mergeCell ref="B34:C34"/>
    <mergeCell ref="B36:C36"/>
    <mergeCell ref="A37:A40"/>
    <mergeCell ref="B41:C41"/>
    <mergeCell ref="B43:C43"/>
    <mergeCell ref="A44:A49"/>
    <mergeCell ref="B50:C50"/>
    <mergeCell ref="A51:A55"/>
    <mergeCell ref="B91:C91"/>
    <mergeCell ref="A57:A69"/>
    <mergeCell ref="B57:C57"/>
    <mergeCell ref="B70:C70"/>
    <mergeCell ref="A71:A73"/>
    <mergeCell ref="B74:C74"/>
    <mergeCell ref="A75:A78"/>
    <mergeCell ref="B79:C79"/>
    <mergeCell ref="B81:C81"/>
    <mergeCell ref="A82:A85"/>
    <mergeCell ref="B86:C86"/>
    <mergeCell ref="A87:A90"/>
    <mergeCell ref="A143:A144"/>
    <mergeCell ref="A92:A109"/>
    <mergeCell ref="B110:C110"/>
    <mergeCell ref="B112:C112"/>
    <mergeCell ref="A113:A114"/>
    <mergeCell ref="B115:C115"/>
    <mergeCell ref="A116:A121"/>
    <mergeCell ref="B122:C122"/>
    <mergeCell ref="A123:A126"/>
    <mergeCell ref="B127:C127"/>
    <mergeCell ref="A128:A141"/>
    <mergeCell ref="B142:C142"/>
    <mergeCell ref="A146:A149"/>
    <mergeCell ref="B146:B149"/>
    <mergeCell ref="B150:C150"/>
    <mergeCell ref="A151:A168"/>
    <mergeCell ref="B151:C151"/>
    <mergeCell ref="B156:C156"/>
    <mergeCell ref="B157:B168"/>
    <mergeCell ref="A1:C1"/>
    <mergeCell ref="U2:U3"/>
    <mergeCell ref="A196:A209"/>
    <mergeCell ref="B196:C196"/>
    <mergeCell ref="B169:C169"/>
    <mergeCell ref="A170:A173"/>
    <mergeCell ref="B174:C174"/>
    <mergeCell ref="A175:A183"/>
    <mergeCell ref="B175:C175"/>
    <mergeCell ref="B182:C182"/>
    <mergeCell ref="B184:C184"/>
    <mergeCell ref="A185:A189"/>
    <mergeCell ref="B190:C190"/>
    <mergeCell ref="A191:A194"/>
    <mergeCell ref="B195:C195"/>
    <mergeCell ref="B145:C145"/>
  </mergeCells>
  <pageMargins left="0.11811023622047245" right="0.11811023622047245" top="0.35433070866141736" bottom="0.19685039370078741" header="0" footer="0"/>
  <pageSetup paperSize="9" scale="91" orientation="portrait" r:id="rId1"/>
  <rowBreaks count="3" manualBreakCount="3">
    <brk id="55" max="16383" man="1"/>
    <brk id="126" max="16383" man="1"/>
    <brk id="1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selection sqref="A1:C1"/>
    </sheetView>
  </sheetViews>
  <sheetFormatPr defaultRowHeight="15" x14ac:dyDescent="0.25"/>
  <cols>
    <col min="2" max="2" width="7.5703125" customWidth="1"/>
    <col min="3" max="3" width="33.140625" customWidth="1"/>
    <col min="4" max="11" width="11.7109375" hidden="1" customWidth="1"/>
    <col min="12" max="12" width="15.5703125" hidden="1" customWidth="1"/>
    <col min="13" max="14" width="14" hidden="1" customWidth="1"/>
    <col min="15" max="16" width="16.140625" hidden="1" customWidth="1"/>
    <col min="17" max="17" width="14" customWidth="1"/>
    <col min="18" max="18" width="13" customWidth="1"/>
    <col min="19" max="19" width="11.140625" customWidth="1"/>
    <col min="20" max="20" width="12.140625" customWidth="1"/>
    <col min="258" max="258" width="37.5703125" customWidth="1"/>
    <col min="259" max="270" width="0" hidden="1" customWidth="1"/>
    <col min="271" max="271" width="16.140625" customWidth="1"/>
    <col min="272" max="272" width="14" customWidth="1"/>
    <col min="273" max="273" width="13" customWidth="1"/>
    <col min="274" max="274" width="10.140625" customWidth="1"/>
    <col min="275" max="276" width="10.42578125" customWidth="1"/>
    <col min="514" max="514" width="37.5703125" customWidth="1"/>
    <col min="515" max="526" width="0" hidden="1" customWidth="1"/>
    <col min="527" max="527" width="16.140625" customWidth="1"/>
    <col min="528" max="528" width="14" customWidth="1"/>
    <col min="529" max="529" width="13" customWidth="1"/>
    <col min="530" max="530" width="10.140625" customWidth="1"/>
    <col min="531" max="532" width="10.42578125" customWidth="1"/>
    <col min="770" max="770" width="37.5703125" customWidth="1"/>
    <col min="771" max="782" width="0" hidden="1" customWidth="1"/>
    <col min="783" max="783" width="16.140625" customWidth="1"/>
    <col min="784" max="784" width="14" customWidth="1"/>
    <col min="785" max="785" width="13" customWidth="1"/>
    <col min="786" max="786" width="10.140625" customWidth="1"/>
    <col min="787" max="788" width="10.42578125" customWidth="1"/>
    <col min="1026" max="1026" width="37.5703125" customWidth="1"/>
    <col min="1027" max="1038" width="0" hidden="1" customWidth="1"/>
    <col min="1039" max="1039" width="16.140625" customWidth="1"/>
    <col min="1040" max="1040" width="14" customWidth="1"/>
    <col min="1041" max="1041" width="13" customWidth="1"/>
    <col min="1042" max="1042" width="10.140625" customWidth="1"/>
    <col min="1043" max="1044" width="10.42578125" customWidth="1"/>
    <col min="1282" max="1282" width="37.5703125" customWidth="1"/>
    <col min="1283" max="1294" width="0" hidden="1" customWidth="1"/>
    <col min="1295" max="1295" width="16.140625" customWidth="1"/>
    <col min="1296" max="1296" width="14" customWidth="1"/>
    <col min="1297" max="1297" width="13" customWidth="1"/>
    <col min="1298" max="1298" width="10.140625" customWidth="1"/>
    <col min="1299" max="1300" width="10.42578125" customWidth="1"/>
    <col min="1538" max="1538" width="37.5703125" customWidth="1"/>
    <col min="1539" max="1550" width="0" hidden="1" customWidth="1"/>
    <col min="1551" max="1551" width="16.140625" customWidth="1"/>
    <col min="1552" max="1552" width="14" customWidth="1"/>
    <col min="1553" max="1553" width="13" customWidth="1"/>
    <col min="1554" max="1554" width="10.140625" customWidth="1"/>
    <col min="1555" max="1556" width="10.42578125" customWidth="1"/>
    <col min="1794" max="1794" width="37.5703125" customWidth="1"/>
    <col min="1795" max="1806" width="0" hidden="1" customWidth="1"/>
    <col min="1807" max="1807" width="16.140625" customWidth="1"/>
    <col min="1808" max="1808" width="14" customWidth="1"/>
    <col min="1809" max="1809" width="13" customWidth="1"/>
    <col min="1810" max="1810" width="10.140625" customWidth="1"/>
    <col min="1811" max="1812" width="10.42578125" customWidth="1"/>
    <col min="2050" max="2050" width="37.5703125" customWidth="1"/>
    <col min="2051" max="2062" width="0" hidden="1" customWidth="1"/>
    <col min="2063" max="2063" width="16.140625" customWidth="1"/>
    <col min="2064" max="2064" width="14" customWidth="1"/>
    <col min="2065" max="2065" width="13" customWidth="1"/>
    <col min="2066" max="2066" width="10.140625" customWidth="1"/>
    <col min="2067" max="2068" width="10.42578125" customWidth="1"/>
    <col min="2306" max="2306" width="37.5703125" customWidth="1"/>
    <col min="2307" max="2318" width="0" hidden="1" customWidth="1"/>
    <col min="2319" max="2319" width="16.140625" customWidth="1"/>
    <col min="2320" max="2320" width="14" customWidth="1"/>
    <col min="2321" max="2321" width="13" customWidth="1"/>
    <col min="2322" max="2322" width="10.140625" customWidth="1"/>
    <col min="2323" max="2324" width="10.42578125" customWidth="1"/>
    <col min="2562" max="2562" width="37.5703125" customWidth="1"/>
    <col min="2563" max="2574" width="0" hidden="1" customWidth="1"/>
    <col min="2575" max="2575" width="16.140625" customWidth="1"/>
    <col min="2576" max="2576" width="14" customWidth="1"/>
    <col min="2577" max="2577" width="13" customWidth="1"/>
    <col min="2578" max="2578" width="10.140625" customWidth="1"/>
    <col min="2579" max="2580" width="10.42578125" customWidth="1"/>
    <col min="2818" max="2818" width="37.5703125" customWidth="1"/>
    <col min="2819" max="2830" width="0" hidden="1" customWidth="1"/>
    <col min="2831" max="2831" width="16.140625" customWidth="1"/>
    <col min="2832" max="2832" width="14" customWidth="1"/>
    <col min="2833" max="2833" width="13" customWidth="1"/>
    <col min="2834" max="2834" width="10.140625" customWidth="1"/>
    <col min="2835" max="2836" width="10.42578125" customWidth="1"/>
    <col min="3074" max="3074" width="37.5703125" customWidth="1"/>
    <col min="3075" max="3086" width="0" hidden="1" customWidth="1"/>
    <col min="3087" max="3087" width="16.140625" customWidth="1"/>
    <col min="3088" max="3088" width="14" customWidth="1"/>
    <col min="3089" max="3089" width="13" customWidth="1"/>
    <col min="3090" max="3090" width="10.140625" customWidth="1"/>
    <col min="3091" max="3092" width="10.42578125" customWidth="1"/>
    <col min="3330" max="3330" width="37.5703125" customWidth="1"/>
    <col min="3331" max="3342" width="0" hidden="1" customWidth="1"/>
    <col min="3343" max="3343" width="16.140625" customWidth="1"/>
    <col min="3344" max="3344" width="14" customWidth="1"/>
    <col min="3345" max="3345" width="13" customWidth="1"/>
    <col min="3346" max="3346" width="10.140625" customWidth="1"/>
    <col min="3347" max="3348" width="10.42578125" customWidth="1"/>
    <col min="3586" max="3586" width="37.5703125" customWidth="1"/>
    <col min="3587" max="3598" width="0" hidden="1" customWidth="1"/>
    <col min="3599" max="3599" width="16.140625" customWidth="1"/>
    <col min="3600" max="3600" width="14" customWidth="1"/>
    <col min="3601" max="3601" width="13" customWidth="1"/>
    <col min="3602" max="3602" width="10.140625" customWidth="1"/>
    <col min="3603" max="3604" width="10.42578125" customWidth="1"/>
    <col min="3842" max="3842" width="37.5703125" customWidth="1"/>
    <col min="3843" max="3854" width="0" hidden="1" customWidth="1"/>
    <col min="3855" max="3855" width="16.140625" customWidth="1"/>
    <col min="3856" max="3856" width="14" customWidth="1"/>
    <col min="3857" max="3857" width="13" customWidth="1"/>
    <col min="3858" max="3858" width="10.140625" customWidth="1"/>
    <col min="3859" max="3860" width="10.42578125" customWidth="1"/>
    <col min="4098" max="4098" width="37.5703125" customWidth="1"/>
    <col min="4099" max="4110" width="0" hidden="1" customWidth="1"/>
    <col min="4111" max="4111" width="16.140625" customWidth="1"/>
    <col min="4112" max="4112" width="14" customWidth="1"/>
    <col min="4113" max="4113" width="13" customWidth="1"/>
    <col min="4114" max="4114" width="10.140625" customWidth="1"/>
    <col min="4115" max="4116" width="10.42578125" customWidth="1"/>
    <col min="4354" max="4354" width="37.5703125" customWidth="1"/>
    <col min="4355" max="4366" width="0" hidden="1" customWidth="1"/>
    <col min="4367" max="4367" width="16.140625" customWidth="1"/>
    <col min="4368" max="4368" width="14" customWidth="1"/>
    <col min="4369" max="4369" width="13" customWidth="1"/>
    <col min="4370" max="4370" width="10.140625" customWidth="1"/>
    <col min="4371" max="4372" width="10.42578125" customWidth="1"/>
    <col min="4610" max="4610" width="37.5703125" customWidth="1"/>
    <col min="4611" max="4622" width="0" hidden="1" customWidth="1"/>
    <col min="4623" max="4623" width="16.140625" customWidth="1"/>
    <col min="4624" max="4624" width="14" customWidth="1"/>
    <col min="4625" max="4625" width="13" customWidth="1"/>
    <col min="4626" max="4626" width="10.140625" customWidth="1"/>
    <col min="4627" max="4628" width="10.42578125" customWidth="1"/>
    <col min="4866" max="4866" width="37.5703125" customWidth="1"/>
    <col min="4867" max="4878" width="0" hidden="1" customWidth="1"/>
    <col min="4879" max="4879" width="16.140625" customWidth="1"/>
    <col min="4880" max="4880" width="14" customWidth="1"/>
    <col min="4881" max="4881" width="13" customWidth="1"/>
    <col min="4882" max="4882" width="10.140625" customWidth="1"/>
    <col min="4883" max="4884" width="10.42578125" customWidth="1"/>
    <col min="5122" max="5122" width="37.5703125" customWidth="1"/>
    <col min="5123" max="5134" width="0" hidden="1" customWidth="1"/>
    <col min="5135" max="5135" width="16.140625" customWidth="1"/>
    <col min="5136" max="5136" width="14" customWidth="1"/>
    <col min="5137" max="5137" width="13" customWidth="1"/>
    <col min="5138" max="5138" width="10.140625" customWidth="1"/>
    <col min="5139" max="5140" width="10.42578125" customWidth="1"/>
    <col min="5378" max="5378" width="37.5703125" customWidth="1"/>
    <col min="5379" max="5390" width="0" hidden="1" customWidth="1"/>
    <col min="5391" max="5391" width="16.140625" customWidth="1"/>
    <col min="5392" max="5392" width="14" customWidth="1"/>
    <col min="5393" max="5393" width="13" customWidth="1"/>
    <col min="5394" max="5394" width="10.140625" customWidth="1"/>
    <col min="5395" max="5396" width="10.42578125" customWidth="1"/>
    <col min="5634" max="5634" width="37.5703125" customWidth="1"/>
    <col min="5635" max="5646" width="0" hidden="1" customWidth="1"/>
    <col min="5647" max="5647" width="16.140625" customWidth="1"/>
    <col min="5648" max="5648" width="14" customWidth="1"/>
    <col min="5649" max="5649" width="13" customWidth="1"/>
    <col min="5650" max="5650" width="10.140625" customWidth="1"/>
    <col min="5651" max="5652" width="10.42578125" customWidth="1"/>
    <col min="5890" max="5890" width="37.5703125" customWidth="1"/>
    <col min="5891" max="5902" width="0" hidden="1" customWidth="1"/>
    <col min="5903" max="5903" width="16.140625" customWidth="1"/>
    <col min="5904" max="5904" width="14" customWidth="1"/>
    <col min="5905" max="5905" width="13" customWidth="1"/>
    <col min="5906" max="5906" width="10.140625" customWidth="1"/>
    <col min="5907" max="5908" width="10.42578125" customWidth="1"/>
    <col min="6146" max="6146" width="37.5703125" customWidth="1"/>
    <col min="6147" max="6158" width="0" hidden="1" customWidth="1"/>
    <col min="6159" max="6159" width="16.140625" customWidth="1"/>
    <col min="6160" max="6160" width="14" customWidth="1"/>
    <col min="6161" max="6161" width="13" customWidth="1"/>
    <col min="6162" max="6162" width="10.140625" customWidth="1"/>
    <col min="6163" max="6164" width="10.42578125" customWidth="1"/>
    <col min="6402" max="6402" width="37.5703125" customWidth="1"/>
    <col min="6403" max="6414" width="0" hidden="1" customWidth="1"/>
    <col min="6415" max="6415" width="16.140625" customWidth="1"/>
    <col min="6416" max="6416" width="14" customWidth="1"/>
    <col min="6417" max="6417" width="13" customWidth="1"/>
    <col min="6418" max="6418" width="10.140625" customWidth="1"/>
    <col min="6419" max="6420" width="10.42578125" customWidth="1"/>
    <col min="6658" max="6658" width="37.5703125" customWidth="1"/>
    <col min="6659" max="6670" width="0" hidden="1" customWidth="1"/>
    <col min="6671" max="6671" width="16.140625" customWidth="1"/>
    <col min="6672" max="6672" width="14" customWidth="1"/>
    <col min="6673" max="6673" width="13" customWidth="1"/>
    <col min="6674" max="6674" width="10.140625" customWidth="1"/>
    <col min="6675" max="6676" width="10.42578125" customWidth="1"/>
    <col min="6914" max="6914" width="37.5703125" customWidth="1"/>
    <col min="6915" max="6926" width="0" hidden="1" customWidth="1"/>
    <col min="6927" max="6927" width="16.140625" customWidth="1"/>
    <col min="6928" max="6928" width="14" customWidth="1"/>
    <col min="6929" max="6929" width="13" customWidth="1"/>
    <col min="6930" max="6930" width="10.140625" customWidth="1"/>
    <col min="6931" max="6932" width="10.42578125" customWidth="1"/>
    <col min="7170" max="7170" width="37.5703125" customWidth="1"/>
    <col min="7171" max="7182" width="0" hidden="1" customWidth="1"/>
    <col min="7183" max="7183" width="16.140625" customWidth="1"/>
    <col min="7184" max="7184" width="14" customWidth="1"/>
    <col min="7185" max="7185" width="13" customWidth="1"/>
    <col min="7186" max="7186" width="10.140625" customWidth="1"/>
    <col min="7187" max="7188" width="10.42578125" customWidth="1"/>
    <col min="7426" max="7426" width="37.5703125" customWidth="1"/>
    <col min="7427" max="7438" width="0" hidden="1" customWidth="1"/>
    <col min="7439" max="7439" width="16.140625" customWidth="1"/>
    <col min="7440" max="7440" width="14" customWidth="1"/>
    <col min="7441" max="7441" width="13" customWidth="1"/>
    <col min="7442" max="7442" width="10.140625" customWidth="1"/>
    <col min="7443" max="7444" width="10.42578125" customWidth="1"/>
    <col min="7682" max="7682" width="37.5703125" customWidth="1"/>
    <col min="7683" max="7694" width="0" hidden="1" customWidth="1"/>
    <col min="7695" max="7695" width="16.140625" customWidth="1"/>
    <col min="7696" max="7696" width="14" customWidth="1"/>
    <col min="7697" max="7697" width="13" customWidth="1"/>
    <col min="7698" max="7698" width="10.140625" customWidth="1"/>
    <col min="7699" max="7700" width="10.42578125" customWidth="1"/>
    <col min="7938" max="7938" width="37.5703125" customWidth="1"/>
    <col min="7939" max="7950" width="0" hidden="1" customWidth="1"/>
    <col min="7951" max="7951" width="16.140625" customWidth="1"/>
    <col min="7952" max="7952" width="14" customWidth="1"/>
    <col min="7953" max="7953" width="13" customWidth="1"/>
    <col min="7954" max="7954" width="10.140625" customWidth="1"/>
    <col min="7955" max="7956" width="10.42578125" customWidth="1"/>
    <col min="8194" max="8194" width="37.5703125" customWidth="1"/>
    <col min="8195" max="8206" width="0" hidden="1" customWidth="1"/>
    <col min="8207" max="8207" width="16.140625" customWidth="1"/>
    <col min="8208" max="8208" width="14" customWidth="1"/>
    <col min="8209" max="8209" width="13" customWidth="1"/>
    <col min="8210" max="8210" width="10.140625" customWidth="1"/>
    <col min="8211" max="8212" width="10.42578125" customWidth="1"/>
    <col min="8450" max="8450" width="37.5703125" customWidth="1"/>
    <col min="8451" max="8462" width="0" hidden="1" customWidth="1"/>
    <col min="8463" max="8463" width="16.140625" customWidth="1"/>
    <col min="8464" max="8464" width="14" customWidth="1"/>
    <col min="8465" max="8465" width="13" customWidth="1"/>
    <col min="8466" max="8466" width="10.140625" customWidth="1"/>
    <col min="8467" max="8468" width="10.42578125" customWidth="1"/>
    <col min="8706" max="8706" width="37.5703125" customWidth="1"/>
    <col min="8707" max="8718" width="0" hidden="1" customWidth="1"/>
    <col min="8719" max="8719" width="16.140625" customWidth="1"/>
    <col min="8720" max="8720" width="14" customWidth="1"/>
    <col min="8721" max="8721" width="13" customWidth="1"/>
    <col min="8722" max="8722" width="10.140625" customWidth="1"/>
    <col min="8723" max="8724" width="10.42578125" customWidth="1"/>
    <col min="8962" max="8962" width="37.5703125" customWidth="1"/>
    <col min="8963" max="8974" width="0" hidden="1" customWidth="1"/>
    <col min="8975" max="8975" width="16.140625" customWidth="1"/>
    <col min="8976" max="8976" width="14" customWidth="1"/>
    <col min="8977" max="8977" width="13" customWidth="1"/>
    <col min="8978" max="8978" width="10.140625" customWidth="1"/>
    <col min="8979" max="8980" width="10.42578125" customWidth="1"/>
    <col min="9218" max="9218" width="37.5703125" customWidth="1"/>
    <col min="9219" max="9230" width="0" hidden="1" customWidth="1"/>
    <col min="9231" max="9231" width="16.140625" customWidth="1"/>
    <col min="9232" max="9232" width="14" customWidth="1"/>
    <col min="9233" max="9233" width="13" customWidth="1"/>
    <col min="9234" max="9234" width="10.140625" customWidth="1"/>
    <col min="9235" max="9236" width="10.42578125" customWidth="1"/>
    <col min="9474" max="9474" width="37.5703125" customWidth="1"/>
    <col min="9475" max="9486" width="0" hidden="1" customWidth="1"/>
    <col min="9487" max="9487" width="16.140625" customWidth="1"/>
    <col min="9488" max="9488" width="14" customWidth="1"/>
    <col min="9489" max="9489" width="13" customWidth="1"/>
    <col min="9490" max="9490" width="10.140625" customWidth="1"/>
    <col min="9491" max="9492" width="10.42578125" customWidth="1"/>
    <col min="9730" max="9730" width="37.5703125" customWidth="1"/>
    <col min="9731" max="9742" width="0" hidden="1" customWidth="1"/>
    <col min="9743" max="9743" width="16.140625" customWidth="1"/>
    <col min="9744" max="9744" width="14" customWidth="1"/>
    <col min="9745" max="9745" width="13" customWidth="1"/>
    <col min="9746" max="9746" width="10.140625" customWidth="1"/>
    <col min="9747" max="9748" width="10.42578125" customWidth="1"/>
    <col min="9986" max="9986" width="37.5703125" customWidth="1"/>
    <col min="9987" max="9998" width="0" hidden="1" customWidth="1"/>
    <col min="9999" max="9999" width="16.140625" customWidth="1"/>
    <col min="10000" max="10000" width="14" customWidth="1"/>
    <col min="10001" max="10001" width="13" customWidth="1"/>
    <col min="10002" max="10002" width="10.140625" customWidth="1"/>
    <col min="10003" max="10004" width="10.42578125" customWidth="1"/>
    <col min="10242" max="10242" width="37.5703125" customWidth="1"/>
    <col min="10243" max="10254" width="0" hidden="1" customWidth="1"/>
    <col min="10255" max="10255" width="16.140625" customWidth="1"/>
    <col min="10256" max="10256" width="14" customWidth="1"/>
    <col min="10257" max="10257" width="13" customWidth="1"/>
    <col min="10258" max="10258" width="10.140625" customWidth="1"/>
    <col min="10259" max="10260" width="10.42578125" customWidth="1"/>
    <col min="10498" max="10498" width="37.5703125" customWidth="1"/>
    <col min="10499" max="10510" width="0" hidden="1" customWidth="1"/>
    <col min="10511" max="10511" width="16.140625" customWidth="1"/>
    <col min="10512" max="10512" width="14" customWidth="1"/>
    <col min="10513" max="10513" width="13" customWidth="1"/>
    <col min="10514" max="10514" width="10.140625" customWidth="1"/>
    <col min="10515" max="10516" width="10.42578125" customWidth="1"/>
    <col min="10754" max="10754" width="37.5703125" customWidth="1"/>
    <col min="10755" max="10766" width="0" hidden="1" customWidth="1"/>
    <col min="10767" max="10767" width="16.140625" customWidth="1"/>
    <col min="10768" max="10768" width="14" customWidth="1"/>
    <col min="10769" max="10769" width="13" customWidth="1"/>
    <col min="10770" max="10770" width="10.140625" customWidth="1"/>
    <col min="10771" max="10772" width="10.42578125" customWidth="1"/>
    <col min="11010" max="11010" width="37.5703125" customWidth="1"/>
    <col min="11011" max="11022" width="0" hidden="1" customWidth="1"/>
    <col min="11023" max="11023" width="16.140625" customWidth="1"/>
    <col min="11024" max="11024" width="14" customWidth="1"/>
    <col min="11025" max="11025" width="13" customWidth="1"/>
    <col min="11026" max="11026" width="10.140625" customWidth="1"/>
    <col min="11027" max="11028" width="10.42578125" customWidth="1"/>
    <col min="11266" max="11266" width="37.5703125" customWidth="1"/>
    <col min="11267" max="11278" width="0" hidden="1" customWidth="1"/>
    <col min="11279" max="11279" width="16.140625" customWidth="1"/>
    <col min="11280" max="11280" width="14" customWidth="1"/>
    <col min="11281" max="11281" width="13" customWidth="1"/>
    <col min="11282" max="11282" width="10.140625" customWidth="1"/>
    <col min="11283" max="11284" width="10.42578125" customWidth="1"/>
    <col min="11522" max="11522" width="37.5703125" customWidth="1"/>
    <col min="11523" max="11534" width="0" hidden="1" customWidth="1"/>
    <col min="11535" max="11535" width="16.140625" customWidth="1"/>
    <col min="11536" max="11536" width="14" customWidth="1"/>
    <col min="11537" max="11537" width="13" customWidth="1"/>
    <col min="11538" max="11538" width="10.140625" customWidth="1"/>
    <col min="11539" max="11540" width="10.42578125" customWidth="1"/>
    <col min="11778" max="11778" width="37.5703125" customWidth="1"/>
    <col min="11779" max="11790" width="0" hidden="1" customWidth="1"/>
    <col min="11791" max="11791" width="16.140625" customWidth="1"/>
    <col min="11792" max="11792" width="14" customWidth="1"/>
    <col min="11793" max="11793" width="13" customWidth="1"/>
    <col min="11794" max="11794" width="10.140625" customWidth="1"/>
    <col min="11795" max="11796" width="10.42578125" customWidth="1"/>
    <col min="12034" max="12034" width="37.5703125" customWidth="1"/>
    <col min="12035" max="12046" width="0" hidden="1" customWidth="1"/>
    <col min="12047" max="12047" width="16.140625" customWidth="1"/>
    <col min="12048" max="12048" width="14" customWidth="1"/>
    <col min="12049" max="12049" width="13" customWidth="1"/>
    <col min="12050" max="12050" width="10.140625" customWidth="1"/>
    <col min="12051" max="12052" width="10.42578125" customWidth="1"/>
    <col min="12290" max="12290" width="37.5703125" customWidth="1"/>
    <col min="12291" max="12302" width="0" hidden="1" customWidth="1"/>
    <col min="12303" max="12303" width="16.140625" customWidth="1"/>
    <col min="12304" max="12304" width="14" customWidth="1"/>
    <col min="12305" max="12305" width="13" customWidth="1"/>
    <col min="12306" max="12306" width="10.140625" customWidth="1"/>
    <col min="12307" max="12308" width="10.42578125" customWidth="1"/>
    <col min="12546" max="12546" width="37.5703125" customWidth="1"/>
    <col min="12547" max="12558" width="0" hidden="1" customWidth="1"/>
    <col min="12559" max="12559" width="16.140625" customWidth="1"/>
    <col min="12560" max="12560" width="14" customWidth="1"/>
    <col min="12561" max="12561" width="13" customWidth="1"/>
    <col min="12562" max="12562" width="10.140625" customWidth="1"/>
    <col min="12563" max="12564" width="10.42578125" customWidth="1"/>
    <col min="12802" max="12802" width="37.5703125" customWidth="1"/>
    <col min="12803" max="12814" width="0" hidden="1" customWidth="1"/>
    <col min="12815" max="12815" width="16.140625" customWidth="1"/>
    <col min="12816" max="12816" width="14" customWidth="1"/>
    <col min="12817" max="12817" width="13" customWidth="1"/>
    <col min="12818" max="12818" width="10.140625" customWidth="1"/>
    <col min="12819" max="12820" width="10.42578125" customWidth="1"/>
    <col min="13058" max="13058" width="37.5703125" customWidth="1"/>
    <col min="13059" max="13070" width="0" hidden="1" customWidth="1"/>
    <col min="13071" max="13071" width="16.140625" customWidth="1"/>
    <col min="13072" max="13072" width="14" customWidth="1"/>
    <col min="13073" max="13073" width="13" customWidth="1"/>
    <col min="13074" max="13074" width="10.140625" customWidth="1"/>
    <col min="13075" max="13076" width="10.42578125" customWidth="1"/>
    <col min="13314" max="13314" width="37.5703125" customWidth="1"/>
    <col min="13315" max="13326" width="0" hidden="1" customWidth="1"/>
    <col min="13327" max="13327" width="16.140625" customWidth="1"/>
    <col min="13328" max="13328" width="14" customWidth="1"/>
    <col min="13329" max="13329" width="13" customWidth="1"/>
    <col min="13330" max="13330" width="10.140625" customWidth="1"/>
    <col min="13331" max="13332" width="10.42578125" customWidth="1"/>
    <col min="13570" max="13570" width="37.5703125" customWidth="1"/>
    <col min="13571" max="13582" width="0" hidden="1" customWidth="1"/>
    <col min="13583" max="13583" width="16.140625" customWidth="1"/>
    <col min="13584" max="13584" width="14" customWidth="1"/>
    <col min="13585" max="13585" width="13" customWidth="1"/>
    <col min="13586" max="13586" width="10.140625" customWidth="1"/>
    <col min="13587" max="13588" width="10.42578125" customWidth="1"/>
    <col min="13826" max="13826" width="37.5703125" customWidth="1"/>
    <col min="13827" max="13838" width="0" hidden="1" customWidth="1"/>
    <col min="13839" max="13839" width="16.140625" customWidth="1"/>
    <col min="13840" max="13840" width="14" customWidth="1"/>
    <col min="13841" max="13841" width="13" customWidth="1"/>
    <col min="13842" max="13842" width="10.140625" customWidth="1"/>
    <col min="13843" max="13844" width="10.42578125" customWidth="1"/>
    <col min="14082" max="14082" width="37.5703125" customWidth="1"/>
    <col min="14083" max="14094" width="0" hidden="1" customWidth="1"/>
    <col min="14095" max="14095" width="16.140625" customWidth="1"/>
    <col min="14096" max="14096" width="14" customWidth="1"/>
    <col min="14097" max="14097" width="13" customWidth="1"/>
    <col min="14098" max="14098" width="10.140625" customWidth="1"/>
    <col min="14099" max="14100" width="10.42578125" customWidth="1"/>
    <col min="14338" max="14338" width="37.5703125" customWidth="1"/>
    <col min="14339" max="14350" width="0" hidden="1" customWidth="1"/>
    <col min="14351" max="14351" width="16.140625" customWidth="1"/>
    <col min="14352" max="14352" width="14" customWidth="1"/>
    <col min="14353" max="14353" width="13" customWidth="1"/>
    <col min="14354" max="14354" width="10.140625" customWidth="1"/>
    <col min="14355" max="14356" width="10.42578125" customWidth="1"/>
    <col min="14594" max="14594" width="37.5703125" customWidth="1"/>
    <col min="14595" max="14606" width="0" hidden="1" customWidth="1"/>
    <col min="14607" max="14607" width="16.140625" customWidth="1"/>
    <col min="14608" max="14608" width="14" customWidth="1"/>
    <col min="14609" max="14609" width="13" customWidth="1"/>
    <col min="14610" max="14610" width="10.140625" customWidth="1"/>
    <col min="14611" max="14612" width="10.42578125" customWidth="1"/>
    <col min="14850" max="14850" width="37.5703125" customWidth="1"/>
    <col min="14851" max="14862" width="0" hidden="1" customWidth="1"/>
    <col min="14863" max="14863" width="16.140625" customWidth="1"/>
    <col min="14864" max="14864" width="14" customWidth="1"/>
    <col min="14865" max="14865" width="13" customWidth="1"/>
    <col min="14866" max="14866" width="10.140625" customWidth="1"/>
    <col min="14867" max="14868" width="10.42578125" customWidth="1"/>
    <col min="15106" max="15106" width="37.5703125" customWidth="1"/>
    <col min="15107" max="15118" width="0" hidden="1" customWidth="1"/>
    <col min="15119" max="15119" width="16.140625" customWidth="1"/>
    <col min="15120" max="15120" width="14" customWidth="1"/>
    <col min="15121" max="15121" width="13" customWidth="1"/>
    <col min="15122" max="15122" width="10.140625" customWidth="1"/>
    <col min="15123" max="15124" width="10.42578125" customWidth="1"/>
    <col min="15362" max="15362" width="37.5703125" customWidth="1"/>
    <col min="15363" max="15374" width="0" hidden="1" customWidth="1"/>
    <col min="15375" max="15375" width="16.140625" customWidth="1"/>
    <col min="15376" max="15376" width="14" customWidth="1"/>
    <col min="15377" max="15377" width="13" customWidth="1"/>
    <col min="15378" max="15378" width="10.140625" customWidth="1"/>
    <col min="15379" max="15380" width="10.42578125" customWidth="1"/>
    <col min="15618" max="15618" width="37.5703125" customWidth="1"/>
    <col min="15619" max="15630" width="0" hidden="1" customWidth="1"/>
    <col min="15631" max="15631" width="16.140625" customWidth="1"/>
    <col min="15632" max="15632" width="14" customWidth="1"/>
    <col min="15633" max="15633" width="13" customWidth="1"/>
    <col min="15634" max="15634" width="10.140625" customWidth="1"/>
    <col min="15635" max="15636" width="10.42578125" customWidth="1"/>
    <col min="15874" max="15874" width="37.5703125" customWidth="1"/>
    <col min="15875" max="15886" width="0" hidden="1" customWidth="1"/>
    <col min="15887" max="15887" width="16.140625" customWidth="1"/>
    <col min="15888" max="15888" width="14" customWidth="1"/>
    <col min="15889" max="15889" width="13" customWidth="1"/>
    <col min="15890" max="15890" width="10.140625" customWidth="1"/>
    <col min="15891" max="15892" width="10.42578125" customWidth="1"/>
    <col min="16130" max="16130" width="37.5703125" customWidth="1"/>
    <col min="16131" max="16142" width="0" hidden="1" customWidth="1"/>
    <col min="16143" max="16143" width="16.140625" customWidth="1"/>
    <col min="16144" max="16144" width="14" customWidth="1"/>
    <col min="16145" max="16145" width="13" customWidth="1"/>
    <col min="16146" max="16146" width="10.140625" customWidth="1"/>
    <col min="16147" max="16148" width="10.42578125" customWidth="1"/>
  </cols>
  <sheetData>
    <row r="1" spans="1:24" x14ac:dyDescent="0.25">
      <c r="A1" s="868" t="s">
        <v>407</v>
      </c>
      <c r="B1" s="868"/>
      <c r="C1" s="868"/>
    </row>
    <row r="2" spans="1:24" ht="15.75" thickBot="1" x14ac:dyDescent="0.3">
      <c r="A2" s="818" t="s">
        <v>408</v>
      </c>
      <c r="B2" s="818"/>
      <c r="C2" s="818"/>
    </row>
    <row r="3" spans="1:24" ht="14.25" customHeight="1" thickTop="1" x14ac:dyDescent="0.25">
      <c r="A3" s="814" t="s">
        <v>0</v>
      </c>
      <c r="B3" s="816" t="s">
        <v>1</v>
      </c>
      <c r="C3" s="788" t="s">
        <v>2</v>
      </c>
      <c r="D3" s="788" t="s">
        <v>115</v>
      </c>
      <c r="E3" s="788" t="s">
        <v>116</v>
      </c>
      <c r="F3" s="788" t="s">
        <v>117</v>
      </c>
      <c r="G3" s="788" t="s">
        <v>118</v>
      </c>
      <c r="H3" s="788" t="s">
        <v>119</v>
      </c>
      <c r="I3" s="788" t="s">
        <v>8</v>
      </c>
      <c r="J3" s="788" t="s">
        <v>9</v>
      </c>
      <c r="K3" s="788" t="s">
        <v>10</v>
      </c>
      <c r="L3" s="788" t="s">
        <v>11</v>
      </c>
      <c r="M3" s="788" t="s">
        <v>12</v>
      </c>
      <c r="N3" s="788" t="s">
        <v>13</v>
      </c>
      <c r="O3" s="788" t="s">
        <v>14</v>
      </c>
      <c r="P3" s="788" t="s">
        <v>15</v>
      </c>
      <c r="Q3" s="788" t="s">
        <v>458</v>
      </c>
      <c r="R3" s="812" t="s">
        <v>424</v>
      </c>
      <c r="S3" s="688" t="s">
        <v>465</v>
      </c>
      <c r="T3" s="770" t="s">
        <v>411</v>
      </c>
    </row>
    <row r="4" spans="1:24" ht="27.75" customHeight="1" thickBot="1" x14ac:dyDescent="0.3">
      <c r="A4" s="815"/>
      <c r="B4" s="817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813"/>
      <c r="S4" s="687" t="s">
        <v>21</v>
      </c>
      <c r="T4" s="771"/>
    </row>
    <row r="5" spans="1:24" ht="17.25" thickTop="1" thickBot="1" x14ac:dyDescent="0.3">
      <c r="A5" s="362">
        <v>200</v>
      </c>
      <c r="B5" s="776" t="s">
        <v>38</v>
      </c>
      <c r="C5" s="777"/>
      <c r="D5" s="363">
        <f>D6</f>
        <v>355009</v>
      </c>
      <c r="E5" s="363">
        <f>E6</f>
        <v>311359</v>
      </c>
      <c r="F5" s="363">
        <f>F6</f>
        <v>955255</v>
      </c>
      <c r="G5" s="363">
        <f>G6</f>
        <v>1090339</v>
      </c>
      <c r="H5" s="363">
        <f>H6</f>
        <v>496614</v>
      </c>
      <c r="I5" s="363">
        <f t="shared" ref="I5:T5" si="0">I6</f>
        <v>174771</v>
      </c>
      <c r="J5" s="363">
        <f t="shared" si="0"/>
        <v>74221</v>
      </c>
      <c r="K5" s="363">
        <f t="shared" si="0"/>
        <v>98051</v>
      </c>
      <c r="L5" s="363">
        <f t="shared" si="0"/>
        <v>223532.5</v>
      </c>
      <c r="M5" s="364">
        <f t="shared" si="0"/>
        <v>61991.15</v>
      </c>
      <c r="N5" s="363">
        <f t="shared" si="0"/>
        <v>87107.9</v>
      </c>
      <c r="O5" s="364">
        <f t="shared" si="0"/>
        <v>542510.87</v>
      </c>
      <c r="P5" s="364">
        <f>P6</f>
        <v>47974.47</v>
      </c>
      <c r="Q5" s="364">
        <f>Q6</f>
        <v>147766.67000000001</v>
      </c>
      <c r="R5" s="363">
        <f>R6</f>
        <v>136033</v>
      </c>
      <c r="S5" s="363">
        <f>S6</f>
        <v>41003</v>
      </c>
      <c r="T5" s="632">
        <f t="shared" si="0"/>
        <v>177036</v>
      </c>
    </row>
    <row r="6" spans="1:24" ht="15.75" thickBot="1" x14ac:dyDescent="0.3">
      <c r="A6" s="365">
        <v>230</v>
      </c>
      <c r="B6" s="778" t="s">
        <v>277</v>
      </c>
      <c r="C6" s="779"/>
      <c r="D6" s="86">
        <f t="shared" ref="D6:R6" si="1">D7+D11</f>
        <v>355009</v>
      </c>
      <c r="E6" s="86">
        <f t="shared" si="1"/>
        <v>311359</v>
      </c>
      <c r="F6" s="86">
        <f t="shared" si="1"/>
        <v>955255</v>
      </c>
      <c r="G6" s="86">
        <f t="shared" si="1"/>
        <v>1090339</v>
      </c>
      <c r="H6" s="86">
        <f t="shared" si="1"/>
        <v>496614</v>
      </c>
      <c r="I6" s="86">
        <f t="shared" si="1"/>
        <v>174771</v>
      </c>
      <c r="J6" s="86">
        <f t="shared" si="1"/>
        <v>74221</v>
      </c>
      <c r="K6" s="86">
        <f t="shared" si="1"/>
        <v>98051</v>
      </c>
      <c r="L6" s="86">
        <f t="shared" si="1"/>
        <v>223532.5</v>
      </c>
      <c r="M6" s="119">
        <f t="shared" si="1"/>
        <v>61991.15</v>
      </c>
      <c r="N6" s="86">
        <f t="shared" si="1"/>
        <v>87107.9</v>
      </c>
      <c r="O6" s="119">
        <f t="shared" si="1"/>
        <v>542510.87</v>
      </c>
      <c r="P6" s="119">
        <f t="shared" si="1"/>
        <v>47974.47</v>
      </c>
      <c r="Q6" s="119">
        <f t="shared" si="1"/>
        <v>147766.67000000001</v>
      </c>
      <c r="R6" s="84">
        <f t="shared" si="1"/>
        <v>136033</v>
      </c>
      <c r="S6" s="84">
        <f>S7+S11</f>
        <v>41003</v>
      </c>
      <c r="T6" s="586">
        <f>T7+T11</f>
        <v>177036</v>
      </c>
    </row>
    <row r="7" spans="1:24" ht="15.75" thickBot="1" x14ac:dyDescent="0.3">
      <c r="A7" s="772"/>
      <c r="B7" s="366">
        <v>231</v>
      </c>
      <c r="C7" s="78" t="s">
        <v>278</v>
      </c>
      <c r="D7" s="82">
        <f t="shared" ref="D7:R7" si="2">SUM(D8:D10)</f>
        <v>351125</v>
      </c>
      <c r="E7" s="82">
        <f t="shared" si="2"/>
        <v>106121</v>
      </c>
      <c r="F7" s="82">
        <f t="shared" si="2"/>
        <v>227246</v>
      </c>
      <c r="G7" s="82">
        <f t="shared" si="2"/>
        <v>45397</v>
      </c>
      <c r="H7" s="82">
        <f t="shared" si="2"/>
        <v>103200</v>
      </c>
      <c r="I7" s="82">
        <f t="shared" si="2"/>
        <v>85320</v>
      </c>
      <c r="J7" s="82">
        <f t="shared" si="2"/>
        <v>21933</v>
      </c>
      <c r="K7" s="82">
        <f t="shared" si="2"/>
        <v>32153</v>
      </c>
      <c r="L7" s="82">
        <f>SUM(L8:L10)</f>
        <v>84811.72</v>
      </c>
      <c r="M7" s="87">
        <f>SUM(M8:M10)</f>
        <v>23898.959999999999</v>
      </c>
      <c r="N7" s="82">
        <f>SUM(N8:N10)</f>
        <v>33003</v>
      </c>
      <c r="O7" s="87">
        <f>SUM(O8:O10)</f>
        <v>255643.36</v>
      </c>
      <c r="P7" s="87">
        <v>0</v>
      </c>
      <c r="Q7" s="87">
        <v>0</v>
      </c>
      <c r="R7" s="80">
        <f t="shared" si="2"/>
        <v>40733</v>
      </c>
      <c r="S7" s="80">
        <f>SUM(S8:S10)</f>
        <v>-1778</v>
      </c>
      <c r="T7" s="584">
        <f>SUM(T8:T10)</f>
        <v>38955</v>
      </c>
    </row>
    <row r="8" spans="1:24" x14ac:dyDescent="0.25">
      <c r="A8" s="773"/>
      <c r="B8" s="793"/>
      <c r="C8" s="367" t="s">
        <v>279</v>
      </c>
      <c r="D8" s="368">
        <v>192923</v>
      </c>
      <c r="E8" s="368">
        <v>101839</v>
      </c>
      <c r="F8" s="368">
        <v>227246</v>
      </c>
      <c r="G8" s="368">
        <v>45397</v>
      </c>
      <c r="H8" s="368">
        <v>103200</v>
      </c>
      <c r="I8" s="111">
        <v>85320</v>
      </c>
      <c r="J8" s="44">
        <v>21933</v>
      </c>
      <c r="K8" s="46">
        <v>23657</v>
      </c>
      <c r="L8" s="46">
        <v>83346.52</v>
      </c>
      <c r="M8" s="45">
        <v>19336.16</v>
      </c>
      <c r="N8" s="46">
        <v>33003</v>
      </c>
      <c r="O8" s="45">
        <v>251642.36</v>
      </c>
      <c r="P8" s="45"/>
      <c r="Q8" s="45"/>
      <c r="R8" s="73"/>
      <c r="S8" s="73"/>
      <c r="T8" s="369">
        <f>R8+S8</f>
        <v>0</v>
      </c>
    </row>
    <row r="9" spans="1:24" x14ac:dyDescent="0.25">
      <c r="A9" s="773"/>
      <c r="B9" s="794"/>
      <c r="C9" s="59" t="s">
        <v>280</v>
      </c>
      <c r="D9" s="370"/>
      <c r="E9" s="370"/>
      <c r="F9" s="370"/>
      <c r="G9" s="370"/>
      <c r="H9" s="370"/>
      <c r="I9" s="371"/>
      <c r="J9" s="372"/>
      <c r="K9" s="90"/>
      <c r="L9" s="125"/>
      <c r="M9" s="45">
        <v>4562.8</v>
      </c>
      <c r="N9" s="46"/>
      <c r="O9" s="45"/>
      <c r="P9" s="45"/>
      <c r="Q9" s="45"/>
      <c r="R9" s="73">
        <v>40733</v>
      </c>
      <c r="S9" s="73">
        <v>-1778</v>
      </c>
      <c r="T9" s="369">
        <f t="shared" ref="T9:T10" si="3">R9+S9</f>
        <v>38955</v>
      </c>
    </row>
    <row r="10" spans="1:24" ht="15.75" thickBot="1" x14ac:dyDescent="0.3">
      <c r="A10" s="773"/>
      <c r="B10" s="795"/>
      <c r="C10" s="191" t="s">
        <v>281</v>
      </c>
      <c r="D10" s="75">
        <v>158202</v>
      </c>
      <c r="E10" s="75">
        <v>4282</v>
      </c>
      <c r="F10" s="75">
        <v>0</v>
      </c>
      <c r="G10" s="75"/>
      <c r="H10" s="75"/>
      <c r="I10" s="75"/>
      <c r="J10" s="75"/>
      <c r="K10" s="32">
        <v>8496</v>
      </c>
      <c r="L10" s="46">
        <v>1465.2</v>
      </c>
      <c r="M10" s="90"/>
      <c r="N10" s="90"/>
      <c r="O10" s="89">
        <v>4001</v>
      </c>
      <c r="P10" s="89"/>
      <c r="Q10" s="89"/>
      <c r="R10" s="73"/>
      <c r="S10" s="73"/>
      <c r="T10" s="369">
        <f t="shared" si="3"/>
        <v>0</v>
      </c>
    </row>
    <row r="11" spans="1:24" ht="15.75" thickBot="1" x14ac:dyDescent="0.3">
      <c r="A11" s="773"/>
      <c r="B11" s="373">
        <v>233</v>
      </c>
      <c r="C11" s="77" t="s">
        <v>282</v>
      </c>
      <c r="D11" s="82">
        <f t="shared" ref="D11:R11" si="4">SUM(D12:D16)</f>
        <v>3884</v>
      </c>
      <c r="E11" s="82">
        <f t="shared" si="4"/>
        <v>205238</v>
      </c>
      <c r="F11" s="82">
        <f t="shared" si="4"/>
        <v>728009</v>
      </c>
      <c r="G11" s="82">
        <f t="shared" si="4"/>
        <v>1044942</v>
      </c>
      <c r="H11" s="82">
        <f t="shared" si="4"/>
        <v>393414</v>
      </c>
      <c r="I11" s="82">
        <f t="shared" si="4"/>
        <v>89451</v>
      </c>
      <c r="J11" s="82">
        <f t="shared" si="4"/>
        <v>52288</v>
      </c>
      <c r="K11" s="82">
        <f t="shared" si="4"/>
        <v>65898</v>
      </c>
      <c r="L11" s="82">
        <f t="shared" si="4"/>
        <v>138720.78</v>
      </c>
      <c r="M11" s="87">
        <f t="shared" si="4"/>
        <v>38092.19</v>
      </c>
      <c r="N11" s="82">
        <f t="shared" si="4"/>
        <v>54104.9</v>
      </c>
      <c r="O11" s="87">
        <f>SUM(O12:O16)</f>
        <v>286867.51</v>
      </c>
      <c r="P11" s="82">
        <f>SUM(P12:P16)</f>
        <v>47974.47</v>
      </c>
      <c r="Q11" s="87">
        <f>SUM(Q12:Q16)</f>
        <v>147766.67000000001</v>
      </c>
      <c r="R11" s="80">
        <f t="shared" si="4"/>
        <v>95300</v>
      </c>
      <c r="S11" s="80">
        <f>SUM(S12:S16)</f>
        <v>42781</v>
      </c>
      <c r="T11" s="584">
        <f>SUM(T12:T16)</f>
        <v>138081</v>
      </c>
    </row>
    <row r="12" spans="1:24" ht="15.75" thickBot="1" x14ac:dyDescent="0.3">
      <c r="A12" s="773"/>
      <c r="B12" s="793"/>
      <c r="C12" s="57" t="s">
        <v>283</v>
      </c>
      <c r="D12" s="72">
        <v>3884</v>
      </c>
      <c r="E12" s="72">
        <v>205238</v>
      </c>
      <c r="F12" s="72">
        <v>728009</v>
      </c>
      <c r="G12" s="72">
        <v>98695</v>
      </c>
      <c r="H12" s="72">
        <v>393414</v>
      </c>
      <c r="I12" s="72">
        <v>89451</v>
      </c>
      <c r="J12" s="46">
        <v>52288</v>
      </c>
      <c r="K12" s="46">
        <v>65898</v>
      </c>
      <c r="L12" s="46">
        <v>138720.78</v>
      </c>
      <c r="M12" s="374">
        <v>38092.19</v>
      </c>
      <c r="N12" s="375">
        <v>54104.9</v>
      </c>
      <c r="O12" s="376">
        <v>286867.51</v>
      </c>
      <c r="P12" s="376">
        <v>47974.47</v>
      </c>
      <c r="Q12" s="376">
        <v>147766.67000000001</v>
      </c>
      <c r="R12" s="73">
        <v>95300</v>
      </c>
      <c r="S12" s="73">
        <v>42781</v>
      </c>
      <c r="T12" s="369">
        <f>R12+S12</f>
        <v>138081</v>
      </c>
      <c r="V12" s="763"/>
      <c r="X12" s="190"/>
    </row>
    <row r="13" spans="1:24" ht="15.75" hidden="1" thickBot="1" x14ac:dyDescent="0.3">
      <c r="A13" s="773"/>
      <c r="B13" s="794"/>
      <c r="C13" s="377" t="s">
        <v>284</v>
      </c>
      <c r="D13" s="378"/>
      <c r="E13" s="378"/>
      <c r="F13" s="378"/>
      <c r="G13" s="378"/>
      <c r="H13" s="378"/>
      <c r="I13" s="378"/>
      <c r="J13" s="378"/>
      <c r="K13" s="127"/>
      <c r="L13" s="379"/>
      <c r="M13" s="379"/>
      <c r="N13" s="379"/>
      <c r="O13" s="380"/>
      <c r="P13" s="380"/>
      <c r="Q13" s="380"/>
      <c r="R13" s="381"/>
      <c r="S13" s="381"/>
      <c r="T13" s="633"/>
    </row>
    <row r="14" spans="1:24" ht="15.75" hidden="1" thickBot="1" x14ac:dyDescent="0.3">
      <c r="A14" s="773"/>
      <c r="B14" s="794"/>
      <c r="C14" s="377" t="s">
        <v>285</v>
      </c>
      <c r="D14" s="378"/>
      <c r="E14" s="378"/>
      <c r="F14" s="378"/>
      <c r="G14" s="378"/>
      <c r="H14" s="378"/>
      <c r="I14" s="378"/>
      <c r="J14" s="378"/>
      <c r="K14" s="127"/>
      <c r="L14" s="45"/>
      <c r="M14" s="379"/>
      <c r="N14" s="379"/>
      <c r="O14" s="380"/>
      <c r="P14" s="380"/>
      <c r="Q14" s="380"/>
      <c r="R14" s="381"/>
      <c r="S14" s="381"/>
      <c r="T14" s="633"/>
    </row>
    <row r="15" spans="1:24" ht="15.75" hidden="1" thickBot="1" x14ac:dyDescent="0.3">
      <c r="A15" s="773"/>
      <c r="B15" s="794"/>
      <c r="C15" s="377" t="s">
        <v>286</v>
      </c>
      <c r="D15" s="378"/>
      <c r="E15" s="378"/>
      <c r="F15" s="378"/>
      <c r="G15" s="378"/>
      <c r="H15" s="378"/>
      <c r="I15" s="378"/>
      <c r="J15" s="378"/>
      <c r="K15" s="127"/>
      <c r="L15" s="379"/>
      <c r="M15" s="379"/>
      <c r="N15" s="379"/>
      <c r="O15" s="380"/>
      <c r="P15" s="380"/>
      <c r="Q15" s="380"/>
      <c r="R15" s="381"/>
      <c r="S15" s="381"/>
      <c r="T15" s="633"/>
    </row>
    <row r="16" spans="1:24" ht="15.75" hidden="1" thickBot="1" x14ac:dyDescent="0.3">
      <c r="A16" s="773"/>
      <c r="B16" s="795"/>
      <c r="C16" s="382" t="s">
        <v>287</v>
      </c>
      <c r="D16" s="75"/>
      <c r="E16" s="75"/>
      <c r="F16" s="75"/>
      <c r="G16" s="75">
        <v>946247</v>
      </c>
      <c r="H16" s="75"/>
      <c r="I16" s="75"/>
      <c r="J16" s="75"/>
      <c r="K16" s="32"/>
      <c r="L16" s="90"/>
      <c r="M16" s="90"/>
      <c r="N16" s="90"/>
      <c r="O16" s="89"/>
      <c r="P16" s="89"/>
      <c r="Q16" s="89"/>
      <c r="R16" s="73"/>
      <c r="S16" s="73"/>
      <c r="T16" s="369"/>
    </row>
    <row r="17" spans="1:25" ht="16.5" thickBot="1" x14ac:dyDescent="0.3">
      <c r="A17" s="383">
        <v>300</v>
      </c>
      <c r="B17" s="800" t="s">
        <v>77</v>
      </c>
      <c r="C17" s="872"/>
      <c r="D17" s="384">
        <f>D18+D37</f>
        <v>1758083</v>
      </c>
      <c r="E17" s="384">
        <f>E18+E37</f>
        <v>706599</v>
      </c>
      <c r="F17" s="384">
        <f>F18+F37</f>
        <v>290114</v>
      </c>
      <c r="G17" s="384">
        <f>G18+G37</f>
        <v>3301074</v>
      </c>
      <c r="H17" s="384">
        <v>2959527</v>
      </c>
      <c r="I17" s="384">
        <f t="shared" ref="I17:T17" si="5">I18+I37</f>
        <v>4474942</v>
      </c>
      <c r="J17" s="384">
        <f t="shared" si="5"/>
        <v>4428553.0599999996</v>
      </c>
      <c r="K17" s="384">
        <f t="shared" si="5"/>
        <v>3580446</v>
      </c>
      <c r="L17" s="384">
        <f t="shared" si="5"/>
        <v>994806.09</v>
      </c>
      <c r="M17" s="385">
        <f t="shared" si="5"/>
        <v>488271.14</v>
      </c>
      <c r="N17" s="384">
        <f t="shared" si="5"/>
        <v>360221.4</v>
      </c>
      <c r="O17" s="385">
        <f t="shared" si="5"/>
        <v>1153730.93</v>
      </c>
      <c r="P17" s="385">
        <f t="shared" si="5"/>
        <v>2075273.05</v>
      </c>
      <c r="Q17" s="119">
        <f t="shared" si="5"/>
        <v>1378895.97</v>
      </c>
      <c r="R17" s="386">
        <f t="shared" si="5"/>
        <v>2428732</v>
      </c>
      <c r="S17" s="386">
        <f t="shared" si="5"/>
        <v>32400</v>
      </c>
      <c r="T17" s="634">
        <f t="shared" si="5"/>
        <v>2461132</v>
      </c>
    </row>
    <row r="18" spans="1:25" ht="15.75" thickBot="1" x14ac:dyDescent="0.3">
      <c r="A18" s="365">
        <v>320</v>
      </c>
      <c r="B18" s="778" t="s">
        <v>288</v>
      </c>
      <c r="C18" s="779"/>
      <c r="D18" s="387">
        <f>D19</f>
        <v>1758083</v>
      </c>
      <c r="E18" s="387">
        <f>E19</f>
        <v>706599</v>
      </c>
      <c r="F18" s="387">
        <f>F19</f>
        <v>290114</v>
      </c>
      <c r="G18" s="387">
        <f>G19</f>
        <v>3301074</v>
      </c>
      <c r="H18" s="387">
        <v>2959527</v>
      </c>
      <c r="I18" s="387">
        <f t="shared" ref="I18:T18" si="6">I19</f>
        <v>4417142</v>
      </c>
      <c r="J18" s="387">
        <f t="shared" si="6"/>
        <v>4408068.0599999996</v>
      </c>
      <c r="K18" s="387">
        <f t="shared" si="6"/>
        <v>3580446</v>
      </c>
      <c r="L18" s="387">
        <f t="shared" si="6"/>
        <v>994806.09</v>
      </c>
      <c r="M18" s="388">
        <f t="shared" si="6"/>
        <v>488271.14</v>
      </c>
      <c r="N18" s="389">
        <f t="shared" si="6"/>
        <v>360221.4</v>
      </c>
      <c r="O18" s="390">
        <f t="shared" si="6"/>
        <v>1153730.93</v>
      </c>
      <c r="P18" s="389">
        <f t="shared" si="6"/>
        <v>2075273.05</v>
      </c>
      <c r="Q18" s="123">
        <v>1378895.97</v>
      </c>
      <c r="R18" s="389">
        <f t="shared" si="6"/>
        <v>2428732</v>
      </c>
      <c r="S18" s="389">
        <f>S19</f>
        <v>32400</v>
      </c>
      <c r="T18" s="635">
        <f t="shared" si="6"/>
        <v>2461132</v>
      </c>
    </row>
    <row r="19" spans="1:25" ht="13.5" customHeight="1" thickBot="1" x14ac:dyDescent="0.3">
      <c r="A19" s="870"/>
      <c r="B19" s="373">
        <v>321</v>
      </c>
      <c r="C19" s="77" t="s">
        <v>79</v>
      </c>
      <c r="D19" s="78">
        <v>1758083</v>
      </c>
      <c r="E19" s="78">
        <v>706599</v>
      </c>
      <c r="F19" s="78">
        <v>290114</v>
      </c>
      <c r="G19" s="78">
        <v>3301074</v>
      </c>
      <c r="H19" s="78">
        <v>2959527</v>
      </c>
      <c r="I19" s="56">
        <v>4417142</v>
      </c>
      <c r="J19" s="56">
        <v>4408068.0599999996</v>
      </c>
      <c r="K19" s="56">
        <v>3580446</v>
      </c>
      <c r="L19" s="56">
        <v>994806.09</v>
      </c>
      <c r="M19" s="123">
        <f>SUM(M20:M36)</f>
        <v>488271.14</v>
      </c>
      <c r="N19" s="56">
        <f>SUM(N20:N36)</f>
        <v>360221.4</v>
      </c>
      <c r="O19" s="123">
        <v>1153730.93</v>
      </c>
      <c r="P19" s="123">
        <v>2075273.05</v>
      </c>
      <c r="Q19" s="123">
        <v>1378895.97</v>
      </c>
      <c r="R19" s="54">
        <f>SUM(R20:R36)</f>
        <v>2428732</v>
      </c>
      <c r="S19" s="54">
        <f>SUM(S20:S36)</f>
        <v>32400</v>
      </c>
      <c r="T19" s="579">
        <f>SUM(T20:T36)</f>
        <v>2461132</v>
      </c>
    </row>
    <row r="20" spans="1:25" ht="15.75" customHeight="1" x14ac:dyDescent="0.25">
      <c r="A20" s="871"/>
      <c r="B20" s="869"/>
      <c r="C20" s="16" t="s">
        <v>289</v>
      </c>
      <c r="D20" s="111"/>
      <c r="E20" s="111"/>
      <c r="F20" s="111"/>
      <c r="G20" s="111"/>
      <c r="H20" s="111"/>
      <c r="I20" s="111"/>
      <c r="J20" s="111"/>
      <c r="K20" s="44"/>
      <c r="L20" s="215"/>
      <c r="M20" s="215">
        <v>66064.149999999994</v>
      </c>
      <c r="N20" s="44"/>
      <c r="O20" s="44"/>
      <c r="P20" s="44"/>
      <c r="Q20" s="215"/>
      <c r="R20" s="73">
        <v>100000</v>
      </c>
      <c r="S20" s="73"/>
      <c r="T20" s="369">
        <f t="shared" ref="T20:T31" si="7">R20+S20</f>
        <v>100000</v>
      </c>
    </row>
    <row r="21" spans="1:25" ht="15.75" customHeight="1" x14ac:dyDescent="0.25">
      <c r="A21" s="871"/>
      <c r="B21" s="869"/>
      <c r="C21" s="43" t="s">
        <v>290</v>
      </c>
      <c r="D21" s="111"/>
      <c r="E21" s="111"/>
      <c r="F21" s="111"/>
      <c r="G21" s="111"/>
      <c r="H21" s="111"/>
      <c r="I21" s="111"/>
      <c r="J21" s="111"/>
      <c r="K21" s="44"/>
      <c r="L21" s="215"/>
      <c r="M21" s="215">
        <v>58454.17</v>
      </c>
      <c r="N21" s="44"/>
      <c r="O21" s="44"/>
      <c r="P21" s="44"/>
      <c r="Q21" s="215"/>
      <c r="R21" s="73">
        <v>50000</v>
      </c>
      <c r="S21" s="73"/>
      <c r="T21" s="369">
        <f t="shared" si="7"/>
        <v>50000</v>
      </c>
    </row>
    <row r="22" spans="1:25" ht="15.75" customHeight="1" x14ac:dyDescent="0.25">
      <c r="A22" s="871"/>
      <c r="B22" s="869"/>
      <c r="C22" s="43" t="s">
        <v>412</v>
      </c>
      <c r="D22" s="72"/>
      <c r="E22" s="72"/>
      <c r="F22" s="72"/>
      <c r="G22" s="72"/>
      <c r="H22" s="72"/>
      <c r="I22" s="72"/>
      <c r="J22" s="72"/>
      <c r="K22" s="44"/>
      <c r="L22" s="215"/>
      <c r="M22" s="215"/>
      <c r="N22" s="44"/>
      <c r="O22" s="44"/>
      <c r="P22" s="44"/>
      <c r="Q22" s="215"/>
      <c r="R22" s="73">
        <v>25952</v>
      </c>
      <c r="S22" s="73"/>
      <c r="T22" s="369">
        <f t="shared" si="7"/>
        <v>25952</v>
      </c>
      <c r="X22" s="190"/>
    </row>
    <row r="23" spans="1:25" ht="15.75" customHeight="1" x14ac:dyDescent="0.25">
      <c r="A23" s="871"/>
      <c r="B23" s="869"/>
      <c r="C23" s="43" t="s">
        <v>422</v>
      </c>
      <c r="D23" s="43"/>
      <c r="E23" s="43"/>
      <c r="F23" s="43"/>
      <c r="G23" s="43"/>
      <c r="H23" s="43">
        <v>341897</v>
      </c>
      <c r="I23" s="112">
        <v>341897</v>
      </c>
      <c r="J23" s="112">
        <v>344900</v>
      </c>
      <c r="K23" s="24">
        <v>341900</v>
      </c>
      <c r="L23" s="46">
        <v>341900</v>
      </c>
      <c r="M23" s="215">
        <v>340000</v>
      </c>
      <c r="N23" s="44">
        <v>340000</v>
      </c>
      <c r="O23" s="44"/>
      <c r="P23" s="44"/>
      <c r="Q23" s="215"/>
      <c r="R23" s="73">
        <v>86330</v>
      </c>
      <c r="S23" s="73"/>
      <c r="T23" s="369">
        <f t="shared" si="7"/>
        <v>86330</v>
      </c>
    </row>
    <row r="24" spans="1:25" ht="15.75" customHeight="1" x14ac:dyDescent="0.25">
      <c r="A24" s="871"/>
      <c r="B24" s="869"/>
      <c r="C24" s="59" t="s">
        <v>423</v>
      </c>
      <c r="D24" s="74"/>
      <c r="E24" s="74"/>
      <c r="F24" s="74"/>
      <c r="G24" s="74"/>
      <c r="H24" s="74"/>
      <c r="I24" s="74"/>
      <c r="J24" s="74"/>
      <c r="K24" s="24"/>
      <c r="L24" s="46">
        <v>68448.02</v>
      </c>
      <c r="M24" s="215">
        <v>6610.12</v>
      </c>
      <c r="N24" s="44"/>
      <c r="O24" s="44"/>
      <c r="P24" s="44"/>
      <c r="Q24" s="215">
        <v>0</v>
      </c>
      <c r="R24" s="73">
        <v>834950</v>
      </c>
      <c r="S24" s="73"/>
      <c r="T24" s="369">
        <f t="shared" si="7"/>
        <v>834950</v>
      </c>
      <c r="W24" s="190"/>
    </row>
    <row r="25" spans="1:25" ht="15.75" customHeight="1" x14ac:dyDescent="0.25">
      <c r="A25" s="871"/>
      <c r="B25" s="869"/>
      <c r="C25" s="59" t="s">
        <v>431</v>
      </c>
      <c r="D25" s="74"/>
      <c r="E25" s="74"/>
      <c r="F25" s="74"/>
      <c r="G25" s="74"/>
      <c r="H25" s="74"/>
      <c r="I25" s="74"/>
      <c r="J25" s="74"/>
      <c r="K25" s="24"/>
      <c r="L25" s="215"/>
      <c r="M25" s="215">
        <v>9000</v>
      </c>
      <c r="N25" s="44"/>
      <c r="O25" s="44"/>
      <c r="P25" s="44"/>
      <c r="Q25" s="215">
        <v>0</v>
      </c>
      <c r="R25" s="73">
        <v>170000</v>
      </c>
      <c r="S25" s="73"/>
      <c r="T25" s="369">
        <f t="shared" si="7"/>
        <v>170000</v>
      </c>
    </row>
    <row r="26" spans="1:25" ht="15.75" customHeight="1" x14ac:dyDescent="0.25">
      <c r="A26" s="871"/>
      <c r="B26" s="869"/>
      <c r="C26" s="59" t="s">
        <v>461</v>
      </c>
      <c r="D26" s="88"/>
      <c r="E26" s="88"/>
      <c r="F26" s="88"/>
      <c r="G26" s="88"/>
      <c r="H26" s="88"/>
      <c r="I26" s="74"/>
      <c r="J26" s="74"/>
      <c r="K26" s="24"/>
      <c r="L26" s="215"/>
      <c r="M26" s="215"/>
      <c r="N26" s="44"/>
      <c r="O26" s="44"/>
      <c r="P26" s="44"/>
      <c r="Q26" s="215"/>
      <c r="R26" s="73">
        <v>8500</v>
      </c>
      <c r="S26" s="73"/>
      <c r="T26" s="369">
        <f t="shared" si="7"/>
        <v>8500</v>
      </c>
    </row>
    <row r="27" spans="1:25" ht="15.75" customHeight="1" x14ac:dyDescent="0.25">
      <c r="A27" s="871"/>
      <c r="B27" s="869"/>
      <c r="C27" s="59" t="s">
        <v>472</v>
      </c>
      <c r="D27" s="88"/>
      <c r="E27" s="88"/>
      <c r="F27" s="88"/>
      <c r="G27" s="88"/>
      <c r="H27" s="88"/>
      <c r="I27" s="74"/>
      <c r="J27" s="74"/>
      <c r="K27" s="24"/>
      <c r="L27" s="215"/>
      <c r="M27" s="215"/>
      <c r="N27" s="44"/>
      <c r="O27" s="44"/>
      <c r="P27" s="44"/>
      <c r="Q27" s="215"/>
      <c r="R27" s="73">
        <v>0</v>
      </c>
      <c r="S27" s="73">
        <v>32400</v>
      </c>
      <c r="T27" s="369">
        <f t="shared" si="7"/>
        <v>32400</v>
      </c>
      <c r="X27" s="190"/>
    </row>
    <row r="28" spans="1:25" ht="15.75" customHeight="1" x14ac:dyDescent="0.25">
      <c r="A28" s="871"/>
      <c r="B28" s="869"/>
      <c r="C28" s="377" t="s">
        <v>439</v>
      </c>
      <c r="D28" s="392"/>
      <c r="E28" s="392"/>
      <c r="F28" s="392"/>
      <c r="G28" s="392"/>
      <c r="H28" s="392"/>
      <c r="I28" s="74"/>
      <c r="J28" s="74"/>
      <c r="K28" s="24"/>
      <c r="L28" s="215"/>
      <c r="M28" s="215">
        <v>8142.7</v>
      </c>
      <c r="N28" s="44"/>
      <c r="O28" s="44"/>
      <c r="P28" s="44"/>
      <c r="Q28" s="215">
        <v>0</v>
      </c>
      <c r="R28" s="73">
        <v>1100000</v>
      </c>
      <c r="S28" s="73"/>
      <c r="T28" s="369">
        <f t="shared" si="7"/>
        <v>1100000</v>
      </c>
      <c r="Y28" s="190"/>
    </row>
    <row r="29" spans="1:25" ht="15.75" customHeight="1" x14ac:dyDescent="0.25">
      <c r="A29" s="871"/>
      <c r="B29" s="869"/>
      <c r="C29" s="391" t="s">
        <v>440</v>
      </c>
      <c r="D29" s="74"/>
      <c r="E29" s="74"/>
      <c r="F29" s="74"/>
      <c r="G29" s="74"/>
      <c r="H29" s="74"/>
      <c r="I29" s="74"/>
      <c r="J29" s="74"/>
      <c r="K29" s="24"/>
      <c r="L29" s="113"/>
      <c r="M29" s="24"/>
      <c r="N29" s="24">
        <v>5221.3999999999996</v>
      </c>
      <c r="O29" s="60"/>
      <c r="P29" s="60"/>
      <c r="Q29" s="125">
        <v>0</v>
      </c>
      <c r="R29" s="60">
        <v>0</v>
      </c>
      <c r="S29" s="60"/>
      <c r="T29" s="369">
        <f t="shared" si="7"/>
        <v>0</v>
      </c>
    </row>
    <row r="30" spans="1:25" ht="15.75" customHeight="1" x14ac:dyDescent="0.25">
      <c r="A30" s="871"/>
      <c r="B30" s="869"/>
      <c r="C30" s="59" t="s">
        <v>447</v>
      </c>
      <c r="D30" s="74"/>
      <c r="E30" s="74"/>
      <c r="F30" s="74"/>
      <c r="G30" s="74"/>
      <c r="H30" s="74"/>
      <c r="I30" s="74"/>
      <c r="J30" s="74"/>
      <c r="K30" s="24"/>
      <c r="L30" s="113"/>
      <c r="M30" s="24"/>
      <c r="N30" s="24"/>
      <c r="O30" s="24"/>
      <c r="P30" s="24"/>
      <c r="Q30" s="113">
        <v>0</v>
      </c>
      <c r="R30" s="60">
        <v>23000</v>
      </c>
      <c r="S30" s="60"/>
      <c r="T30" s="369">
        <f t="shared" si="7"/>
        <v>23000</v>
      </c>
    </row>
    <row r="31" spans="1:25" ht="15.75" customHeight="1" thickBot="1" x14ac:dyDescent="0.3">
      <c r="A31" s="871"/>
      <c r="B31" s="869"/>
      <c r="C31" s="59" t="s">
        <v>452</v>
      </c>
      <c r="D31" s="74"/>
      <c r="E31" s="74"/>
      <c r="F31" s="74"/>
      <c r="G31" s="74"/>
      <c r="H31" s="74"/>
      <c r="I31" s="74"/>
      <c r="J31" s="74"/>
      <c r="K31" s="24"/>
      <c r="L31" s="113"/>
      <c r="M31" s="24"/>
      <c r="N31" s="24"/>
      <c r="O31" s="24"/>
      <c r="P31" s="24"/>
      <c r="Q31" s="113">
        <v>0</v>
      </c>
      <c r="R31" s="60">
        <v>30000</v>
      </c>
      <c r="S31" s="60"/>
      <c r="T31" s="369">
        <f t="shared" si="7"/>
        <v>30000</v>
      </c>
    </row>
    <row r="32" spans="1:25" ht="15.75" hidden="1" customHeight="1" x14ac:dyDescent="0.25">
      <c r="A32" s="871"/>
      <c r="B32" s="869"/>
      <c r="C32" s="59"/>
      <c r="D32" s="74"/>
      <c r="E32" s="74"/>
      <c r="F32" s="74"/>
      <c r="G32" s="74"/>
      <c r="H32" s="74"/>
      <c r="I32" s="74"/>
      <c r="J32" s="74"/>
      <c r="K32" s="24"/>
      <c r="L32" s="113"/>
      <c r="M32" s="24"/>
      <c r="N32" s="24"/>
      <c r="O32" s="24"/>
      <c r="P32" s="24"/>
      <c r="Q32" s="113">
        <v>0</v>
      </c>
      <c r="R32" s="60"/>
      <c r="S32" s="60"/>
      <c r="T32" s="393"/>
    </row>
    <row r="33" spans="1:20" ht="15.75" hidden="1" customHeight="1" x14ac:dyDescent="0.25">
      <c r="A33" s="871"/>
      <c r="B33" s="869"/>
      <c r="C33" s="91"/>
      <c r="D33" s="83"/>
      <c r="E33" s="83"/>
      <c r="F33" s="83"/>
      <c r="G33" s="83"/>
      <c r="H33" s="83"/>
      <c r="I33" s="74"/>
      <c r="J33" s="74"/>
      <c r="K33" s="24"/>
      <c r="L33" s="113"/>
      <c r="M33" s="24"/>
      <c r="N33" s="24"/>
      <c r="O33" s="24"/>
      <c r="P33" s="24"/>
      <c r="Q33" s="113">
        <v>0</v>
      </c>
      <c r="R33" s="125"/>
      <c r="S33" s="125"/>
      <c r="T33" s="636"/>
    </row>
    <row r="34" spans="1:20" ht="15.75" hidden="1" customHeight="1" x14ac:dyDescent="0.25">
      <c r="A34" s="871"/>
      <c r="B34" s="869"/>
      <c r="C34" s="91"/>
      <c r="D34" s="72"/>
      <c r="E34" s="72"/>
      <c r="F34" s="72"/>
      <c r="G34" s="72"/>
      <c r="H34" s="72"/>
      <c r="I34" s="74"/>
      <c r="J34" s="74"/>
      <c r="K34" s="24"/>
      <c r="L34" s="113"/>
      <c r="M34" s="24"/>
      <c r="N34" s="24"/>
      <c r="O34" s="24"/>
      <c r="P34" s="24"/>
      <c r="Q34" s="113">
        <v>0</v>
      </c>
      <c r="R34" s="125"/>
      <c r="S34" s="125"/>
      <c r="T34" s="636"/>
    </row>
    <row r="35" spans="1:20" ht="15.75" hidden="1" customHeight="1" x14ac:dyDescent="0.25">
      <c r="A35" s="871"/>
      <c r="B35" s="869"/>
      <c r="C35" s="59"/>
      <c r="D35" s="74"/>
      <c r="E35" s="74"/>
      <c r="F35" s="74"/>
      <c r="G35" s="74"/>
      <c r="H35" s="74"/>
      <c r="I35" s="74"/>
      <c r="J35" s="74"/>
      <c r="K35" s="24"/>
      <c r="L35" s="113"/>
      <c r="M35" s="24"/>
      <c r="N35" s="24">
        <v>15000</v>
      </c>
      <c r="O35" s="24"/>
      <c r="P35" s="24"/>
      <c r="Q35" s="113">
        <v>0</v>
      </c>
      <c r="R35" s="60"/>
      <c r="S35" s="60"/>
      <c r="T35" s="393"/>
    </row>
    <row r="36" spans="1:20" ht="15.75" hidden="1" customHeight="1" thickBot="1" x14ac:dyDescent="0.3">
      <c r="A36" s="871"/>
      <c r="B36" s="869"/>
      <c r="C36" s="59"/>
      <c r="D36" s="74"/>
      <c r="E36" s="74"/>
      <c r="F36" s="74"/>
      <c r="G36" s="74"/>
      <c r="H36" s="74"/>
      <c r="I36" s="74"/>
      <c r="J36" s="74"/>
      <c r="K36" s="24"/>
      <c r="L36" s="113"/>
      <c r="M36" s="24"/>
      <c r="N36" s="24"/>
      <c r="O36" s="24"/>
      <c r="P36" s="24"/>
      <c r="Q36" s="113"/>
      <c r="R36" s="60"/>
      <c r="S36" s="60"/>
      <c r="T36" s="393"/>
    </row>
    <row r="37" spans="1:20" ht="15.75" thickBot="1" x14ac:dyDescent="0.3">
      <c r="A37" s="394">
        <v>330</v>
      </c>
      <c r="B37" s="778" t="s">
        <v>110</v>
      </c>
      <c r="C37" s="779"/>
      <c r="D37" s="395">
        <f t="shared" ref="D37:T38" si="8">D38</f>
        <v>0</v>
      </c>
      <c r="E37" s="395">
        <f t="shared" si="8"/>
        <v>0</v>
      </c>
      <c r="F37" s="395">
        <f t="shared" si="8"/>
        <v>0</v>
      </c>
      <c r="G37" s="395">
        <f t="shared" si="8"/>
        <v>0</v>
      </c>
      <c r="H37" s="395">
        <f t="shared" si="8"/>
        <v>0</v>
      </c>
      <c r="I37" s="395">
        <f t="shared" si="8"/>
        <v>57800</v>
      </c>
      <c r="J37" s="396">
        <f t="shared" si="8"/>
        <v>20485</v>
      </c>
      <c r="K37" s="395">
        <f t="shared" si="8"/>
        <v>0</v>
      </c>
      <c r="L37" s="397"/>
      <c r="M37" s="395">
        <f t="shared" si="8"/>
        <v>0</v>
      </c>
      <c r="N37" s="395">
        <f t="shared" si="8"/>
        <v>0</v>
      </c>
      <c r="O37" s="395">
        <f t="shared" si="8"/>
        <v>0</v>
      </c>
      <c r="P37" s="395"/>
      <c r="Q37" s="397">
        <f t="shared" si="8"/>
        <v>0</v>
      </c>
      <c r="R37" s="398">
        <f t="shared" si="8"/>
        <v>0</v>
      </c>
      <c r="S37" s="398">
        <f t="shared" si="8"/>
        <v>0</v>
      </c>
      <c r="T37" s="637">
        <f t="shared" si="8"/>
        <v>0</v>
      </c>
    </row>
    <row r="38" spans="1:20" ht="15.75" thickBot="1" x14ac:dyDescent="0.3">
      <c r="A38" s="780"/>
      <c r="B38" s="373">
        <v>332</v>
      </c>
      <c r="C38" s="77" t="s">
        <v>291</v>
      </c>
      <c r="D38" s="78">
        <f t="shared" si="8"/>
        <v>0</v>
      </c>
      <c r="E38" s="78">
        <f t="shared" si="8"/>
        <v>0</v>
      </c>
      <c r="F38" s="78">
        <f t="shared" si="8"/>
        <v>0</v>
      </c>
      <c r="G38" s="78">
        <f t="shared" si="8"/>
        <v>0</v>
      </c>
      <c r="H38" s="78">
        <f t="shared" si="8"/>
        <v>0</v>
      </c>
      <c r="I38" s="78">
        <f>I39</f>
        <v>57800</v>
      </c>
      <c r="J38" s="82">
        <f>J39</f>
        <v>20485</v>
      </c>
      <c r="K38" s="78">
        <f>K39</f>
        <v>0</v>
      </c>
      <c r="L38" s="87"/>
      <c r="M38" s="78">
        <f>M39</f>
        <v>0</v>
      </c>
      <c r="N38" s="78">
        <f>N39</f>
        <v>0</v>
      </c>
      <c r="O38" s="78">
        <f>O39</f>
        <v>0</v>
      </c>
      <c r="P38" s="78"/>
      <c r="Q38" s="87">
        <f>Q39</f>
        <v>0</v>
      </c>
      <c r="R38" s="82">
        <f>R39</f>
        <v>0</v>
      </c>
      <c r="S38" s="81"/>
      <c r="T38" s="584">
        <f>R38+S38</f>
        <v>0</v>
      </c>
    </row>
    <row r="39" spans="1:20" x14ac:dyDescent="0.25">
      <c r="A39" s="781"/>
      <c r="B39" s="793"/>
      <c r="C39" s="16" t="s">
        <v>292</v>
      </c>
      <c r="D39" s="110"/>
      <c r="E39" s="110"/>
      <c r="F39" s="110"/>
      <c r="G39" s="110"/>
      <c r="H39" s="110"/>
      <c r="I39" s="110">
        <v>57800</v>
      </c>
      <c r="J39" s="18">
        <v>20485</v>
      </c>
      <c r="K39" s="18"/>
      <c r="L39" s="44"/>
      <c r="M39" s="44"/>
      <c r="N39" s="44"/>
      <c r="O39" s="44"/>
      <c r="P39" s="44"/>
      <c r="Q39" s="215"/>
      <c r="R39" s="92"/>
      <c r="S39" s="92"/>
      <c r="T39" s="369">
        <f t="shared" ref="T39:T40" si="9">R39+S39</f>
        <v>0</v>
      </c>
    </row>
    <row r="40" spans="1:20" ht="15.75" thickBot="1" x14ac:dyDescent="0.3">
      <c r="A40" s="781"/>
      <c r="B40" s="794"/>
      <c r="C40" s="174"/>
      <c r="D40" s="88"/>
      <c r="E40" s="88"/>
      <c r="F40" s="88"/>
      <c r="G40" s="88"/>
      <c r="H40" s="88"/>
      <c r="I40" s="88"/>
      <c r="J40" s="88"/>
      <c r="K40" s="90"/>
      <c r="L40" s="90"/>
      <c r="M40" s="90"/>
      <c r="N40" s="90"/>
      <c r="O40" s="90"/>
      <c r="P40" s="90"/>
      <c r="Q40" s="89"/>
      <c r="R40" s="92"/>
      <c r="S40" s="92"/>
      <c r="T40" s="369">
        <f t="shared" si="9"/>
        <v>0</v>
      </c>
    </row>
    <row r="41" spans="1:20" ht="17.25" thickTop="1" thickBot="1" x14ac:dyDescent="0.3">
      <c r="A41" s="399"/>
      <c r="B41" s="400"/>
      <c r="C41" s="360" t="s">
        <v>293</v>
      </c>
      <c r="D41" s="133">
        <f t="shared" ref="D41:R41" si="10">D17+D5</f>
        <v>2113092</v>
      </c>
      <c r="E41" s="133">
        <f t="shared" si="10"/>
        <v>1017958</v>
      </c>
      <c r="F41" s="133">
        <f t="shared" si="10"/>
        <v>1245369</v>
      </c>
      <c r="G41" s="133">
        <f t="shared" si="10"/>
        <v>4391413</v>
      </c>
      <c r="H41" s="133">
        <f t="shared" si="10"/>
        <v>3456141</v>
      </c>
      <c r="I41" s="133">
        <f t="shared" si="10"/>
        <v>4649713</v>
      </c>
      <c r="J41" s="133">
        <f t="shared" si="10"/>
        <v>4502774.0599999996</v>
      </c>
      <c r="K41" s="133">
        <f t="shared" si="10"/>
        <v>3678497</v>
      </c>
      <c r="L41" s="133">
        <f t="shared" si="10"/>
        <v>1218338.5899999999</v>
      </c>
      <c r="M41" s="134">
        <f t="shared" si="10"/>
        <v>550262.29</v>
      </c>
      <c r="N41" s="133">
        <f t="shared" si="10"/>
        <v>447329.30000000005</v>
      </c>
      <c r="O41" s="133">
        <f>O17+O5</f>
        <v>1696241.7999999998</v>
      </c>
      <c r="P41" s="133">
        <f>P17+P5</f>
        <v>2123247.52</v>
      </c>
      <c r="Q41" s="754">
        <f>Q17+Q5</f>
        <v>1526662.64</v>
      </c>
      <c r="R41" s="133">
        <f t="shared" si="10"/>
        <v>2564765</v>
      </c>
      <c r="S41" s="133">
        <f>S17+S5</f>
        <v>73403</v>
      </c>
      <c r="T41" s="639">
        <f>T17+T5</f>
        <v>2638168</v>
      </c>
    </row>
    <row r="42" spans="1:20" ht="15.75" thickTop="1" x14ac:dyDescent="0.25"/>
    <row r="43" spans="1:20" x14ac:dyDescent="0.25">
      <c r="S43" s="190"/>
    </row>
    <row r="44" spans="1:20" x14ac:dyDescent="0.25">
      <c r="S44" s="190"/>
    </row>
    <row r="45" spans="1:20" x14ac:dyDescent="0.25">
      <c r="T45" s="190"/>
    </row>
    <row r="46" spans="1:20" x14ac:dyDescent="0.25">
      <c r="T46" s="190"/>
    </row>
  </sheetData>
  <mergeCells count="33">
    <mergeCell ref="B37:C37"/>
    <mergeCell ref="A38:A40"/>
    <mergeCell ref="B39:B40"/>
    <mergeCell ref="B5:C5"/>
    <mergeCell ref="B6:C6"/>
    <mergeCell ref="A7:A16"/>
    <mergeCell ref="B8:B10"/>
    <mergeCell ref="B12:B16"/>
    <mergeCell ref="R3:R4"/>
    <mergeCell ref="A19:A36"/>
    <mergeCell ref="T3:T4"/>
    <mergeCell ref="B17:C17"/>
    <mergeCell ref="B18:C18"/>
    <mergeCell ref="K3:K4"/>
    <mergeCell ref="L3:L4"/>
    <mergeCell ref="F3:F4"/>
    <mergeCell ref="J3:J4"/>
    <mergeCell ref="G3:G4"/>
    <mergeCell ref="M3:M4"/>
    <mergeCell ref="N3:N4"/>
    <mergeCell ref="O3:O4"/>
    <mergeCell ref="P3:P4"/>
    <mergeCell ref="Q3:Q4"/>
    <mergeCell ref="A1:C1"/>
    <mergeCell ref="A2:C2"/>
    <mergeCell ref="B20:B36"/>
    <mergeCell ref="H3:H4"/>
    <mergeCell ref="I3:I4"/>
    <mergeCell ref="A3:A4"/>
    <mergeCell ref="B3:B4"/>
    <mergeCell ref="C3:C4"/>
    <mergeCell ref="D3:D4"/>
    <mergeCell ref="E3:E4"/>
  </mergeCells>
  <pageMargins left="0.11811023622047245" right="0.11811023622047245" top="0.55118110236220474" bottom="0.74803149606299213" header="0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zoomScaleNormal="100" workbookViewId="0">
      <selection activeCell="C138" sqref="C138"/>
    </sheetView>
  </sheetViews>
  <sheetFormatPr defaultRowHeight="15" x14ac:dyDescent="0.25"/>
  <cols>
    <col min="1" max="1" width="10.85546875" customWidth="1"/>
    <col min="2" max="2" width="8.5703125" customWidth="1"/>
    <col min="3" max="3" width="31.140625" customWidth="1"/>
    <col min="4" max="11" width="9.140625" hidden="1" customWidth="1"/>
    <col min="12" max="12" width="14.42578125" hidden="1" customWidth="1"/>
    <col min="13" max="14" width="14.7109375" hidden="1" customWidth="1"/>
    <col min="15" max="16" width="15.28515625" hidden="1" customWidth="1"/>
    <col min="17" max="17" width="11.42578125" customWidth="1"/>
    <col min="18" max="18" width="11.5703125" customWidth="1"/>
    <col min="19" max="19" width="11.85546875" customWidth="1"/>
    <col min="20" max="20" width="11.5703125" customWidth="1"/>
    <col min="21" max="21" width="12.42578125" customWidth="1"/>
    <col min="23" max="23" width="7.5703125" customWidth="1"/>
    <col min="24" max="25" width="10.5703125" customWidth="1"/>
    <col min="26" max="26" width="12.28515625" customWidth="1"/>
    <col min="250" max="250" width="10.85546875" customWidth="1"/>
    <col min="252" max="252" width="34.140625" customWidth="1"/>
    <col min="253" max="264" width="0" hidden="1" customWidth="1"/>
    <col min="265" max="266" width="15.28515625" customWidth="1"/>
    <col min="267" max="267" width="13.7109375" customWidth="1"/>
    <col min="268" max="268" width="10.5703125" customWidth="1"/>
    <col min="269" max="270" width="14.140625" customWidth="1"/>
    <col min="273" max="273" width="11.28515625" customWidth="1"/>
    <col min="506" max="506" width="10.85546875" customWidth="1"/>
    <col min="508" max="508" width="34.140625" customWidth="1"/>
    <col min="509" max="520" width="0" hidden="1" customWidth="1"/>
    <col min="521" max="522" width="15.28515625" customWidth="1"/>
    <col min="523" max="523" width="13.7109375" customWidth="1"/>
    <col min="524" max="524" width="10.5703125" customWidth="1"/>
    <col min="525" max="526" width="14.140625" customWidth="1"/>
    <col min="529" max="529" width="11.28515625" customWidth="1"/>
    <col min="762" max="762" width="10.85546875" customWidth="1"/>
    <col min="764" max="764" width="34.140625" customWidth="1"/>
    <col min="765" max="776" width="0" hidden="1" customWidth="1"/>
    <col min="777" max="778" width="15.28515625" customWidth="1"/>
    <col min="779" max="779" width="13.7109375" customWidth="1"/>
    <col min="780" max="780" width="10.5703125" customWidth="1"/>
    <col min="781" max="782" width="14.140625" customWidth="1"/>
    <col min="785" max="785" width="11.28515625" customWidth="1"/>
    <col min="1018" max="1018" width="10.85546875" customWidth="1"/>
    <col min="1020" max="1020" width="34.140625" customWidth="1"/>
    <col min="1021" max="1032" width="0" hidden="1" customWidth="1"/>
    <col min="1033" max="1034" width="15.28515625" customWidth="1"/>
    <col min="1035" max="1035" width="13.7109375" customWidth="1"/>
    <col min="1036" max="1036" width="10.5703125" customWidth="1"/>
    <col min="1037" max="1038" width="14.140625" customWidth="1"/>
    <col min="1041" max="1041" width="11.28515625" customWidth="1"/>
    <col min="1274" max="1274" width="10.85546875" customWidth="1"/>
    <col min="1276" max="1276" width="34.140625" customWidth="1"/>
    <col min="1277" max="1288" width="0" hidden="1" customWidth="1"/>
    <col min="1289" max="1290" width="15.28515625" customWidth="1"/>
    <col min="1291" max="1291" width="13.7109375" customWidth="1"/>
    <col min="1292" max="1292" width="10.5703125" customWidth="1"/>
    <col min="1293" max="1294" width="14.140625" customWidth="1"/>
    <col min="1297" max="1297" width="11.28515625" customWidth="1"/>
    <col min="1530" max="1530" width="10.85546875" customWidth="1"/>
    <col min="1532" max="1532" width="34.140625" customWidth="1"/>
    <col min="1533" max="1544" width="0" hidden="1" customWidth="1"/>
    <col min="1545" max="1546" width="15.28515625" customWidth="1"/>
    <col min="1547" max="1547" width="13.7109375" customWidth="1"/>
    <col min="1548" max="1548" width="10.5703125" customWidth="1"/>
    <col min="1549" max="1550" width="14.140625" customWidth="1"/>
    <col min="1553" max="1553" width="11.28515625" customWidth="1"/>
    <col min="1786" max="1786" width="10.85546875" customWidth="1"/>
    <col min="1788" max="1788" width="34.140625" customWidth="1"/>
    <col min="1789" max="1800" width="0" hidden="1" customWidth="1"/>
    <col min="1801" max="1802" width="15.28515625" customWidth="1"/>
    <col min="1803" max="1803" width="13.7109375" customWidth="1"/>
    <col min="1804" max="1804" width="10.5703125" customWidth="1"/>
    <col min="1805" max="1806" width="14.140625" customWidth="1"/>
    <col min="1809" max="1809" width="11.28515625" customWidth="1"/>
    <col min="2042" max="2042" width="10.85546875" customWidth="1"/>
    <col min="2044" max="2044" width="34.140625" customWidth="1"/>
    <col min="2045" max="2056" width="0" hidden="1" customWidth="1"/>
    <col min="2057" max="2058" width="15.28515625" customWidth="1"/>
    <col min="2059" max="2059" width="13.7109375" customWidth="1"/>
    <col min="2060" max="2060" width="10.5703125" customWidth="1"/>
    <col min="2061" max="2062" width="14.140625" customWidth="1"/>
    <col min="2065" max="2065" width="11.28515625" customWidth="1"/>
    <col min="2298" max="2298" width="10.85546875" customWidth="1"/>
    <col min="2300" max="2300" width="34.140625" customWidth="1"/>
    <col min="2301" max="2312" width="0" hidden="1" customWidth="1"/>
    <col min="2313" max="2314" width="15.28515625" customWidth="1"/>
    <col min="2315" max="2315" width="13.7109375" customWidth="1"/>
    <col min="2316" max="2316" width="10.5703125" customWidth="1"/>
    <col min="2317" max="2318" width="14.140625" customWidth="1"/>
    <col min="2321" max="2321" width="11.28515625" customWidth="1"/>
    <col min="2554" max="2554" width="10.85546875" customWidth="1"/>
    <col min="2556" max="2556" width="34.140625" customWidth="1"/>
    <col min="2557" max="2568" width="0" hidden="1" customWidth="1"/>
    <col min="2569" max="2570" width="15.28515625" customWidth="1"/>
    <col min="2571" max="2571" width="13.7109375" customWidth="1"/>
    <col min="2572" max="2572" width="10.5703125" customWidth="1"/>
    <col min="2573" max="2574" width="14.140625" customWidth="1"/>
    <col min="2577" max="2577" width="11.28515625" customWidth="1"/>
    <col min="2810" max="2810" width="10.85546875" customWidth="1"/>
    <col min="2812" max="2812" width="34.140625" customWidth="1"/>
    <col min="2813" max="2824" width="0" hidden="1" customWidth="1"/>
    <col min="2825" max="2826" width="15.28515625" customWidth="1"/>
    <col min="2827" max="2827" width="13.7109375" customWidth="1"/>
    <col min="2828" max="2828" width="10.5703125" customWidth="1"/>
    <col min="2829" max="2830" width="14.140625" customWidth="1"/>
    <col min="2833" max="2833" width="11.28515625" customWidth="1"/>
    <col min="3066" max="3066" width="10.85546875" customWidth="1"/>
    <col min="3068" max="3068" width="34.140625" customWidth="1"/>
    <col min="3069" max="3080" width="0" hidden="1" customWidth="1"/>
    <col min="3081" max="3082" width="15.28515625" customWidth="1"/>
    <col min="3083" max="3083" width="13.7109375" customWidth="1"/>
    <col min="3084" max="3084" width="10.5703125" customWidth="1"/>
    <col min="3085" max="3086" width="14.140625" customWidth="1"/>
    <col min="3089" max="3089" width="11.28515625" customWidth="1"/>
    <col min="3322" max="3322" width="10.85546875" customWidth="1"/>
    <col min="3324" max="3324" width="34.140625" customWidth="1"/>
    <col min="3325" max="3336" width="0" hidden="1" customWidth="1"/>
    <col min="3337" max="3338" width="15.28515625" customWidth="1"/>
    <col min="3339" max="3339" width="13.7109375" customWidth="1"/>
    <col min="3340" max="3340" width="10.5703125" customWidth="1"/>
    <col min="3341" max="3342" width="14.140625" customWidth="1"/>
    <col min="3345" max="3345" width="11.28515625" customWidth="1"/>
    <col min="3578" max="3578" width="10.85546875" customWidth="1"/>
    <col min="3580" max="3580" width="34.140625" customWidth="1"/>
    <col min="3581" max="3592" width="0" hidden="1" customWidth="1"/>
    <col min="3593" max="3594" width="15.28515625" customWidth="1"/>
    <col min="3595" max="3595" width="13.7109375" customWidth="1"/>
    <col min="3596" max="3596" width="10.5703125" customWidth="1"/>
    <col min="3597" max="3598" width="14.140625" customWidth="1"/>
    <col min="3601" max="3601" width="11.28515625" customWidth="1"/>
    <col min="3834" max="3834" width="10.85546875" customWidth="1"/>
    <col min="3836" max="3836" width="34.140625" customWidth="1"/>
    <col min="3837" max="3848" width="0" hidden="1" customWidth="1"/>
    <col min="3849" max="3850" width="15.28515625" customWidth="1"/>
    <col min="3851" max="3851" width="13.7109375" customWidth="1"/>
    <col min="3852" max="3852" width="10.5703125" customWidth="1"/>
    <col min="3853" max="3854" width="14.140625" customWidth="1"/>
    <col min="3857" max="3857" width="11.28515625" customWidth="1"/>
    <col min="4090" max="4090" width="10.85546875" customWidth="1"/>
    <col min="4092" max="4092" width="34.140625" customWidth="1"/>
    <col min="4093" max="4104" width="0" hidden="1" customWidth="1"/>
    <col min="4105" max="4106" width="15.28515625" customWidth="1"/>
    <col min="4107" max="4107" width="13.7109375" customWidth="1"/>
    <col min="4108" max="4108" width="10.5703125" customWidth="1"/>
    <col min="4109" max="4110" width="14.140625" customWidth="1"/>
    <col min="4113" max="4113" width="11.28515625" customWidth="1"/>
    <col min="4346" max="4346" width="10.85546875" customWidth="1"/>
    <col min="4348" max="4348" width="34.140625" customWidth="1"/>
    <col min="4349" max="4360" width="0" hidden="1" customWidth="1"/>
    <col min="4361" max="4362" width="15.28515625" customWidth="1"/>
    <col min="4363" max="4363" width="13.7109375" customWidth="1"/>
    <col min="4364" max="4364" width="10.5703125" customWidth="1"/>
    <col min="4365" max="4366" width="14.140625" customWidth="1"/>
    <col min="4369" max="4369" width="11.28515625" customWidth="1"/>
    <col min="4602" max="4602" width="10.85546875" customWidth="1"/>
    <col min="4604" max="4604" width="34.140625" customWidth="1"/>
    <col min="4605" max="4616" width="0" hidden="1" customWidth="1"/>
    <col min="4617" max="4618" width="15.28515625" customWidth="1"/>
    <col min="4619" max="4619" width="13.7109375" customWidth="1"/>
    <col min="4620" max="4620" width="10.5703125" customWidth="1"/>
    <col min="4621" max="4622" width="14.140625" customWidth="1"/>
    <col min="4625" max="4625" width="11.28515625" customWidth="1"/>
    <col min="4858" max="4858" width="10.85546875" customWidth="1"/>
    <col min="4860" max="4860" width="34.140625" customWidth="1"/>
    <col min="4861" max="4872" width="0" hidden="1" customWidth="1"/>
    <col min="4873" max="4874" width="15.28515625" customWidth="1"/>
    <col min="4875" max="4875" width="13.7109375" customWidth="1"/>
    <col min="4876" max="4876" width="10.5703125" customWidth="1"/>
    <col min="4877" max="4878" width="14.140625" customWidth="1"/>
    <col min="4881" max="4881" width="11.28515625" customWidth="1"/>
    <col min="5114" max="5114" width="10.85546875" customWidth="1"/>
    <col min="5116" max="5116" width="34.140625" customWidth="1"/>
    <col min="5117" max="5128" width="0" hidden="1" customWidth="1"/>
    <col min="5129" max="5130" width="15.28515625" customWidth="1"/>
    <col min="5131" max="5131" width="13.7109375" customWidth="1"/>
    <col min="5132" max="5132" width="10.5703125" customWidth="1"/>
    <col min="5133" max="5134" width="14.140625" customWidth="1"/>
    <col min="5137" max="5137" width="11.28515625" customWidth="1"/>
    <col min="5370" max="5370" width="10.85546875" customWidth="1"/>
    <col min="5372" max="5372" width="34.140625" customWidth="1"/>
    <col min="5373" max="5384" width="0" hidden="1" customWidth="1"/>
    <col min="5385" max="5386" width="15.28515625" customWidth="1"/>
    <col min="5387" max="5387" width="13.7109375" customWidth="1"/>
    <col min="5388" max="5388" width="10.5703125" customWidth="1"/>
    <col min="5389" max="5390" width="14.140625" customWidth="1"/>
    <col min="5393" max="5393" width="11.28515625" customWidth="1"/>
    <col min="5626" max="5626" width="10.85546875" customWidth="1"/>
    <col min="5628" max="5628" width="34.140625" customWidth="1"/>
    <col min="5629" max="5640" width="0" hidden="1" customWidth="1"/>
    <col min="5641" max="5642" width="15.28515625" customWidth="1"/>
    <col min="5643" max="5643" width="13.7109375" customWidth="1"/>
    <col min="5644" max="5644" width="10.5703125" customWidth="1"/>
    <col min="5645" max="5646" width="14.140625" customWidth="1"/>
    <col min="5649" max="5649" width="11.28515625" customWidth="1"/>
    <col min="5882" max="5882" width="10.85546875" customWidth="1"/>
    <col min="5884" max="5884" width="34.140625" customWidth="1"/>
    <col min="5885" max="5896" width="0" hidden="1" customWidth="1"/>
    <col min="5897" max="5898" width="15.28515625" customWidth="1"/>
    <col min="5899" max="5899" width="13.7109375" customWidth="1"/>
    <col min="5900" max="5900" width="10.5703125" customWidth="1"/>
    <col min="5901" max="5902" width="14.140625" customWidth="1"/>
    <col min="5905" max="5905" width="11.28515625" customWidth="1"/>
    <col min="6138" max="6138" width="10.85546875" customWidth="1"/>
    <col min="6140" max="6140" width="34.140625" customWidth="1"/>
    <col min="6141" max="6152" width="0" hidden="1" customWidth="1"/>
    <col min="6153" max="6154" width="15.28515625" customWidth="1"/>
    <col min="6155" max="6155" width="13.7109375" customWidth="1"/>
    <col min="6156" max="6156" width="10.5703125" customWidth="1"/>
    <col min="6157" max="6158" width="14.140625" customWidth="1"/>
    <col min="6161" max="6161" width="11.28515625" customWidth="1"/>
    <col min="6394" max="6394" width="10.85546875" customWidth="1"/>
    <col min="6396" max="6396" width="34.140625" customWidth="1"/>
    <col min="6397" max="6408" width="0" hidden="1" customWidth="1"/>
    <col min="6409" max="6410" width="15.28515625" customWidth="1"/>
    <col min="6411" max="6411" width="13.7109375" customWidth="1"/>
    <col min="6412" max="6412" width="10.5703125" customWidth="1"/>
    <col min="6413" max="6414" width="14.140625" customWidth="1"/>
    <col min="6417" max="6417" width="11.28515625" customWidth="1"/>
    <col min="6650" max="6650" width="10.85546875" customWidth="1"/>
    <col min="6652" max="6652" width="34.140625" customWidth="1"/>
    <col min="6653" max="6664" width="0" hidden="1" customWidth="1"/>
    <col min="6665" max="6666" width="15.28515625" customWidth="1"/>
    <col min="6667" max="6667" width="13.7109375" customWidth="1"/>
    <col min="6668" max="6668" width="10.5703125" customWidth="1"/>
    <col min="6669" max="6670" width="14.140625" customWidth="1"/>
    <col min="6673" max="6673" width="11.28515625" customWidth="1"/>
    <col min="6906" max="6906" width="10.85546875" customWidth="1"/>
    <col min="6908" max="6908" width="34.140625" customWidth="1"/>
    <col min="6909" max="6920" width="0" hidden="1" customWidth="1"/>
    <col min="6921" max="6922" width="15.28515625" customWidth="1"/>
    <col min="6923" max="6923" width="13.7109375" customWidth="1"/>
    <col min="6924" max="6924" width="10.5703125" customWidth="1"/>
    <col min="6925" max="6926" width="14.140625" customWidth="1"/>
    <col min="6929" max="6929" width="11.28515625" customWidth="1"/>
    <col min="7162" max="7162" width="10.85546875" customWidth="1"/>
    <col min="7164" max="7164" width="34.140625" customWidth="1"/>
    <col min="7165" max="7176" width="0" hidden="1" customWidth="1"/>
    <col min="7177" max="7178" width="15.28515625" customWidth="1"/>
    <col min="7179" max="7179" width="13.7109375" customWidth="1"/>
    <col min="7180" max="7180" width="10.5703125" customWidth="1"/>
    <col min="7181" max="7182" width="14.140625" customWidth="1"/>
    <col min="7185" max="7185" width="11.28515625" customWidth="1"/>
    <col min="7418" max="7418" width="10.85546875" customWidth="1"/>
    <col min="7420" max="7420" width="34.140625" customWidth="1"/>
    <col min="7421" max="7432" width="0" hidden="1" customWidth="1"/>
    <col min="7433" max="7434" width="15.28515625" customWidth="1"/>
    <col min="7435" max="7435" width="13.7109375" customWidth="1"/>
    <col min="7436" max="7436" width="10.5703125" customWidth="1"/>
    <col min="7437" max="7438" width="14.140625" customWidth="1"/>
    <col min="7441" max="7441" width="11.28515625" customWidth="1"/>
    <col min="7674" max="7674" width="10.85546875" customWidth="1"/>
    <col min="7676" max="7676" width="34.140625" customWidth="1"/>
    <col min="7677" max="7688" width="0" hidden="1" customWidth="1"/>
    <col min="7689" max="7690" width="15.28515625" customWidth="1"/>
    <col min="7691" max="7691" width="13.7109375" customWidth="1"/>
    <col min="7692" max="7692" width="10.5703125" customWidth="1"/>
    <col min="7693" max="7694" width="14.140625" customWidth="1"/>
    <col min="7697" max="7697" width="11.28515625" customWidth="1"/>
    <col min="7930" max="7930" width="10.85546875" customWidth="1"/>
    <col min="7932" max="7932" width="34.140625" customWidth="1"/>
    <col min="7933" max="7944" width="0" hidden="1" customWidth="1"/>
    <col min="7945" max="7946" width="15.28515625" customWidth="1"/>
    <col min="7947" max="7947" width="13.7109375" customWidth="1"/>
    <col min="7948" max="7948" width="10.5703125" customWidth="1"/>
    <col min="7949" max="7950" width="14.140625" customWidth="1"/>
    <col min="7953" max="7953" width="11.28515625" customWidth="1"/>
    <col min="8186" max="8186" width="10.85546875" customWidth="1"/>
    <col min="8188" max="8188" width="34.140625" customWidth="1"/>
    <col min="8189" max="8200" width="0" hidden="1" customWidth="1"/>
    <col min="8201" max="8202" width="15.28515625" customWidth="1"/>
    <col min="8203" max="8203" width="13.7109375" customWidth="1"/>
    <col min="8204" max="8204" width="10.5703125" customWidth="1"/>
    <col min="8205" max="8206" width="14.140625" customWidth="1"/>
    <col min="8209" max="8209" width="11.28515625" customWidth="1"/>
    <col min="8442" max="8442" width="10.85546875" customWidth="1"/>
    <col min="8444" max="8444" width="34.140625" customWidth="1"/>
    <col min="8445" max="8456" width="0" hidden="1" customWidth="1"/>
    <col min="8457" max="8458" width="15.28515625" customWidth="1"/>
    <col min="8459" max="8459" width="13.7109375" customWidth="1"/>
    <col min="8460" max="8460" width="10.5703125" customWidth="1"/>
    <col min="8461" max="8462" width="14.140625" customWidth="1"/>
    <col min="8465" max="8465" width="11.28515625" customWidth="1"/>
    <col min="8698" max="8698" width="10.85546875" customWidth="1"/>
    <col min="8700" max="8700" width="34.140625" customWidth="1"/>
    <col min="8701" max="8712" width="0" hidden="1" customWidth="1"/>
    <col min="8713" max="8714" width="15.28515625" customWidth="1"/>
    <col min="8715" max="8715" width="13.7109375" customWidth="1"/>
    <col min="8716" max="8716" width="10.5703125" customWidth="1"/>
    <col min="8717" max="8718" width="14.140625" customWidth="1"/>
    <col min="8721" max="8721" width="11.28515625" customWidth="1"/>
    <col min="8954" max="8954" width="10.85546875" customWidth="1"/>
    <col min="8956" max="8956" width="34.140625" customWidth="1"/>
    <col min="8957" max="8968" width="0" hidden="1" customWidth="1"/>
    <col min="8969" max="8970" width="15.28515625" customWidth="1"/>
    <col min="8971" max="8971" width="13.7109375" customWidth="1"/>
    <col min="8972" max="8972" width="10.5703125" customWidth="1"/>
    <col min="8973" max="8974" width="14.140625" customWidth="1"/>
    <col min="8977" max="8977" width="11.28515625" customWidth="1"/>
    <col min="9210" max="9210" width="10.85546875" customWidth="1"/>
    <col min="9212" max="9212" width="34.140625" customWidth="1"/>
    <col min="9213" max="9224" width="0" hidden="1" customWidth="1"/>
    <col min="9225" max="9226" width="15.28515625" customWidth="1"/>
    <col min="9227" max="9227" width="13.7109375" customWidth="1"/>
    <col min="9228" max="9228" width="10.5703125" customWidth="1"/>
    <col min="9229" max="9230" width="14.140625" customWidth="1"/>
    <col min="9233" max="9233" width="11.28515625" customWidth="1"/>
    <col min="9466" max="9466" width="10.85546875" customWidth="1"/>
    <col min="9468" max="9468" width="34.140625" customWidth="1"/>
    <col min="9469" max="9480" width="0" hidden="1" customWidth="1"/>
    <col min="9481" max="9482" width="15.28515625" customWidth="1"/>
    <col min="9483" max="9483" width="13.7109375" customWidth="1"/>
    <col min="9484" max="9484" width="10.5703125" customWidth="1"/>
    <col min="9485" max="9486" width="14.140625" customWidth="1"/>
    <col min="9489" max="9489" width="11.28515625" customWidth="1"/>
    <col min="9722" max="9722" width="10.85546875" customWidth="1"/>
    <col min="9724" max="9724" width="34.140625" customWidth="1"/>
    <col min="9725" max="9736" width="0" hidden="1" customWidth="1"/>
    <col min="9737" max="9738" width="15.28515625" customWidth="1"/>
    <col min="9739" max="9739" width="13.7109375" customWidth="1"/>
    <col min="9740" max="9740" width="10.5703125" customWidth="1"/>
    <col min="9741" max="9742" width="14.140625" customWidth="1"/>
    <col min="9745" max="9745" width="11.28515625" customWidth="1"/>
    <col min="9978" max="9978" width="10.85546875" customWidth="1"/>
    <col min="9980" max="9980" width="34.140625" customWidth="1"/>
    <col min="9981" max="9992" width="0" hidden="1" customWidth="1"/>
    <col min="9993" max="9994" width="15.28515625" customWidth="1"/>
    <col min="9995" max="9995" width="13.7109375" customWidth="1"/>
    <col min="9996" max="9996" width="10.5703125" customWidth="1"/>
    <col min="9997" max="9998" width="14.140625" customWidth="1"/>
    <col min="10001" max="10001" width="11.28515625" customWidth="1"/>
    <col min="10234" max="10234" width="10.85546875" customWidth="1"/>
    <col min="10236" max="10236" width="34.140625" customWidth="1"/>
    <col min="10237" max="10248" width="0" hidden="1" customWidth="1"/>
    <col min="10249" max="10250" width="15.28515625" customWidth="1"/>
    <col min="10251" max="10251" width="13.7109375" customWidth="1"/>
    <col min="10252" max="10252" width="10.5703125" customWidth="1"/>
    <col min="10253" max="10254" width="14.140625" customWidth="1"/>
    <col min="10257" max="10257" width="11.28515625" customWidth="1"/>
    <col min="10490" max="10490" width="10.85546875" customWidth="1"/>
    <col min="10492" max="10492" width="34.140625" customWidth="1"/>
    <col min="10493" max="10504" width="0" hidden="1" customWidth="1"/>
    <col min="10505" max="10506" width="15.28515625" customWidth="1"/>
    <col min="10507" max="10507" width="13.7109375" customWidth="1"/>
    <col min="10508" max="10508" width="10.5703125" customWidth="1"/>
    <col min="10509" max="10510" width="14.140625" customWidth="1"/>
    <col min="10513" max="10513" width="11.28515625" customWidth="1"/>
    <col min="10746" max="10746" width="10.85546875" customWidth="1"/>
    <col min="10748" max="10748" width="34.140625" customWidth="1"/>
    <col min="10749" max="10760" width="0" hidden="1" customWidth="1"/>
    <col min="10761" max="10762" width="15.28515625" customWidth="1"/>
    <col min="10763" max="10763" width="13.7109375" customWidth="1"/>
    <col min="10764" max="10764" width="10.5703125" customWidth="1"/>
    <col min="10765" max="10766" width="14.140625" customWidth="1"/>
    <col min="10769" max="10769" width="11.28515625" customWidth="1"/>
    <col min="11002" max="11002" width="10.85546875" customWidth="1"/>
    <col min="11004" max="11004" width="34.140625" customWidth="1"/>
    <col min="11005" max="11016" width="0" hidden="1" customWidth="1"/>
    <col min="11017" max="11018" width="15.28515625" customWidth="1"/>
    <col min="11019" max="11019" width="13.7109375" customWidth="1"/>
    <col min="11020" max="11020" width="10.5703125" customWidth="1"/>
    <col min="11021" max="11022" width="14.140625" customWidth="1"/>
    <col min="11025" max="11025" width="11.28515625" customWidth="1"/>
    <col min="11258" max="11258" width="10.85546875" customWidth="1"/>
    <col min="11260" max="11260" width="34.140625" customWidth="1"/>
    <col min="11261" max="11272" width="0" hidden="1" customWidth="1"/>
    <col min="11273" max="11274" width="15.28515625" customWidth="1"/>
    <col min="11275" max="11275" width="13.7109375" customWidth="1"/>
    <col min="11276" max="11276" width="10.5703125" customWidth="1"/>
    <col min="11277" max="11278" width="14.140625" customWidth="1"/>
    <col min="11281" max="11281" width="11.28515625" customWidth="1"/>
    <col min="11514" max="11514" width="10.85546875" customWidth="1"/>
    <col min="11516" max="11516" width="34.140625" customWidth="1"/>
    <col min="11517" max="11528" width="0" hidden="1" customWidth="1"/>
    <col min="11529" max="11530" width="15.28515625" customWidth="1"/>
    <col min="11531" max="11531" width="13.7109375" customWidth="1"/>
    <col min="11532" max="11532" width="10.5703125" customWidth="1"/>
    <col min="11533" max="11534" width="14.140625" customWidth="1"/>
    <col min="11537" max="11537" width="11.28515625" customWidth="1"/>
    <col min="11770" max="11770" width="10.85546875" customWidth="1"/>
    <col min="11772" max="11772" width="34.140625" customWidth="1"/>
    <col min="11773" max="11784" width="0" hidden="1" customWidth="1"/>
    <col min="11785" max="11786" width="15.28515625" customWidth="1"/>
    <col min="11787" max="11787" width="13.7109375" customWidth="1"/>
    <col min="11788" max="11788" width="10.5703125" customWidth="1"/>
    <col min="11789" max="11790" width="14.140625" customWidth="1"/>
    <col min="11793" max="11793" width="11.28515625" customWidth="1"/>
    <col min="12026" max="12026" width="10.85546875" customWidth="1"/>
    <col min="12028" max="12028" width="34.140625" customWidth="1"/>
    <col min="12029" max="12040" width="0" hidden="1" customWidth="1"/>
    <col min="12041" max="12042" width="15.28515625" customWidth="1"/>
    <col min="12043" max="12043" width="13.7109375" customWidth="1"/>
    <col min="12044" max="12044" width="10.5703125" customWidth="1"/>
    <col min="12045" max="12046" width="14.140625" customWidth="1"/>
    <col min="12049" max="12049" width="11.28515625" customWidth="1"/>
    <col min="12282" max="12282" width="10.85546875" customWidth="1"/>
    <col min="12284" max="12284" width="34.140625" customWidth="1"/>
    <col min="12285" max="12296" width="0" hidden="1" customWidth="1"/>
    <col min="12297" max="12298" width="15.28515625" customWidth="1"/>
    <col min="12299" max="12299" width="13.7109375" customWidth="1"/>
    <col min="12300" max="12300" width="10.5703125" customWidth="1"/>
    <col min="12301" max="12302" width="14.140625" customWidth="1"/>
    <col min="12305" max="12305" width="11.28515625" customWidth="1"/>
    <col min="12538" max="12538" width="10.85546875" customWidth="1"/>
    <col min="12540" max="12540" width="34.140625" customWidth="1"/>
    <col min="12541" max="12552" width="0" hidden="1" customWidth="1"/>
    <col min="12553" max="12554" width="15.28515625" customWidth="1"/>
    <col min="12555" max="12555" width="13.7109375" customWidth="1"/>
    <col min="12556" max="12556" width="10.5703125" customWidth="1"/>
    <col min="12557" max="12558" width="14.140625" customWidth="1"/>
    <col min="12561" max="12561" width="11.28515625" customWidth="1"/>
    <col min="12794" max="12794" width="10.85546875" customWidth="1"/>
    <col min="12796" max="12796" width="34.140625" customWidth="1"/>
    <col min="12797" max="12808" width="0" hidden="1" customWidth="1"/>
    <col min="12809" max="12810" width="15.28515625" customWidth="1"/>
    <col min="12811" max="12811" width="13.7109375" customWidth="1"/>
    <col min="12812" max="12812" width="10.5703125" customWidth="1"/>
    <col min="12813" max="12814" width="14.140625" customWidth="1"/>
    <col min="12817" max="12817" width="11.28515625" customWidth="1"/>
    <col min="13050" max="13050" width="10.85546875" customWidth="1"/>
    <col min="13052" max="13052" width="34.140625" customWidth="1"/>
    <col min="13053" max="13064" width="0" hidden="1" customWidth="1"/>
    <col min="13065" max="13066" width="15.28515625" customWidth="1"/>
    <col min="13067" max="13067" width="13.7109375" customWidth="1"/>
    <col min="13068" max="13068" width="10.5703125" customWidth="1"/>
    <col min="13069" max="13070" width="14.140625" customWidth="1"/>
    <col min="13073" max="13073" width="11.28515625" customWidth="1"/>
    <col min="13306" max="13306" width="10.85546875" customWidth="1"/>
    <col min="13308" max="13308" width="34.140625" customWidth="1"/>
    <col min="13309" max="13320" width="0" hidden="1" customWidth="1"/>
    <col min="13321" max="13322" width="15.28515625" customWidth="1"/>
    <col min="13323" max="13323" width="13.7109375" customWidth="1"/>
    <col min="13324" max="13324" width="10.5703125" customWidth="1"/>
    <col min="13325" max="13326" width="14.140625" customWidth="1"/>
    <col min="13329" max="13329" width="11.28515625" customWidth="1"/>
    <col min="13562" max="13562" width="10.85546875" customWidth="1"/>
    <col min="13564" max="13564" width="34.140625" customWidth="1"/>
    <col min="13565" max="13576" width="0" hidden="1" customWidth="1"/>
    <col min="13577" max="13578" width="15.28515625" customWidth="1"/>
    <col min="13579" max="13579" width="13.7109375" customWidth="1"/>
    <col min="13580" max="13580" width="10.5703125" customWidth="1"/>
    <col min="13581" max="13582" width="14.140625" customWidth="1"/>
    <col min="13585" max="13585" width="11.28515625" customWidth="1"/>
    <col min="13818" max="13818" width="10.85546875" customWidth="1"/>
    <col min="13820" max="13820" width="34.140625" customWidth="1"/>
    <col min="13821" max="13832" width="0" hidden="1" customWidth="1"/>
    <col min="13833" max="13834" width="15.28515625" customWidth="1"/>
    <col min="13835" max="13835" width="13.7109375" customWidth="1"/>
    <col min="13836" max="13836" width="10.5703125" customWidth="1"/>
    <col min="13837" max="13838" width="14.140625" customWidth="1"/>
    <col min="13841" max="13841" width="11.28515625" customWidth="1"/>
    <col min="14074" max="14074" width="10.85546875" customWidth="1"/>
    <col min="14076" max="14076" width="34.140625" customWidth="1"/>
    <col min="14077" max="14088" width="0" hidden="1" customWidth="1"/>
    <col min="14089" max="14090" width="15.28515625" customWidth="1"/>
    <col min="14091" max="14091" width="13.7109375" customWidth="1"/>
    <col min="14092" max="14092" width="10.5703125" customWidth="1"/>
    <col min="14093" max="14094" width="14.140625" customWidth="1"/>
    <col min="14097" max="14097" width="11.28515625" customWidth="1"/>
    <col min="14330" max="14330" width="10.85546875" customWidth="1"/>
    <col min="14332" max="14332" width="34.140625" customWidth="1"/>
    <col min="14333" max="14344" width="0" hidden="1" customWidth="1"/>
    <col min="14345" max="14346" width="15.28515625" customWidth="1"/>
    <col min="14347" max="14347" width="13.7109375" customWidth="1"/>
    <col min="14348" max="14348" width="10.5703125" customWidth="1"/>
    <col min="14349" max="14350" width="14.140625" customWidth="1"/>
    <col min="14353" max="14353" width="11.28515625" customWidth="1"/>
    <col min="14586" max="14586" width="10.85546875" customWidth="1"/>
    <col min="14588" max="14588" width="34.140625" customWidth="1"/>
    <col min="14589" max="14600" width="0" hidden="1" customWidth="1"/>
    <col min="14601" max="14602" width="15.28515625" customWidth="1"/>
    <col min="14603" max="14603" width="13.7109375" customWidth="1"/>
    <col min="14604" max="14604" width="10.5703125" customWidth="1"/>
    <col min="14605" max="14606" width="14.140625" customWidth="1"/>
    <col min="14609" max="14609" width="11.28515625" customWidth="1"/>
    <col min="14842" max="14842" width="10.85546875" customWidth="1"/>
    <col min="14844" max="14844" width="34.140625" customWidth="1"/>
    <col min="14845" max="14856" width="0" hidden="1" customWidth="1"/>
    <col min="14857" max="14858" width="15.28515625" customWidth="1"/>
    <col min="14859" max="14859" width="13.7109375" customWidth="1"/>
    <col min="14860" max="14860" width="10.5703125" customWidth="1"/>
    <col min="14861" max="14862" width="14.140625" customWidth="1"/>
    <col min="14865" max="14865" width="11.28515625" customWidth="1"/>
    <col min="15098" max="15098" width="10.85546875" customWidth="1"/>
    <col min="15100" max="15100" width="34.140625" customWidth="1"/>
    <col min="15101" max="15112" width="0" hidden="1" customWidth="1"/>
    <col min="15113" max="15114" width="15.28515625" customWidth="1"/>
    <col min="15115" max="15115" width="13.7109375" customWidth="1"/>
    <col min="15116" max="15116" width="10.5703125" customWidth="1"/>
    <col min="15117" max="15118" width="14.140625" customWidth="1"/>
    <col min="15121" max="15121" width="11.28515625" customWidth="1"/>
    <col min="15354" max="15354" width="10.85546875" customWidth="1"/>
    <col min="15356" max="15356" width="34.140625" customWidth="1"/>
    <col min="15357" max="15368" width="0" hidden="1" customWidth="1"/>
    <col min="15369" max="15370" width="15.28515625" customWidth="1"/>
    <col min="15371" max="15371" width="13.7109375" customWidth="1"/>
    <col min="15372" max="15372" width="10.5703125" customWidth="1"/>
    <col min="15373" max="15374" width="14.140625" customWidth="1"/>
    <col min="15377" max="15377" width="11.28515625" customWidth="1"/>
    <col min="15610" max="15610" width="10.85546875" customWidth="1"/>
    <col min="15612" max="15612" width="34.140625" customWidth="1"/>
    <col min="15613" max="15624" width="0" hidden="1" customWidth="1"/>
    <col min="15625" max="15626" width="15.28515625" customWidth="1"/>
    <col min="15627" max="15627" width="13.7109375" customWidth="1"/>
    <col min="15628" max="15628" width="10.5703125" customWidth="1"/>
    <col min="15629" max="15630" width="14.140625" customWidth="1"/>
    <col min="15633" max="15633" width="11.28515625" customWidth="1"/>
    <col min="15866" max="15866" width="10.85546875" customWidth="1"/>
    <col min="15868" max="15868" width="34.140625" customWidth="1"/>
    <col min="15869" max="15880" width="0" hidden="1" customWidth="1"/>
    <col min="15881" max="15882" width="15.28515625" customWidth="1"/>
    <col min="15883" max="15883" width="13.7109375" customWidth="1"/>
    <col min="15884" max="15884" width="10.5703125" customWidth="1"/>
    <col min="15885" max="15886" width="14.140625" customWidth="1"/>
    <col min="15889" max="15889" width="11.28515625" customWidth="1"/>
    <col min="16122" max="16122" width="10.85546875" customWidth="1"/>
    <col min="16124" max="16124" width="34.140625" customWidth="1"/>
    <col min="16125" max="16136" width="0" hidden="1" customWidth="1"/>
    <col min="16137" max="16138" width="15.28515625" customWidth="1"/>
    <col min="16139" max="16139" width="13.7109375" customWidth="1"/>
    <col min="16140" max="16140" width="10.5703125" customWidth="1"/>
    <col min="16141" max="16142" width="14.140625" customWidth="1"/>
    <col min="16145" max="16145" width="11.28515625" customWidth="1"/>
  </cols>
  <sheetData>
    <row r="1" spans="1:26" ht="15.75" thickBot="1" x14ac:dyDescent="0.3">
      <c r="A1" s="724" t="s">
        <v>294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</row>
    <row r="2" spans="1:26" ht="13.5" customHeight="1" thickTop="1" thickBot="1" x14ac:dyDescent="0.3">
      <c r="A2" s="860" t="s">
        <v>113</v>
      </c>
      <c r="B2" s="892" t="s">
        <v>1</v>
      </c>
      <c r="C2" s="864" t="s">
        <v>114</v>
      </c>
      <c r="D2" s="788" t="s">
        <v>115</v>
      </c>
      <c r="E2" s="788" t="s">
        <v>116</v>
      </c>
      <c r="F2" s="788" t="s">
        <v>117</v>
      </c>
      <c r="G2" s="788" t="s">
        <v>118</v>
      </c>
      <c r="H2" s="788" t="s">
        <v>119</v>
      </c>
      <c r="I2" s="788" t="s">
        <v>8</v>
      </c>
      <c r="J2" s="788" t="s">
        <v>9</v>
      </c>
      <c r="K2" s="788" t="s">
        <v>10</v>
      </c>
      <c r="L2" s="788" t="s">
        <v>11</v>
      </c>
      <c r="M2" s="889" t="s">
        <v>295</v>
      </c>
      <c r="N2" s="889" t="s">
        <v>13</v>
      </c>
      <c r="O2" s="788" t="s">
        <v>14</v>
      </c>
      <c r="P2" s="788" t="s">
        <v>15</v>
      </c>
      <c r="Q2" s="788" t="s">
        <v>458</v>
      </c>
      <c r="R2" s="866" t="s">
        <v>424</v>
      </c>
      <c r="S2" s="858" t="s">
        <v>465</v>
      </c>
      <c r="T2" s="859"/>
      <c r="U2" s="770" t="s">
        <v>411</v>
      </c>
      <c r="X2" s="401"/>
      <c r="Y2" s="401"/>
      <c r="Z2" s="401"/>
    </row>
    <row r="3" spans="1:26" ht="30" customHeight="1" thickBot="1" x14ac:dyDescent="0.3">
      <c r="A3" s="861"/>
      <c r="B3" s="893"/>
      <c r="C3" s="865"/>
      <c r="D3" s="789"/>
      <c r="E3" s="789"/>
      <c r="F3" s="789"/>
      <c r="G3" s="789"/>
      <c r="H3" s="789"/>
      <c r="I3" s="789"/>
      <c r="J3" s="789"/>
      <c r="K3" s="789"/>
      <c r="L3" s="789"/>
      <c r="M3" s="890"/>
      <c r="N3" s="890"/>
      <c r="O3" s="789"/>
      <c r="P3" s="789"/>
      <c r="Q3" s="789"/>
      <c r="R3" s="867"/>
      <c r="S3" s="689" t="s">
        <v>20</v>
      </c>
      <c r="T3" s="690" t="s">
        <v>22</v>
      </c>
      <c r="U3" s="771"/>
      <c r="X3" s="401"/>
      <c r="Y3" s="401"/>
      <c r="Z3" s="401"/>
    </row>
    <row r="4" spans="1:26" ht="16.5" thickTop="1" thickBot="1" x14ac:dyDescent="0.3">
      <c r="A4" s="221" t="s">
        <v>120</v>
      </c>
      <c r="B4" s="891" t="s">
        <v>296</v>
      </c>
      <c r="C4" s="891"/>
      <c r="D4" s="402">
        <v>372735</v>
      </c>
      <c r="E4" s="402">
        <v>64629</v>
      </c>
      <c r="F4" s="402">
        <v>39833</v>
      </c>
      <c r="G4" s="402">
        <v>3383</v>
      </c>
      <c r="H4" s="402"/>
      <c r="I4" s="403">
        <v>18260</v>
      </c>
      <c r="J4" s="403">
        <v>0</v>
      </c>
      <c r="K4" s="403">
        <v>0</v>
      </c>
      <c r="L4" s="403">
        <v>0</v>
      </c>
      <c r="M4" s="403">
        <v>0</v>
      </c>
      <c r="N4" s="402">
        <v>6946.8</v>
      </c>
      <c r="O4" s="402">
        <v>10541.5</v>
      </c>
      <c r="P4" s="402">
        <v>23813.83</v>
      </c>
      <c r="Q4" s="402">
        <v>0</v>
      </c>
      <c r="R4" s="402">
        <f>R5</f>
        <v>16560</v>
      </c>
      <c r="S4" s="402">
        <f t="shared" ref="S4:T4" si="0">S5</f>
        <v>0</v>
      </c>
      <c r="T4" s="402">
        <f t="shared" si="0"/>
        <v>0</v>
      </c>
      <c r="U4" s="709">
        <f>U5</f>
        <v>16560</v>
      </c>
    </row>
    <row r="5" spans="1:26" ht="15.75" thickBot="1" x14ac:dyDescent="0.3">
      <c r="A5" s="842"/>
      <c r="B5" s="873"/>
      <c r="C5" s="91" t="s">
        <v>414</v>
      </c>
      <c r="D5" s="46"/>
      <c r="E5" s="46"/>
      <c r="F5" s="46"/>
      <c r="G5" s="46"/>
      <c r="H5" s="72"/>
      <c r="I5" s="72"/>
      <c r="J5" s="72"/>
      <c r="K5" s="46"/>
      <c r="L5" s="46"/>
      <c r="M5" s="46"/>
      <c r="N5" s="46"/>
      <c r="O5" s="46"/>
      <c r="P5" s="46"/>
      <c r="Q5" s="46"/>
      <c r="R5" s="73">
        <v>16560</v>
      </c>
      <c r="S5" s="73"/>
      <c r="T5" s="73"/>
      <c r="U5" s="369">
        <f>R5+S5+T5</f>
        <v>16560</v>
      </c>
    </row>
    <row r="6" spans="1:26" ht="15.75" hidden="1" thickBot="1" x14ac:dyDescent="0.3">
      <c r="A6" s="847"/>
      <c r="B6" s="874"/>
      <c r="C6" s="91"/>
      <c r="D6" s="46"/>
      <c r="E6" s="46"/>
      <c r="F6" s="46"/>
      <c r="G6" s="46"/>
      <c r="H6" s="72"/>
      <c r="I6" s="72"/>
      <c r="J6" s="72"/>
      <c r="K6" s="46"/>
      <c r="L6" s="46"/>
      <c r="M6" s="46"/>
      <c r="N6" s="46"/>
      <c r="O6" s="46"/>
      <c r="P6" s="46"/>
      <c r="Q6" s="46"/>
      <c r="R6" s="73"/>
      <c r="S6" s="73"/>
      <c r="T6" s="73"/>
      <c r="U6" s="369">
        <f t="shared" ref="U6:U73" si="1">R6+S6+T6</f>
        <v>0</v>
      </c>
    </row>
    <row r="7" spans="1:26" ht="15.75" hidden="1" thickBot="1" x14ac:dyDescent="0.3">
      <c r="A7" s="847"/>
      <c r="B7" s="874"/>
      <c r="C7" s="91"/>
      <c r="D7" s="46"/>
      <c r="E7" s="46"/>
      <c r="F7" s="46"/>
      <c r="G7" s="46"/>
      <c r="H7" s="72"/>
      <c r="I7" s="72"/>
      <c r="J7" s="72"/>
      <c r="K7" s="46"/>
      <c r="L7" s="46"/>
      <c r="M7" s="46"/>
      <c r="N7" s="46"/>
      <c r="O7" s="46"/>
      <c r="P7" s="46"/>
      <c r="Q7" s="46"/>
      <c r="R7" s="73"/>
      <c r="S7" s="73"/>
      <c r="T7" s="73"/>
      <c r="U7" s="369">
        <f t="shared" si="1"/>
        <v>0</v>
      </c>
    </row>
    <row r="8" spans="1:26" ht="15.75" hidden="1" thickBot="1" x14ac:dyDescent="0.3">
      <c r="A8" s="843"/>
      <c r="B8" s="875"/>
      <c r="C8" s="91"/>
      <c r="D8" s="46"/>
      <c r="E8" s="46"/>
      <c r="F8" s="46"/>
      <c r="G8" s="46"/>
      <c r="H8" s="72"/>
      <c r="I8" s="72"/>
      <c r="J8" s="72"/>
      <c r="K8" s="46"/>
      <c r="L8" s="46"/>
      <c r="M8" s="46"/>
      <c r="N8" s="46"/>
      <c r="O8" s="46"/>
      <c r="P8" s="46"/>
      <c r="Q8" s="46"/>
      <c r="R8" s="73"/>
      <c r="S8" s="73"/>
      <c r="T8" s="73"/>
      <c r="U8" s="638">
        <f t="shared" si="1"/>
        <v>0</v>
      </c>
    </row>
    <row r="9" spans="1:26" ht="15.75" thickBot="1" x14ac:dyDescent="0.3">
      <c r="A9" s="152" t="s">
        <v>142</v>
      </c>
      <c r="B9" s="881" t="s">
        <v>297</v>
      </c>
      <c r="C9" s="881"/>
      <c r="D9" s="180">
        <v>17958</v>
      </c>
      <c r="E9" s="180">
        <v>0</v>
      </c>
      <c r="F9" s="180">
        <v>19916</v>
      </c>
      <c r="G9" s="180">
        <v>18253</v>
      </c>
      <c r="H9" s="180">
        <v>16675</v>
      </c>
      <c r="I9" s="395">
        <v>3031</v>
      </c>
      <c r="J9" s="395">
        <v>0</v>
      </c>
      <c r="K9" s="84">
        <f>SUM(K10:K11)</f>
        <v>10398</v>
      </c>
      <c r="L9" s="84"/>
      <c r="M9" s="84">
        <f>SUM(M10:M11)</f>
        <v>0</v>
      </c>
      <c r="N9" s="84">
        <v>5666.4</v>
      </c>
      <c r="O9" s="84">
        <v>10703.82</v>
      </c>
      <c r="P9" s="84">
        <v>12513.86</v>
      </c>
      <c r="Q9" s="85">
        <v>14947.44</v>
      </c>
      <c r="R9" s="84">
        <f t="shared" ref="R9:T9" si="2">R10</f>
        <v>0</v>
      </c>
      <c r="S9" s="84">
        <f t="shared" si="2"/>
        <v>0</v>
      </c>
      <c r="T9" s="84">
        <f t="shared" si="2"/>
        <v>0</v>
      </c>
      <c r="U9" s="586">
        <f>U10</f>
        <v>0</v>
      </c>
    </row>
    <row r="10" spans="1:26" ht="15.75" hidden="1" thickBot="1" x14ac:dyDescent="0.3">
      <c r="A10" s="404"/>
      <c r="B10" s="873"/>
      <c r="C10" s="57" t="s">
        <v>298</v>
      </c>
      <c r="D10" s="20"/>
      <c r="E10" s="20"/>
      <c r="F10" s="20"/>
      <c r="G10" s="20"/>
      <c r="H10" s="71"/>
      <c r="I10" s="71"/>
      <c r="J10" s="71"/>
      <c r="K10" s="20">
        <v>10398</v>
      </c>
      <c r="L10" s="20"/>
      <c r="M10" s="20"/>
      <c r="N10" s="20"/>
      <c r="O10" s="20"/>
      <c r="P10" s="20"/>
      <c r="Q10" s="20"/>
      <c r="R10" s="58"/>
      <c r="S10" s="58"/>
      <c r="T10" s="58"/>
      <c r="U10" s="640">
        <f t="shared" si="1"/>
        <v>0</v>
      </c>
    </row>
    <row r="11" spans="1:26" ht="15.75" hidden="1" thickBot="1" x14ac:dyDescent="0.3">
      <c r="A11" s="404"/>
      <c r="B11" s="875"/>
      <c r="C11" s="174" t="s">
        <v>299</v>
      </c>
      <c r="D11" s="90"/>
      <c r="E11" s="90"/>
      <c r="F11" s="90"/>
      <c r="G11" s="90"/>
      <c r="H11" s="88"/>
      <c r="I11" s="88"/>
      <c r="J11" s="88"/>
      <c r="K11" s="90"/>
      <c r="L11" s="90"/>
      <c r="M11" s="90"/>
      <c r="N11" s="90"/>
      <c r="O11" s="90"/>
      <c r="P11" s="90"/>
      <c r="Q11" s="90"/>
      <c r="R11" s="73"/>
      <c r="S11" s="73"/>
      <c r="T11" s="73"/>
      <c r="U11" s="369">
        <f t="shared" si="1"/>
        <v>0</v>
      </c>
    </row>
    <row r="12" spans="1:26" ht="15.75" thickBot="1" x14ac:dyDescent="0.3">
      <c r="A12" s="152" t="s">
        <v>152</v>
      </c>
      <c r="B12" s="881" t="s">
        <v>300</v>
      </c>
      <c r="C12" s="881"/>
      <c r="D12" s="180">
        <v>894211</v>
      </c>
      <c r="E12" s="180">
        <v>382958</v>
      </c>
      <c r="F12" s="180">
        <v>343590</v>
      </c>
      <c r="G12" s="180">
        <v>610914</v>
      </c>
      <c r="H12" s="180">
        <v>1718795</v>
      </c>
      <c r="I12" s="395">
        <v>495900</v>
      </c>
      <c r="J12" s="180">
        <v>421522</v>
      </c>
      <c r="K12" s="84">
        <f>SUM(K19:K35)</f>
        <v>2058954</v>
      </c>
      <c r="L12" s="84">
        <v>108548.12</v>
      </c>
      <c r="M12" s="85">
        <f>SUM(M19:M35)</f>
        <v>187078.06</v>
      </c>
      <c r="N12" s="84">
        <v>923357.06</v>
      </c>
      <c r="O12" s="84">
        <v>421573.23</v>
      </c>
      <c r="P12" s="84">
        <v>904828.37</v>
      </c>
      <c r="Q12" s="81">
        <v>1191812.5499999998</v>
      </c>
      <c r="R12" s="84">
        <f>SUM(R18:R26)</f>
        <v>1949425</v>
      </c>
      <c r="S12" s="84">
        <f t="shared" ref="S12" si="3">SUM(S19:S26)</f>
        <v>0</v>
      </c>
      <c r="T12" s="84">
        <f>SUM(T18:T26)</f>
        <v>0</v>
      </c>
      <c r="U12" s="586">
        <f>SUM(U18:U26)</f>
        <v>1949425</v>
      </c>
    </row>
    <row r="13" spans="1:26" hidden="1" x14ac:dyDescent="0.25">
      <c r="A13" s="731"/>
      <c r="B13" s="732"/>
      <c r="C13" s="732"/>
      <c r="D13" s="733"/>
      <c r="E13" s="733"/>
      <c r="F13" s="733"/>
      <c r="G13" s="733"/>
      <c r="H13" s="733"/>
      <c r="I13" s="734"/>
      <c r="J13" s="733"/>
      <c r="K13" s="8"/>
      <c r="L13" s="8"/>
      <c r="M13" s="735"/>
      <c r="N13" s="8"/>
      <c r="O13" s="8"/>
      <c r="P13" s="8"/>
      <c r="Q13" s="8"/>
      <c r="R13" s="6"/>
      <c r="S13" s="6"/>
      <c r="T13" s="6"/>
      <c r="U13" s="736"/>
    </row>
    <row r="14" spans="1:26" hidden="1" x14ac:dyDescent="0.25">
      <c r="A14" s="731"/>
      <c r="B14" s="732"/>
      <c r="C14" s="732"/>
      <c r="D14" s="733"/>
      <c r="E14" s="733"/>
      <c r="F14" s="733"/>
      <c r="G14" s="733"/>
      <c r="H14" s="733"/>
      <c r="I14" s="734"/>
      <c r="J14" s="733"/>
      <c r="K14" s="8"/>
      <c r="L14" s="8"/>
      <c r="M14" s="735"/>
      <c r="N14" s="8"/>
      <c r="O14" s="8"/>
      <c r="P14" s="8"/>
      <c r="Q14" s="8"/>
      <c r="R14" s="6"/>
      <c r="S14" s="6"/>
      <c r="T14" s="6"/>
      <c r="U14" s="736"/>
    </row>
    <row r="15" spans="1:26" hidden="1" x14ac:dyDescent="0.25">
      <c r="A15" s="731"/>
      <c r="B15" s="732"/>
      <c r="C15" s="732"/>
      <c r="D15" s="733"/>
      <c r="E15" s="733"/>
      <c r="F15" s="733"/>
      <c r="G15" s="733"/>
      <c r="H15" s="733"/>
      <c r="I15" s="734"/>
      <c r="J15" s="733"/>
      <c r="K15" s="8"/>
      <c r="L15" s="8"/>
      <c r="M15" s="735"/>
      <c r="N15" s="8"/>
      <c r="O15" s="8"/>
      <c r="P15" s="8"/>
      <c r="Q15" s="8"/>
      <c r="R15" s="6"/>
      <c r="S15" s="6"/>
      <c r="T15" s="6"/>
      <c r="U15" s="736"/>
    </row>
    <row r="16" spans="1:26" hidden="1" x14ac:dyDescent="0.25">
      <c r="A16" s="731"/>
      <c r="B16" s="732"/>
      <c r="C16" s="732"/>
      <c r="D16" s="733"/>
      <c r="E16" s="733"/>
      <c r="F16" s="733"/>
      <c r="G16" s="733"/>
      <c r="H16" s="733"/>
      <c r="I16" s="734"/>
      <c r="J16" s="733"/>
      <c r="K16" s="8"/>
      <c r="L16" s="8"/>
      <c r="M16" s="735"/>
      <c r="N16" s="8"/>
      <c r="O16" s="8"/>
      <c r="P16" s="8"/>
      <c r="Q16" s="8"/>
      <c r="R16" s="6"/>
      <c r="S16" s="6"/>
      <c r="T16" s="6"/>
      <c r="U16" s="736"/>
    </row>
    <row r="17" spans="1:24" hidden="1" x14ac:dyDescent="0.25">
      <c r="A17" s="731"/>
      <c r="B17" s="732"/>
      <c r="C17" s="732"/>
      <c r="D17" s="733"/>
      <c r="E17" s="733"/>
      <c r="F17" s="733"/>
      <c r="G17" s="733"/>
      <c r="H17" s="733"/>
      <c r="I17" s="734"/>
      <c r="J17" s="733"/>
      <c r="K17" s="8"/>
      <c r="L17" s="8"/>
      <c r="M17" s="735"/>
      <c r="N17" s="8"/>
      <c r="O17" s="8"/>
      <c r="P17" s="8"/>
      <c r="Q17" s="8"/>
      <c r="R17" s="6"/>
      <c r="S17" s="6"/>
      <c r="T17" s="6"/>
      <c r="U17" s="736"/>
    </row>
    <row r="18" spans="1:24" hidden="1" x14ac:dyDescent="0.25">
      <c r="A18" s="845"/>
      <c r="B18" s="883"/>
      <c r="C18" s="433"/>
      <c r="D18" s="737"/>
      <c r="E18" s="737"/>
      <c r="F18" s="737"/>
      <c r="G18" s="737"/>
      <c r="H18" s="737"/>
      <c r="I18" s="738"/>
      <c r="J18" s="737"/>
      <c r="K18" s="286"/>
      <c r="L18" s="286"/>
      <c r="M18" s="285"/>
      <c r="N18" s="286"/>
      <c r="O18" s="286"/>
      <c r="P18" s="286"/>
      <c r="Q18" s="286"/>
      <c r="R18" s="284"/>
      <c r="S18" s="284"/>
      <c r="T18" s="112"/>
      <c r="U18" s="646">
        <f>R18+S18+T18</f>
        <v>0</v>
      </c>
    </row>
    <row r="19" spans="1:24" x14ac:dyDescent="0.25">
      <c r="A19" s="845"/>
      <c r="B19" s="883"/>
      <c r="C19" s="91" t="s">
        <v>301</v>
      </c>
      <c r="D19" s="46"/>
      <c r="E19" s="46"/>
      <c r="F19" s="46"/>
      <c r="G19" s="46"/>
      <c r="H19" s="72"/>
      <c r="I19" s="72"/>
      <c r="J19" s="46"/>
      <c r="K19" s="46">
        <v>47371</v>
      </c>
      <c r="L19" s="46">
        <v>31209.200000000001</v>
      </c>
      <c r="M19" s="45">
        <v>11397.78</v>
      </c>
      <c r="N19" s="46"/>
      <c r="O19" s="46"/>
      <c r="P19" s="46"/>
      <c r="Q19" s="46"/>
      <c r="R19" s="73">
        <v>51297</v>
      </c>
      <c r="S19" s="755"/>
      <c r="T19" s="73"/>
      <c r="U19" s="369">
        <f t="shared" si="1"/>
        <v>51297</v>
      </c>
      <c r="W19" s="190"/>
    </row>
    <row r="20" spans="1:24" ht="15" hidden="1" customHeight="1" x14ac:dyDescent="0.25">
      <c r="A20" s="845"/>
      <c r="B20" s="883"/>
      <c r="C20" s="91" t="s">
        <v>302</v>
      </c>
      <c r="D20" s="46"/>
      <c r="E20" s="46"/>
      <c r="F20" s="46"/>
      <c r="G20" s="46"/>
      <c r="H20" s="72"/>
      <c r="I20" s="72"/>
      <c r="J20" s="46"/>
      <c r="K20" s="46"/>
      <c r="L20" s="46"/>
      <c r="M20" s="45"/>
      <c r="N20" s="46"/>
      <c r="O20" s="46"/>
      <c r="P20" s="46"/>
      <c r="Q20" s="46"/>
      <c r="R20" s="73">
        <v>0</v>
      </c>
      <c r="S20" s="73"/>
      <c r="T20" s="73"/>
      <c r="U20" s="369">
        <f t="shared" si="1"/>
        <v>0</v>
      </c>
    </row>
    <row r="21" spans="1:24" ht="15" hidden="1" customHeight="1" x14ac:dyDescent="0.25">
      <c r="A21" s="845"/>
      <c r="B21" s="883"/>
      <c r="C21" s="59" t="s">
        <v>303</v>
      </c>
      <c r="D21" s="26"/>
      <c r="E21" s="26"/>
      <c r="F21" s="26"/>
      <c r="G21" s="26"/>
      <c r="H21" s="74"/>
      <c r="I21" s="74"/>
      <c r="J21" s="26"/>
      <c r="K21" s="26"/>
      <c r="L21" s="46"/>
      <c r="M21" s="45">
        <v>4562.8</v>
      </c>
      <c r="N21" s="46"/>
      <c r="O21" s="46"/>
      <c r="P21" s="46"/>
      <c r="Q21" s="46"/>
      <c r="R21" s="73">
        <v>0</v>
      </c>
      <c r="S21" s="73"/>
      <c r="T21" s="73"/>
      <c r="U21" s="369">
        <f t="shared" si="1"/>
        <v>0</v>
      </c>
    </row>
    <row r="22" spans="1:24" ht="15" hidden="1" customHeight="1" x14ac:dyDescent="0.25">
      <c r="A22" s="845"/>
      <c r="B22" s="883"/>
      <c r="C22" s="62" t="s">
        <v>304</v>
      </c>
      <c r="D22" s="49"/>
      <c r="E22" s="49"/>
      <c r="F22" s="49"/>
      <c r="G22" s="49"/>
      <c r="H22" s="83"/>
      <c r="I22" s="83"/>
      <c r="J22" s="49"/>
      <c r="K22" s="49"/>
      <c r="L22" s="46"/>
      <c r="M22" s="45"/>
      <c r="N22" s="46"/>
      <c r="O22" s="46"/>
      <c r="P22" s="46"/>
      <c r="Q22" s="46"/>
      <c r="R22" s="73">
        <v>0</v>
      </c>
      <c r="S22" s="73"/>
      <c r="T22" s="73"/>
      <c r="U22" s="369">
        <f t="shared" si="1"/>
        <v>0</v>
      </c>
    </row>
    <row r="23" spans="1:24" ht="15" hidden="1" customHeight="1" x14ac:dyDescent="0.25">
      <c r="A23" s="845"/>
      <c r="B23" s="883"/>
      <c r="C23" s="62" t="s">
        <v>305</v>
      </c>
      <c r="D23" s="49"/>
      <c r="E23" s="49"/>
      <c r="F23" s="49"/>
      <c r="G23" s="49"/>
      <c r="H23" s="83"/>
      <c r="I23" s="83"/>
      <c r="J23" s="49"/>
      <c r="K23" s="49">
        <v>282056</v>
      </c>
      <c r="L23" s="46"/>
      <c r="M23" s="125">
        <v>0</v>
      </c>
      <c r="N23" s="73"/>
      <c r="O23" s="73"/>
      <c r="P23" s="73"/>
      <c r="Q23" s="73"/>
      <c r="R23" s="405">
        <v>0</v>
      </c>
      <c r="S23" s="73"/>
      <c r="T23" s="73"/>
      <c r="U23" s="369">
        <f t="shared" si="1"/>
        <v>0</v>
      </c>
    </row>
    <row r="24" spans="1:24" x14ac:dyDescent="0.25">
      <c r="A24" s="845"/>
      <c r="B24" s="883"/>
      <c r="C24" s="59" t="s">
        <v>441</v>
      </c>
      <c r="D24" s="26"/>
      <c r="E24" s="26"/>
      <c r="F24" s="26"/>
      <c r="G24" s="26"/>
      <c r="H24" s="74"/>
      <c r="I24" s="74"/>
      <c r="J24" s="26"/>
      <c r="K24" s="26">
        <v>881052</v>
      </c>
      <c r="L24" s="46">
        <v>70504.899999999994</v>
      </c>
      <c r="M24" s="45"/>
      <c r="N24" s="46"/>
      <c r="O24" s="46"/>
      <c r="P24" s="46"/>
      <c r="Q24" s="46"/>
      <c r="R24" s="73">
        <v>5000</v>
      </c>
      <c r="S24" s="73">
        <v>32833</v>
      </c>
      <c r="T24" s="73"/>
      <c r="U24" s="369">
        <f t="shared" si="1"/>
        <v>37833</v>
      </c>
    </row>
    <row r="25" spans="1:24" x14ac:dyDescent="0.25">
      <c r="A25" s="845"/>
      <c r="B25" s="883"/>
      <c r="C25" s="59" t="s">
        <v>429</v>
      </c>
      <c r="D25" s="26"/>
      <c r="E25" s="26"/>
      <c r="F25" s="26"/>
      <c r="G25" s="26"/>
      <c r="H25" s="74"/>
      <c r="I25" s="74"/>
      <c r="J25" s="26"/>
      <c r="K25" s="26">
        <v>100004</v>
      </c>
      <c r="L25" s="46"/>
      <c r="M25" s="45">
        <v>13200</v>
      </c>
      <c r="N25" s="46"/>
      <c r="O25" s="46"/>
      <c r="P25" s="46"/>
      <c r="Q25" s="46"/>
      <c r="R25" s="73">
        <v>898000</v>
      </c>
      <c r="S25" s="73"/>
      <c r="T25" s="755"/>
      <c r="U25" s="369">
        <f t="shared" si="1"/>
        <v>898000</v>
      </c>
      <c r="X25" s="190"/>
    </row>
    <row r="26" spans="1:24" ht="15.75" thickBot="1" x14ac:dyDescent="0.3">
      <c r="A26" s="845"/>
      <c r="B26" s="883"/>
      <c r="C26" s="59" t="s">
        <v>306</v>
      </c>
      <c r="D26" s="26"/>
      <c r="E26" s="26"/>
      <c r="F26" s="26"/>
      <c r="G26" s="26"/>
      <c r="H26" s="74"/>
      <c r="I26" s="74"/>
      <c r="J26" s="26"/>
      <c r="K26" s="26">
        <v>0</v>
      </c>
      <c r="L26" s="46"/>
      <c r="M26" s="45"/>
      <c r="N26" s="46"/>
      <c r="O26" s="46"/>
      <c r="P26" s="46"/>
      <c r="Q26" s="46"/>
      <c r="R26" s="73">
        <v>995128</v>
      </c>
      <c r="S26" s="73">
        <v>-32833</v>
      </c>
      <c r="T26" s="73"/>
      <c r="U26" s="369">
        <f t="shared" si="1"/>
        <v>962295</v>
      </c>
      <c r="X26" s="190"/>
    </row>
    <row r="27" spans="1:24" ht="15.75" hidden="1" customHeight="1" thickBot="1" x14ac:dyDescent="0.3">
      <c r="A27" s="845"/>
      <c r="B27" s="883"/>
      <c r="C27" s="59" t="s">
        <v>307</v>
      </c>
      <c r="D27" s="26"/>
      <c r="E27" s="26"/>
      <c r="F27" s="26"/>
      <c r="G27" s="26"/>
      <c r="H27" s="74"/>
      <c r="I27" s="74"/>
      <c r="J27" s="26"/>
      <c r="K27" s="26"/>
      <c r="L27" s="46"/>
      <c r="M27" s="45">
        <v>144897.48000000001</v>
      </c>
      <c r="N27" s="46"/>
      <c r="O27" s="46"/>
      <c r="P27" s="46"/>
      <c r="Q27" s="46"/>
      <c r="R27" s="73"/>
      <c r="S27" s="73"/>
      <c r="T27" s="73"/>
      <c r="U27" s="369">
        <f t="shared" si="1"/>
        <v>0</v>
      </c>
    </row>
    <row r="28" spans="1:24" ht="15.75" hidden="1" customHeight="1" thickBot="1" x14ac:dyDescent="0.3">
      <c r="A28" s="845"/>
      <c r="B28" s="883"/>
      <c r="C28" s="59" t="s">
        <v>308</v>
      </c>
      <c r="D28" s="26"/>
      <c r="E28" s="26"/>
      <c r="F28" s="26"/>
      <c r="G28" s="26"/>
      <c r="H28" s="74"/>
      <c r="I28" s="74"/>
      <c r="J28" s="26"/>
      <c r="K28" s="26"/>
      <c r="L28" s="46"/>
      <c r="M28" s="45"/>
      <c r="N28" s="46"/>
      <c r="O28" s="46"/>
      <c r="P28" s="46"/>
      <c r="Q28" s="46"/>
      <c r="R28" s="73"/>
      <c r="S28" s="73"/>
      <c r="T28" s="73"/>
      <c r="U28" s="369">
        <f t="shared" si="1"/>
        <v>0</v>
      </c>
    </row>
    <row r="29" spans="1:24" ht="15.75" hidden="1" customHeight="1" thickBot="1" x14ac:dyDescent="0.3">
      <c r="A29" s="845"/>
      <c r="B29" s="883"/>
      <c r="C29" s="59" t="s">
        <v>309</v>
      </c>
      <c r="D29" s="26"/>
      <c r="E29" s="26"/>
      <c r="F29" s="26"/>
      <c r="G29" s="26"/>
      <c r="H29" s="74"/>
      <c r="I29" s="74"/>
      <c r="J29" s="26"/>
      <c r="K29" s="26"/>
      <c r="L29" s="26"/>
      <c r="M29" s="25"/>
      <c r="N29" s="26"/>
      <c r="O29" s="26"/>
      <c r="P29" s="26"/>
      <c r="Q29" s="26"/>
      <c r="R29" s="406"/>
      <c r="S29" s="73"/>
      <c r="T29" s="60"/>
      <c r="U29" s="393">
        <f t="shared" si="1"/>
        <v>0</v>
      </c>
    </row>
    <row r="30" spans="1:24" ht="15.75" hidden="1" customHeight="1" thickBot="1" x14ac:dyDescent="0.3">
      <c r="A30" s="845"/>
      <c r="B30" s="883"/>
      <c r="C30" s="59" t="s">
        <v>310</v>
      </c>
      <c r="D30" s="26"/>
      <c r="E30" s="26"/>
      <c r="F30" s="26"/>
      <c r="G30" s="26"/>
      <c r="H30" s="74"/>
      <c r="I30" s="74"/>
      <c r="J30" s="26"/>
      <c r="K30" s="26"/>
      <c r="L30" s="26"/>
      <c r="M30" s="25"/>
      <c r="N30" s="26"/>
      <c r="O30" s="26"/>
      <c r="P30" s="26"/>
      <c r="Q30" s="26"/>
      <c r="R30" s="60"/>
      <c r="S30" s="73"/>
      <c r="T30" s="60"/>
      <c r="U30" s="393">
        <f t="shared" si="1"/>
        <v>0</v>
      </c>
    </row>
    <row r="31" spans="1:24" ht="15.75" hidden="1" customHeight="1" thickBot="1" x14ac:dyDescent="0.3">
      <c r="A31" s="845"/>
      <c r="B31" s="883"/>
      <c r="C31" s="59" t="s">
        <v>311</v>
      </c>
      <c r="D31" s="26"/>
      <c r="E31" s="26"/>
      <c r="F31" s="26"/>
      <c r="G31" s="26"/>
      <c r="H31" s="74"/>
      <c r="I31" s="74"/>
      <c r="J31" s="26"/>
      <c r="K31" s="26"/>
      <c r="L31" s="26"/>
      <c r="M31" s="25">
        <v>1500</v>
      </c>
      <c r="N31" s="26"/>
      <c r="O31" s="26"/>
      <c r="P31" s="26"/>
      <c r="Q31" s="26"/>
      <c r="R31" s="60"/>
      <c r="S31" s="60"/>
      <c r="T31" s="60"/>
      <c r="U31" s="393">
        <f t="shared" si="1"/>
        <v>0</v>
      </c>
    </row>
    <row r="32" spans="1:24" ht="15.75" hidden="1" customHeight="1" thickBot="1" x14ac:dyDescent="0.3">
      <c r="A32" s="845"/>
      <c r="B32" s="883"/>
      <c r="C32" s="59" t="s">
        <v>312</v>
      </c>
      <c r="D32" s="26"/>
      <c r="E32" s="26"/>
      <c r="F32" s="26"/>
      <c r="G32" s="26"/>
      <c r="H32" s="74"/>
      <c r="I32" s="74"/>
      <c r="J32" s="26"/>
      <c r="K32" s="26"/>
      <c r="L32" s="26"/>
      <c r="M32" s="25"/>
      <c r="N32" s="26"/>
      <c r="O32" s="26"/>
      <c r="P32" s="26"/>
      <c r="Q32" s="26"/>
      <c r="R32" s="60"/>
      <c r="S32" s="60"/>
      <c r="T32" s="73"/>
      <c r="U32" s="369">
        <f t="shared" si="1"/>
        <v>0</v>
      </c>
    </row>
    <row r="33" spans="1:24" ht="15.75" hidden="1" customHeight="1" thickBot="1" x14ac:dyDescent="0.3">
      <c r="A33" s="845"/>
      <c r="B33" s="883"/>
      <c r="C33" s="59" t="s">
        <v>313</v>
      </c>
      <c r="D33" s="26"/>
      <c r="E33" s="26"/>
      <c r="F33" s="26"/>
      <c r="G33" s="26"/>
      <c r="H33" s="74"/>
      <c r="I33" s="74"/>
      <c r="J33" s="26"/>
      <c r="K33" s="26"/>
      <c r="L33" s="26"/>
      <c r="M33" s="25"/>
      <c r="N33" s="26"/>
      <c r="O33" s="26"/>
      <c r="P33" s="26"/>
      <c r="Q33" s="26"/>
      <c r="R33" s="60"/>
      <c r="S33" s="60"/>
      <c r="T33" s="73"/>
      <c r="U33" s="369">
        <f t="shared" si="1"/>
        <v>0</v>
      </c>
    </row>
    <row r="34" spans="1:24" ht="15.75" hidden="1" customHeight="1" thickBot="1" x14ac:dyDescent="0.3">
      <c r="A34" s="845"/>
      <c r="B34" s="883"/>
      <c r="C34" s="59" t="s">
        <v>310</v>
      </c>
      <c r="D34" s="26"/>
      <c r="E34" s="26"/>
      <c r="F34" s="26"/>
      <c r="G34" s="26"/>
      <c r="H34" s="74"/>
      <c r="I34" s="74"/>
      <c r="J34" s="26"/>
      <c r="K34" s="26"/>
      <c r="L34" s="26"/>
      <c r="M34" s="25"/>
      <c r="N34" s="26"/>
      <c r="O34" s="26"/>
      <c r="P34" s="26"/>
      <c r="Q34" s="26"/>
      <c r="R34" s="60"/>
      <c r="S34" s="60"/>
      <c r="T34" s="73"/>
      <c r="U34" s="369">
        <f t="shared" si="1"/>
        <v>0</v>
      </c>
    </row>
    <row r="35" spans="1:24" ht="15.75" hidden="1" customHeight="1" thickBot="1" x14ac:dyDescent="0.3">
      <c r="A35" s="846"/>
      <c r="B35" s="884"/>
      <c r="C35" s="174" t="s">
        <v>314</v>
      </c>
      <c r="D35" s="90"/>
      <c r="E35" s="90"/>
      <c r="F35" s="90"/>
      <c r="G35" s="90"/>
      <c r="H35" s="88"/>
      <c r="I35" s="88"/>
      <c r="J35" s="90"/>
      <c r="K35" s="90">
        <v>748471</v>
      </c>
      <c r="L35" s="90"/>
      <c r="M35" s="89">
        <v>11520</v>
      </c>
      <c r="N35" s="90"/>
      <c r="O35" s="90"/>
      <c r="P35" s="90"/>
      <c r="Q35" s="90"/>
      <c r="R35" s="73"/>
      <c r="S35" s="73"/>
      <c r="T35" s="73"/>
      <c r="U35" s="369">
        <f t="shared" si="1"/>
        <v>0</v>
      </c>
    </row>
    <row r="36" spans="1:24" ht="15.75" thickBot="1" x14ac:dyDescent="0.3">
      <c r="A36" s="407" t="s">
        <v>155</v>
      </c>
      <c r="B36" s="778" t="s">
        <v>315</v>
      </c>
      <c r="C36" s="779"/>
      <c r="D36" s="180">
        <v>154053</v>
      </c>
      <c r="E36" s="180">
        <v>194317</v>
      </c>
      <c r="F36" s="180">
        <v>340238</v>
      </c>
      <c r="G36" s="180">
        <v>484191</v>
      </c>
      <c r="H36" s="180">
        <v>181309</v>
      </c>
      <c r="I36" s="395">
        <v>33695</v>
      </c>
      <c r="J36" s="180">
        <v>79908</v>
      </c>
      <c r="K36" s="84">
        <f>SUM(K37:K56)</f>
        <v>0</v>
      </c>
      <c r="L36" s="84">
        <f>SUM(L37:L56)</f>
        <v>75693</v>
      </c>
      <c r="M36" s="85">
        <f>SUM(M37:M52)</f>
        <v>71880.010000000009</v>
      </c>
      <c r="N36" s="84">
        <v>206988.84</v>
      </c>
      <c r="O36" s="84">
        <v>350387.76999999996</v>
      </c>
      <c r="P36" s="84">
        <v>405936.13</v>
      </c>
      <c r="Q36" s="85">
        <v>500251.95999999996</v>
      </c>
      <c r="R36" s="84">
        <f>SUM(R43:R55)</f>
        <v>637934</v>
      </c>
      <c r="S36" s="84">
        <f>SUM(S43:S55)</f>
        <v>0</v>
      </c>
      <c r="T36" s="84">
        <f>SUM(T43:T55)</f>
        <v>0</v>
      </c>
      <c r="U36" s="586">
        <f>SUM(U43:U55)</f>
        <v>637934</v>
      </c>
    </row>
    <row r="37" spans="1:24" hidden="1" x14ac:dyDescent="0.25">
      <c r="A37" s="404"/>
      <c r="B37" s="408"/>
      <c r="C37" s="59" t="s">
        <v>316</v>
      </c>
      <c r="D37" s="26"/>
      <c r="E37" s="26"/>
      <c r="F37" s="26"/>
      <c r="G37" s="26"/>
      <c r="H37" s="74"/>
      <c r="I37" s="409"/>
      <c r="J37" s="410"/>
      <c r="K37" s="26"/>
      <c r="L37" s="46">
        <v>23757.119999999999</v>
      </c>
      <c r="M37" s="45"/>
      <c r="N37" s="46"/>
      <c r="O37" s="46"/>
      <c r="P37" s="46"/>
      <c r="Q37" s="46"/>
      <c r="R37" s="73"/>
      <c r="S37" s="73"/>
      <c r="T37" s="73"/>
      <c r="U37" s="369">
        <f t="shared" si="1"/>
        <v>0</v>
      </c>
    </row>
    <row r="38" spans="1:24" hidden="1" x14ac:dyDescent="0.25">
      <c r="A38" s="404"/>
      <c r="B38" s="408"/>
      <c r="C38" s="59" t="s">
        <v>317</v>
      </c>
      <c r="D38" s="26"/>
      <c r="E38" s="26"/>
      <c r="F38" s="26"/>
      <c r="G38" s="26"/>
      <c r="H38" s="74"/>
      <c r="I38" s="409"/>
      <c r="J38" s="410"/>
      <c r="K38" s="26"/>
      <c r="L38" s="46"/>
      <c r="M38" s="45"/>
      <c r="N38" s="46"/>
      <c r="O38" s="46"/>
      <c r="P38" s="46"/>
      <c r="Q38" s="46"/>
      <c r="R38" s="73"/>
      <c r="S38" s="73"/>
      <c r="T38" s="73"/>
      <c r="U38" s="369">
        <f t="shared" si="1"/>
        <v>0</v>
      </c>
    </row>
    <row r="39" spans="1:24" hidden="1" x14ac:dyDescent="0.25">
      <c r="A39" s="404"/>
      <c r="B39" s="408"/>
      <c r="C39" s="59" t="s">
        <v>318</v>
      </c>
      <c r="D39" s="26"/>
      <c r="E39" s="26"/>
      <c r="F39" s="26"/>
      <c r="G39" s="26"/>
      <c r="H39" s="74"/>
      <c r="I39" s="409"/>
      <c r="J39" s="410"/>
      <c r="K39" s="26"/>
      <c r="L39" s="46"/>
      <c r="M39" s="45"/>
      <c r="N39" s="46"/>
      <c r="O39" s="46"/>
      <c r="P39" s="46"/>
      <c r="Q39" s="46"/>
      <c r="R39" s="73"/>
      <c r="S39" s="73"/>
      <c r="T39" s="73"/>
      <c r="U39" s="369">
        <f t="shared" si="1"/>
        <v>0</v>
      </c>
      <c r="W39" s="190"/>
    </row>
    <row r="40" spans="1:24" hidden="1" x14ac:dyDescent="0.25">
      <c r="A40" s="404"/>
      <c r="B40" s="408"/>
      <c r="C40" s="59" t="s">
        <v>319</v>
      </c>
      <c r="D40" s="26"/>
      <c r="E40" s="26"/>
      <c r="F40" s="26"/>
      <c r="G40" s="26"/>
      <c r="H40" s="74"/>
      <c r="I40" s="409"/>
      <c r="J40" s="410"/>
      <c r="K40" s="26"/>
      <c r="L40" s="46"/>
      <c r="M40" s="45"/>
      <c r="N40" s="46"/>
      <c r="O40" s="46"/>
      <c r="P40" s="46"/>
      <c r="Q40" s="46"/>
      <c r="R40" s="73"/>
      <c r="S40" s="73"/>
      <c r="T40" s="73"/>
      <c r="U40" s="369">
        <f t="shared" si="1"/>
        <v>0</v>
      </c>
    </row>
    <row r="41" spans="1:24" hidden="1" x14ac:dyDescent="0.25">
      <c r="A41" s="404"/>
      <c r="B41" s="408"/>
      <c r="C41" s="59" t="s">
        <v>320</v>
      </c>
      <c r="D41" s="26"/>
      <c r="E41" s="26"/>
      <c r="F41" s="26"/>
      <c r="G41" s="26"/>
      <c r="H41" s="74"/>
      <c r="I41" s="409"/>
      <c r="J41" s="410"/>
      <c r="K41" s="26"/>
      <c r="L41" s="46"/>
      <c r="M41" s="45"/>
      <c r="N41" s="46"/>
      <c r="O41" s="46"/>
      <c r="P41" s="46"/>
      <c r="Q41" s="46"/>
      <c r="R41" s="73"/>
      <c r="S41" s="73"/>
      <c r="T41" s="73"/>
      <c r="U41" s="369">
        <f t="shared" si="1"/>
        <v>0</v>
      </c>
      <c r="W41" s="190"/>
    </row>
    <row r="42" spans="1:24" hidden="1" x14ac:dyDescent="0.25">
      <c r="A42" s="404"/>
      <c r="B42" s="408"/>
      <c r="C42" s="59" t="s">
        <v>109</v>
      </c>
      <c r="D42" s="26"/>
      <c r="E42" s="26"/>
      <c r="F42" s="26"/>
      <c r="G42" s="26"/>
      <c r="H42" s="74"/>
      <c r="I42" s="409"/>
      <c r="J42" s="410"/>
      <c r="K42" s="26"/>
      <c r="L42" s="46"/>
      <c r="M42" s="45"/>
      <c r="N42" s="46"/>
      <c r="O42" s="46"/>
      <c r="P42" s="46"/>
      <c r="Q42" s="46"/>
      <c r="R42" s="73"/>
      <c r="S42" s="73"/>
      <c r="T42" s="73"/>
      <c r="U42" s="369">
        <f t="shared" si="1"/>
        <v>0</v>
      </c>
    </row>
    <row r="43" spans="1:24" x14ac:dyDescent="0.25">
      <c r="A43" s="847"/>
      <c r="B43" s="874"/>
      <c r="C43" s="59" t="s">
        <v>321</v>
      </c>
      <c r="D43" s="26"/>
      <c r="E43" s="26"/>
      <c r="F43" s="26"/>
      <c r="G43" s="26"/>
      <c r="H43" s="74"/>
      <c r="I43" s="409"/>
      <c r="J43" s="410"/>
      <c r="K43" s="26"/>
      <c r="L43" s="46"/>
      <c r="M43" s="45"/>
      <c r="N43" s="46"/>
      <c r="O43" s="46"/>
      <c r="P43" s="46"/>
      <c r="Q43" s="46"/>
      <c r="R43" s="73">
        <v>411934</v>
      </c>
      <c r="S43" s="73"/>
      <c r="T43" s="73"/>
      <c r="U43" s="369">
        <f t="shared" si="1"/>
        <v>411934</v>
      </c>
      <c r="X43" s="190"/>
    </row>
    <row r="44" spans="1:24" x14ac:dyDescent="0.25">
      <c r="A44" s="847"/>
      <c r="B44" s="874"/>
      <c r="C44" s="59" t="s">
        <v>454</v>
      </c>
      <c r="D44" s="26"/>
      <c r="E44" s="26"/>
      <c r="F44" s="26"/>
      <c r="G44" s="26"/>
      <c r="H44" s="74"/>
      <c r="I44" s="409"/>
      <c r="J44" s="410"/>
      <c r="K44" s="26"/>
      <c r="L44" s="46"/>
      <c r="M44" s="45"/>
      <c r="N44" s="46"/>
      <c r="O44" s="46"/>
      <c r="P44" s="46"/>
      <c r="Q44" s="46"/>
      <c r="R44" s="73">
        <v>150000</v>
      </c>
      <c r="S44" s="73"/>
      <c r="T44" s="755"/>
      <c r="U44" s="369">
        <f t="shared" si="1"/>
        <v>150000</v>
      </c>
      <c r="W44" s="190"/>
      <c r="X44" s="190"/>
    </row>
    <row r="45" spans="1:24" x14ac:dyDescent="0.25">
      <c r="A45" s="847"/>
      <c r="B45" s="874"/>
      <c r="C45" s="59" t="s">
        <v>322</v>
      </c>
      <c r="D45" s="26"/>
      <c r="E45" s="26"/>
      <c r="F45" s="26"/>
      <c r="G45" s="26"/>
      <c r="H45" s="74"/>
      <c r="I45" s="409"/>
      <c r="J45" s="410"/>
      <c r="K45" s="26"/>
      <c r="L45" s="46"/>
      <c r="M45" s="45"/>
      <c r="N45" s="46"/>
      <c r="O45" s="46"/>
      <c r="P45" s="46"/>
      <c r="Q45" s="46"/>
      <c r="R45" s="73">
        <v>22000</v>
      </c>
      <c r="S45" s="73"/>
      <c r="T45" s="73"/>
      <c r="U45" s="369">
        <f t="shared" si="1"/>
        <v>22000</v>
      </c>
      <c r="W45" s="190"/>
    </row>
    <row r="46" spans="1:24" ht="12.75" customHeight="1" x14ac:dyDescent="0.25">
      <c r="A46" s="847"/>
      <c r="B46" s="874"/>
      <c r="C46" s="59" t="s">
        <v>438</v>
      </c>
      <c r="D46" s="26"/>
      <c r="E46" s="26"/>
      <c r="F46" s="26"/>
      <c r="G46" s="26"/>
      <c r="H46" s="74"/>
      <c r="I46" s="409"/>
      <c r="J46" s="410"/>
      <c r="K46" s="26"/>
      <c r="L46" s="46"/>
      <c r="M46" s="45"/>
      <c r="N46" s="46"/>
      <c r="O46" s="46"/>
      <c r="P46" s="46"/>
      <c r="Q46" s="46"/>
      <c r="R46" s="73">
        <v>5000</v>
      </c>
      <c r="S46" s="73"/>
      <c r="T46" s="73"/>
      <c r="U46" s="369">
        <f t="shared" si="1"/>
        <v>5000</v>
      </c>
    </row>
    <row r="47" spans="1:24" ht="12.75" customHeight="1" x14ac:dyDescent="0.25">
      <c r="A47" s="847"/>
      <c r="B47" s="874"/>
      <c r="C47" s="59" t="s">
        <v>450</v>
      </c>
      <c r="D47" s="26"/>
      <c r="E47" s="26"/>
      <c r="F47" s="26"/>
      <c r="G47" s="26"/>
      <c r="H47" s="74"/>
      <c r="I47" s="409"/>
      <c r="J47" s="410"/>
      <c r="K47" s="26"/>
      <c r="L47" s="46">
        <v>29104.44</v>
      </c>
      <c r="M47" s="45"/>
      <c r="N47" s="46"/>
      <c r="O47" s="46"/>
      <c r="P47" s="46"/>
      <c r="Q47" s="46"/>
      <c r="R47" s="73">
        <v>3000</v>
      </c>
      <c r="S47" s="755"/>
      <c r="T47" s="73"/>
      <c r="U47" s="369">
        <f>R47+S47+T47</f>
        <v>3000</v>
      </c>
    </row>
    <row r="48" spans="1:24" ht="12.75" hidden="1" customHeight="1" x14ac:dyDescent="0.25">
      <c r="A48" s="847"/>
      <c r="B48" s="874"/>
      <c r="C48" s="59" t="s">
        <v>323</v>
      </c>
      <c r="D48" s="49"/>
      <c r="E48" s="49"/>
      <c r="F48" s="49"/>
      <c r="G48" s="49"/>
      <c r="H48" s="83"/>
      <c r="I48" s="411"/>
      <c r="J48" s="412"/>
      <c r="K48" s="49"/>
      <c r="L48" s="49"/>
      <c r="M48" s="45">
        <v>2200</v>
      </c>
      <c r="N48" s="46"/>
      <c r="O48" s="46"/>
      <c r="P48" s="46"/>
      <c r="Q48" s="46"/>
      <c r="R48" s="73">
        <v>0</v>
      </c>
      <c r="S48" s="73"/>
      <c r="T48" s="73"/>
      <c r="U48" s="369">
        <f t="shared" si="1"/>
        <v>0</v>
      </c>
    </row>
    <row r="49" spans="1:24" ht="12.75" hidden="1" customHeight="1" x14ac:dyDescent="0.25">
      <c r="A49" s="847"/>
      <c r="B49" s="874"/>
      <c r="C49" s="59" t="s">
        <v>324</v>
      </c>
      <c r="D49" s="49"/>
      <c r="E49" s="49"/>
      <c r="F49" s="49"/>
      <c r="G49" s="49"/>
      <c r="H49" s="83"/>
      <c r="I49" s="411"/>
      <c r="J49" s="412"/>
      <c r="K49" s="49"/>
      <c r="L49" s="49"/>
      <c r="M49" s="45">
        <v>28928.71</v>
      </c>
      <c r="N49" s="46"/>
      <c r="O49" s="46"/>
      <c r="P49" s="46"/>
      <c r="Q49" s="46"/>
      <c r="R49" s="73">
        <v>0</v>
      </c>
      <c r="S49" s="73"/>
      <c r="T49" s="73"/>
      <c r="U49" s="369">
        <f t="shared" si="1"/>
        <v>0</v>
      </c>
    </row>
    <row r="50" spans="1:24" ht="12.75" hidden="1" customHeight="1" x14ac:dyDescent="0.25">
      <c r="A50" s="847"/>
      <c r="B50" s="874"/>
      <c r="C50" s="59" t="s">
        <v>325</v>
      </c>
      <c r="D50" s="49"/>
      <c r="E50" s="49"/>
      <c r="F50" s="49"/>
      <c r="G50" s="49"/>
      <c r="H50" s="83"/>
      <c r="I50" s="411"/>
      <c r="J50" s="412"/>
      <c r="K50" s="49"/>
      <c r="L50" s="49"/>
      <c r="M50" s="25">
        <v>19756.98</v>
      </c>
      <c r="N50" s="46"/>
      <c r="O50" s="46"/>
      <c r="P50" s="46"/>
      <c r="Q50" s="46"/>
      <c r="R50" s="73">
        <v>0</v>
      </c>
      <c r="S50" s="73"/>
      <c r="T50" s="73"/>
      <c r="U50" s="369">
        <f t="shared" si="1"/>
        <v>0</v>
      </c>
    </row>
    <row r="51" spans="1:24" ht="12.75" hidden="1" customHeight="1" x14ac:dyDescent="0.25">
      <c r="A51" s="847"/>
      <c r="B51" s="874"/>
      <c r="C51" s="59" t="s">
        <v>326</v>
      </c>
      <c r="D51" s="49"/>
      <c r="E51" s="49"/>
      <c r="F51" s="49"/>
      <c r="G51" s="49"/>
      <c r="H51" s="83"/>
      <c r="I51" s="411"/>
      <c r="J51" s="412"/>
      <c r="K51" s="49"/>
      <c r="L51" s="49"/>
      <c r="M51" s="25">
        <v>20994.32</v>
      </c>
      <c r="N51" s="46"/>
      <c r="O51" s="46"/>
      <c r="P51" s="46"/>
      <c r="Q51" s="46"/>
      <c r="R51" s="73">
        <v>0</v>
      </c>
      <c r="S51" s="73"/>
      <c r="T51" s="73"/>
      <c r="U51" s="369">
        <f t="shared" si="1"/>
        <v>0</v>
      </c>
    </row>
    <row r="52" spans="1:24" ht="12.75" hidden="1" customHeight="1" x14ac:dyDescent="0.25">
      <c r="A52" s="847"/>
      <c r="B52" s="874"/>
      <c r="C52" s="59" t="s">
        <v>327</v>
      </c>
      <c r="D52" s="49"/>
      <c r="E52" s="49"/>
      <c r="F52" s="49"/>
      <c r="G52" s="49"/>
      <c r="H52" s="83"/>
      <c r="I52" s="411"/>
      <c r="J52" s="412"/>
      <c r="K52" s="49"/>
      <c r="L52" s="49">
        <v>22831.440000000002</v>
      </c>
      <c r="M52" s="26">
        <v>0</v>
      </c>
      <c r="N52" s="46"/>
      <c r="O52" s="46"/>
      <c r="P52" s="46"/>
      <c r="Q52" s="46"/>
      <c r="R52" s="73">
        <v>0</v>
      </c>
      <c r="S52" s="73"/>
      <c r="T52" s="73"/>
      <c r="U52" s="369">
        <f t="shared" si="1"/>
        <v>0</v>
      </c>
    </row>
    <row r="53" spans="1:24" ht="12.75" hidden="1" customHeight="1" x14ac:dyDescent="0.25">
      <c r="A53" s="847"/>
      <c r="B53" s="874"/>
      <c r="C53" s="59" t="s">
        <v>328</v>
      </c>
      <c r="D53" s="49"/>
      <c r="E53" s="49"/>
      <c r="F53" s="49"/>
      <c r="G53" s="49"/>
      <c r="H53" s="83"/>
      <c r="I53" s="411"/>
      <c r="J53" s="412"/>
      <c r="K53" s="49"/>
      <c r="L53" s="49"/>
      <c r="M53" s="26"/>
      <c r="N53" s="46"/>
      <c r="O53" s="46"/>
      <c r="P53" s="46"/>
      <c r="Q53" s="46"/>
      <c r="R53" s="73">
        <v>0</v>
      </c>
      <c r="S53" s="73"/>
      <c r="T53" s="73"/>
      <c r="U53" s="369">
        <f t="shared" si="1"/>
        <v>0</v>
      </c>
    </row>
    <row r="54" spans="1:24" ht="12.75" hidden="1" customHeight="1" x14ac:dyDescent="0.25">
      <c r="A54" s="847"/>
      <c r="B54" s="874"/>
      <c r="C54" s="59" t="s">
        <v>329</v>
      </c>
      <c r="D54" s="49"/>
      <c r="E54" s="49"/>
      <c r="F54" s="49"/>
      <c r="G54" s="49"/>
      <c r="H54" s="83"/>
      <c r="I54" s="411"/>
      <c r="J54" s="412"/>
      <c r="K54" s="49"/>
      <c r="L54" s="49"/>
      <c r="M54" s="49"/>
      <c r="N54" s="26"/>
      <c r="O54" s="60"/>
      <c r="P54" s="73"/>
      <c r="Q54" s="73"/>
      <c r="R54" s="73">
        <v>0</v>
      </c>
      <c r="S54" s="73"/>
      <c r="T54" s="73"/>
      <c r="U54" s="369">
        <f t="shared" si="1"/>
        <v>0</v>
      </c>
    </row>
    <row r="55" spans="1:24" ht="15.75" thickBot="1" x14ac:dyDescent="0.3">
      <c r="A55" s="847"/>
      <c r="B55" s="874"/>
      <c r="C55" s="59" t="s">
        <v>330</v>
      </c>
      <c r="D55" s="49"/>
      <c r="E55" s="49"/>
      <c r="F55" s="49"/>
      <c r="G55" s="49"/>
      <c r="H55" s="83"/>
      <c r="I55" s="411"/>
      <c r="J55" s="412"/>
      <c r="K55" s="49"/>
      <c r="L55" s="49"/>
      <c r="M55" s="49"/>
      <c r="N55" s="26"/>
      <c r="O55" s="60"/>
      <c r="P55" s="73"/>
      <c r="Q55" s="73"/>
      <c r="R55" s="73">
        <v>46000</v>
      </c>
      <c r="S55" s="73"/>
      <c r="T55" s="73"/>
      <c r="U55" s="369">
        <f t="shared" si="1"/>
        <v>46000</v>
      </c>
      <c r="X55" s="190"/>
    </row>
    <row r="56" spans="1:24" ht="15.75" hidden="1" thickBot="1" x14ac:dyDescent="0.3">
      <c r="A56" s="404"/>
      <c r="B56" s="408"/>
      <c r="C56" s="59"/>
      <c r="D56" s="49"/>
      <c r="E56" s="49"/>
      <c r="F56" s="49"/>
      <c r="G56" s="49"/>
      <c r="H56" s="83"/>
      <c r="I56" s="411"/>
      <c r="J56" s="412"/>
      <c r="K56" s="49"/>
      <c r="L56" s="49"/>
      <c r="M56" s="32"/>
      <c r="N56" s="32"/>
      <c r="O56" s="76"/>
      <c r="P56" s="189"/>
      <c r="Q56" s="189"/>
      <c r="R56" s="73"/>
      <c r="S56" s="73"/>
      <c r="T56" s="73"/>
      <c r="U56" s="369">
        <f t="shared" si="1"/>
        <v>0</v>
      </c>
    </row>
    <row r="57" spans="1:24" ht="15.75" thickBot="1" x14ac:dyDescent="0.3">
      <c r="A57" s="413" t="s">
        <v>176</v>
      </c>
      <c r="B57" s="778" t="s">
        <v>331</v>
      </c>
      <c r="C57" s="779"/>
      <c r="D57" s="414">
        <v>80894</v>
      </c>
      <c r="E57" s="180">
        <v>8298</v>
      </c>
      <c r="F57" s="180">
        <v>71666</v>
      </c>
      <c r="G57" s="180">
        <v>1330064</v>
      </c>
      <c r="H57" s="180">
        <v>2147096</v>
      </c>
      <c r="I57" s="395">
        <v>8121</v>
      </c>
      <c r="J57" s="180">
        <v>93729</v>
      </c>
      <c r="K57" s="84">
        <f t="shared" ref="K57:M57" si="4">SUM(K58:K63)</f>
        <v>28919</v>
      </c>
      <c r="L57" s="84">
        <f t="shared" si="4"/>
        <v>0</v>
      </c>
      <c r="M57" s="85">
        <f t="shared" si="4"/>
        <v>69453.41</v>
      </c>
      <c r="N57" s="84">
        <v>5501</v>
      </c>
      <c r="O57" s="84">
        <v>396374.4</v>
      </c>
      <c r="P57" s="84">
        <v>215644.72</v>
      </c>
      <c r="Q57" s="84">
        <v>36876</v>
      </c>
      <c r="R57" s="84">
        <f>R58</f>
        <v>0</v>
      </c>
      <c r="S57" s="84">
        <f>S58+S59</f>
        <v>19548</v>
      </c>
      <c r="T57" s="84">
        <f>T58+T59</f>
        <v>0</v>
      </c>
      <c r="U57" s="586">
        <f>U58+U59</f>
        <v>19548</v>
      </c>
    </row>
    <row r="58" spans="1:24" x14ac:dyDescent="0.25">
      <c r="A58" s="415"/>
      <c r="B58" s="416"/>
      <c r="C58" s="57" t="s">
        <v>473</v>
      </c>
      <c r="D58" s="20"/>
      <c r="E58" s="20"/>
      <c r="F58" s="20"/>
      <c r="G58" s="20"/>
      <c r="H58" s="71"/>
      <c r="I58" s="417"/>
      <c r="J58" s="418"/>
      <c r="K58" s="20">
        <v>28919</v>
      </c>
      <c r="L58" s="46"/>
      <c r="M58" s="45"/>
      <c r="N58" s="46"/>
      <c r="O58" s="46"/>
      <c r="P58" s="46"/>
      <c r="Q58" s="46"/>
      <c r="R58" s="73"/>
      <c r="S58" s="73">
        <v>13188</v>
      </c>
      <c r="T58" s="73"/>
      <c r="U58" s="369">
        <f t="shared" si="1"/>
        <v>13188</v>
      </c>
    </row>
    <row r="59" spans="1:24" ht="15.75" thickBot="1" x14ac:dyDescent="0.3">
      <c r="A59" s="404"/>
      <c r="B59" s="408"/>
      <c r="C59" s="91" t="s">
        <v>474</v>
      </c>
      <c r="D59" s="46"/>
      <c r="E59" s="46"/>
      <c r="F59" s="46"/>
      <c r="G59" s="46"/>
      <c r="H59" s="72"/>
      <c r="I59" s="419"/>
      <c r="J59" s="420"/>
      <c r="K59" s="46"/>
      <c r="L59" s="46"/>
      <c r="M59" s="45">
        <v>69453.41</v>
      </c>
      <c r="N59" s="46"/>
      <c r="O59" s="46"/>
      <c r="P59" s="46"/>
      <c r="Q59" s="46"/>
      <c r="R59" s="73"/>
      <c r="S59" s="73">
        <v>6360</v>
      </c>
      <c r="T59" s="73"/>
      <c r="U59" s="369">
        <f t="shared" si="1"/>
        <v>6360</v>
      </c>
    </row>
    <row r="60" spans="1:24" hidden="1" x14ac:dyDescent="0.25">
      <c r="A60" s="404"/>
      <c r="B60" s="408"/>
      <c r="C60" s="59" t="s">
        <v>97</v>
      </c>
      <c r="D60" s="46"/>
      <c r="E60" s="46"/>
      <c r="F60" s="46"/>
      <c r="G60" s="46"/>
      <c r="H60" s="72"/>
      <c r="I60" s="419"/>
      <c r="J60" s="420"/>
      <c r="K60" s="46"/>
      <c r="L60" s="46"/>
      <c r="M60" s="46"/>
      <c r="N60" s="46"/>
      <c r="O60" s="46"/>
      <c r="P60" s="46"/>
      <c r="Q60" s="46"/>
      <c r="R60" s="73"/>
      <c r="S60" s="73"/>
      <c r="T60" s="73"/>
      <c r="U60" s="369">
        <f t="shared" si="1"/>
        <v>0</v>
      </c>
    </row>
    <row r="61" spans="1:24" hidden="1" x14ac:dyDescent="0.25">
      <c r="A61" s="404"/>
      <c r="B61" s="408"/>
      <c r="C61" s="59" t="s">
        <v>332</v>
      </c>
      <c r="D61" s="26"/>
      <c r="E61" s="26"/>
      <c r="F61" s="26"/>
      <c r="G61" s="26"/>
      <c r="H61" s="74"/>
      <c r="I61" s="409"/>
      <c r="J61" s="410"/>
      <c r="K61" s="26"/>
      <c r="L61" s="26"/>
      <c r="M61" s="26"/>
      <c r="N61" s="26"/>
      <c r="O61" s="26"/>
      <c r="P61" s="26"/>
      <c r="Q61" s="26"/>
      <c r="R61" s="60"/>
      <c r="S61" s="60"/>
      <c r="T61" s="60"/>
      <c r="U61" s="393">
        <f t="shared" si="1"/>
        <v>0</v>
      </c>
    </row>
    <row r="62" spans="1:24" hidden="1" x14ac:dyDescent="0.25">
      <c r="A62" s="404"/>
      <c r="B62" s="408"/>
      <c r="C62" s="59" t="s">
        <v>333</v>
      </c>
      <c r="D62" s="26"/>
      <c r="E62" s="26"/>
      <c r="F62" s="26"/>
      <c r="G62" s="26"/>
      <c r="H62" s="74"/>
      <c r="I62" s="409"/>
      <c r="J62" s="410"/>
      <c r="K62" s="26"/>
      <c r="L62" s="26"/>
      <c r="M62" s="26"/>
      <c r="N62" s="26"/>
      <c r="O62" s="26"/>
      <c r="P62" s="26"/>
      <c r="Q62" s="26"/>
      <c r="R62" s="60"/>
      <c r="S62" s="60"/>
      <c r="T62" s="60"/>
      <c r="U62" s="393">
        <f t="shared" si="1"/>
        <v>0</v>
      </c>
    </row>
    <row r="63" spans="1:24" ht="15.75" hidden="1" thickBot="1" x14ac:dyDescent="0.3">
      <c r="A63" s="421"/>
      <c r="B63" s="422"/>
      <c r="C63" s="91" t="s">
        <v>334</v>
      </c>
      <c r="D63" s="90"/>
      <c r="E63" s="90"/>
      <c r="F63" s="90"/>
      <c r="G63" s="90"/>
      <c r="H63" s="88"/>
      <c r="I63" s="423"/>
      <c r="J63" s="424"/>
      <c r="K63" s="97"/>
      <c r="L63" s="90"/>
      <c r="M63" s="90"/>
      <c r="N63" s="90"/>
      <c r="O63" s="90"/>
      <c r="P63" s="90"/>
      <c r="Q63" s="90"/>
      <c r="R63" s="189"/>
      <c r="S63" s="189"/>
      <c r="T63" s="189"/>
      <c r="U63" s="587">
        <f t="shared" si="1"/>
        <v>0</v>
      </c>
    </row>
    <row r="64" spans="1:24" ht="15.75" thickBot="1" x14ac:dyDescent="0.3">
      <c r="A64" s="425" t="s">
        <v>189</v>
      </c>
      <c r="B64" s="881" t="s">
        <v>335</v>
      </c>
      <c r="C64" s="881"/>
      <c r="D64" s="426"/>
      <c r="E64" s="426"/>
      <c r="F64" s="426"/>
      <c r="G64" s="426"/>
      <c r="H64" s="427">
        <v>182399</v>
      </c>
      <c r="I64" s="427"/>
      <c r="J64" s="428"/>
      <c r="K64" s="86"/>
      <c r="L64" s="86"/>
      <c r="M64" s="86"/>
      <c r="N64" s="86"/>
      <c r="O64" s="86"/>
      <c r="P64" s="86"/>
      <c r="Q64" s="86"/>
      <c r="R64" s="84"/>
      <c r="S64" s="84"/>
      <c r="T64" s="84"/>
      <c r="U64" s="586">
        <f t="shared" si="1"/>
        <v>0</v>
      </c>
    </row>
    <row r="65" spans="1:21" ht="15.75" thickBot="1" x14ac:dyDescent="0.3">
      <c r="A65" s="404"/>
      <c r="B65" s="408"/>
      <c r="C65" s="88"/>
      <c r="D65" s="90"/>
      <c r="E65" s="90"/>
      <c r="F65" s="90"/>
      <c r="G65" s="90"/>
      <c r="H65" s="88"/>
      <c r="I65" s="423"/>
      <c r="J65" s="424"/>
      <c r="K65" s="90"/>
      <c r="L65" s="90"/>
      <c r="M65" s="90"/>
      <c r="N65" s="90"/>
      <c r="O65" s="90"/>
      <c r="P65" s="90"/>
      <c r="Q65" s="90"/>
      <c r="R65" s="189"/>
      <c r="S65" s="189"/>
      <c r="T65" s="189"/>
      <c r="U65" s="587">
        <f t="shared" si="1"/>
        <v>0</v>
      </c>
    </row>
    <row r="66" spans="1:21" ht="15.75" thickBot="1" x14ac:dyDescent="0.3">
      <c r="A66" s="152" t="s">
        <v>191</v>
      </c>
      <c r="B66" s="778" t="s">
        <v>192</v>
      </c>
      <c r="C66" s="779"/>
      <c r="D66" s="153">
        <v>0</v>
      </c>
      <c r="E66" s="153">
        <v>0</v>
      </c>
      <c r="F66" s="153">
        <v>6639</v>
      </c>
      <c r="G66" s="153">
        <v>113606</v>
      </c>
      <c r="H66" s="153">
        <v>254005</v>
      </c>
      <c r="I66" s="240">
        <v>2699311</v>
      </c>
      <c r="J66" s="153">
        <v>3603230</v>
      </c>
      <c r="K66" s="84">
        <f>SUM(K73:K73)</f>
        <v>1781346</v>
      </c>
      <c r="L66" s="84">
        <f t="shared" ref="L66:M66" si="5">SUM(L67:L73)</f>
        <v>11891.04</v>
      </c>
      <c r="M66" s="85">
        <f t="shared" si="5"/>
        <v>1099.52</v>
      </c>
      <c r="N66" s="84">
        <v>9688.17</v>
      </c>
      <c r="O66" s="84">
        <v>125008.29000000001</v>
      </c>
      <c r="P66" s="84">
        <v>30038.799999999999</v>
      </c>
      <c r="Q66" s="85">
        <v>3055</v>
      </c>
      <c r="R66" s="84">
        <f>R67</f>
        <v>15000</v>
      </c>
      <c r="S66" s="84">
        <f>S67+S68</f>
        <v>8579</v>
      </c>
      <c r="T66" s="84">
        <f>T67+T68</f>
        <v>0</v>
      </c>
      <c r="U66" s="586">
        <f>U67+U68</f>
        <v>23579</v>
      </c>
    </row>
    <row r="67" spans="1:21" x14ac:dyDescent="0.25">
      <c r="A67" s="844"/>
      <c r="B67" s="885"/>
      <c r="C67" s="429" t="s">
        <v>337</v>
      </c>
      <c r="D67" s="430"/>
      <c r="E67" s="430"/>
      <c r="F67" s="430"/>
      <c r="G67" s="430"/>
      <c r="H67" s="429"/>
      <c r="I67" s="431"/>
      <c r="J67" s="432"/>
      <c r="K67" s="281"/>
      <c r="L67" s="17">
        <v>11891.04</v>
      </c>
      <c r="M67" s="158">
        <v>1099.52</v>
      </c>
      <c r="N67" s="158"/>
      <c r="O67" s="158"/>
      <c r="P67" s="158"/>
      <c r="Q67" s="158"/>
      <c r="R67" s="17">
        <v>15000</v>
      </c>
      <c r="S67" s="17"/>
      <c r="T67" s="17"/>
      <c r="U67" s="767">
        <f t="shared" si="1"/>
        <v>15000</v>
      </c>
    </row>
    <row r="68" spans="1:21" ht="15.75" thickBot="1" x14ac:dyDescent="0.3">
      <c r="A68" s="845"/>
      <c r="B68" s="883"/>
      <c r="C68" s="433" t="s">
        <v>477</v>
      </c>
      <c r="D68" s="434"/>
      <c r="E68" s="434"/>
      <c r="F68" s="434"/>
      <c r="G68" s="434"/>
      <c r="H68" s="433"/>
      <c r="I68" s="435"/>
      <c r="J68" s="436"/>
      <c r="K68" s="284"/>
      <c r="L68" s="112"/>
      <c r="M68" s="232"/>
      <c r="N68" s="232"/>
      <c r="O68" s="112"/>
      <c r="P68" s="112"/>
      <c r="Q68" s="112"/>
      <c r="R68" s="112"/>
      <c r="S68" s="112">
        <v>8579</v>
      </c>
      <c r="T68" s="112"/>
      <c r="U68" s="646">
        <f t="shared" si="1"/>
        <v>8579</v>
      </c>
    </row>
    <row r="69" spans="1:21" hidden="1" x14ac:dyDescent="0.25">
      <c r="A69" s="845"/>
      <c r="B69" s="883"/>
      <c r="C69" s="433" t="s">
        <v>336</v>
      </c>
      <c r="D69" s="434"/>
      <c r="E69" s="434"/>
      <c r="F69" s="434"/>
      <c r="G69" s="434"/>
      <c r="H69" s="433"/>
      <c r="I69" s="435"/>
      <c r="J69" s="436"/>
      <c r="K69" s="284"/>
      <c r="L69" s="284"/>
      <c r="M69" s="438"/>
      <c r="N69" s="112"/>
      <c r="O69" s="438"/>
      <c r="P69" s="438"/>
      <c r="Q69" s="438"/>
      <c r="R69" s="438"/>
      <c r="S69" s="438"/>
      <c r="T69" s="438"/>
      <c r="U69" s="642">
        <f t="shared" si="1"/>
        <v>0</v>
      </c>
    </row>
    <row r="70" spans="1:21" hidden="1" x14ac:dyDescent="0.25">
      <c r="A70" s="845"/>
      <c r="B70" s="883"/>
      <c r="C70" s="433" t="s">
        <v>337</v>
      </c>
      <c r="D70" s="434"/>
      <c r="E70" s="434"/>
      <c r="F70" s="434"/>
      <c r="G70" s="434"/>
      <c r="H70" s="433"/>
      <c r="I70" s="435"/>
      <c r="J70" s="436"/>
      <c r="K70" s="284"/>
      <c r="L70" s="284"/>
      <c r="M70" s="284"/>
      <c r="N70" s="437"/>
      <c r="O70" s="112"/>
      <c r="P70" s="112"/>
      <c r="Q70" s="112"/>
      <c r="R70" s="112"/>
      <c r="S70" s="112"/>
      <c r="T70" s="437"/>
      <c r="U70" s="641">
        <f t="shared" si="1"/>
        <v>0</v>
      </c>
    </row>
    <row r="71" spans="1:21" hidden="1" x14ac:dyDescent="0.25">
      <c r="A71" s="845"/>
      <c r="B71" s="883"/>
      <c r="C71" s="439" t="s">
        <v>196</v>
      </c>
      <c r="D71" s="440"/>
      <c r="E71" s="440"/>
      <c r="F71" s="440"/>
      <c r="G71" s="440"/>
      <c r="H71" s="439"/>
      <c r="I71" s="441"/>
      <c r="J71" s="442"/>
      <c r="K71" s="443"/>
      <c r="L71" s="443"/>
      <c r="M71" s="443"/>
      <c r="N71" s="443"/>
      <c r="O71" s="443"/>
      <c r="P71" s="443"/>
      <c r="Q71" s="443"/>
      <c r="R71" s="444"/>
      <c r="S71" s="23"/>
      <c r="T71" s="443"/>
      <c r="U71" s="643">
        <f t="shared" si="1"/>
        <v>0</v>
      </c>
    </row>
    <row r="72" spans="1:21" hidden="1" x14ac:dyDescent="0.25">
      <c r="A72" s="845"/>
      <c r="B72" s="883"/>
      <c r="C72" s="439" t="s">
        <v>197</v>
      </c>
      <c r="D72" s="440"/>
      <c r="E72" s="440"/>
      <c r="F72" s="440"/>
      <c r="G72" s="440"/>
      <c r="H72" s="439"/>
      <c r="I72" s="441"/>
      <c r="J72" s="442"/>
      <c r="K72" s="443"/>
      <c r="L72" s="443"/>
      <c r="M72" s="443"/>
      <c r="N72" s="443"/>
      <c r="O72" s="443"/>
      <c r="P72" s="443"/>
      <c r="Q72" s="443"/>
      <c r="R72" s="444"/>
      <c r="S72" s="23"/>
      <c r="T72" s="443"/>
      <c r="U72" s="643">
        <f t="shared" si="1"/>
        <v>0</v>
      </c>
    </row>
    <row r="73" spans="1:21" ht="15.75" hidden="1" thickBot="1" x14ac:dyDescent="0.3">
      <c r="A73" s="846"/>
      <c r="B73" s="884"/>
      <c r="C73" s="61" t="s">
        <v>338</v>
      </c>
      <c r="D73" s="32"/>
      <c r="E73" s="32"/>
      <c r="F73" s="32"/>
      <c r="G73" s="32"/>
      <c r="H73" s="75"/>
      <c r="I73" s="445"/>
      <c r="J73" s="446"/>
      <c r="K73" s="32">
        <v>1781346</v>
      </c>
      <c r="L73" s="97"/>
      <c r="M73" s="97"/>
      <c r="N73" s="97"/>
      <c r="O73" s="97"/>
      <c r="P73" s="97"/>
      <c r="Q73" s="97"/>
      <c r="R73" s="149"/>
      <c r="S73" s="149"/>
      <c r="T73" s="149"/>
      <c r="U73" s="644">
        <f t="shared" si="1"/>
        <v>0</v>
      </c>
    </row>
    <row r="74" spans="1:21" ht="15.75" thickBot="1" x14ac:dyDescent="0.3">
      <c r="A74" s="407" t="s">
        <v>211</v>
      </c>
      <c r="B74" s="881" t="s">
        <v>212</v>
      </c>
      <c r="C74" s="881"/>
      <c r="D74" s="180">
        <v>38040</v>
      </c>
      <c r="E74" s="180">
        <v>144792</v>
      </c>
      <c r="F74" s="180">
        <v>36414</v>
      </c>
      <c r="G74" s="180">
        <v>3228</v>
      </c>
      <c r="H74" s="180">
        <v>15058</v>
      </c>
      <c r="I74" s="427"/>
      <c r="J74" s="428"/>
      <c r="K74" s="86">
        <f>SUM(K75:K77)</f>
        <v>5000</v>
      </c>
      <c r="L74" s="86">
        <f>SUM(L75:L77)</f>
        <v>35480.800000000003</v>
      </c>
      <c r="M74" s="119">
        <f>SUM(M75:M77)</f>
        <v>555131.6</v>
      </c>
      <c r="N74" s="86">
        <v>10197.6</v>
      </c>
      <c r="O74" s="86">
        <v>323.60000000000002</v>
      </c>
      <c r="P74" s="86">
        <v>16171.269999999999</v>
      </c>
      <c r="Q74" s="119">
        <v>27465.02</v>
      </c>
      <c r="R74" s="84">
        <f>R75</f>
        <v>150535</v>
      </c>
      <c r="S74" s="84">
        <f>S75+S76</f>
        <v>8515</v>
      </c>
      <c r="T74" s="84">
        <f>T75+T76</f>
        <v>0</v>
      </c>
      <c r="U74" s="586">
        <f>U75+U76</f>
        <v>159050</v>
      </c>
    </row>
    <row r="75" spans="1:21" x14ac:dyDescent="0.25">
      <c r="A75" s="844"/>
      <c r="B75" s="886"/>
      <c r="C75" s="57" t="s">
        <v>339</v>
      </c>
      <c r="D75" s="20"/>
      <c r="E75" s="20"/>
      <c r="F75" s="20"/>
      <c r="G75" s="20"/>
      <c r="H75" s="71"/>
      <c r="I75" s="417"/>
      <c r="J75" s="418"/>
      <c r="K75" s="447">
        <v>5000</v>
      </c>
      <c r="L75" s="447">
        <v>20503.12</v>
      </c>
      <c r="M75" s="448"/>
      <c r="N75" s="447"/>
      <c r="O75" s="447"/>
      <c r="P75" s="447"/>
      <c r="Q75" s="447"/>
      <c r="R75" s="58">
        <v>150535</v>
      </c>
      <c r="S75" s="645"/>
      <c r="T75" s="757"/>
      <c r="U75" s="640">
        <f t="shared" ref="U75:U145" si="6">R75+S75+T75</f>
        <v>150535</v>
      </c>
    </row>
    <row r="76" spans="1:21" ht="15.75" thickBot="1" x14ac:dyDescent="0.3">
      <c r="A76" s="845"/>
      <c r="B76" s="887"/>
      <c r="C76" s="91" t="s">
        <v>476</v>
      </c>
      <c r="D76" s="90"/>
      <c r="E76" s="90"/>
      <c r="F76" s="90"/>
      <c r="G76" s="90"/>
      <c r="H76" s="88"/>
      <c r="I76" s="423"/>
      <c r="J76" s="424"/>
      <c r="K76" s="449"/>
      <c r="L76" s="450"/>
      <c r="M76" s="451">
        <v>555131.6</v>
      </c>
      <c r="N76" s="450"/>
      <c r="O76" s="450"/>
      <c r="P76" s="450"/>
      <c r="Q76" s="450"/>
      <c r="R76" s="452"/>
      <c r="S76" s="60">
        <v>8515</v>
      </c>
      <c r="T76" s="60"/>
      <c r="U76" s="393">
        <f t="shared" si="6"/>
        <v>8515</v>
      </c>
    </row>
    <row r="77" spans="1:21" ht="15.75" hidden="1" thickBot="1" x14ac:dyDescent="0.3">
      <c r="A77" s="846"/>
      <c r="B77" s="888"/>
      <c r="C77" s="59"/>
      <c r="D77" s="90"/>
      <c r="E77" s="90"/>
      <c r="F77" s="90"/>
      <c r="G77" s="90"/>
      <c r="H77" s="88"/>
      <c r="I77" s="423"/>
      <c r="J77" s="424"/>
      <c r="K77" s="90"/>
      <c r="L77" s="90">
        <v>14977.68</v>
      </c>
      <c r="M77" s="89"/>
      <c r="N77" s="90"/>
      <c r="O77" s="90"/>
      <c r="P77" s="90"/>
      <c r="Q77" s="90"/>
      <c r="R77" s="189"/>
      <c r="S77" s="189"/>
      <c r="T77" s="189"/>
      <c r="U77" s="587">
        <f t="shared" si="6"/>
        <v>0</v>
      </c>
    </row>
    <row r="78" spans="1:21" ht="15.75" thickBot="1" x14ac:dyDescent="0.3">
      <c r="A78" s="407" t="s">
        <v>215</v>
      </c>
      <c r="B78" s="881" t="s">
        <v>216</v>
      </c>
      <c r="C78" s="881"/>
      <c r="D78" s="180">
        <v>326960</v>
      </c>
      <c r="E78" s="180">
        <v>144858</v>
      </c>
      <c r="F78" s="180">
        <v>123880</v>
      </c>
      <c r="G78" s="180">
        <v>20761</v>
      </c>
      <c r="H78" s="180">
        <v>158221</v>
      </c>
      <c r="I78" s="395">
        <v>92051</v>
      </c>
      <c r="J78" s="180">
        <v>68225</v>
      </c>
      <c r="K78" s="84">
        <f>SUM(K79:K108)</f>
        <v>16198</v>
      </c>
      <c r="L78" s="84">
        <f>SUM(L79:L108)</f>
        <v>1305435.6399999999</v>
      </c>
      <c r="M78" s="85">
        <f>SUM(M79:M108)</f>
        <v>139207.66</v>
      </c>
      <c r="N78" s="84">
        <v>44614.21</v>
      </c>
      <c r="O78" s="85">
        <v>60675.760000000009</v>
      </c>
      <c r="P78" s="85">
        <v>54775.5</v>
      </c>
      <c r="Q78" s="85">
        <v>566821.34</v>
      </c>
      <c r="R78" s="84">
        <f>SUM(R80:R105)</f>
        <v>6155466</v>
      </c>
      <c r="S78" s="84">
        <f t="shared" ref="S78:U78" si="7">SUM(S80:S105)</f>
        <v>0</v>
      </c>
      <c r="T78" s="84">
        <f t="shared" si="7"/>
        <v>223403</v>
      </c>
      <c r="U78" s="586">
        <f t="shared" si="7"/>
        <v>6378869</v>
      </c>
    </row>
    <row r="79" spans="1:21" hidden="1" x14ac:dyDescent="0.25">
      <c r="A79" s="842"/>
      <c r="B79" s="873"/>
      <c r="C79" s="453" t="s">
        <v>340</v>
      </c>
      <c r="D79" s="454"/>
      <c r="E79" s="454"/>
      <c r="F79" s="454"/>
      <c r="G79" s="454"/>
      <c r="H79" s="455"/>
      <c r="I79" s="456"/>
      <c r="J79" s="457"/>
      <c r="K79" s="20"/>
      <c r="L79" s="20"/>
      <c r="M79" s="19">
        <v>1289.08</v>
      </c>
      <c r="N79" s="46"/>
      <c r="O79" s="46"/>
      <c r="P79" s="46"/>
      <c r="Q79" s="46"/>
      <c r="R79" s="60"/>
      <c r="S79" s="60"/>
      <c r="T79" s="60"/>
      <c r="U79" s="393">
        <f t="shared" si="6"/>
        <v>0</v>
      </c>
    </row>
    <row r="80" spans="1:21" x14ac:dyDescent="0.25">
      <c r="A80" s="847"/>
      <c r="B80" s="874"/>
      <c r="C80" s="171" t="s">
        <v>341</v>
      </c>
      <c r="D80" s="458"/>
      <c r="E80" s="458"/>
      <c r="F80" s="458"/>
      <c r="G80" s="458"/>
      <c r="H80" s="459"/>
      <c r="I80" s="460"/>
      <c r="J80" s="252"/>
      <c r="K80" s="26"/>
      <c r="L80" s="46"/>
      <c r="M80" s="45">
        <v>0</v>
      </c>
      <c r="N80" s="46"/>
      <c r="O80" s="46"/>
      <c r="P80" s="46"/>
      <c r="Q80" s="46"/>
      <c r="R80" s="60">
        <v>273693</v>
      </c>
      <c r="S80" s="60"/>
      <c r="T80" s="60"/>
      <c r="U80" s="393">
        <f t="shared" si="6"/>
        <v>273693</v>
      </c>
    </row>
    <row r="81" spans="1:25" x14ac:dyDescent="0.25">
      <c r="A81" s="847"/>
      <c r="B81" s="874"/>
      <c r="C81" s="171" t="s">
        <v>436</v>
      </c>
      <c r="D81" s="458"/>
      <c r="E81" s="458"/>
      <c r="F81" s="458"/>
      <c r="G81" s="458"/>
      <c r="H81" s="459"/>
      <c r="I81" s="460"/>
      <c r="J81" s="252"/>
      <c r="K81" s="26"/>
      <c r="L81" s="46"/>
      <c r="M81" s="45"/>
      <c r="N81" s="46"/>
      <c r="O81" s="46"/>
      <c r="P81" s="46"/>
      <c r="Q81" s="46"/>
      <c r="R81" s="60">
        <v>4000</v>
      </c>
      <c r="S81" s="60"/>
      <c r="T81" s="60"/>
      <c r="U81" s="393">
        <f>R81+S81+T81</f>
        <v>4000</v>
      </c>
    </row>
    <row r="82" spans="1:25" x14ac:dyDescent="0.25">
      <c r="A82" s="847"/>
      <c r="B82" s="874"/>
      <c r="C82" s="171" t="s">
        <v>428</v>
      </c>
      <c r="D82" s="458"/>
      <c r="E82" s="458"/>
      <c r="F82" s="458"/>
      <c r="G82" s="458"/>
      <c r="H82" s="459"/>
      <c r="I82" s="460"/>
      <c r="J82" s="252"/>
      <c r="K82" s="26"/>
      <c r="L82" s="46"/>
      <c r="M82" s="45"/>
      <c r="N82" s="46"/>
      <c r="O82" s="46"/>
      <c r="P82" s="46"/>
      <c r="Q82" s="46"/>
      <c r="R82" s="60">
        <v>5983</v>
      </c>
      <c r="S82" s="60"/>
      <c r="T82" s="60"/>
      <c r="U82" s="393">
        <f>R82+S82+T82</f>
        <v>5983</v>
      </c>
    </row>
    <row r="83" spans="1:25" x14ac:dyDescent="0.25">
      <c r="A83" s="847"/>
      <c r="B83" s="874"/>
      <c r="C83" s="171" t="s">
        <v>447</v>
      </c>
      <c r="D83" s="458"/>
      <c r="E83" s="458"/>
      <c r="F83" s="458"/>
      <c r="G83" s="458"/>
      <c r="H83" s="459"/>
      <c r="I83" s="460"/>
      <c r="J83" s="252"/>
      <c r="K83" s="26"/>
      <c r="L83" s="46"/>
      <c r="M83" s="45"/>
      <c r="N83" s="46"/>
      <c r="O83" s="46"/>
      <c r="P83" s="46"/>
      <c r="Q83" s="46"/>
      <c r="R83" s="60">
        <v>30000</v>
      </c>
      <c r="S83" s="756"/>
      <c r="T83" s="756"/>
      <c r="U83" s="393">
        <f>R83+S83+T83</f>
        <v>30000</v>
      </c>
    </row>
    <row r="84" spans="1:25" x14ac:dyDescent="0.25">
      <c r="A84" s="847"/>
      <c r="B84" s="874"/>
      <c r="C84" s="171" t="s">
        <v>444</v>
      </c>
      <c r="D84" s="458"/>
      <c r="E84" s="458"/>
      <c r="F84" s="458"/>
      <c r="G84" s="458"/>
      <c r="H84" s="459"/>
      <c r="I84" s="460"/>
      <c r="J84" s="252"/>
      <c r="K84" s="26"/>
      <c r="L84" s="46"/>
      <c r="M84" s="45">
        <v>0</v>
      </c>
      <c r="N84" s="46"/>
      <c r="O84" s="46"/>
      <c r="P84" s="46"/>
      <c r="Q84" s="46"/>
      <c r="R84" s="60">
        <v>8600</v>
      </c>
      <c r="S84" s="60"/>
      <c r="T84" s="756"/>
      <c r="U84" s="393">
        <f t="shared" si="6"/>
        <v>8600</v>
      </c>
    </row>
    <row r="85" spans="1:25" x14ac:dyDescent="0.25">
      <c r="A85" s="847"/>
      <c r="B85" s="874"/>
      <c r="C85" s="171" t="s">
        <v>342</v>
      </c>
      <c r="D85" s="458"/>
      <c r="E85" s="458"/>
      <c r="F85" s="458"/>
      <c r="G85" s="458"/>
      <c r="H85" s="459"/>
      <c r="I85" s="460"/>
      <c r="J85" s="252"/>
      <c r="K85" s="26"/>
      <c r="L85" s="46"/>
      <c r="M85" s="45">
        <v>0</v>
      </c>
      <c r="N85" s="46"/>
      <c r="O85" s="46"/>
      <c r="P85" s="46"/>
      <c r="Q85" s="46"/>
      <c r="R85" s="60">
        <v>1948202</v>
      </c>
      <c r="S85" s="60"/>
      <c r="T85" s="60"/>
      <c r="U85" s="393">
        <f t="shared" si="6"/>
        <v>1948202</v>
      </c>
    </row>
    <row r="86" spans="1:25" x14ac:dyDescent="0.25">
      <c r="A86" s="847"/>
      <c r="B86" s="874"/>
      <c r="C86" s="171" t="s">
        <v>343</v>
      </c>
      <c r="D86" s="458"/>
      <c r="E86" s="458"/>
      <c r="F86" s="458"/>
      <c r="G86" s="458"/>
      <c r="H86" s="459"/>
      <c r="I86" s="460"/>
      <c r="J86" s="252"/>
      <c r="K86" s="26"/>
      <c r="L86" s="46"/>
      <c r="M86" s="45">
        <v>0</v>
      </c>
      <c r="N86" s="26"/>
      <c r="O86" s="60"/>
      <c r="P86" s="60"/>
      <c r="Q86" s="60"/>
      <c r="R86" s="60">
        <v>377143</v>
      </c>
      <c r="S86" s="60"/>
      <c r="T86" s="60"/>
      <c r="U86" s="393">
        <f t="shared" si="6"/>
        <v>377143</v>
      </c>
    </row>
    <row r="87" spans="1:25" x14ac:dyDescent="0.25">
      <c r="A87" s="847"/>
      <c r="B87" s="874"/>
      <c r="C87" s="171" t="s">
        <v>452</v>
      </c>
      <c r="D87" s="466"/>
      <c r="E87" s="466"/>
      <c r="F87" s="466"/>
      <c r="G87" s="466"/>
      <c r="H87" s="467"/>
      <c r="I87" s="468"/>
      <c r="J87" s="257"/>
      <c r="K87" s="49"/>
      <c r="L87" s="90"/>
      <c r="M87" s="89"/>
      <c r="N87" s="26"/>
      <c r="O87" s="60"/>
      <c r="P87" s="60"/>
      <c r="Q87" s="60"/>
      <c r="R87" s="60">
        <v>41550</v>
      </c>
      <c r="S87" s="60"/>
      <c r="T87" s="756"/>
      <c r="U87" s="393">
        <f t="shared" si="6"/>
        <v>41550</v>
      </c>
    </row>
    <row r="88" spans="1:25" x14ac:dyDescent="0.25">
      <c r="A88" s="847"/>
      <c r="B88" s="874"/>
      <c r="C88" s="461" t="s">
        <v>344</v>
      </c>
      <c r="D88" s="462"/>
      <c r="E88" s="462"/>
      <c r="F88" s="462"/>
      <c r="G88" s="462"/>
      <c r="H88" s="463"/>
      <c r="I88" s="464"/>
      <c r="J88" s="465"/>
      <c r="K88" s="49"/>
      <c r="L88" s="90"/>
      <c r="M88" s="89">
        <v>0</v>
      </c>
      <c r="N88" s="26"/>
      <c r="O88" s="60"/>
      <c r="P88" s="60"/>
      <c r="Q88" s="60"/>
      <c r="R88" s="60">
        <v>1292</v>
      </c>
      <c r="S88" s="60"/>
      <c r="T88" s="60">
        <v>20188</v>
      </c>
      <c r="U88" s="393">
        <f t="shared" si="6"/>
        <v>21480</v>
      </c>
      <c r="Y88" s="190"/>
    </row>
    <row r="89" spans="1:25" x14ac:dyDescent="0.25">
      <c r="A89" s="847"/>
      <c r="B89" s="874"/>
      <c r="C89" s="351" t="s">
        <v>345</v>
      </c>
      <c r="D89" s="466"/>
      <c r="E89" s="466"/>
      <c r="F89" s="466"/>
      <c r="G89" s="466"/>
      <c r="H89" s="467"/>
      <c r="I89" s="468"/>
      <c r="J89" s="257"/>
      <c r="K89" s="49"/>
      <c r="L89" s="90"/>
      <c r="M89" s="89">
        <v>0</v>
      </c>
      <c r="N89" s="26"/>
      <c r="O89" s="60"/>
      <c r="P89" s="60"/>
      <c r="Q89" s="60"/>
      <c r="R89" s="60">
        <v>27991</v>
      </c>
      <c r="S89" s="60"/>
      <c r="T89" s="60"/>
      <c r="U89" s="393">
        <f t="shared" si="6"/>
        <v>27991</v>
      </c>
    </row>
    <row r="90" spans="1:25" x14ac:dyDescent="0.25">
      <c r="A90" s="847"/>
      <c r="B90" s="874"/>
      <c r="C90" s="171" t="s">
        <v>462</v>
      </c>
      <c r="D90" s="466"/>
      <c r="E90" s="466"/>
      <c r="F90" s="466"/>
      <c r="G90" s="466"/>
      <c r="H90" s="467"/>
      <c r="I90" s="468"/>
      <c r="J90" s="257"/>
      <c r="K90" s="49"/>
      <c r="L90" s="90"/>
      <c r="M90" s="89"/>
      <c r="N90" s="26"/>
      <c r="O90" s="60"/>
      <c r="P90" s="60"/>
      <c r="Q90" s="60"/>
      <c r="R90" s="60">
        <v>8500</v>
      </c>
      <c r="S90" s="60"/>
      <c r="T90" s="60"/>
      <c r="U90" s="393">
        <f t="shared" si="6"/>
        <v>8500</v>
      </c>
    </row>
    <row r="91" spans="1:25" hidden="1" x14ac:dyDescent="0.25">
      <c r="A91" s="847"/>
      <c r="B91" s="874"/>
      <c r="C91" s="171" t="s">
        <v>463</v>
      </c>
      <c r="D91" s="466"/>
      <c r="E91" s="466"/>
      <c r="F91" s="466"/>
      <c r="G91" s="466"/>
      <c r="H91" s="467"/>
      <c r="I91" s="468"/>
      <c r="J91" s="257"/>
      <c r="K91" s="49"/>
      <c r="L91" s="90"/>
      <c r="M91" s="89"/>
      <c r="N91" s="26"/>
      <c r="O91" s="60"/>
      <c r="P91" s="60"/>
      <c r="Q91" s="60"/>
      <c r="R91" s="60">
        <v>0</v>
      </c>
      <c r="S91" s="60"/>
      <c r="T91" s="756"/>
      <c r="U91" s="393">
        <f t="shared" si="6"/>
        <v>0</v>
      </c>
    </row>
    <row r="92" spans="1:25" ht="12.75" customHeight="1" x14ac:dyDescent="0.25">
      <c r="A92" s="847"/>
      <c r="B92" s="874"/>
      <c r="C92" s="171" t="s">
        <v>346</v>
      </c>
      <c r="D92" s="466"/>
      <c r="E92" s="466"/>
      <c r="F92" s="466"/>
      <c r="G92" s="466"/>
      <c r="H92" s="467"/>
      <c r="I92" s="468"/>
      <c r="J92" s="257"/>
      <c r="K92" s="49"/>
      <c r="L92" s="90"/>
      <c r="M92" s="89">
        <v>0</v>
      </c>
      <c r="N92" s="26"/>
      <c r="O92" s="60"/>
      <c r="P92" s="60"/>
      <c r="Q92" s="60"/>
      <c r="R92" s="60">
        <v>21490</v>
      </c>
      <c r="S92" s="60"/>
      <c r="T92" s="60">
        <v>800</v>
      </c>
      <c r="U92" s="393">
        <f t="shared" si="6"/>
        <v>22290</v>
      </c>
    </row>
    <row r="93" spans="1:25" ht="12.75" customHeight="1" x14ac:dyDescent="0.25">
      <c r="A93" s="847"/>
      <c r="B93" s="874"/>
      <c r="C93" s="171" t="s">
        <v>445</v>
      </c>
      <c r="D93" s="466"/>
      <c r="E93" s="466"/>
      <c r="F93" s="466"/>
      <c r="G93" s="466"/>
      <c r="H93" s="467"/>
      <c r="I93" s="468"/>
      <c r="J93" s="257"/>
      <c r="K93" s="49"/>
      <c r="L93" s="90"/>
      <c r="M93" s="89"/>
      <c r="N93" s="26"/>
      <c r="O93" s="60"/>
      <c r="P93" s="60"/>
      <c r="Q93" s="60"/>
      <c r="R93" s="60">
        <v>67930</v>
      </c>
      <c r="S93" s="60"/>
      <c r="T93" s="756"/>
      <c r="U93" s="393">
        <f t="shared" si="6"/>
        <v>67930</v>
      </c>
    </row>
    <row r="94" spans="1:25" ht="12.75" customHeight="1" x14ac:dyDescent="0.25">
      <c r="A94" s="847"/>
      <c r="B94" s="874"/>
      <c r="C94" s="171" t="s">
        <v>468</v>
      </c>
      <c r="D94" s="26"/>
      <c r="E94" s="26"/>
      <c r="F94" s="26"/>
      <c r="G94" s="26"/>
      <c r="H94" s="74"/>
      <c r="I94" s="409"/>
      <c r="J94" s="410"/>
      <c r="K94" s="26"/>
      <c r="L94" s="26"/>
      <c r="M94" s="25">
        <v>0</v>
      </c>
      <c r="N94" s="26"/>
      <c r="O94" s="60"/>
      <c r="P94" s="60"/>
      <c r="Q94" s="60"/>
      <c r="R94" s="60">
        <v>0</v>
      </c>
      <c r="S94" s="60"/>
      <c r="T94" s="60">
        <v>50000</v>
      </c>
      <c r="U94" s="393">
        <f t="shared" si="6"/>
        <v>50000</v>
      </c>
    </row>
    <row r="95" spans="1:25" ht="12.75" customHeight="1" x14ac:dyDescent="0.25">
      <c r="A95" s="847"/>
      <c r="B95" s="874"/>
      <c r="C95" s="171" t="s">
        <v>469</v>
      </c>
      <c r="D95" s="26"/>
      <c r="E95" s="26"/>
      <c r="F95" s="26"/>
      <c r="G95" s="26"/>
      <c r="H95" s="74"/>
      <c r="I95" s="409"/>
      <c r="J95" s="410"/>
      <c r="K95" s="26"/>
      <c r="L95" s="26"/>
      <c r="M95" s="25"/>
      <c r="N95" s="26"/>
      <c r="O95" s="60"/>
      <c r="P95" s="60"/>
      <c r="Q95" s="60"/>
      <c r="R95" s="60">
        <v>0</v>
      </c>
      <c r="S95" s="60"/>
      <c r="T95" s="60">
        <v>120000</v>
      </c>
      <c r="U95" s="393">
        <f t="shared" si="6"/>
        <v>120000</v>
      </c>
    </row>
    <row r="96" spans="1:25" ht="12.75" customHeight="1" x14ac:dyDescent="0.25">
      <c r="A96" s="847"/>
      <c r="B96" s="874"/>
      <c r="C96" s="59" t="s">
        <v>413</v>
      </c>
      <c r="D96" s="26"/>
      <c r="E96" s="26"/>
      <c r="F96" s="26"/>
      <c r="G96" s="26"/>
      <c r="H96" s="74"/>
      <c r="I96" s="409"/>
      <c r="J96" s="410"/>
      <c r="K96" s="26">
        <v>7632</v>
      </c>
      <c r="L96" s="26"/>
      <c r="M96" s="25">
        <v>0</v>
      </c>
      <c r="N96" s="26"/>
      <c r="O96" s="60"/>
      <c r="P96" s="60"/>
      <c r="Q96" s="60"/>
      <c r="R96" s="60">
        <v>102585</v>
      </c>
      <c r="S96" s="60"/>
      <c r="T96" s="60">
        <v>32415</v>
      </c>
      <c r="U96" s="393">
        <f t="shared" si="6"/>
        <v>135000</v>
      </c>
      <c r="X96" s="190"/>
    </row>
    <row r="97" spans="1:23" x14ac:dyDescent="0.25">
      <c r="A97" s="847"/>
      <c r="B97" s="874"/>
      <c r="C97" s="59" t="s">
        <v>417</v>
      </c>
      <c r="D97" s="26"/>
      <c r="E97" s="26"/>
      <c r="F97" s="26"/>
      <c r="G97" s="26"/>
      <c r="H97" s="74"/>
      <c r="I97" s="409"/>
      <c r="J97" s="410"/>
      <c r="K97" s="26"/>
      <c r="L97" s="26"/>
      <c r="M97" s="25">
        <v>0</v>
      </c>
      <c r="N97" s="26"/>
      <c r="O97" s="60"/>
      <c r="P97" s="60"/>
      <c r="Q97" s="60"/>
      <c r="R97" s="60">
        <v>2783178</v>
      </c>
      <c r="S97" s="60"/>
      <c r="T97" s="60"/>
      <c r="U97" s="393">
        <f t="shared" si="6"/>
        <v>2783178</v>
      </c>
      <c r="W97" s="190"/>
    </row>
    <row r="98" spans="1:23" ht="12.75" customHeight="1" x14ac:dyDescent="0.25">
      <c r="A98" s="847"/>
      <c r="B98" s="874"/>
      <c r="C98" s="59" t="s">
        <v>418</v>
      </c>
      <c r="D98" s="26"/>
      <c r="E98" s="26"/>
      <c r="F98" s="26"/>
      <c r="G98" s="26"/>
      <c r="H98" s="74"/>
      <c r="I98" s="409"/>
      <c r="J98" s="410"/>
      <c r="K98" s="26">
        <v>0</v>
      </c>
      <c r="L98" s="26"/>
      <c r="M98" s="25">
        <v>0</v>
      </c>
      <c r="N98" s="26"/>
      <c r="O98" s="26"/>
      <c r="P98" s="26"/>
      <c r="Q98" s="26"/>
      <c r="R98" s="60">
        <v>431829</v>
      </c>
      <c r="S98" s="60"/>
      <c r="T98" s="60"/>
      <c r="U98" s="393">
        <f t="shared" si="6"/>
        <v>431829</v>
      </c>
    </row>
    <row r="99" spans="1:23" x14ac:dyDescent="0.25">
      <c r="A99" s="847"/>
      <c r="B99" s="874"/>
      <c r="C99" s="59" t="s">
        <v>437</v>
      </c>
      <c r="D99" s="26"/>
      <c r="E99" s="26"/>
      <c r="F99" s="26"/>
      <c r="G99" s="26"/>
      <c r="H99" s="74"/>
      <c r="I99" s="409"/>
      <c r="J99" s="410"/>
      <c r="K99" s="26">
        <v>0</v>
      </c>
      <c r="L99" s="26">
        <v>1302435.6399999999</v>
      </c>
      <c r="M99" s="25">
        <v>95467.839999999997</v>
      </c>
      <c r="N99" s="26"/>
      <c r="O99" s="26"/>
      <c r="P99" s="26"/>
      <c r="Q99" s="26"/>
      <c r="R99" s="60">
        <v>5000</v>
      </c>
      <c r="S99" s="60"/>
      <c r="T99" s="60"/>
      <c r="U99" s="393">
        <f t="shared" si="6"/>
        <v>5000</v>
      </c>
      <c r="W99" s="190"/>
    </row>
    <row r="100" spans="1:23" x14ac:dyDescent="0.25">
      <c r="A100" s="847"/>
      <c r="B100" s="874"/>
      <c r="C100" s="59" t="s">
        <v>455</v>
      </c>
      <c r="D100" s="26"/>
      <c r="E100" s="26"/>
      <c r="F100" s="26"/>
      <c r="G100" s="26"/>
      <c r="H100" s="74"/>
      <c r="I100" s="409"/>
      <c r="J100" s="410"/>
      <c r="K100" s="26"/>
      <c r="L100" s="26"/>
      <c r="M100" s="25">
        <v>38905.74</v>
      </c>
      <c r="N100" s="26"/>
      <c r="O100" s="26"/>
      <c r="P100" s="26"/>
      <c r="Q100" s="26"/>
      <c r="R100" s="60">
        <v>6500</v>
      </c>
      <c r="S100" s="60"/>
      <c r="T100" s="756"/>
      <c r="U100" s="393">
        <f t="shared" si="6"/>
        <v>6500</v>
      </c>
      <c r="W100" s="190"/>
    </row>
    <row r="101" spans="1:23" ht="12.75" hidden="1" customHeight="1" x14ac:dyDescent="0.25">
      <c r="A101" s="847"/>
      <c r="B101" s="874"/>
      <c r="C101" s="59"/>
      <c r="D101" s="26"/>
      <c r="E101" s="26"/>
      <c r="F101" s="26"/>
      <c r="G101" s="26"/>
      <c r="H101" s="74"/>
      <c r="I101" s="409"/>
      <c r="J101" s="410"/>
      <c r="K101" s="26"/>
      <c r="L101" s="26"/>
      <c r="M101" s="25">
        <v>0</v>
      </c>
      <c r="N101" s="26"/>
      <c r="O101" s="26"/>
      <c r="P101" s="26"/>
      <c r="Q101" s="26"/>
      <c r="R101" s="60">
        <v>0</v>
      </c>
      <c r="S101" s="60"/>
      <c r="T101" s="60"/>
      <c r="U101" s="393">
        <f t="shared" si="6"/>
        <v>0</v>
      </c>
    </row>
    <row r="102" spans="1:23" ht="12.75" hidden="1" customHeight="1" x14ac:dyDescent="0.25">
      <c r="A102" s="847"/>
      <c r="B102" s="874"/>
      <c r="C102" s="59"/>
      <c r="D102" s="26"/>
      <c r="E102" s="26"/>
      <c r="F102" s="26"/>
      <c r="G102" s="26"/>
      <c r="H102" s="74"/>
      <c r="I102" s="409"/>
      <c r="J102" s="410"/>
      <c r="K102" s="26"/>
      <c r="L102" s="26"/>
      <c r="M102" s="25">
        <v>0</v>
      </c>
      <c r="N102" s="26"/>
      <c r="O102" s="26"/>
      <c r="P102" s="26"/>
      <c r="Q102" s="26"/>
      <c r="R102" s="60">
        <v>0</v>
      </c>
      <c r="S102" s="60"/>
      <c r="T102" s="60"/>
      <c r="U102" s="393">
        <f t="shared" si="6"/>
        <v>0</v>
      </c>
    </row>
    <row r="103" spans="1:23" ht="12.75" hidden="1" customHeight="1" x14ac:dyDescent="0.25">
      <c r="A103" s="847"/>
      <c r="B103" s="874"/>
      <c r="C103" s="59"/>
      <c r="D103" s="26"/>
      <c r="E103" s="26"/>
      <c r="F103" s="26"/>
      <c r="G103" s="26"/>
      <c r="H103" s="74"/>
      <c r="I103" s="409"/>
      <c r="J103" s="410"/>
      <c r="K103" s="26">
        <v>8090</v>
      </c>
      <c r="L103" s="26"/>
      <c r="M103" s="25">
        <v>0</v>
      </c>
      <c r="N103" s="26"/>
      <c r="O103" s="26"/>
      <c r="P103" s="26"/>
      <c r="Q103" s="26"/>
      <c r="R103" s="60">
        <v>0</v>
      </c>
      <c r="S103" s="60"/>
      <c r="T103" s="60"/>
      <c r="U103" s="393">
        <f t="shared" si="6"/>
        <v>0</v>
      </c>
    </row>
    <row r="104" spans="1:23" hidden="1" x14ac:dyDescent="0.25">
      <c r="A104" s="847"/>
      <c r="B104" s="874"/>
      <c r="C104" s="59"/>
      <c r="D104" s="26"/>
      <c r="E104" s="26"/>
      <c r="F104" s="26"/>
      <c r="G104" s="26"/>
      <c r="H104" s="74"/>
      <c r="I104" s="409"/>
      <c r="J104" s="410"/>
      <c r="K104" s="26"/>
      <c r="L104" s="26"/>
      <c r="M104" s="25"/>
      <c r="N104" s="26"/>
      <c r="O104" s="26"/>
      <c r="P104" s="26"/>
      <c r="Q104" s="26"/>
      <c r="R104" s="60">
        <v>0</v>
      </c>
      <c r="S104" s="60"/>
      <c r="T104" s="60"/>
      <c r="U104" s="393">
        <f t="shared" si="6"/>
        <v>0</v>
      </c>
    </row>
    <row r="105" spans="1:23" x14ac:dyDescent="0.25">
      <c r="A105" s="847"/>
      <c r="B105" s="874"/>
      <c r="C105" s="59" t="s">
        <v>399</v>
      </c>
      <c r="D105" s="49"/>
      <c r="E105" s="49"/>
      <c r="F105" s="49"/>
      <c r="G105" s="49"/>
      <c r="H105" s="83"/>
      <c r="I105" s="411"/>
      <c r="J105" s="412"/>
      <c r="K105" s="49"/>
      <c r="L105" s="49"/>
      <c r="M105" s="48"/>
      <c r="N105" s="49"/>
      <c r="O105" s="49"/>
      <c r="P105" s="49"/>
      <c r="Q105" s="49"/>
      <c r="R105" s="60">
        <v>10000</v>
      </c>
      <c r="S105" s="60"/>
      <c r="T105" s="60"/>
      <c r="U105" s="393">
        <f t="shared" si="6"/>
        <v>10000</v>
      </c>
    </row>
    <row r="106" spans="1:23" ht="0.75" customHeight="1" thickBot="1" x14ac:dyDescent="0.3">
      <c r="A106" s="843"/>
      <c r="B106" s="875"/>
      <c r="C106" s="174"/>
      <c r="D106" s="49"/>
      <c r="E106" s="49"/>
      <c r="F106" s="49"/>
      <c r="G106" s="49"/>
      <c r="H106" s="83"/>
      <c r="I106" s="411"/>
      <c r="J106" s="412"/>
      <c r="K106" s="49"/>
      <c r="L106" s="49"/>
      <c r="M106" s="48"/>
      <c r="N106" s="49"/>
      <c r="O106" s="49"/>
      <c r="P106" s="49"/>
      <c r="Q106" s="49"/>
      <c r="R106" s="93"/>
      <c r="S106" s="60"/>
      <c r="T106" s="93"/>
      <c r="U106" s="585">
        <f t="shared" si="6"/>
        <v>0</v>
      </c>
    </row>
    <row r="107" spans="1:23" s="474" customFormat="1" ht="15.75" thickBot="1" x14ac:dyDescent="0.3">
      <c r="A107" s="264" t="s">
        <v>347</v>
      </c>
      <c r="B107" s="882" t="s">
        <v>348</v>
      </c>
      <c r="C107" s="851"/>
      <c r="D107" s="469"/>
      <c r="E107" s="469"/>
      <c r="F107" s="469"/>
      <c r="G107" s="469"/>
      <c r="H107" s="470"/>
      <c r="I107" s="471"/>
      <c r="J107" s="472"/>
      <c r="K107" s="469"/>
      <c r="L107" s="469"/>
      <c r="M107" s="473"/>
      <c r="N107" s="86"/>
      <c r="O107" s="86"/>
      <c r="P107" s="86">
        <v>5880</v>
      </c>
      <c r="Q107" s="119">
        <v>44123.79</v>
      </c>
      <c r="R107" s="84">
        <f>R108</f>
        <v>0</v>
      </c>
      <c r="S107" s="84">
        <f t="shared" ref="S107:U107" si="8">S108</f>
        <v>0</v>
      </c>
      <c r="T107" s="84">
        <f t="shared" si="8"/>
        <v>0</v>
      </c>
      <c r="U107" s="586">
        <f t="shared" si="8"/>
        <v>0</v>
      </c>
    </row>
    <row r="108" spans="1:23" ht="15.75" hidden="1" thickBot="1" x14ac:dyDescent="0.3">
      <c r="A108" s="421"/>
      <c r="B108" s="422"/>
      <c r="C108" s="191" t="s">
        <v>349</v>
      </c>
      <c r="D108" s="32"/>
      <c r="E108" s="32"/>
      <c r="F108" s="32"/>
      <c r="G108" s="32"/>
      <c r="H108" s="75"/>
      <c r="I108" s="445"/>
      <c r="J108" s="446"/>
      <c r="K108" s="32">
        <v>476</v>
      </c>
      <c r="L108" s="32">
        <v>3000</v>
      </c>
      <c r="M108" s="31">
        <v>3545</v>
      </c>
      <c r="N108" s="15"/>
      <c r="O108" s="15"/>
      <c r="P108" s="15"/>
      <c r="Q108" s="103"/>
      <c r="R108" s="189"/>
      <c r="S108" s="189"/>
      <c r="T108" s="189"/>
      <c r="U108" s="587">
        <f t="shared" si="6"/>
        <v>0</v>
      </c>
    </row>
    <row r="109" spans="1:23" ht="15.75" hidden="1" thickBot="1" x14ac:dyDescent="0.3">
      <c r="A109" s="264" t="s">
        <v>350</v>
      </c>
      <c r="B109" s="808" t="s">
        <v>238</v>
      </c>
      <c r="C109" s="809"/>
      <c r="D109" s="475"/>
      <c r="E109" s="475"/>
      <c r="F109" s="475"/>
      <c r="G109" s="475"/>
      <c r="H109" s="561"/>
      <c r="I109" s="476"/>
      <c r="J109" s="477"/>
      <c r="K109" s="101"/>
      <c r="L109" s="101"/>
      <c r="M109" s="101"/>
      <c r="N109" s="101"/>
      <c r="O109" s="101"/>
      <c r="P109" s="101"/>
      <c r="Q109" s="101"/>
      <c r="R109" s="84"/>
      <c r="S109" s="84"/>
      <c r="T109" s="84"/>
      <c r="U109" s="586">
        <f t="shared" si="6"/>
        <v>0</v>
      </c>
    </row>
    <row r="110" spans="1:23" ht="15.75" hidden="1" thickBot="1" x14ac:dyDescent="0.3">
      <c r="A110" s="404"/>
      <c r="B110" s="408"/>
      <c r="C110" s="59"/>
      <c r="D110" s="26"/>
      <c r="E110" s="26"/>
      <c r="F110" s="26"/>
      <c r="G110" s="26"/>
      <c r="H110" s="74"/>
      <c r="I110" s="409"/>
      <c r="J110" s="410"/>
      <c r="K110" s="26"/>
      <c r="L110" s="26"/>
      <c r="M110" s="26"/>
      <c r="N110" s="26"/>
      <c r="O110" s="26"/>
      <c r="P110" s="26"/>
      <c r="Q110" s="26"/>
      <c r="R110" s="60"/>
      <c r="S110" s="60"/>
      <c r="T110" s="60"/>
      <c r="U110" s="393">
        <f t="shared" si="6"/>
        <v>0</v>
      </c>
    </row>
    <row r="111" spans="1:23" ht="15.75" hidden="1" thickBot="1" x14ac:dyDescent="0.3">
      <c r="A111" s="404"/>
      <c r="B111" s="408"/>
      <c r="C111" s="59"/>
      <c r="D111" s="26"/>
      <c r="E111" s="26"/>
      <c r="F111" s="26"/>
      <c r="G111" s="26"/>
      <c r="H111" s="74"/>
      <c r="I111" s="409"/>
      <c r="J111" s="410"/>
      <c r="K111" s="26"/>
      <c r="L111" s="26"/>
      <c r="M111" s="26"/>
      <c r="N111" s="26"/>
      <c r="O111" s="26"/>
      <c r="P111" s="26"/>
      <c r="Q111" s="26"/>
      <c r="R111" s="60"/>
      <c r="S111" s="60"/>
      <c r="T111" s="60"/>
      <c r="U111" s="393">
        <f t="shared" si="6"/>
        <v>0</v>
      </c>
    </row>
    <row r="112" spans="1:23" ht="15.75" hidden="1" thickBot="1" x14ac:dyDescent="0.3">
      <c r="A112" s="404"/>
      <c r="B112" s="408"/>
      <c r="C112" s="62"/>
      <c r="D112" s="49"/>
      <c r="E112" s="49"/>
      <c r="F112" s="49"/>
      <c r="G112" s="49"/>
      <c r="H112" s="83"/>
      <c r="I112" s="411"/>
      <c r="J112" s="412"/>
      <c r="K112" s="49"/>
      <c r="L112" s="49"/>
      <c r="M112" s="49"/>
      <c r="N112" s="49"/>
      <c r="O112" s="49"/>
      <c r="P112" s="49"/>
      <c r="Q112" s="49"/>
      <c r="R112" s="93"/>
      <c r="S112" s="93"/>
      <c r="T112" s="93"/>
      <c r="U112" s="585">
        <f t="shared" si="6"/>
        <v>0</v>
      </c>
    </row>
    <row r="113" spans="1:23" ht="15.75" thickBot="1" x14ac:dyDescent="0.3">
      <c r="A113" s="407" t="s">
        <v>217</v>
      </c>
      <c r="B113" s="881" t="s">
        <v>351</v>
      </c>
      <c r="C113" s="881"/>
      <c r="D113" s="180">
        <v>8298</v>
      </c>
      <c r="E113" s="180">
        <v>3983</v>
      </c>
      <c r="F113" s="180">
        <v>175065</v>
      </c>
      <c r="G113" s="180">
        <v>138049</v>
      </c>
      <c r="H113" s="180">
        <v>127764</v>
      </c>
      <c r="I113" s="395">
        <v>149292</v>
      </c>
      <c r="J113" s="180">
        <v>3000</v>
      </c>
      <c r="K113" s="84">
        <f>SUM(K118:K120)</f>
        <v>6455</v>
      </c>
      <c r="L113" s="84">
        <f t="shared" ref="L113:M113" si="9">SUM(L114:L120)</f>
        <v>131475.39000000001</v>
      </c>
      <c r="M113" s="85">
        <f t="shared" si="9"/>
        <v>1775474.1500000001</v>
      </c>
      <c r="N113" s="84">
        <v>12967.75</v>
      </c>
      <c r="O113" s="85">
        <v>2000</v>
      </c>
      <c r="P113" s="85">
        <v>138793.75</v>
      </c>
      <c r="Q113" s="85">
        <v>36288</v>
      </c>
      <c r="R113" s="84">
        <f t="shared" ref="R113:S113" si="10">R114</f>
        <v>51904</v>
      </c>
      <c r="S113" s="84">
        <f t="shared" si="10"/>
        <v>0</v>
      </c>
      <c r="T113" s="84">
        <f>T114+T115</f>
        <v>32400</v>
      </c>
      <c r="U113" s="586">
        <f>U114+U115</f>
        <v>84304</v>
      </c>
    </row>
    <row r="114" spans="1:23" x14ac:dyDescent="0.25">
      <c r="A114" s="844"/>
      <c r="B114" s="885"/>
      <c r="C114" s="429" t="s">
        <v>412</v>
      </c>
      <c r="D114" s="478"/>
      <c r="E114" s="478"/>
      <c r="F114" s="478"/>
      <c r="G114" s="478"/>
      <c r="H114" s="479"/>
      <c r="I114" s="480"/>
      <c r="J114" s="481"/>
      <c r="K114" s="18"/>
      <c r="L114" s="18">
        <v>123141.28</v>
      </c>
      <c r="M114" s="159">
        <v>1602434.8900000001</v>
      </c>
      <c r="N114" s="18"/>
      <c r="O114" s="18"/>
      <c r="P114" s="18"/>
      <c r="Q114" s="18"/>
      <c r="R114" s="17">
        <v>51904</v>
      </c>
      <c r="S114" s="766"/>
      <c r="T114" s="17"/>
      <c r="U114" s="767">
        <f t="shared" si="6"/>
        <v>51904</v>
      </c>
      <c r="W114" s="190"/>
    </row>
    <row r="115" spans="1:23" ht="15.75" thickBot="1" x14ac:dyDescent="0.3">
      <c r="A115" s="845"/>
      <c r="B115" s="883"/>
      <c r="C115" s="433" t="s">
        <v>472</v>
      </c>
      <c r="D115" s="482"/>
      <c r="E115" s="482"/>
      <c r="F115" s="482"/>
      <c r="G115" s="482"/>
      <c r="H115" s="483"/>
      <c r="I115" s="484"/>
      <c r="J115" s="485"/>
      <c r="K115" s="44"/>
      <c r="L115" s="44"/>
      <c r="M115" s="215">
        <v>18092.39</v>
      </c>
      <c r="N115" s="44"/>
      <c r="O115" s="44"/>
      <c r="P115" s="44"/>
      <c r="Q115" s="44"/>
      <c r="R115" s="112"/>
      <c r="S115" s="112"/>
      <c r="T115" s="112">
        <v>32400</v>
      </c>
      <c r="U115" s="646">
        <f t="shared" si="6"/>
        <v>32400</v>
      </c>
    </row>
    <row r="116" spans="1:23" hidden="1" x14ac:dyDescent="0.25">
      <c r="A116" s="845"/>
      <c r="B116" s="883"/>
      <c r="C116" s="433"/>
      <c r="D116" s="482"/>
      <c r="E116" s="482"/>
      <c r="F116" s="482"/>
      <c r="G116" s="482"/>
      <c r="H116" s="483"/>
      <c r="I116" s="484"/>
      <c r="J116" s="485"/>
      <c r="K116" s="44"/>
      <c r="L116" s="44"/>
      <c r="M116" s="215">
        <v>16624.5</v>
      </c>
      <c r="N116" s="44"/>
      <c r="O116" s="44"/>
      <c r="P116" s="44"/>
      <c r="Q116" s="44"/>
      <c r="R116" s="112"/>
      <c r="S116" s="112"/>
      <c r="T116" s="112"/>
      <c r="U116" s="646">
        <f t="shared" si="6"/>
        <v>0</v>
      </c>
    </row>
    <row r="117" spans="1:23" hidden="1" x14ac:dyDescent="0.25">
      <c r="A117" s="845"/>
      <c r="B117" s="883"/>
      <c r="C117" s="433"/>
      <c r="D117" s="482"/>
      <c r="E117" s="482"/>
      <c r="F117" s="482"/>
      <c r="G117" s="482"/>
      <c r="H117" s="483"/>
      <c r="I117" s="484"/>
      <c r="J117" s="485"/>
      <c r="K117" s="44"/>
      <c r="L117" s="44"/>
      <c r="M117" s="215">
        <v>120000</v>
      </c>
      <c r="N117" s="44"/>
      <c r="O117" s="44"/>
      <c r="P117" s="44"/>
      <c r="Q117" s="44"/>
      <c r="R117" s="112"/>
      <c r="S117" s="112"/>
      <c r="T117" s="112"/>
      <c r="U117" s="646">
        <f t="shared" si="6"/>
        <v>0</v>
      </c>
    </row>
    <row r="118" spans="1:23" hidden="1" x14ac:dyDescent="0.25">
      <c r="A118" s="845"/>
      <c r="B118" s="883"/>
      <c r="C118" s="91"/>
      <c r="D118" s="46"/>
      <c r="E118" s="46"/>
      <c r="F118" s="46"/>
      <c r="G118" s="46"/>
      <c r="H118" s="72"/>
      <c r="I118" s="419"/>
      <c r="J118" s="420"/>
      <c r="K118" s="46">
        <v>6455</v>
      </c>
      <c r="L118" s="46"/>
      <c r="M118" s="45">
        <v>14992.37</v>
      </c>
      <c r="N118" s="46"/>
      <c r="O118" s="46"/>
      <c r="P118" s="46"/>
      <c r="Q118" s="46"/>
      <c r="R118" s="73"/>
      <c r="S118" s="73"/>
      <c r="T118" s="73"/>
      <c r="U118" s="369">
        <f t="shared" si="6"/>
        <v>0</v>
      </c>
    </row>
    <row r="119" spans="1:23" hidden="1" x14ac:dyDescent="0.25">
      <c r="A119" s="845"/>
      <c r="B119" s="883"/>
      <c r="C119" s="174"/>
      <c r="D119" s="90"/>
      <c r="E119" s="90"/>
      <c r="F119" s="90"/>
      <c r="G119" s="90"/>
      <c r="H119" s="88"/>
      <c r="I119" s="423"/>
      <c r="J119" s="424"/>
      <c r="K119" s="90"/>
      <c r="L119" s="60"/>
      <c r="M119" s="25"/>
      <c r="N119" s="46"/>
      <c r="O119" s="46"/>
      <c r="P119" s="46"/>
      <c r="Q119" s="46"/>
      <c r="R119" s="73"/>
      <c r="S119" s="73"/>
      <c r="T119" s="73"/>
      <c r="U119" s="369">
        <f t="shared" si="6"/>
        <v>0</v>
      </c>
    </row>
    <row r="120" spans="1:23" ht="15.75" hidden="1" thickBot="1" x14ac:dyDescent="0.3">
      <c r="A120" s="846"/>
      <c r="B120" s="884"/>
      <c r="C120" s="61"/>
      <c r="D120" s="32"/>
      <c r="E120" s="32"/>
      <c r="F120" s="32"/>
      <c r="G120" s="32"/>
      <c r="H120" s="75"/>
      <c r="I120" s="445"/>
      <c r="J120" s="446"/>
      <c r="K120" s="32"/>
      <c r="L120" s="97">
        <v>8334.11</v>
      </c>
      <c r="M120" s="96">
        <v>3330</v>
      </c>
      <c r="N120" s="97"/>
      <c r="O120" s="97"/>
      <c r="P120" s="97"/>
      <c r="Q120" s="97"/>
      <c r="R120" s="149"/>
      <c r="S120" s="149"/>
      <c r="T120" s="149"/>
      <c r="U120" s="644">
        <f t="shared" si="6"/>
        <v>0</v>
      </c>
    </row>
    <row r="121" spans="1:23" ht="15.75" hidden="1" thickBot="1" x14ac:dyDescent="0.3">
      <c r="A121" s="407" t="s">
        <v>352</v>
      </c>
      <c r="B121" s="881" t="s">
        <v>223</v>
      </c>
      <c r="C121" s="881"/>
      <c r="D121" s="180"/>
      <c r="E121" s="180">
        <v>22472</v>
      </c>
      <c r="F121" s="180">
        <v>20713</v>
      </c>
      <c r="G121" s="180">
        <v>11074</v>
      </c>
      <c r="H121" s="180">
        <v>15914</v>
      </c>
      <c r="I121" s="395">
        <v>116842</v>
      </c>
      <c r="J121" s="180">
        <v>38905</v>
      </c>
      <c r="K121" s="84">
        <f t="shared" ref="K121:M121" si="11">SUM(K122:K127)</f>
        <v>15848</v>
      </c>
      <c r="L121" s="84">
        <f t="shared" si="11"/>
        <v>26915.190000000002</v>
      </c>
      <c r="M121" s="85">
        <f t="shared" si="11"/>
        <v>9771.24</v>
      </c>
      <c r="N121" s="84">
        <v>62531.63</v>
      </c>
      <c r="O121" s="85">
        <v>193266.02</v>
      </c>
      <c r="P121" s="85">
        <v>3920.81</v>
      </c>
      <c r="Q121" s="84"/>
      <c r="R121" s="84">
        <f t="shared" ref="R121:U121" si="12">R122</f>
        <v>0</v>
      </c>
      <c r="S121" s="84">
        <f t="shared" si="12"/>
        <v>0</v>
      </c>
      <c r="T121" s="84">
        <f t="shared" si="12"/>
        <v>0</v>
      </c>
      <c r="U121" s="586">
        <f t="shared" si="12"/>
        <v>0</v>
      </c>
    </row>
    <row r="122" spans="1:23" ht="15.75" hidden="1" thickBot="1" x14ac:dyDescent="0.3">
      <c r="A122" s="842"/>
      <c r="B122" s="873"/>
      <c r="C122" s="57"/>
      <c r="D122" s="20"/>
      <c r="E122" s="20"/>
      <c r="F122" s="20"/>
      <c r="G122" s="20"/>
      <c r="H122" s="71"/>
      <c r="I122" s="417"/>
      <c r="J122" s="418"/>
      <c r="K122" s="20">
        <v>7000</v>
      </c>
      <c r="L122" s="46">
        <v>16662.2</v>
      </c>
      <c r="M122" s="45"/>
      <c r="N122" s="46"/>
      <c r="O122" s="46"/>
      <c r="P122" s="15"/>
      <c r="Q122" s="15"/>
      <c r="R122" s="103"/>
      <c r="S122" s="103"/>
      <c r="T122" s="103"/>
      <c r="U122" s="647">
        <f t="shared" si="6"/>
        <v>0</v>
      </c>
    </row>
    <row r="123" spans="1:23" hidden="1" x14ac:dyDescent="0.25">
      <c r="A123" s="847"/>
      <c r="B123" s="874"/>
      <c r="C123" s="59"/>
      <c r="D123" s="26"/>
      <c r="E123" s="26"/>
      <c r="F123" s="26"/>
      <c r="G123" s="26"/>
      <c r="H123" s="74"/>
      <c r="I123" s="409"/>
      <c r="J123" s="410"/>
      <c r="K123" s="26"/>
      <c r="L123" s="26"/>
      <c r="M123" s="25"/>
      <c r="N123" s="26"/>
      <c r="O123" s="26"/>
      <c r="P123" s="46"/>
      <c r="Q123" s="46"/>
      <c r="R123" s="73"/>
      <c r="S123" s="73"/>
      <c r="T123" s="73"/>
      <c r="U123" s="369">
        <f t="shared" si="6"/>
        <v>0</v>
      </c>
    </row>
    <row r="124" spans="1:23" hidden="1" x14ac:dyDescent="0.25">
      <c r="A124" s="847"/>
      <c r="B124" s="874"/>
      <c r="C124" s="59"/>
      <c r="D124" s="26"/>
      <c r="E124" s="26"/>
      <c r="F124" s="26"/>
      <c r="G124" s="26"/>
      <c r="H124" s="74"/>
      <c r="I124" s="409"/>
      <c r="J124" s="410"/>
      <c r="K124" s="26"/>
      <c r="L124" s="26"/>
      <c r="M124" s="25"/>
      <c r="N124" s="26"/>
      <c r="O124" s="26"/>
      <c r="P124" s="26"/>
      <c r="Q124" s="26"/>
      <c r="R124" s="60"/>
      <c r="S124" s="60"/>
      <c r="T124" s="60"/>
      <c r="U124" s="393">
        <f t="shared" si="6"/>
        <v>0</v>
      </c>
    </row>
    <row r="125" spans="1:23" hidden="1" x14ac:dyDescent="0.25">
      <c r="A125" s="847"/>
      <c r="B125" s="874"/>
      <c r="C125" s="59"/>
      <c r="D125" s="26"/>
      <c r="E125" s="26"/>
      <c r="F125" s="26"/>
      <c r="G125" s="26"/>
      <c r="H125" s="74"/>
      <c r="I125" s="409"/>
      <c r="J125" s="410"/>
      <c r="K125" s="26"/>
      <c r="L125" s="26"/>
      <c r="M125" s="25"/>
      <c r="N125" s="26"/>
      <c r="O125" s="26"/>
      <c r="P125" s="26"/>
      <c r="Q125" s="26"/>
      <c r="R125" s="60"/>
      <c r="S125" s="60"/>
      <c r="T125" s="60"/>
      <c r="U125" s="393">
        <f t="shared" si="6"/>
        <v>0</v>
      </c>
    </row>
    <row r="126" spans="1:23" ht="15.75" hidden="1" thickBot="1" x14ac:dyDescent="0.3">
      <c r="A126" s="847"/>
      <c r="B126" s="874"/>
      <c r="C126" s="61"/>
      <c r="D126" s="32"/>
      <c r="E126" s="32"/>
      <c r="F126" s="32"/>
      <c r="G126" s="32"/>
      <c r="H126" s="75"/>
      <c r="I126" s="445"/>
      <c r="J126" s="446"/>
      <c r="K126" s="32"/>
      <c r="L126" s="32"/>
      <c r="M126" s="31">
        <v>9771.24</v>
      </c>
      <c r="N126" s="32"/>
      <c r="O126" s="32"/>
      <c r="P126" s="32"/>
      <c r="Q126" s="32"/>
      <c r="R126" s="29"/>
      <c r="S126" s="29"/>
      <c r="T126" s="29"/>
      <c r="U126" s="648">
        <f t="shared" si="6"/>
        <v>0</v>
      </c>
    </row>
    <row r="127" spans="1:23" ht="15.75" hidden="1" thickBot="1" x14ac:dyDescent="0.3">
      <c r="A127" s="843"/>
      <c r="B127" s="875"/>
      <c r="C127" s="191" t="s">
        <v>353</v>
      </c>
      <c r="D127" s="97"/>
      <c r="E127" s="97"/>
      <c r="F127" s="97"/>
      <c r="G127" s="97"/>
      <c r="H127" s="95"/>
      <c r="I127" s="486"/>
      <c r="J127" s="487"/>
      <c r="K127" s="97">
        <v>8848</v>
      </c>
      <c r="L127" s="97">
        <v>10252.99</v>
      </c>
      <c r="M127" s="96"/>
      <c r="N127" s="97"/>
      <c r="O127" s="97"/>
      <c r="P127" s="97"/>
      <c r="Q127" s="97"/>
      <c r="R127" s="149"/>
      <c r="S127" s="149"/>
      <c r="T127" s="149"/>
      <c r="U127" s="644">
        <f t="shared" si="6"/>
        <v>0</v>
      </c>
    </row>
    <row r="128" spans="1:23" ht="17.25" customHeight="1" thickBot="1" x14ac:dyDescent="0.3">
      <c r="A128" s="407" t="s">
        <v>354</v>
      </c>
      <c r="B128" s="778" t="s">
        <v>242</v>
      </c>
      <c r="C128" s="779"/>
      <c r="D128" s="475"/>
      <c r="E128" s="475"/>
      <c r="F128" s="475"/>
      <c r="G128" s="475"/>
      <c r="H128" s="561"/>
      <c r="I128" s="476"/>
      <c r="J128" s="477"/>
      <c r="K128" s="101">
        <v>5500</v>
      </c>
      <c r="L128" s="101"/>
      <c r="M128" s="101">
        <f>M129</f>
        <v>0</v>
      </c>
      <c r="N128" s="101"/>
      <c r="O128" s="488">
        <v>10000</v>
      </c>
      <c r="P128" s="488">
        <v>2238</v>
      </c>
      <c r="Q128" s="119">
        <v>21924.400000000001</v>
      </c>
      <c r="R128" s="84">
        <f t="shared" ref="R128:U128" si="13">R129</f>
        <v>0</v>
      </c>
      <c r="S128" s="84">
        <f t="shared" si="13"/>
        <v>1080</v>
      </c>
      <c r="T128" s="84">
        <f t="shared" si="13"/>
        <v>0</v>
      </c>
      <c r="U128" s="586">
        <f t="shared" si="13"/>
        <v>1080</v>
      </c>
    </row>
    <row r="129" spans="1:23" ht="17.25" customHeight="1" thickBot="1" x14ac:dyDescent="0.3">
      <c r="A129" s="497"/>
      <c r="B129" s="681"/>
      <c r="C129" s="94" t="s">
        <v>475</v>
      </c>
      <c r="D129" s="15"/>
      <c r="E129" s="15"/>
      <c r="F129" s="15"/>
      <c r="G129" s="15"/>
      <c r="H129" s="682"/>
      <c r="I129" s="683"/>
      <c r="J129" s="684"/>
      <c r="K129" s="15">
        <v>5500</v>
      </c>
      <c r="L129" s="15"/>
      <c r="M129" s="15"/>
      <c r="N129" s="15"/>
      <c r="O129" s="14"/>
      <c r="P129" s="14"/>
      <c r="Q129" s="15"/>
      <c r="R129" s="103"/>
      <c r="S129" s="103">
        <v>1080</v>
      </c>
      <c r="T129" s="103"/>
      <c r="U129" s="647">
        <f t="shared" si="6"/>
        <v>1080</v>
      </c>
    </row>
    <row r="130" spans="1:23" ht="17.25" customHeight="1" thickBot="1" x14ac:dyDescent="0.3">
      <c r="A130" s="489" t="s">
        <v>246</v>
      </c>
      <c r="B130" s="878" t="s">
        <v>247</v>
      </c>
      <c r="C130" s="878"/>
      <c r="D130" s="180">
        <v>666567</v>
      </c>
      <c r="E130" s="180">
        <v>223164</v>
      </c>
      <c r="F130" s="180">
        <v>527019</v>
      </c>
      <c r="G130" s="180">
        <v>279677</v>
      </c>
      <c r="H130" s="180">
        <v>1160065</v>
      </c>
      <c r="I130" s="490">
        <v>2097438</v>
      </c>
      <c r="J130" s="180">
        <v>344577</v>
      </c>
      <c r="K130" s="84">
        <f t="shared" ref="K130:M130" si="14">SUM(K131:K145)</f>
        <v>11076</v>
      </c>
      <c r="L130" s="84">
        <f t="shared" si="14"/>
        <v>22611.84</v>
      </c>
      <c r="M130" s="85">
        <f t="shared" si="14"/>
        <v>52135.360000000001</v>
      </c>
      <c r="N130" s="84">
        <v>60359.19</v>
      </c>
      <c r="O130" s="85">
        <v>319793.28999999998</v>
      </c>
      <c r="P130" s="85">
        <v>478985.9</v>
      </c>
      <c r="Q130" s="85">
        <v>204385.99</v>
      </c>
      <c r="R130" s="84">
        <f>SUM(R133:R141)</f>
        <v>144827</v>
      </c>
      <c r="S130" s="84">
        <f t="shared" ref="S130" si="15">SUM(S139:S141)</f>
        <v>0</v>
      </c>
      <c r="T130" s="84">
        <f>SUM(T133:T141)</f>
        <v>50287</v>
      </c>
      <c r="U130" s="586">
        <f>SUM(U133:U141)</f>
        <v>195114</v>
      </c>
    </row>
    <row r="131" spans="1:23" hidden="1" x14ac:dyDescent="0.25">
      <c r="A131" s="842"/>
      <c r="B131" s="873"/>
      <c r="C131" s="59"/>
      <c r="D131" s="74"/>
      <c r="E131" s="74"/>
      <c r="F131" s="74"/>
      <c r="G131" s="74"/>
      <c r="H131" s="74"/>
      <c r="I131" s="409"/>
      <c r="J131" s="410"/>
      <c r="K131" s="26">
        <v>11076</v>
      </c>
      <c r="L131" s="46"/>
      <c r="M131" s="46"/>
      <c r="N131" s="46"/>
      <c r="O131" s="46"/>
      <c r="P131" s="46"/>
      <c r="Q131" s="46"/>
      <c r="R131" s="73"/>
      <c r="S131" s="73"/>
      <c r="T131" s="73"/>
      <c r="U131" s="369">
        <f t="shared" si="6"/>
        <v>0</v>
      </c>
    </row>
    <row r="132" spans="1:23" hidden="1" x14ac:dyDescent="0.25">
      <c r="A132" s="847"/>
      <c r="B132" s="874"/>
      <c r="C132" s="59"/>
      <c r="D132" s="74"/>
      <c r="E132" s="74"/>
      <c r="F132" s="74"/>
      <c r="G132" s="74"/>
      <c r="H132" s="74"/>
      <c r="I132" s="409"/>
      <c r="J132" s="410"/>
      <c r="K132" s="26"/>
      <c r="L132" s="46"/>
      <c r="M132" s="46"/>
      <c r="N132" s="46"/>
      <c r="O132" s="46"/>
      <c r="P132" s="46"/>
      <c r="Q132" s="46"/>
      <c r="R132" s="73"/>
      <c r="S132" s="73"/>
      <c r="T132" s="73"/>
      <c r="U132" s="369">
        <f t="shared" si="6"/>
        <v>0</v>
      </c>
    </row>
    <row r="133" spans="1:23" x14ac:dyDescent="0.25">
      <c r="A133" s="847"/>
      <c r="B133" s="874"/>
      <c r="C133" s="59" t="s">
        <v>426</v>
      </c>
      <c r="D133" s="74"/>
      <c r="E133" s="74"/>
      <c r="F133" s="74"/>
      <c r="G133" s="74"/>
      <c r="H133" s="74"/>
      <c r="I133" s="409"/>
      <c r="J133" s="410"/>
      <c r="K133" s="26"/>
      <c r="L133" s="46"/>
      <c r="M133" s="46"/>
      <c r="N133" s="46"/>
      <c r="O133" s="46"/>
      <c r="P133" s="46"/>
      <c r="Q133" s="46"/>
      <c r="R133" s="73">
        <v>17000</v>
      </c>
      <c r="S133" s="73"/>
      <c r="T133" s="73"/>
      <c r="U133" s="369">
        <f t="shared" si="6"/>
        <v>17000</v>
      </c>
      <c r="W133" s="190"/>
    </row>
    <row r="134" spans="1:23" x14ac:dyDescent="0.25">
      <c r="A134" s="847"/>
      <c r="B134" s="874"/>
      <c r="C134" s="59" t="s">
        <v>470</v>
      </c>
      <c r="D134" s="74"/>
      <c r="E134" s="74"/>
      <c r="F134" s="74"/>
      <c r="G134" s="74"/>
      <c r="H134" s="74"/>
      <c r="I134" s="409"/>
      <c r="J134" s="410"/>
      <c r="K134" s="26"/>
      <c r="L134" s="46"/>
      <c r="M134" s="46"/>
      <c r="N134" s="46"/>
      <c r="O134" s="46"/>
      <c r="P134" s="46"/>
      <c r="Q134" s="46"/>
      <c r="R134" s="73">
        <v>0</v>
      </c>
      <c r="S134" s="73"/>
      <c r="T134" s="73">
        <v>14253</v>
      </c>
      <c r="U134" s="369">
        <f t="shared" si="6"/>
        <v>14253</v>
      </c>
    </row>
    <row r="135" spans="1:23" x14ac:dyDescent="0.25">
      <c r="A135" s="847"/>
      <c r="B135" s="874"/>
      <c r="C135" s="59" t="s">
        <v>459</v>
      </c>
      <c r="D135" s="74"/>
      <c r="E135" s="74"/>
      <c r="F135" s="74"/>
      <c r="G135" s="74"/>
      <c r="H135" s="74"/>
      <c r="I135" s="409"/>
      <c r="J135" s="410"/>
      <c r="K135" s="26"/>
      <c r="L135" s="46"/>
      <c r="M135" s="46"/>
      <c r="N135" s="46"/>
      <c r="O135" s="46"/>
      <c r="P135" s="46"/>
      <c r="Q135" s="46"/>
      <c r="R135" s="73">
        <v>0</v>
      </c>
      <c r="S135" s="73"/>
      <c r="T135" s="73">
        <v>5000</v>
      </c>
      <c r="U135" s="369">
        <f t="shared" si="6"/>
        <v>5000</v>
      </c>
    </row>
    <row r="136" spans="1:23" hidden="1" x14ac:dyDescent="0.25">
      <c r="A136" s="847"/>
      <c r="B136" s="874"/>
      <c r="C136" s="59"/>
      <c r="D136" s="74"/>
      <c r="E136" s="74"/>
      <c r="F136" s="74"/>
      <c r="G136" s="74"/>
      <c r="H136" s="74"/>
      <c r="I136" s="409"/>
      <c r="J136" s="410"/>
      <c r="K136" s="26"/>
      <c r="L136" s="46"/>
      <c r="M136" s="46"/>
      <c r="N136" s="46"/>
      <c r="O136" s="46"/>
      <c r="P136" s="46"/>
      <c r="Q136" s="46"/>
      <c r="R136" s="73">
        <v>0</v>
      </c>
      <c r="S136" s="73"/>
      <c r="T136" s="73"/>
      <c r="U136" s="369">
        <f t="shared" si="6"/>
        <v>0</v>
      </c>
    </row>
    <row r="137" spans="1:23" hidden="1" x14ac:dyDescent="0.25">
      <c r="A137" s="847"/>
      <c r="B137" s="874"/>
      <c r="C137" s="59"/>
      <c r="D137" s="74"/>
      <c r="E137" s="74"/>
      <c r="F137" s="74"/>
      <c r="G137" s="74"/>
      <c r="H137" s="74"/>
      <c r="I137" s="409"/>
      <c r="J137" s="410"/>
      <c r="K137" s="26"/>
      <c r="L137" s="46"/>
      <c r="M137" s="46"/>
      <c r="N137" s="46"/>
      <c r="O137" s="46"/>
      <c r="P137" s="46"/>
      <c r="Q137" s="46"/>
      <c r="R137" s="73">
        <v>0</v>
      </c>
      <c r="S137" s="73"/>
      <c r="T137" s="73"/>
      <c r="U137" s="369">
        <f t="shared" si="6"/>
        <v>0</v>
      </c>
    </row>
    <row r="138" spans="1:23" x14ac:dyDescent="0.25">
      <c r="A138" s="847"/>
      <c r="B138" s="874"/>
      <c r="C138" s="59" t="s">
        <v>471</v>
      </c>
      <c r="D138" s="74"/>
      <c r="E138" s="74"/>
      <c r="F138" s="74"/>
      <c r="G138" s="74"/>
      <c r="H138" s="74"/>
      <c r="I138" s="409"/>
      <c r="J138" s="410"/>
      <c r="K138" s="26"/>
      <c r="L138" s="46">
        <v>22611.84</v>
      </c>
      <c r="M138" s="45"/>
      <c r="N138" s="46"/>
      <c r="O138" s="46"/>
      <c r="P138" s="46"/>
      <c r="Q138" s="46"/>
      <c r="R138" s="73">
        <v>0</v>
      </c>
      <c r="S138" s="73"/>
      <c r="T138" s="73">
        <v>23000</v>
      </c>
      <c r="U138" s="369">
        <f t="shared" si="6"/>
        <v>23000</v>
      </c>
    </row>
    <row r="139" spans="1:23" x14ac:dyDescent="0.25">
      <c r="A139" s="847"/>
      <c r="B139" s="874"/>
      <c r="C139" s="59" t="s">
        <v>356</v>
      </c>
      <c r="D139" s="74"/>
      <c r="E139" s="74"/>
      <c r="F139" s="74"/>
      <c r="G139" s="74"/>
      <c r="H139" s="74"/>
      <c r="I139" s="409"/>
      <c r="J139" s="410"/>
      <c r="K139" s="26"/>
      <c r="L139" s="46"/>
      <c r="M139" s="45"/>
      <c r="N139" s="46"/>
      <c r="O139" s="46"/>
      <c r="P139" s="46"/>
      <c r="Q139" s="46"/>
      <c r="R139" s="73">
        <v>113373</v>
      </c>
      <c r="S139" s="73"/>
      <c r="T139" s="73"/>
      <c r="U139" s="369">
        <f t="shared" si="6"/>
        <v>113373</v>
      </c>
    </row>
    <row r="140" spans="1:23" x14ac:dyDescent="0.25">
      <c r="A140" s="847"/>
      <c r="B140" s="874"/>
      <c r="C140" s="59" t="s">
        <v>451</v>
      </c>
      <c r="D140" s="74"/>
      <c r="E140" s="74"/>
      <c r="F140" s="74"/>
      <c r="G140" s="74"/>
      <c r="H140" s="74"/>
      <c r="I140" s="409"/>
      <c r="J140" s="410"/>
      <c r="K140" s="26"/>
      <c r="L140" s="46"/>
      <c r="M140" s="45">
        <v>31200</v>
      </c>
      <c r="N140" s="46"/>
      <c r="O140" s="46"/>
      <c r="P140" s="46"/>
      <c r="Q140" s="46"/>
      <c r="R140" s="73">
        <v>3300</v>
      </c>
      <c r="S140" s="73"/>
      <c r="T140" s="73">
        <v>8034</v>
      </c>
      <c r="U140" s="369">
        <f t="shared" si="6"/>
        <v>11334</v>
      </c>
    </row>
    <row r="141" spans="1:23" ht="15.75" thickBot="1" x14ac:dyDescent="0.3">
      <c r="A141" s="847"/>
      <c r="B141" s="874"/>
      <c r="C141" s="59" t="s">
        <v>357</v>
      </c>
      <c r="D141" s="74"/>
      <c r="E141" s="74"/>
      <c r="F141" s="74"/>
      <c r="G141" s="74"/>
      <c r="H141" s="74"/>
      <c r="I141" s="409"/>
      <c r="J141" s="410"/>
      <c r="K141" s="26"/>
      <c r="L141" s="46"/>
      <c r="M141" s="45">
        <v>12085.36</v>
      </c>
      <c r="N141" s="46"/>
      <c r="O141" s="46"/>
      <c r="P141" s="46"/>
      <c r="Q141" s="46"/>
      <c r="R141" s="73">
        <v>11154</v>
      </c>
      <c r="S141" s="73"/>
      <c r="T141" s="73"/>
      <c r="U141" s="369">
        <f t="shared" si="6"/>
        <v>11154</v>
      </c>
    </row>
    <row r="142" spans="1:23" ht="15.75" hidden="1" thickBot="1" x14ac:dyDescent="0.3">
      <c r="A142" s="847"/>
      <c r="B142" s="874"/>
      <c r="C142" s="59"/>
      <c r="D142" s="83"/>
      <c r="E142" s="83"/>
      <c r="F142" s="83"/>
      <c r="G142" s="83"/>
      <c r="H142" s="83"/>
      <c r="I142" s="411"/>
      <c r="J142" s="412"/>
      <c r="K142" s="49"/>
      <c r="L142" s="46"/>
      <c r="M142" s="45"/>
      <c r="N142" s="46"/>
      <c r="O142" s="46"/>
      <c r="P142" s="46"/>
      <c r="Q142" s="46"/>
      <c r="R142" s="73"/>
      <c r="S142" s="73"/>
      <c r="T142" s="73"/>
      <c r="U142" s="369">
        <f t="shared" si="6"/>
        <v>0</v>
      </c>
    </row>
    <row r="143" spans="1:23" ht="15.75" hidden="1" thickBot="1" x14ac:dyDescent="0.3">
      <c r="A143" s="847"/>
      <c r="B143" s="874"/>
      <c r="C143" s="59"/>
      <c r="D143" s="83"/>
      <c r="E143" s="83"/>
      <c r="F143" s="83"/>
      <c r="G143" s="83"/>
      <c r="H143" s="83"/>
      <c r="I143" s="411"/>
      <c r="J143" s="412"/>
      <c r="K143" s="49"/>
      <c r="L143" s="26"/>
      <c r="M143" s="25">
        <v>8850</v>
      </c>
      <c r="N143" s="60"/>
      <c r="O143" s="73"/>
      <c r="P143" s="73"/>
      <c r="Q143" s="73"/>
      <c r="R143" s="73"/>
      <c r="S143" s="73"/>
      <c r="T143" s="73"/>
      <c r="U143" s="369">
        <f t="shared" si="6"/>
        <v>0</v>
      </c>
    </row>
    <row r="144" spans="1:23" ht="15.75" hidden="1" thickBot="1" x14ac:dyDescent="0.3">
      <c r="A144" s="847"/>
      <c r="B144" s="874"/>
      <c r="C144" s="62"/>
      <c r="D144" s="83"/>
      <c r="E144" s="83"/>
      <c r="F144" s="83"/>
      <c r="G144" s="83"/>
      <c r="H144" s="83"/>
      <c r="I144" s="411"/>
      <c r="J144" s="412"/>
      <c r="K144" s="49"/>
      <c r="L144" s="90"/>
      <c r="M144" s="89"/>
      <c r="N144" s="90"/>
      <c r="O144" s="90"/>
      <c r="P144" s="90"/>
      <c r="Q144" s="90"/>
      <c r="R144" s="73"/>
      <c r="S144" s="73"/>
      <c r="T144" s="73"/>
      <c r="U144" s="369">
        <f t="shared" si="6"/>
        <v>0</v>
      </c>
    </row>
    <row r="145" spans="1:22" ht="15.75" hidden="1" thickBot="1" x14ac:dyDescent="0.3">
      <c r="A145" s="843"/>
      <c r="B145" s="875"/>
      <c r="C145" s="62"/>
      <c r="D145" s="83"/>
      <c r="E145" s="83"/>
      <c r="F145" s="83"/>
      <c r="G145" s="83"/>
      <c r="H145" s="83"/>
      <c r="I145" s="411"/>
      <c r="J145" s="412"/>
      <c r="K145" s="49"/>
      <c r="L145" s="49"/>
      <c r="M145" s="48"/>
      <c r="N145" s="49"/>
      <c r="O145" s="49"/>
      <c r="P145" s="49"/>
      <c r="Q145" s="49"/>
      <c r="R145" s="60"/>
      <c r="S145" s="60"/>
      <c r="T145" s="60"/>
      <c r="U145" s="393">
        <f t="shared" si="6"/>
        <v>0</v>
      </c>
    </row>
    <row r="146" spans="1:22" ht="15.75" thickBot="1" x14ac:dyDescent="0.3">
      <c r="A146" s="152" t="s">
        <v>259</v>
      </c>
      <c r="B146" s="778" t="s">
        <v>260</v>
      </c>
      <c r="C146" s="779"/>
      <c r="D146" s="559"/>
      <c r="E146" s="559"/>
      <c r="F146" s="559"/>
      <c r="G146" s="559"/>
      <c r="H146" s="559"/>
      <c r="I146" s="240">
        <v>104542</v>
      </c>
      <c r="J146" s="153">
        <v>66000</v>
      </c>
      <c r="K146" s="84">
        <f>K147+K150</f>
        <v>0</v>
      </c>
      <c r="L146" s="86"/>
      <c r="M146" s="86"/>
      <c r="N146" s="86"/>
      <c r="O146" s="86"/>
      <c r="P146" s="86">
        <v>35641.19</v>
      </c>
      <c r="Q146" s="119">
        <v>17</v>
      </c>
      <c r="R146" s="84">
        <f t="shared" ref="R146" si="16">R147</f>
        <v>0</v>
      </c>
      <c r="S146" s="84">
        <f t="shared" ref="S146" si="17">S147</f>
        <v>0</v>
      </c>
      <c r="T146" s="84">
        <f t="shared" ref="T146" si="18">T147</f>
        <v>0</v>
      </c>
      <c r="U146" s="586">
        <f t="shared" ref="U146" si="19">U147</f>
        <v>0</v>
      </c>
    </row>
    <row r="147" spans="1:22" ht="15.75" hidden="1" thickBot="1" x14ac:dyDescent="0.3">
      <c r="A147" s="491"/>
      <c r="B147" s="492"/>
      <c r="C147" s="492"/>
      <c r="D147" s="493"/>
      <c r="E147" s="493"/>
      <c r="F147" s="493"/>
      <c r="G147" s="493"/>
      <c r="H147" s="493"/>
      <c r="I147" s="493"/>
      <c r="J147" s="493"/>
      <c r="K147" s="493"/>
      <c r="L147" s="494"/>
      <c r="M147" s="492"/>
      <c r="N147" s="495"/>
      <c r="O147" s="495"/>
      <c r="P147" s="492"/>
      <c r="Q147" s="492"/>
      <c r="R147" s="492"/>
      <c r="S147" s="710"/>
      <c r="T147" s="710"/>
      <c r="U147" s="649">
        <f t="shared" ref="U147:U152" si="20">R147+S147+T147</f>
        <v>0</v>
      </c>
    </row>
    <row r="148" spans="1:22" ht="15.75" thickBot="1" x14ac:dyDescent="0.3">
      <c r="A148" s="489" t="s">
        <v>265</v>
      </c>
      <c r="B148" s="832" t="s">
        <v>266</v>
      </c>
      <c r="C148" s="809"/>
      <c r="D148" s="493"/>
      <c r="E148" s="493"/>
      <c r="F148" s="493"/>
      <c r="G148" s="493"/>
      <c r="H148" s="493"/>
      <c r="I148" s="493"/>
      <c r="J148" s="493"/>
      <c r="K148" s="493"/>
      <c r="L148" s="312"/>
      <c r="M148" s="392"/>
      <c r="N148" s="493"/>
      <c r="O148" s="680"/>
      <c r="P148" s="492"/>
      <c r="Q148" s="495"/>
      <c r="R148" s="326">
        <f t="shared" ref="R148" si="21">R149</f>
        <v>0</v>
      </c>
      <c r="S148" s="398">
        <f t="shared" ref="S148" si="22">S149</f>
        <v>0</v>
      </c>
      <c r="T148" s="710">
        <f t="shared" ref="T148" si="23">T149</f>
        <v>0</v>
      </c>
      <c r="U148" s="649">
        <f t="shared" ref="U148" si="24">U149</f>
        <v>0</v>
      </c>
    </row>
    <row r="149" spans="1:22" ht="15.75" hidden="1" thickBot="1" x14ac:dyDescent="0.3">
      <c r="A149" s="491"/>
      <c r="B149" s="493"/>
      <c r="C149" s="391" t="s">
        <v>358</v>
      </c>
      <c r="D149" s="493"/>
      <c r="E149" s="493"/>
      <c r="F149" s="493"/>
      <c r="G149" s="493"/>
      <c r="H149" s="493"/>
      <c r="I149" s="493"/>
      <c r="J149" s="493"/>
      <c r="K149" s="493"/>
      <c r="L149" s="312"/>
      <c r="M149" s="392"/>
      <c r="N149" s="493"/>
      <c r="O149" s="493"/>
      <c r="P149" s="492"/>
      <c r="Q149" s="496"/>
      <c r="R149" s="391">
        <v>0</v>
      </c>
      <c r="S149" s="711"/>
      <c r="T149" s="711"/>
      <c r="U149" s="650">
        <f t="shared" si="20"/>
        <v>0</v>
      </c>
    </row>
    <row r="150" spans="1:22" ht="15.75" hidden="1" thickBot="1" x14ac:dyDescent="0.3">
      <c r="A150" s="404"/>
      <c r="B150" s="408"/>
      <c r="C150" s="174"/>
      <c r="D150" s="88"/>
      <c r="E150" s="88"/>
      <c r="F150" s="88"/>
      <c r="G150" s="88"/>
      <c r="H150" s="88"/>
      <c r="I150" s="88"/>
      <c r="J150" s="88"/>
      <c r="K150" s="90"/>
      <c r="L150" s="90"/>
      <c r="M150" s="90"/>
      <c r="N150" s="90"/>
      <c r="O150" s="90"/>
      <c r="P150" s="90"/>
      <c r="Q150" s="149"/>
      <c r="R150" s="189"/>
      <c r="S150" s="189"/>
      <c r="T150" s="189"/>
      <c r="U150" s="587">
        <f t="shared" si="20"/>
        <v>0</v>
      </c>
    </row>
    <row r="151" spans="1:22" ht="15.75" thickBot="1" x14ac:dyDescent="0.3">
      <c r="A151" s="497" t="s">
        <v>359</v>
      </c>
      <c r="B151" s="879" t="s">
        <v>268</v>
      </c>
      <c r="C151" s="880"/>
      <c r="D151" s="498"/>
      <c r="E151" s="498"/>
      <c r="F151" s="498"/>
      <c r="G151" s="498"/>
      <c r="H151" s="498"/>
      <c r="I151" s="56">
        <f>I152</f>
        <v>0</v>
      </c>
      <c r="J151" s="56">
        <f>J152</f>
        <v>0</v>
      </c>
      <c r="K151" s="56">
        <f>K152</f>
        <v>0</v>
      </c>
      <c r="L151" s="56">
        <f>L152</f>
        <v>82887.77</v>
      </c>
      <c r="M151" s="123">
        <v>7399.64</v>
      </c>
      <c r="N151" s="499">
        <v>0</v>
      </c>
      <c r="O151" s="499">
        <f>O152</f>
        <v>0</v>
      </c>
      <c r="P151" s="499"/>
      <c r="Q151" s="55">
        <v>1550</v>
      </c>
      <c r="R151" s="499">
        <f t="shared" ref="R151" si="25">R152</f>
        <v>0</v>
      </c>
      <c r="S151" s="54">
        <f t="shared" ref="S151" si="26">S152</f>
        <v>0</v>
      </c>
      <c r="T151" s="54">
        <f t="shared" ref="T151" si="27">T152</f>
        <v>0</v>
      </c>
      <c r="U151" s="651">
        <f t="shared" ref="U151" si="28">U152</f>
        <v>0</v>
      </c>
    </row>
    <row r="152" spans="1:22" ht="15.75" hidden="1" thickBot="1" x14ac:dyDescent="0.3">
      <c r="A152" s="404"/>
      <c r="B152" s="408"/>
      <c r="C152" s="493" t="s">
        <v>360</v>
      </c>
      <c r="D152" s="493"/>
      <c r="E152" s="493"/>
      <c r="F152" s="493"/>
      <c r="G152" s="493"/>
      <c r="H152" s="493"/>
      <c r="I152" s="88"/>
      <c r="J152" s="88"/>
      <c r="K152" s="90"/>
      <c r="L152" s="90">
        <v>82887.77</v>
      </c>
      <c r="M152" s="89">
        <v>7399.64</v>
      </c>
      <c r="N152" s="90"/>
      <c r="O152" s="90"/>
      <c r="P152" s="90"/>
      <c r="Q152" s="90"/>
      <c r="R152" s="189"/>
      <c r="S152" s="189"/>
      <c r="T152" s="189"/>
      <c r="U152" s="587">
        <f t="shared" si="20"/>
        <v>0</v>
      </c>
    </row>
    <row r="153" spans="1:22" ht="17.25" thickTop="1" thickBot="1" x14ac:dyDescent="0.3">
      <c r="A153" s="876" t="s">
        <v>361</v>
      </c>
      <c r="B153" s="877"/>
      <c r="C153" s="877"/>
      <c r="D153" s="133">
        <v>2988050</v>
      </c>
      <c r="E153" s="133">
        <v>1793069</v>
      </c>
      <c r="F153" s="133">
        <v>2942409</v>
      </c>
      <c r="G153" s="133">
        <v>4880528</v>
      </c>
      <c r="H153" s="133">
        <f t="shared" ref="H153:O153" si="29">H130+H113+H121+H109+H78+H74+H66+H64+H57+H36+H12+H9+H4+H128+H146+H151</f>
        <v>5977301</v>
      </c>
      <c r="I153" s="133">
        <f t="shared" si="29"/>
        <v>5818483</v>
      </c>
      <c r="J153" s="133">
        <f t="shared" si="29"/>
        <v>4719096</v>
      </c>
      <c r="K153" s="133">
        <f t="shared" si="29"/>
        <v>3939694</v>
      </c>
      <c r="L153" s="133">
        <f t="shared" si="29"/>
        <v>1800938.79</v>
      </c>
      <c r="M153" s="134">
        <f t="shared" si="29"/>
        <v>2868630.6500000004</v>
      </c>
      <c r="N153" s="133">
        <f t="shared" si="29"/>
        <v>1348818.6500000001</v>
      </c>
      <c r="O153" s="134">
        <f t="shared" si="29"/>
        <v>1900647.68</v>
      </c>
      <c r="P153" s="133">
        <v>2329182.13</v>
      </c>
      <c r="Q153" s="512">
        <f>Q4+Q9+Q12+Q36+Q57+Q66+Q74+Q78+Q107+Q113+Q128+Q130+Q146+Q151</f>
        <v>2649518.4899999993</v>
      </c>
      <c r="R153" s="133">
        <f>R151+R148+R146+R130+R128+R121+R113+R107+R78+R74+R66+R57+R36+R12+R9+R4</f>
        <v>9121651</v>
      </c>
      <c r="S153" s="133">
        <f>S151+S148+S146+S130+S128+S121+S113+S107+S78+S74+S66+S57+S36+S12+S9+S4</f>
        <v>37722</v>
      </c>
      <c r="T153" s="133">
        <f>T151+T148+T146+T130+T128+T121+T113+T107+T78+T74+T66+T57+T36+T12+T9+T4</f>
        <v>306090</v>
      </c>
      <c r="U153" s="639">
        <f>U151+U148+U146+U130+U128+U121+U113+U107+U78+U74+U66+U57+U36+U12+U9+U4</f>
        <v>9465463</v>
      </c>
    </row>
    <row r="154" spans="1:22" ht="15.75" thickTop="1" x14ac:dyDescent="0.25"/>
    <row r="155" spans="1:22" x14ac:dyDescent="0.25">
      <c r="T155" s="190"/>
    </row>
    <row r="156" spans="1:22" x14ac:dyDescent="0.25">
      <c r="R156" s="190"/>
      <c r="S156" s="190"/>
      <c r="T156" s="190"/>
      <c r="U156" s="190"/>
    </row>
    <row r="157" spans="1:22" x14ac:dyDescent="0.25">
      <c r="T157" s="190"/>
    </row>
    <row r="158" spans="1:22" x14ac:dyDescent="0.25">
      <c r="T158" s="190"/>
      <c r="U158" s="190"/>
      <c r="V158" s="190"/>
    </row>
    <row r="159" spans="1:22" x14ac:dyDescent="0.25">
      <c r="Q159" s="190"/>
      <c r="R159" s="190"/>
      <c r="S159" s="190"/>
      <c r="T159" s="190"/>
      <c r="U159" s="190"/>
    </row>
    <row r="160" spans="1:22" x14ac:dyDescent="0.25">
      <c r="S160" s="304"/>
      <c r="T160" s="190"/>
      <c r="U160" s="190"/>
    </row>
    <row r="162" spans="19:19" x14ac:dyDescent="0.25">
      <c r="S162" s="304"/>
    </row>
  </sheetData>
  <mergeCells count="58">
    <mergeCell ref="L2:L3"/>
    <mergeCell ref="M2:M3"/>
    <mergeCell ref="N2:N3"/>
    <mergeCell ref="O2:O3"/>
    <mergeCell ref="B4:C4"/>
    <mergeCell ref="B2:B3"/>
    <mergeCell ref="C2:C3"/>
    <mergeCell ref="D2:D3"/>
    <mergeCell ref="E2:E3"/>
    <mergeCell ref="F2:F3"/>
    <mergeCell ref="B67:B73"/>
    <mergeCell ref="S2:T2"/>
    <mergeCell ref="A5:A8"/>
    <mergeCell ref="B5:B8"/>
    <mergeCell ref="B9:C9"/>
    <mergeCell ref="B10:B11"/>
    <mergeCell ref="A2:A3"/>
    <mergeCell ref="G2:G3"/>
    <mergeCell ref="H2:H3"/>
    <mergeCell ref="I2:I3"/>
    <mergeCell ref="B12:C12"/>
    <mergeCell ref="P2:P3"/>
    <mergeCell ref="Q2:Q3"/>
    <mergeCell ref="R2:R3"/>
    <mergeCell ref="J2:J3"/>
    <mergeCell ref="K2:K3"/>
    <mergeCell ref="A18:A35"/>
    <mergeCell ref="B18:B35"/>
    <mergeCell ref="A114:A120"/>
    <mergeCell ref="B114:B120"/>
    <mergeCell ref="B121:C121"/>
    <mergeCell ref="B109:C109"/>
    <mergeCell ref="B113:C113"/>
    <mergeCell ref="A75:A77"/>
    <mergeCell ref="B75:B77"/>
    <mergeCell ref="B36:C36"/>
    <mergeCell ref="A43:A55"/>
    <mergeCell ref="B43:B55"/>
    <mergeCell ref="B57:C57"/>
    <mergeCell ref="B64:C64"/>
    <mergeCell ref="B66:C66"/>
    <mergeCell ref="A67:A73"/>
    <mergeCell ref="A122:A127"/>
    <mergeCell ref="B122:B127"/>
    <mergeCell ref="U2:U3"/>
    <mergeCell ref="A153:C153"/>
    <mergeCell ref="B130:C130"/>
    <mergeCell ref="A131:A145"/>
    <mergeCell ref="B131:B145"/>
    <mergeCell ref="B146:C146"/>
    <mergeCell ref="B148:C148"/>
    <mergeCell ref="B151:C151"/>
    <mergeCell ref="B74:C74"/>
    <mergeCell ref="B128:C128"/>
    <mergeCell ref="B78:C78"/>
    <mergeCell ref="A79:A106"/>
    <mergeCell ref="B79:B106"/>
    <mergeCell ref="B107:C107"/>
  </mergeCells>
  <pageMargins left="0.11811023622047245" right="0.11811023622047245" top="0.15748031496062992" bottom="0.15748031496062992" header="0" footer="0"/>
  <pageSetup paperSize="9" scale="89" orientation="portrait" r:id="rId1"/>
  <rowBreaks count="1" manualBreakCount="1">
    <brk id="153" max="16383" man="1"/>
  </rowBreaks>
  <ignoredErrors>
    <ignoredError sqref="U45:U46 U9:U11 U19:U43 U48:U56 S12:U12 U67:U73 U75:U78 U58:U6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sqref="A1:C1"/>
    </sheetView>
  </sheetViews>
  <sheetFormatPr defaultRowHeight="15" x14ac:dyDescent="0.25"/>
  <cols>
    <col min="3" max="3" width="33.42578125" customWidth="1"/>
    <col min="4" max="10" width="11.7109375" hidden="1" customWidth="1"/>
    <col min="11" max="11" width="10.5703125" hidden="1" customWidth="1"/>
    <col min="12" max="12" width="13.7109375" hidden="1" customWidth="1"/>
    <col min="13" max="16" width="13.5703125" hidden="1" customWidth="1"/>
    <col min="17" max="17" width="12.85546875" customWidth="1"/>
    <col min="18" max="18" width="11.42578125" customWidth="1"/>
    <col min="19" max="20" width="11.7109375" customWidth="1"/>
    <col min="251" max="251" width="36" customWidth="1"/>
    <col min="252" max="263" width="0" hidden="1" customWidth="1"/>
    <col min="264" max="265" width="13.5703125" customWidth="1"/>
    <col min="266" max="266" width="11.42578125" customWidth="1"/>
    <col min="267" max="267" width="8.42578125" customWidth="1"/>
    <col min="268" max="269" width="11.7109375" customWidth="1"/>
    <col min="507" max="507" width="36" customWidth="1"/>
    <col min="508" max="519" width="0" hidden="1" customWidth="1"/>
    <col min="520" max="521" width="13.5703125" customWidth="1"/>
    <col min="522" max="522" width="11.42578125" customWidth="1"/>
    <col min="523" max="523" width="8.42578125" customWidth="1"/>
    <col min="524" max="525" width="11.7109375" customWidth="1"/>
    <col min="763" max="763" width="36" customWidth="1"/>
    <col min="764" max="775" width="0" hidden="1" customWidth="1"/>
    <col min="776" max="777" width="13.5703125" customWidth="1"/>
    <col min="778" max="778" width="11.42578125" customWidth="1"/>
    <col min="779" max="779" width="8.42578125" customWidth="1"/>
    <col min="780" max="781" width="11.7109375" customWidth="1"/>
    <col min="1019" max="1019" width="36" customWidth="1"/>
    <col min="1020" max="1031" width="0" hidden="1" customWidth="1"/>
    <col min="1032" max="1033" width="13.5703125" customWidth="1"/>
    <col min="1034" max="1034" width="11.42578125" customWidth="1"/>
    <col min="1035" max="1035" width="8.42578125" customWidth="1"/>
    <col min="1036" max="1037" width="11.7109375" customWidth="1"/>
    <col min="1275" max="1275" width="36" customWidth="1"/>
    <col min="1276" max="1287" width="0" hidden="1" customWidth="1"/>
    <col min="1288" max="1289" width="13.5703125" customWidth="1"/>
    <col min="1290" max="1290" width="11.42578125" customWidth="1"/>
    <col min="1291" max="1291" width="8.42578125" customWidth="1"/>
    <col min="1292" max="1293" width="11.7109375" customWidth="1"/>
    <col min="1531" max="1531" width="36" customWidth="1"/>
    <col min="1532" max="1543" width="0" hidden="1" customWidth="1"/>
    <col min="1544" max="1545" width="13.5703125" customWidth="1"/>
    <col min="1546" max="1546" width="11.42578125" customWidth="1"/>
    <col min="1547" max="1547" width="8.42578125" customWidth="1"/>
    <col min="1548" max="1549" width="11.7109375" customWidth="1"/>
    <col min="1787" max="1787" width="36" customWidth="1"/>
    <col min="1788" max="1799" width="0" hidden="1" customWidth="1"/>
    <col min="1800" max="1801" width="13.5703125" customWidth="1"/>
    <col min="1802" max="1802" width="11.42578125" customWidth="1"/>
    <col min="1803" max="1803" width="8.42578125" customWidth="1"/>
    <col min="1804" max="1805" width="11.7109375" customWidth="1"/>
    <col min="2043" max="2043" width="36" customWidth="1"/>
    <col min="2044" max="2055" width="0" hidden="1" customWidth="1"/>
    <col min="2056" max="2057" width="13.5703125" customWidth="1"/>
    <col min="2058" max="2058" width="11.42578125" customWidth="1"/>
    <col min="2059" max="2059" width="8.42578125" customWidth="1"/>
    <col min="2060" max="2061" width="11.7109375" customWidth="1"/>
    <col min="2299" max="2299" width="36" customWidth="1"/>
    <col min="2300" max="2311" width="0" hidden="1" customWidth="1"/>
    <col min="2312" max="2313" width="13.5703125" customWidth="1"/>
    <col min="2314" max="2314" width="11.42578125" customWidth="1"/>
    <col min="2315" max="2315" width="8.42578125" customWidth="1"/>
    <col min="2316" max="2317" width="11.7109375" customWidth="1"/>
    <col min="2555" max="2555" width="36" customWidth="1"/>
    <col min="2556" max="2567" width="0" hidden="1" customWidth="1"/>
    <col min="2568" max="2569" width="13.5703125" customWidth="1"/>
    <col min="2570" max="2570" width="11.42578125" customWidth="1"/>
    <col min="2571" max="2571" width="8.42578125" customWidth="1"/>
    <col min="2572" max="2573" width="11.7109375" customWidth="1"/>
    <col min="2811" max="2811" width="36" customWidth="1"/>
    <col min="2812" max="2823" width="0" hidden="1" customWidth="1"/>
    <col min="2824" max="2825" width="13.5703125" customWidth="1"/>
    <col min="2826" max="2826" width="11.42578125" customWidth="1"/>
    <col min="2827" max="2827" width="8.42578125" customWidth="1"/>
    <col min="2828" max="2829" width="11.7109375" customWidth="1"/>
    <col min="3067" max="3067" width="36" customWidth="1"/>
    <col min="3068" max="3079" width="0" hidden="1" customWidth="1"/>
    <col min="3080" max="3081" width="13.5703125" customWidth="1"/>
    <col min="3082" max="3082" width="11.42578125" customWidth="1"/>
    <col min="3083" max="3083" width="8.42578125" customWidth="1"/>
    <col min="3084" max="3085" width="11.7109375" customWidth="1"/>
    <col min="3323" max="3323" width="36" customWidth="1"/>
    <col min="3324" max="3335" width="0" hidden="1" customWidth="1"/>
    <col min="3336" max="3337" width="13.5703125" customWidth="1"/>
    <col min="3338" max="3338" width="11.42578125" customWidth="1"/>
    <col min="3339" max="3339" width="8.42578125" customWidth="1"/>
    <col min="3340" max="3341" width="11.7109375" customWidth="1"/>
    <col min="3579" max="3579" width="36" customWidth="1"/>
    <col min="3580" max="3591" width="0" hidden="1" customWidth="1"/>
    <col min="3592" max="3593" width="13.5703125" customWidth="1"/>
    <col min="3594" max="3594" width="11.42578125" customWidth="1"/>
    <col min="3595" max="3595" width="8.42578125" customWidth="1"/>
    <col min="3596" max="3597" width="11.7109375" customWidth="1"/>
    <col min="3835" max="3835" width="36" customWidth="1"/>
    <col min="3836" max="3847" width="0" hidden="1" customWidth="1"/>
    <col min="3848" max="3849" width="13.5703125" customWidth="1"/>
    <col min="3850" max="3850" width="11.42578125" customWidth="1"/>
    <col min="3851" max="3851" width="8.42578125" customWidth="1"/>
    <col min="3852" max="3853" width="11.7109375" customWidth="1"/>
    <col min="4091" max="4091" width="36" customWidth="1"/>
    <col min="4092" max="4103" width="0" hidden="1" customWidth="1"/>
    <col min="4104" max="4105" width="13.5703125" customWidth="1"/>
    <col min="4106" max="4106" width="11.42578125" customWidth="1"/>
    <col min="4107" max="4107" width="8.42578125" customWidth="1"/>
    <col min="4108" max="4109" width="11.7109375" customWidth="1"/>
    <col min="4347" max="4347" width="36" customWidth="1"/>
    <col min="4348" max="4359" width="0" hidden="1" customWidth="1"/>
    <col min="4360" max="4361" width="13.5703125" customWidth="1"/>
    <col min="4362" max="4362" width="11.42578125" customWidth="1"/>
    <col min="4363" max="4363" width="8.42578125" customWidth="1"/>
    <col min="4364" max="4365" width="11.7109375" customWidth="1"/>
    <col min="4603" max="4603" width="36" customWidth="1"/>
    <col min="4604" max="4615" width="0" hidden="1" customWidth="1"/>
    <col min="4616" max="4617" width="13.5703125" customWidth="1"/>
    <col min="4618" max="4618" width="11.42578125" customWidth="1"/>
    <col min="4619" max="4619" width="8.42578125" customWidth="1"/>
    <col min="4620" max="4621" width="11.7109375" customWidth="1"/>
    <col min="4859" max="4859" width="36" customWidth="1"/>
    <col min="4860" max="4871" width="0" hidden="1" customWidth="1"/>
    <col min="4872" max="4873" width="13.5703125" customWidth="1"/>
    <col min="4874" max="4874" width="11.42578125" customWidth="1"/>
    <col min="4875" max="4875" width="8.42578125" customWidth="1"/>
    <col min="4876" max="4877" width="11.7109375" customWidth="1"/>
    <col min="5115" max="5115" width="36" customWidth="1"/>
    <col min="5116" max="5127" width="0" hidden="1" customWidth="1"/>
    <col min="5128" max="5129" width="13.5703125" customWidth="1"/>
    <col min="5130" max="5130" width="11.42578125" customWidth="1"/>
    <col min="5131" max="5131" width="8.42578125" customWidth="1"/>
    <col min="5132" max="5133" width="11.7109375" customWidth="1"/>
    <col min="5371" max="5371" width="36" customWidth="1"/>
    <col min="5372" max="5383" width="0" hidden="1" customWidth="1"/>
    <col min="5384" max="5385" width="13.5703125" customWidth="1"/>
    <col min="5386" max="5386" width="11.42578125" customWidth="1"/>
    <col min="5387" max="5387" width="8.42578125" customWidth="1"/>
    <col min="5388" max="5389" width="11.7109375" customWidth="1"/>
    <col min="5627" max="5627" width="36" customWidth="1"/>
    <col min="5628" max="5639" width="0" hidden="1" customWidth="1"/>
    <col min="5640" max="5641" width="13.5703125" customWidth="1"/>
    <col min="5642" max="5642" width="11.42578125" customWidth="1"/>
    <col min="5643" max="5643" width="8.42578125" customWidth="1"/>
    <col min="5644" max="5645" width="11.7109375" customWidth="1"/>
    <col min="5883" max="5883" width="36" customWidth="1"/>
    <col min="5884" max="5895" width="0" hidden="1" customWidth="1"/>
    <col min="5896" max="5897" width="13.5703125" customWidth="1"/>
    <col min="5898" max="5898" width="11.42578125" customWidth="1"/>
    <col min="5899" max="5899" width="8.42578125" customWidth="1"/>
    <col min="5900" max="5901" width="11.7109375" customWidth="1"/>
    <col min="6139" max="6139" width="36" customWidth="1"/>
    <col min="6140" max="6151" width="0" hidden="1" customWidth="1"/>
    <col min="6152" max="6153" width="13.5703125" customWidth="1"/>
    <col min="6154" max="6154" width="11.42578125" customWidth="1"/>
    <col min="6155" max="6155" width="8.42578125" customWidth="1"/>
    <col min="6156" max="6157" width="11.7109375" customWidth="1"/>
    <col min="6395" max="6395" width="36" customWidth="1"/>
    <col min="6396" max="6407" width="0" hidden="1" customWidth="1"/>
    <col min="6408" max="6409" width="13.5703125" customWidth="1"/>
    <col min="6410" max="6410" width="11.42578125" customWidth="1"/>
    <col min="6411" max="6411" width="8.42578125" customWidth="1"/>
    <col min="6412" max="6413" width="11.7109375" customWidth="1"/>
    <col min="6651" max="6651" width="36" customWidth="1"/>
    <col min="6652" max="6663" width="0" hidden="1" customWidth="1"/>
    <col min="6664" max="6665" width="13.5703125" customWidth="1"/>
    <col min="6666" max="6666" width="11.42578125" customWidth="1"/>
    <col min="6667" max="6667" width="8.42578125" customWidth="1"/>
    <col min="6668" max="6669" width="11.7109375" customWidth="1"/>
    <col min="6907" max="6907" width="36" customWidth="1"/>
    <col min="6908" max="6919" width="0" hidden="1" customWidth="1"/>
    <col min="6920" max="6921" width="13.5703125" customWidth="1"/>
    <col min="6922" max="6922" width="11.42578125" customWidth="1"/>
    <col min="6923" max="6923" width="8.42578125" customWidth="1"/>
    <col min="6924" max="6925" width="11.7109375" customWidth="1"/>
    <col min="7163" max="7163" width="36" customWidth="1"/>
    <col min="7164" max="7175" width="0" hidden="1" customWidth="1"/>
    <col min="7176" max="7177" width="13.5703125" customWidth="1"/>
    <col min="7178" max="7178" width="11.42578125" customWidth="1"/>
    <col min="7179" max="7179" width="8.42578125" customWidth="1"/>
    <col min="7180" max="7181" width="11.7109375" customWidth="1"/>
    <col min="7419" max="7419" width="36" customWidth="1"/>
    <col min="7420" max="7431" width="0" hidden="1" customWidth="1"/>
    <col min="7432" max="7433" width="13.5703125" customWidth="1"/>
    <col min="7434" max="7434" width="11.42578125" customWidth="1"/>
    <col min="7435" max="7435" width="8.42578125" customWidth="1"/>
    <col min="7436" max="7437" width="11.7109375" customWidth="1"/>
    <col min="7675" max="7675" width="36" customWidth="1"/>
    <col min="7676" max="7687" width="0" hidden="1" customWidth="1"/>
    <col min="7688" max="7689" width="13.5703125" customWidth="1"/>
    <col min="7690" max="7690" width="11.42578125" customWidth="1"/>
    <col min="7691" max="7691" width="8.42578125" customWidth="1"/>
    <col min="7692" max="7693" width="11.7109375" customWidth="1"/>
    <col min="7931" max="7931" width="36" customWidth="1"/>
    <col min="7932" max="7943" width="0" hidden="1" customWidth="1"/>
    <col min="7944" max="7945" width="13.5703125" customWidth="1"/>
    <col min="7946" max="7946" width="11.42578125" customWidth="1"/>
    <col min="7947" max="7947" width="8.42578125" customWidth="1"/>
    <col min="7948" max="7949" width="11.7109375" customWidth="1"/>
    <col min="8187" max="8187" width="36" customWidth="1"/>
    <col min="8188" max="8199" width="0" hidden="1" customWidth="1"/>
    <col min="8200" max="8201" width="13.5703125" customWidth="1"/>
    <col min="8202" max="8202" width="11.42578125" customWidth="1"/>
    <col min="8203" max="8203" width="8.42578125" customWidth="1"/>
    <col min="8204" max="8205" width="11.7109375" customWidth="1"/>
    <col min="8443" max="8443" width="36" customWidth="1"/>
    <col min="8444" max="8455" width="0" hidden="1" customWidth="1"/>
    <col min="8456" max="8457" width="13.5703125" customWidth="1"/>
    <col min="8458" max="8458" width="11.42578125" customWidth="1"/>
    <col min="8459" max="8459" width="8.42578125" customWidth="1"/>
    <col min="8460" max="8461" width="11.7109375" customWidth="1"/>
    <col min="8699" max="8699" width="36" customWidth="1"/>
    <col min="8700" max="8711" width="0" hidden="1" customWidth="1"/>
    <col min="8712" max="8713" width="13.5703125" customWidth="1"/>
    <col min="8714" max="8714" width="11.42578125" customWidth="1"/>
    <col min="8715" max="8715" width="8.42578125" customWidth="1"/>
    <col min="8716" max="8717" width="11.7109375" customWidth="1"/>
    <col min="8955" max="8955" width="36" customWidth="1"/>
    <col min="8956" max="8967" width="0" hidden="1" customWidth="1"/>
    <col min="8968" max="8969" width="13.5703125" customWidth="1"/>
    <col min="8970" max="8970" width="11.42578125" customWidth="1"/>
    <col min="8971" max="8971" width="8.42578125" customWidth="1"/>
    <col min="8972" max="8973" width="11.7109375" customWidth="1"/>
    <col min="9211" max="9211" width="36" customWidth="1"/>
    <col min="9212" max="9223" width="0" hidden="1" customWidth="1"/>
    <col min="9224" max="9225" width="13.5703125" customWidth="1"/>
    <col min="9226" max="9226" width="11.42578125" customWidth="1"/>
    <col min="9227" max="9227" width="8.42578125" customWidth="1"/>
    <col min="9228" max="9229" width="11.7109375" customWidth="1"/>
    <col min="9467" max="9467" width="36" customWidth="1"/>
    <col min="9468" max="9479" width="0" hidden="1" customWidth="1"/>
    <col min="9480" max="9481" width="13.5703125" customWidth="1"/>
    <col min="9482" max="9482" width="11.42578125" customWidth="1"/>
    <col min="9483" max="9483" width="8.42578125" customWidth="1"/>
    <col min="9484" max="9485" width="11.7109375" customWidth="1"/>
    <col min="9723" max="9723" width="36" customWidth="1"/>
    <col min="9724" max="9735" width="0" hidden="1" customWidth="1"/>
    <col min="9736" max="9737" width="13.5703125" customWidth="1"/>
    <col min="9738" max="9738" width="11.42578125" customWidth="1"/>
    <col min="9739" max="9739" width="8.42578125" customWidth="1"/>
    <col min="9740" max="9741" width="11.7109375" customWidth="1"/>
    <col min="9979" max="9979" width="36" customWidth="1"/>
    <col min="9980" max="9991" width="0" hidden="1" customWidth="1"/>
    <col min="9992" max="9993" width="13.5703125" customWidth="1"/>
    <col min="9994" max="9994" width="11.42578125" customWidth="1"/>
    <col min="9995" max="9995" width="8.42578125" customWidth="1"/>
    <col min="9996" max="9997" width="11.7109375" customWidth="1"/>
    <col min="10235" max="10235" width="36" customWidth="1"/>
    <col min="10236" max="10247" width="0" hidden="1" customWidth="1"/>
    <col min="10248" max="10249" width="13.5703125" customWidth="1"/>
    <col min="10250" max="10250" width="11.42578125" customWidth="1"/>
    <col min="10251" max="10251" width="8.42578125" customWidth="1"/>
    <col min="10252" max="10253" width="11.7109375" customWidth="1"/>
    <col min="10491" max="10491" width="36" customWidth="1"/>
    <col min="10492" max="10503" width="0" hidden="1" customWidth="1"/>
    <col min="10504" max="10505" width="13.5703125" customWidth="1"/>
    <col min="10506" max="10506" width="11.42578125" customWidth="1"/>
    <col min="10507" max="10507" width="8.42578125" customWidth="1"/>
    <col min="10508" max="10509" width="11.7109375" customWidth="1"/>
    <col min="10747" max="10747" width="36" customWidth="1"/>
    <col min="10748" max="10759" width="0" hidden="1" customWidth="1"/>
    <col min="10760" max="10761" width="13.5703125" customWidth="1"/>
    <col min="10762" max="10762" width="11.42578125" customWidth="1"/>
    <col min="10763" max="10763" width="8.42578125" customWidth="1"/>
    <col min="10764" max="10765" width="11.7109375" customWidth="1"/>
    <col min="11003" max="11003" width="36" customWidth="1"/>
    <col min="11004" max="11015" width="0" hidden="1" customWidth="1"/>
    <col min="11016" max="11017" width="13.5703125" customWidth="1"/>
    <col min="11018" max="11018" width="11.42578125" customWidth="1"/>
    <col min="11019" max="11019" width="8.42578125" customWidth="1"/>
    <col min="11020" max="11021" width="11.7109375" customWidth="1"/>
    <col min="11259" max="11259" width="36" customWidth="1"/>
    <col min="11260" max="11271" width="0" hidden="1" customWidth="1"/>
    <col min="11272" max="11273" width="13.5703125" customWidth="1"/>
    <col min="11274" max="11274" width="11.42578125" customWidth="1"/>
    <col min="11275" max="11275" width="8.42578125" customWidth="1"/>
    <col min="11276" max="11277" width="11.7109375" customWidth="1"/>
    <col min="11515" max="11515" width="36" customWidth="1"/>
    <col min="11516" max="11527" width="0" hidden="1" customWidth="1"/>
    <col min="11528" max="11529" width="13.5703125" customWidth="1"/>
    <col min="11530" max="11530" width="11.42578125" customWidth="1"/>
    <col min="11531" max="11531" width="8.42578125" customWidth="1"/>
    <col min="11532" max="11533" width="11.7109375" customWidth="1"/>
    <col min="11771" max="11771" width="36" customWidth="1"/>
    <col min="11772" max="11783" width="0" hidden="1" customWidth="1"/>
    <col min="11784" max="11785" width="13.5703125" customWidth="1"/>
    <col min="11786" max="11786" width="11.42578125" customWidth="1"/>
    <col min="11787" max="11787" width="8.42578125" customWidth="1"/>
    <col min="11788" max="11789" width="11.7109375" customWidth="1"/>
    <col min="12027" max="12027" width="36" customWidth="1"/>
    <col min="12028" max="12039" width="0" hidden="1" customWidth="1"/>
    <col min="12040" max="12041" width="13.5703125" customWidth="1"/>
    <col min="12042" max="12042" width="11.42578125" customWidth="1"/>
    <col min="12043" max="12043" width="8.42578125" customWidth="1"/>
    <col min="12044" max="12045" width="11.7109375" customWidth="1"/>
    <col min="12283" max="12283" width="36" customWidth="1"/>
    <col min="12284" max="12295" width="0" hidden="1" customWidth="1"/>
    <col min="12296" max="12297" width="13.5703125" customWidth="1"/>
    <col min="12298" max="12298" width="11.42578125" customWidth="1"/>
    <col min="12299" max="12299" width="8.42578125" customWidth="1"/>
    <col min="12300" max="12301" width="11.7109375" customWidth="1"/>
    <col min="12539" max="12539" width="36" customWidth="1"/>
    <col min="12540" max="12551" width="0" hidden="1" customWidth="1"/>
    <col min="12552" max="12553" width="13.5703125" customWidth="1"/>
    <col min="12554" max="12554" width="11.42578125" customWidth="1"/>
    <col min="12555" max="12555" width="8.42578125" customWidth="1"/>
    <col min="12556" max="12557" width="11.7109375" customWidth="1"/>
    <col min="12795" max="12795" width="36" customWidth="1"/>
    <col min="12796" max="12807" width="0" hidden="1" customWidth="1"/>
    <col min="12808" max="12809" width="13.5703125" customWidth="1"/>
    <col min="12810" max="12810" width="11.42578125" customWidth="1"/>
    <col min="12811" max="12811" width="8.42578125" customWidth="1"/>
    <col min="12812" max="12813" width="11.7109375" customWidth="1"/>
    <col min="13051" max="13051" width="36" customWidth="1"/>
    <col min="13052" max="13063" width="0" hidden="1" customWidth="1"/>
    <col min="13064" max="13065" width="13.5703125" customWidth="1"/>
    <col min="13066" max="13066" width="11.42578125" customWidth="1"/>
    <col min="13067" max="13067" width="8.42578125" customWidth="1"/>
    <col min="13068" max="13069" width="11.7109375" customWidth="1"/>
    <col min="13307" max="13307" width="36" customWidth="1"/>
    <col min="13308" max="13319" width="0" hidden="1" customWidth="1"/>
    <col min="13320" max="13321" width="13.5703125" customWidth="1"/>
    <col min="13322" max="13322" width="11.42578125" customWidth="1"/>
    <col min="13323" max="13323" width="8.42578125" customWidth="1"/>
    <col min="13324" max="13325" width="11.7109375" customWidth="1"/>
    <col min="13563" max="13563" width="36" customWidth="1"/>
    <col min="13564" max="13575" width="0" hidden="1" customWidth="1"/>
    <col min="13576" max="13577" width="13.5703125" customWidth="1"/>
    <col min="13578" max="13578" width="11.42578125" customWidth="1"/>
    <col min="13579" max="13579" width="8.42578125" customWidth="1"/>
    <col min="13580" max="13581" width="11.7109375" customWidth="1"/>
    <col min="13819" max="13819" width="36" customWidth="1"/>
    <col min="13820" max="13831" width="0" hidden="1" customWidth="1"/>
    <col min="13832" max="13833" width="13.5703125" customWidth="1"/>
    <col min="13834" max="13834" width="11.42578125" customWidth="1"/>
    <col min="13835" max="13835" width="8.42578125" customWidth="1"/>
    <col min="13836" max="13837" width="11.7109375" customWidth="1"/>
    <col min="14075" max="14075" width="36" customWidth="1"/>
    <col min="14076" max="14087" width="0" hidden="1" customWidth="1"/>
    <col min="14088" max="14089" width="13.5703125" customWidth="1"/>
    <col min="14090" max="14090" width="11.42578125" customWidth="1"/>
    <col min="14091" max="14091" width="8.42578125" customWidth="1"/>
    <col min="14092" max="14093" width="11.7109375" customWidth="1"/>
    <col min="14331" max="14331" width="36" customWidth="1"/>
    <col min="14332" max="14343" width="0" hidden="1" customWidth="1"/>
    <col min="14344" max="14345" width="13.5703125" customWidth="1"/>
    <col min="14346" max="14346" width="11.42578125" customWidth="1"/>
    <col min="14347" max="14347" width="8.42578125" customWidth="1"/>
    <col min="14348" max="14349" width="11.7109375" customWidth="1"/>
    <col min="14587" max="14587" width="36" customWidth="1"/>
    <col min="14588" max="14599" width="0" hidden="1" customWidth="1"/>
    <col min="14600" max="14601" width="13.5703125" customWidth="1"/>
    <col min="14602" max="14602" width="11.42578125" customWidth="1"/>
    <col min="14603" max="14603" width="8.42578125" customWidth="1"/>
    <col min="14604" max="14605" width="11.7109375" customWidth="1"/>
    <col min="14843" max="14843" width="36" customWidth="1"/>
    <col min="14844" max="14855" width="0" hidden="1" customWidth="1"/>
    <col min="14856" max="14857" width="13.5703125" customWidth="1"/>
    <col min="14858" max="14858" width="11.42578125" customWidth="1"/>
    <col min="14859" max="14859" width="8.42578125" customWidth="1"/>
    <col min="14860" max="14861" width="11.7109375" customWidth="1"/>
    <col min="15099" max="15099" width="36" customWidth="1"/>
    <col min="15100" max="15111" width="0" hidden="1" customWidth="1"/>
    <col min="15112" max="15113" width="13.5703125" customWidth="1"/>
    <col min="15114" max="15114" width="11.42578125" customWidth="1"/>
    <col min="15115" max="15115" width="8.42578125" customWidth="1"/>
    <col min="15116" max="15117" width="11.7109375" customWidth="1"/>
    <col min="15355" max="15355" width="36" customWidth="1"/>
    <col min="15356" max="15367" width="0" hidden="1" customWidth="1"/>
    <col min="15368" max="15369" width="13.5703125" customWidth="1"/>
    <col min="15370" max="15370" width="11.42578125" customWidth="1"/>
    <col min="15371" max="15371" width="8.42578125" customWidth="1"/>
    <col min="15372" max="15373" width="11.7109375" customWidth="1"/>
    <col min="15611" max="15611" width="36" customWidth="1"/>
    <col min="15612" max="15623" width="0" hidden="1" customWidth="1"/>
    <col min="15624" max="15625" width="13.5703125" customWidth="1"/>
    <col min="15626" max="15626" width="11.42578125" customWidth="1"/>
    <col min="15627" max="15627" width="8.42578125" customWidth="1"/>
    <col min="15628" max="15629" width="11.7109375" customWidth="1"/>
    <col min="15867" max="15867" width="36" customWidth="1"/>
    <col min="15868" max="15879" width="0" hidden="1" customWidth="1"/>
    <col min="15880" max="15881" width="13.5703125" customWidth="1"/>
    <col min="15882" max="15882" width="11.42578125" customWidth="1"/>
    <col min="15883" max="15883" width="8.42578125" customWidth="1"/>
    <col min="15884" max="15885" width="11.7109375" customWidth="1"/>
    <col min="16123" max="16123" width="36" customWidth="1"/>
    <col min="16124" max="16135" width="0" hidden="1" customWidth="1"/>
    <col min="16136" max="16137" width="13.5703125" customWidth="1"/>
    <col min="16138" max="16138" width="11.42578125" customWidth="1"/>
    <col min="16139" max="16139" width="8.42578125" customWidth="1"/>
    <col min="16140" max="16141" width="11.7109375" customWidth="1"/>
  </cols>
  <sheetData>
    <row r="1" spans="1:23" x14ac:dyDescent="0.25">
      <c r="A1" s="868" t="s">
        <v>410</v>
      </c>
      <c r="B1" s="868"/>
      <c r="C1" s="868"/>
    </row>
    <row r="2" spans="1:23" ht="15.75" thickBot="1" x14ac:dyDescent="0.3">
      <c r="A2" s="818" t="s">
        <v>409</v>
      </c>
      <c r="B2" s="818"/>
      <c r="C2" s="818"/>
    </row>
    <row r="3" spans="1:23" ht="15.75" customHeight="1" thickTop="1" x14ac:dyDescent="0.25">
      <c r="A3" s="814" t="s">
        <v>0</v>
      </c>
      <c r="B3" s="816" t="s">
        <v>1</v>
      </c>
      <c r="C3" s="788" t="s">
        <v>2</v>
      </c>
      <c r="D3" s="788" t="s">
        <v>115</v>
      </c>
      <c r="E3" s="788" t="s">
        <v>116</v>
      </c>
      <c r="F3" s="788" t="s">
        <v>117</v>
      </c>
      <c r="G3" s="788" t="s">
        <v>118</v>
      </c>
      <c r="H3" s="788" t="s">
        <v>119</v>
      </c>
      <c r="I3" s="788" t="s">
        <v>8</v>
      </c>
      <c r="J3" s="788" t="s">
        <v>9</v>
      </c>
      <c r="K3" s="788" t="s">
        <v>10</v>
      </c>
      <c r="L3" s="788" t="s">
        <v>11</v>
      </c>
      <c r="M3" s="788" t="s">
        <v>12</v>
      </c>
      <c r="N3" s="788" t="s">
        <v>13</v>
      </c>
      <c r="O3" s="788" t="s">
        <v>14</v>
      </c>
      <c r="P3" s="788" t="s">
        <v>15</v>
      </c>
      <c r="Q3" s="788" t="s">
        <v>458</v>
      </c>
      <c r="R3" s="866" t="s">
        <v>424</v>
      </c>
      <c r="S3" s="688" t="s">
        <v>465</v>
      </c>
      <c r="T3" s="770" t="s">
        <v>411</v>
      </c>
    </row>
    <row r="4" spans="1:23" ht="23.25" customHeight="1" thickBot="1" x14ac:dyDescent="0.3">
      <c r="A4" s="815"/>
      <c r="B4" s="817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867"/>
      <c r="S4" s="687" t="s">
        <v>21</v>
      </c>
      <c r="T4" s="771"/>
    </row>
    <row r="5" spans="1:23" ht="16.5" thickTop="1" thickBot="1" x14ac:dyDescent="0.3">
      <c r="A5" s="557">
        <v>519</v>
      </c>
      <c r="B5" s="899" t="s">
        <v>362</v>
      </c>
      <c r="C5" s="900"/>
      <c r="D5" s="39">
        <f t="shared" ref="D5:T5" si="0">SUM(D6:D12)</f>
        <v>0</v>
      </c>
      <c r="E5" s="39">
        <f t="shared" si="0"/>
        <v>0</v>
      </c>
      <c r="F5" s="39">
        <f t="shared" si="0"/>
        <v>806731</v>
      </c>
      <c r="G5" s="39">
        <f t="shared" si="0"/>
        <v>1932030</v>
      </c>
      <c r="H5" s="39">
        <f t="shared" si="0"/>
        <v>1218758</v>
      </c>
      <c r="I5" s="39">
        <f t="shared" si="0"/>
        <v>1712805</v>
      </c>
      <c r="J5" s="39">
        <f t="shared" si="0"/>
        <v>796126</v>
      </c>
      <c r="K5" s="39">
        <f t="shared" si="0"/>
        <v>889265</v>
      </c>
      <c r="L5" s="40">
        <f t="shared" si="0"/>
        <v>1041848.1</v>
      </c>
      <c r="M5" s="40">
        <f t="shared" si="0"/>
        <v>1842801.75</v>
      </c>
      <c r="N5" s="39">
        <f t="shared" si="0"/>
        <v>1578149.94</v>
      </c>
      <c r="O5" s="40">
        <f t="shared" si="0"/>
        <v>597135.81999999995</v>
      </c>
      <c r="P5" s="39">
        <f t="shared" si="0"/>
        <v>61339.119999999995</v>
      </c>
      <c r="Q5" s="40">
        <f t="shared" si="0"/>
        <v>493589.98</v>
      </c>
      <c r="R5" s="39">
        <f>SUM(R6:R12)</f>
        <v>6325535</v>
      </c>
      <c r="S5" s="39">
        <f>SUM(S6:S12)</f>
        <v>20406</v>
      </c>
      <c r="T5" s="578">
        <f t="shared" si="0"/>
        <v>6345941</v>
      </c>
    </row>
    <row r="6" spans="1:23" x14ac:dyDescent="0.25">
      <c r="A6" s="772"/>
      <c r="B6" s="500"/>
      <c r="C6" s="57" t="s">
        <v>363</v>
      </c>
      <c r="D6" s="57"/>
      <c r="E6" s="57"/>
      <c r="F6" s="57"/>
      <c r="G6" s="57">
        <v>186636</v>
      </c>
      <c r="H6" s="57">
        <v>1102901</v>
      </c>
      <c r="I6" s="57">
        <v>1052724</v>
      </c>
      <c r="J6" s="58">
        <v>232649</v>
      </c>
      <c r="K6" s="58">
        <v>638944</v>
      </c>
      <c r="L6" s="124">
        <v>96973.2</v>
      </c>
      <c r="M6" s="124">
        <v>633655.25</v>
      </c>
      <c r="N6" s="58">
        <v>1495900</v>
      </c>
      <c r="O6" s="124">
        <v>363308.49</v>
      </c>
      <c r="P6" s="124">
        <v>47962.559999999998</v>
      </c>
      <c r="Q6" s="124">
        <v>347415</v>
      </c>
      <c r="R6" s="58">
        <v>274504</v>
      </c>
      <c r="S6" s="58">
        <v>20406</v>
      </c>
      <c r="T6" s="640">
        <f t="shared" ref="T6:T12" si="1">R6+S6</f>
        <v>294910</v>
      </c>
    </row>
    <row r="7" spans="1:23" x14ac:dyDescent="0.25">
      <c r="A7" s="773"/>
      <c r="B7" s="723"/>
      <c r="C7" s="91" t="s">
        <v>430</v>
      </c>
      <c r="D7" s="91"/>
      <c r="E7" s="91"/>
      <c r="F7" s="91"/>
      <c r="G7" s="91"/>
      <c r="H7" s="91"/>
      <c r="I7" s="91"/>
      <c r="J7" s="73"/>
      <c r="K7" s="73"/>
      <c r="L7" s="92"/>
      <c r="M7" s="92"/>
      <c r="N7" s="73"/>
      <c r="O7" s="92"/>
      <c r="P7" s="92"/>
      <c r="Q7" s="92"/>
      <c r="R7" s="73">
        <v>400000</v>
      </c>
      <c r="S7" s="73"/>
      <c r="T7" s="369">
        <f t="shared" si="1"/>
        <v>400000</v>
      </c>
    </row>
    <row r="8" spans="1:23" x14ac:dyDescent="0.25">
      <c r="A8" s="773"/>
      <c r="B8" s="723"/>
      <c r="C8" s="91" t="s">
        <v>435</v>
      </c>
      <c r="D8" s="91"/>
      <c r="E8" s="91"/>
      <c r="F8" s="91"/>
      <c r="G8" s="91"/>
      <c r="H8" s="91"/>
      <c r="I8" s="91"/>
      <c r="J8" s="73"/>
      <c r="K8" s="73"/>
      <c r="L8" s="92"/>
      <c r="M8" s="92"/>
      <c r="N8" s="73"/>
      <c r="O8" s="92"/>
      <c r="P8" s="92"/>
      <c r="Q8" s="92"/>
      <c r="R8" s="73">
        <v>1850792</v>
      </c>
      <c r="S8" s="73"/>
      <c r="T8" s="369">
        <f t="shared" si="1"/>
        <v>1850792</v>
      </c>
    </row>
    <row r="9" spans="1:23" x14ac:dyDescent="0.25">
      <c r="A9" s="773"/>
      <c r="B9" s="723"/>
      <c r="C9" s="91" t="s">
        <v>363</v>
      </c>
      <c r="D9" s="91"/>
      <c r="E9" s="91"/>
      <c r="F9" s="91"/>
      <c r="G9" s="91"/>
      <c r="H9" s="91"/>
      <c r="I9" s="91"/>
      <c r="J9" s="73"/>
      <c r="K9" s="73"/>
      <c r="L9" s="92"/>
      <c r="M9" s="92"/>
      <c r="N9" s="73"/>
      <c r="O9" s="92"/>
      <c r="P9" s="92"/>
      <c r="Q9" s="92"/>
      <c r="R9" s="73">
        <v>612642</v>
      </c>
      <c r="S9" s="73"/>
      <c r="T9" s="369">
        <f t="shared" si="1"/>
        <v>612642</v>
      </c>
      <c r="V9" s="190"/>
    </row>
    <row r="10" spans="1:23" x14ac:dyDescent="0.25">
      <c r="A10" s="773"/>
      <c r="B10" s="723"/>
      <c r="C10" s="59" t="s">
        <v>400</v>
      </c>
      <c r="D10" s="59"/>
      <c r="E10" s="59"/>
      <c r="F10" s="59">
        <v>806731</v>
      </c>
      <c r="G10" s="59">
        <v>1745394</v>
      </c>
      <c r="H10" s="59">
        <v>115857</v>
      </c>
      <c r="I10" s="59">
        <v>660081</v>
      </c>
      <c r="J10" s="60">
        <v>563477</v>
      </c>
      <c r="K10" s="60">
        <v>250321</v>
      </c>
      <c r="L10" s="125">
        <v>944874.9</v>
      </c>
      <c r="M10" s="125">
        <v>1209146.5</v>
      </c>
      <c r="N10" s="60">
        <v>82249.94</v>
      </c>
      <c r="O10" s="125">
        <v>233827.33</v>
      </c>
      <c r="P10" s="125">
        <v>13376.56</v>
      </c>
      <c r="Q10" s="125">
        <v>146174.98000000001</v>
      </c>
      <c r="R10" s="60">
        <v>893870</v>
      </c>
      <c r="S10" s="60"/>
      <c r="T10" s="393">
        <f t="shared" si="1"/>
        <v>893870</v>
      </c>
    </row>
    <row r="11" spans="1:23" x14ac:dyDescent="0.25">
      <c r="A11" s="773"/>
      <c r="B11" s="723"/>
      <c r="C11" s="174" t="s">
        <v>415</v>
      </c>
      <c r="D11" s="174"/>
      <c r="E11" s="174"/>
      <c r="F11" s="174"/>
      <c r="G11" s="174"/>
      <c r="H11" s="174"/>
      <c r="I11" s="174"/>
      <c r="J11" s="189"/>
      <c r="K11" s="189"/>
      <c r="L11" s="279"/>
      <c r="M11" s="279"/>
      <c r="N11" s="189"/>
      <c r="O11" s="279"/>
      <c r="P11" s="279"/>
      <c r="Q11" s="279"/>
      <c r="R11" s="189">
        <v>241477</v>
      </c>
      <c r="S11" s="189"/>
      <c r="T11" s="587">
        <f t="shared" si="1"/>
        <v>241477</v>
      </c>
    </row>
    <row r="12" spans="1:23" ht="15.75" thickBot="1" x14ac:dyDescent="0.3">
      <c r="A12" s="796"/>
      <c r="B12" s="501"/>
      <c r="C12" s="28" t="s">
        <v>416</v>
      </c>
      <c r="D12" s="61"/>
      <c r="E12" s="61"/>
      <c r="F12" s="61"/>
      <c r="G12" s="61"/>
      <c r="H12" s="61"/>
      <c r="I12" s="61"/>
      <c r="J12" s="76"/>
      <c r="K12" s="205"/>
      <c r="L12" s="262"/>
      <c r="M12" s="262"/>
      <c r="N12" s="205"/>
      <c r="O12" s="262"/>
      <c r="P12" s="262"/>
      <c r="Q12" s="262"/>
      <c r="R12" s="76">
        <v>2052250</v>
      </c>
      <c r="S12" s="76"/>
      <c r="T12" s="652">
        <f t="shared" si="1"/>
        <v>2052250</v>
      </c>
    </row>
    <row r="13" spans="1:23" ht="15.75" thickBot="1" x14ac:dyDescent="0.3">
      <c r="A13" s="558">
        <v>450</v>
      </c>
      <c r="B13" s="901" t="s">
        <v>73</v>
      </c>
      <c r="C13" s="829"/>
      <c r="D13" s="80">
        <f>SUM(D14:D21)</f>
        <v>499436</v>
      </c>
      <c r="E13" s="80">
        <v>313085</v>
      </c>
      <c r="F13" s="80">
        <v>834018</v>
      </c>
      <c r="G13" s="80">
        <f t="shared" ref="G13:M13" si="2">SUM(G14:G21)</f>
        <v>822908</v>
      </c>
      <c r="H13" s="80">
        <f t="shared" si="2"/>
        <v>3260676</v>
      </c>
      <c r="I13" s="80">
        <f t="shared" si="2"/>
        <v>553863</v>
      </c>
      <c r="J13" s="80">
        <f t="shared" si="2"/>
        <v>509280</v>
      </c>
      <c r="K13" s="80">
        <f t="shared" si="2"/>
        <v>620269</v>
      </c>
      <c r="L13" s="81">
        <f t="shared" si="2"/>
        <v>259121.03000000003</v>
      </c>
      <c r="M13" s="81">
        <f t="shared" si="2"/>
        <v>923759.61</v>
      </c>
      <c r="N13" s="80">
        <f t="shared" ref="N13:T13" si="3">SUM(N14:N21)</f>
        <v>913983.99</v>
      </c>
      <c r="O13" s="81">
        <f t="shared" si="3"/>
        <v>670041.30000000005</v>
      </c>
      <c r="P13" s="80">
        <f t="shared" si="3"/>
        <v>1328239.53</v>
      </c>
      <c r="Q13" s="81">
        <f t="shared" si="3"/>
        <v>1106855.5900000001</v>
      </c>
      <c r="R13" s="80">
        <f t="shared" si="3"/>
        <v>1237073</v>
      </c>
      <c r="S13" s="80">
        <f t="shared" si="3"/>
        <v>0</v>
      </c>
      <c r="T13" s="584">
        <f t="shared" si="3"/>
        <v>1237073</v>
      </c>
    </row>
    <row r="14" spans="1:23" x14ac:dyDescent="0.25">
      <c r="A14" s="772"/>
      <c r="B14" s="500"/>
      <c r="C14" s="502" t="s">
        <v>364</v>
      </c>
      <c r="D14" s="502">
        <v>190367</v>
      </c>
      <c r="E14" s="502"/>
      <c r="F14" s="502"/>
      <c r="G14" s="58">
        <f>265551+398</f>
        <v>265949</v>
      </c>
      <c r="H14" s="502">
        <v>1534133</v>
      </c>
      <c r="I14" s="502">
        <v>43800</v>
      </c>
      <c r="J14" s="503"/>
      <c r="K14" s="187">
        <v>9775</v>
      </c>
      <c r="L14" s="504">
        <v>16185.64</v>
      </c>
      <c r="M14" s="504"/>
      <c r="N14" s="187">
        <v>191699.89</v>
      </c>
      <c r="O14" s="504"/>
      <c r="P14" s="504">
        <v>0</v>
      </c>
      <c r="Q14" s="504"/>
      <c r="R14" s="58">
        <v>0</v>
      </c>
      <c r="S14" s="58"/>
      <c r="T14" s="640">
        <f t="shared" ref="T14:T21" si="4">R14+S14</f>
        <v>0</v>
      </c>
      <c r="W14" s="190"/>
    </row>
    <row r="15" spans="1:23" x14ac:dyDescent="0.25">
      <c r="A15" s="773"/>
      <c r="B15" s="505"/>
      <c r="C15" s="506" t="s">
        <v>365</v>
      </c>
      <c r="D15" s="506"/>
      <c r="E15" s="506"/>
      <c r="F15" s="506"/>
      <c r="G15" s="73"/>
      <c r="H15" s="506">
        <v>921499</v>
      </c>
      <c r="I15" s="506">
        <v>220604</v>
      </c>
      <c r="J15" s="507">
        <v>192501</v>
      </c>
      <c r="K15" s="508">
        <v>494</v>
      </c>
      <c r="L15" s="253">
        <v>208144.39</v>
      </c>
      <c r="M15" s="253">
        <v>907789.61</v>
      </c>
      <c r="N15" s="508">
        <v>686557.48</v>
      </c>
      <c r="O15" s="253">
        <v>142213.04</v>
      </c>
      <c r="P15" s="253">
        <v>663985.27</v>
      </c>
      <c r="Q15" s="253">
        <v>756524.1</v>
      </c>
      <c r="R15" s="73">
        <v>1033501</v>
      </c>
      <c r="S15" s="73"/>
      <c r="T15" s="369">
        <f t="shared" si="4"/>
        <v>1033501</v>
      </c>
    </row>
    <row r="16" spans="1:23" x14ac:dyDescent="0.25">
      <c r="A16" s="773"/>
      <c r="B16" s="505"/>
      <c r="C16" s="506" t="s">
        <v>427</v>
      </c>
      <c r="D16" s="506"/>
      <c r="E16" s="506"/>
      <c r="F16" s="506"/>
      <c r="G16" s="73">
        <v>545044</v>
      </c>
      <c r="H16" s="506">
        <v>545044</v>
      </c>
      <c r="I16" s="506"/>
      <c r="J16" s="507"/>
      <c r="K16" s="508"/>
      <c r="L16" s="253"/>
      <c r="M16" s="253">
        <v>12870</v>
      </c>
      <c r="N16" s="508">
        <v>1275.2</v>
      </c>
      <c r="O16" s="253">
        <v>132643.71</v>
      </c>
      <c r="P16" s="253">
        <v>34091.29</v>
      </c>
      <c r="Q16" s="253">
        <v>0</v>
      </c>
      <c r="R16" s="73">
        <v>17000</v>
      </c>
      <c r="S16" s="73"/>
      <c r="T16" s="369">
        <f t="shared" si="4"/>
        <v>17000</v>
      </c>
    </row>
    <row r="17" spans="1:23" x14ac:dyDescent="0.25">
      <c r="A17" s="773"/>
      <c r="B17" s="505"/>
      <c r="C17" s="506" t="s">
        <v>366</v>
      </c>
      <c r="D17" s="506"/>
      <c r="E17" s="506"/>
      <c r="F17" s="506"/>
      <c r="G17" s="73"/>
      <c r="H17" s="506"/>
      <c r="I17" s="506"/>
      <c r="J17" s="507"/>
      <c r="K17" s="508"/>
      <c r="L17" s="253"/>
      <c r="M17" s="253"/>
      <c r="N17" s="508">
        <v>34451.42</v>
      </c>
      <c r="O17" s="253"/>
      <c r="P17" s="253">
        <v>38214.900000000009</v>
      </c>
      <c r="Q17" s="253">
        <v>92167.17</v>
      </c>
      <c r="R17" s="73">
        <v>0</v>
      </c>
      <c r="S17" s="73"/>
      <c r="T17" s="369">
        <f t="shared" si="4"/>
        <v>0</v>
      </c>
    </row>
    <row r="18" spans="1:23" x14ac:dyDescent="0.25">
      <c r="A18" s="773"/>
      <c r="B18" s="505"/>
      <c r="C18" s="506" t="s">
        <v>367</v>
      </c>
      <c r="D18" s="506">
        <v>309069</v>
      </c>
      <c r="E18" s="506"/>
      <c r="F18" s="506"/>
      <c r="G18" s="73"/>
      <c r="H18" s="506">
        <v>260000</v>
      </c>
      <c r="I18" s="506">
        <v>277803</v>
      </c>
      <c r="J18" s="507">
        <v>316779</v>
      </c>
      <c r="K18" s="508">
        <v>610000</v>
      </c>
      <c r="L18" s="253">
        <v>34791</v>
      </c>
      <c r="M18" s="253">
        <v>3100</v>
      </c>
      <c r="N18" s="508"/>
      <c r="O18" s="253">
        <v>365184.55000000005</v>
      </c>
      <c r="P18" s="253">
        <v>591948.06999999995</v>
      </c>
      <c r="Q18" s="253">
        <v>258164.32</v>
      </c>
      <c r="R18" s="73">
        <v>186572</v>
      </c>
      <c r="S18" s="73"/>
      <c r="T18" s="369">
        <f t="shared" si="4"/>
        <v>186572</v>
      </c>
      <c r="V18" s="190"/>
      <c r="W18" s="190"/>
    </row>
    <row r="19" spans="1:23" x14ac:dyDescent="0.25">
      <c r="A19" s="773"/>
      <c r="B19" s="505"/>
      <c r="C19" s="506" t="s">
        <v>368</v>
      </c>
      <c r="D19" s="506"/>
      <c r="E19" s="506"/>
      <c r="F19" s="506"/>
      <c r="G19" s="506">
        <v>11915</v>
      </c>
      <c r="H19" s="506"/>
      <c r="I19" s="506">
        <v>11656</v>
      </c>
      <c r="J19" s="507"/>
      <c r="K19" s="73"/>
      <c r="L19" s="92"/>
      <c r="M19" s="92">
        <v>0</v>
      </c>
      <c r="N19" s="73"/>
      <c r="O19" s="92">
        <v>30000</v>
      </c>
      <c r="P19" s="92">
        <v>0</v>
      </c>
      <c r="Q19" s="92"/>
      <c r="R19" s="73">
        <v>0</v>
      </c>
      <c r="S19" s="73"/>
      <c r="T19" s="369">
        <f t="shared" si="4"/>
        <v>0</v>
      </c>
    </row>
    <row r="20" spans="1:23" x14ac:dyDescent="0.25">
      <c r="A20" s="773"/>
      <c r="B20" s="509"/>
      <c r="C20" s="510"/>
      <c r="D20" s="510"/>
      <c r="E20" s="510"/>
      <c r="F20" s="510"/>
      <c r="G20" s="510"/>
      <c r="H20" s="510"/>
      <c r="I20" s="510"/>
      <c r="J20" s="510"/>
      <c r="K20" s="60"/>
      <c r="L20" s="125"/>
      <c r="M20" s="125"/>
      <c r="N20" s="60"/>
      <c r="O20" s="125"/>
      <c r="P20" s="125">
        <v>0</v>
      </c>
      <c r="Q20" s="125"/>
      <c r="R20" s="60">
        <v>0</v>
      </c>
      <c r="S20" s="60"/>
      <c r="T20" s="393">
        <f t="shared" si="4"/>
        <v>0</v>
      </c>
    </row>
    <row r="21" spans="1:23" ht="15.75" thickBot="1" x14ac:dyDescent="0.3">
      <c r="A21" s="894"/>
      <c r="B21" s="509"/>
      <c r="C21" s="510"/>
      <c r="D21" s="510"/>
      <c r="E21" s="510"/>
      <c r="F21" s="510"/>
      <c r="G21" s="510"/>
      <c r="H21" s="510"/>
      <c r="I21" s="510"/>
      <c r="J21" s="510"/>
      <c r="K21" s="60"/>
      <c r="L21" s="125"/>
      <c r="M21" s="125"/>
      <c r="N21" s="60"/>
      <c r="O21" s="125"/>
      <c r="P21" s="125">
        <v>0</v>
      </c>
      <c r="Q21" s="125"/>
      <c r="R21" s="60">
        <v>0</v>
      </c>
      <c r="S21" s="60"/>
      <c r="T21" s="393">
        <f t="shared" si="4"/>
        <v>0</v>
      </c>
    </row>
    <row r="22" spans="1:23" ht="16.5" thickTop="1" thickBot="1" x14ac:dyDescent="0.3">
      <c r="A22" s="895" t="s">
        <v>369</v>
      </c>
      <c r="B22" s="896"/>
      <c r="C22" s="897"/>
      <c r="D22" s="511">
        <f t="shared" ref="D22:T22" si="5">D13+D5</f>
        <v>499436</v>
      </c>
      <c r="E22" s="511">
        <f t="shared" si="5"/>
        <v>313085</v>
      </c>
      <c r="F22" s="511">
        <f t="shared" si="5"/>
        <v>1640749</v>
      </c>
      <c r="G22" s="511">
        <f t="shared" si="5"/>
        <v>2754938</v>
      </c>
      <c r="H22" s="511">
        <f t="shared" si="5"/>
        <v>4479434</v>
      </c>
      <c r="I22" s="511">
        <f t="shared" si="5"/>
        <v>2266668</v>
      </c>
      <c r="J22" s="511">
        <f t="shared" si="5"/>
        <v>1305406</v>
      </c>
      <c r="K22" s="511">
        <f t="shared" si="5"/>
        <v>1509534</v>
      </c>
      <c r="L22" s="512">
        <f t="shared" si="5"/>
        <v>1300969.1299999999</v>
      </c>
      <c r="M22" s="512">
        <f t="shared" si="5"/>
        <v>2766561.36</v>
      </c>
      <c r="N22" s="511">
        <f t="shared" si="5"/>
        <v>2492133.9299999997</v>
      </c>
      <c r="O22" s="512">
        <f t="shared" si="5"/>
        <v>1267177.1200000001</v>
      </c>
      <c r="P22" s="511">
        <f t="shared" si="5"/>
        <v>1389578.65</v>
      </c>
      <c r="Q22" s="512">
        <f t="shared" si="5"/>
        <v>1600445.57</v>
      </c>
      <c r="R22" s="511">
        <f t="shared" si="5"/>
        <v>7562608</v>
      </c>
      <c r="S22" s="511">
        <f t="shared" si="5"/>
        <v>20406</v>
      </c>
      <c r="T22" s="653">
        <f t="shared" si="5"/>
        <v>7583014</v>
      </c>
    </row>
    <row r="23" spans="1:23" ht="15.75" thickTop="1" x14ac:dyDescent="0.25">
      <c r="A23" s="898"/>
      <c r="B23" s="898"/>
      <c r="C23" s="898"/>
      <c r="D23" s="898"/>
      <c r="E23" s="898"/>
      <c r="F23" s="898"/>
      <c r="G23" s="898"/>
      <c r="H23" s="898"/>
      <c r="I23" s="898"/>
      <c r="J23" s="898"/>
      <c r="K23" s="513"/>
      <c r="L23" s="513"/>
      <c r="M23" s="513"/>
      <c r="N23" s="513"/>
      <c r="O23" s="513"/>
      <c r="P23" s="513"/>
      <c r="Q23" s="513"/>
      <c r="R23" s="514"/>
    </row>
  </sheetData>
  <mergeCells count="27">
    <mergeCell ref="Q3:Q4"/>
    <mergeCell ref="A22:C22"/>
    <mergeCell ref="A23:J23"/>
    <mergeCell ref="B5:C5"/>
    <mergeCell ref="A6:A12"/>
    <mergeCell ref="B13:C13"/>
    <mergeCell ref="J3:J4"/>
    <mergeCell ref="M3:M4"/>
    <mergeCell ref="N3:N4"/>
    <mergeCell ref="O3:O4"/>
    <mergeCell ref="P3:P4"/>
    <mergeCell ref="A1:C1"/>
    <mergeCell ref="A2:C2"/>
    <mergeCell ref="T3:T4"/>
    <mergeCell ref="A14:A21"/>
    <mergeCell ref="K3:K4"/>
    <mergeCell ref="L3:L4"/>
    <mergeCell ref="F3:F4"/>
    <mergeCell ref="A3:A4"/>
    <mergeCell ref="B3:B4"/>
    <mergeCell ref="C3:C4"/>
    <mergeCell ref="D3:D4"/>
    <mergeCell ref="E3:E4"/>
    <mergeCell ref="R3:R4"/>
    <mergeCell ref="G3:G4"/>
    <mergeCell ref="H3:H4"/>
    <mergeCell ref="I3:I4"/>
  </mergeCells>
  <pageMargins left="0.11811023622047245" right="0.11811023622047245" top="0.35433070866141736" bottom="0.74803149606299213" header="0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opLeftCell="A2" workbookViewId="0">
      <selection activeCell="A2" sqref="A2:J2"/>
    </sheetView>
  </sheetViews>
  <sheetFormatPr defaultRowHeight="15" x14ac:dyDescent="0.25"/>
  <cols>
    <col min="2" max="2" width="10.28515625" customWidth="1"/>
    <col min="3" max="3" width="31.5703125" customWidth="1"/>
    <col min="4" max="11" width="9.140625" hidden="1" customWidth="1"/>
    <col min="12" max="16" width="11.7109375" hidden="1" customWidth="1"/>
    <col min="17" max="17" width="11.5703125" customWidth="1"/>
    <col min="18" max="18" width="10.140625" customWidth="1"/>
    <col min="19" max="20" width="9" customWidth="1"/>
    <col min="21" max="21" width="10.140625" customWidth="1"/>
    <col min="23" max="23" width="10.140625" bestFit="1" customWidth="1"/>
    <col min="258" max="258" width="10.28515625" customWidth="1"/>
    <col min="259" max="259" width="36.85546875" customWidth="1"/>
    <col min="260" max="271" width="0" hidden="1" customWidth="1"/>
    <col min="272" max="273" width="11.7109375" customWidth="1"/>
    <col min="274" max="274" width="12.140625" customWidth="1"/>
    <col min="275" max="275" width="7.28515625" customWidth="1"/>
    <col min="279" max="279" width="10.140625" bestFit="1" customWidth="1"/>
    <col min="514" max="514" width="10.28515625" customWidth="1"/>
    <col min="515" max="515" width="36.85546875" customWidth="1"/>
    <col min="516" max="527" width="0" hidden="1" customWidth="1"/>
    <col min="528" max="529" width="11.7109375" customWidth="1"/>
    <col min="530" max="530" width="12.140625" customWidth="1"/>
    <col min="531" max="531" width="7.28515625" customWidth="1"/>
    <col min="535" max="535" width="10.140625" bestFit="1" customWidth="1"/>
    <col min="770" max="770" width="10.28515625" customWidth="1"/>
    <col min="771" max="771" width="36.85546875" customWidth="1"/>
    <col min="772" max="783" width="0" hidden="1" customWidth="1"/>
    <col min="784" max="785" width="11.7109375" customWidth="1"/>
    <col min="786" max="786" width="12.140625" customWidth="1"/>
    <col min="787" max="787" width="7.28515625" customWidth="1"/>
    <col min="791" max="791" width="10.140625" bestFit="1" customWidth="1"/>
    <col min="1026" max="1026" width="10.28515625" customWidth="1"/>
    <col min="1027" max="1027" width="36.85546875" customWidth="1"/>
    <col min="1028" max="1039" width="0" hidden="1" customWidth="1"/>
    <col min="1040" max="1041" width="11.7109375" customWidth="1"/>
    <col min="1042" max="1042" width="12.140625" customWidth="1"/>
    <col min="1043" max="1043" width="7.28515625" customWidth="1"/>
    <col min="1047" max="1047" width="10.140625" bestFit="1" customWidth="1"/>
    <col min="1282" max="1282" width="10.28515625" customWidth="1"/>
    <col min="1283" max="1283" width="36.85546875" customWidth="1"/>
    <col min="1284" max="1295" width="0" hidden="1" customWidth="1"/>
    <col min="1296" max="1297" width="11.7109375" customWidth="1"/>
    <col min="1298" max="1298" width="12.140625" customWidth="1"/>
    <col min="1299" max="1299" width="7.28515625" customWidth="1"/>
    <col min="1303" max="1303" width="10.140625" bestFit="1" customWidth="1"/>
    <col min="1538" max="1538" width="10.28515625" customWidth="1"/>
    <col min="1539" max="1539" width="36.85546875" customWidth="1"/>
    <col min="1540" max="1551" width="0" hidden="1" customWidth="1"/>
    <col min="1552" max="1553" width="11.7109375" customWidth="1"/>
    <col min="1554" max="1554" width="12.140625" customWidth="1"/>
    <col min="1555" max="1555" width="7.28515625" customWidth="1"/>
    <col min="1559" max="1559" width="10.140625" bestFit="1" customWidth="1"/>
    <col min="1794" max="1794" width="10.28515625" customWidth="1"/>
    <col min="1795" max="1795" width="36.85546875" customWidth="1"/>
    <col min="1796" max="1807" width="0" hidden="1" customWidth="1"/>
    <col min="1808" max="1809" width="11.7109375" customWidth="1"/>
    <col min="1810" max="1810" width="12.140625" customWidth="1"/>
    <col min="1811" max="1811" width="7.28515625" customWidth="1"/>
    <col min="1815" max="1815" width="10.140625" bestFit="1" customWidth="1"/>
    <col min="2050" max="2050" width="10.28515625" customWidth="1"/>
    <col min="2051" max="2051" width="36.85546875" customWidth="1"/>
    <col min="2052" max="2063" width="0" hidden="1" customWidth="1"/>
    <col min="2064" max="2065" width="11.7109375" customWidth="1"/>
    <col min="2066" max="2066" width="12.140625" customWidth="1"/>
    <col min="2067" max="2067" width="7.28515625" customWidth="1"/>
    <col min="2071" max="2071" width="10.140625" bestFit="1" customWidth="1"/>
    <col min="2306" max="2306" width="10.28515625" customWidth="1"/>
    <col min="2307" max="2307" width="36.85546875" customWidth="1"/>
    <col min="2308" max="2319" width="0" hidden="1" customWidth="1"/>
    <col min="2320" max="2321" width="11.7109375" customWidth="1"/>
    <col min="2322" max="2322" width="12.140625" customWidth="1"/>
    <col min="2323" max="2323" width="7.28515625" customWidth="1"/>
    <col min="2327" max="2327" width="10.140625" bestFit="1" customWidth="1"/>
    <col min="2562" max="2562" width="10.28515625" customWidth="1"/>
    <col min="2563" max="2563" width="36.85546875" customWidth="1"/>
    <col min="2564" max="2575" width="0" hidden="1" customWidth="1"/>
    <col min="2576" max="2577" width="11.7109375" customWidth="1"/>
    <col min="2578" max="2578" width="12.140625" customWidth="1"/>
    <col min="2579" max="2579" width="7.28515625" customWidth="1"/>
    <col min="2583" max="2583" width="10.140625" bestFit="1" customWidth="1"/>
    <col min="2818" max="2818" width="10.28515625" customWidth="1"/>
    <col min="2819" max="2819" width="36.85546875" customWidth="1"/>
    <col min="2820" max="2831" width="0" hidden="1" customWidth="1"/>
    <col min="2832" max="2833" width="11.7109375" customWidth="1"/>
    <col min="2834" max="2834" width="12.140625" customWidth="1"/>
    <col min="2835" max="2835" width="7.28515625" customWidth="1"/>
    <col min="2839" max="2839" width="10.140625" bestFit="1" customWidth="1"/>
    <col min="3074" max="3074" width="10.28515625" customWidth="1"/>
    <col min="3075" max="3075" width="36.85546875" customWidth="1"/>
    <col min="3076" max="3087" width="0" hidden="1" customWidth="1"/>
    <col min="3088" max="3089" width="11.7109375" customWidth="1"/>
    <col min="3090" max="3090" width="12.140625" customWidth="1"/>
    <col min="3091" max="3091" width="7.28515625" customWidth="1"/>
    <col min="3095" max="3095" width="10.140625" bestFit="1" customWidth="1"/>
    <col min="3330" max="3330" width="10.28515625" customWidth="1"/>
    <col min="3331" max="3331" width="36.85546875" customWidth="1"/>
    <col min="3332" max="3343" width="0" hidden="1" customWidth="1"/>
    <col min="3344" max="3345" width="11.7109375" customWidth="1"/>
    <col min="3346" max="3346" width="12.140625" customWidth="1"/>
    <col min="3347" max="3347" width="7.28515625" customWidth="1"/>
    <col min="3351" max="3351" width="10.140625" bestFit="1" customWidth="1"/>
    <col min="3586" max="3586" width="10.28515625" customWidth="1"/>
    <col min="3587" max="3587" width="36.85546875" customWidth="1"/>
    <col min="3588" max="3599" width="0" hidden="1" customWidth="1"/>
    <col min="3600" max="3601" width="11.7109375" customWidth="1"/>
    <col min="3602" max="3602" width="12.140625" customWidth="1"/>
    <col min="3603" max="3603" width="7.28515625" customWidth="1"/>
    <col min="3607" max="3607" width="10.140625" bestFit="1" customWidth="1"/>
    <col min="3842" max="3842" width="10.28515625" customWidth="1"/>
    <col min="3843" max="3843" width="36.85546875" customWidth="1"/>
    <col min="3844" max="3855" width="0" hidden="1" customWidth="1"/>
    <col min="3856" max="3857" width="11.7109375" customWidth="1"/>
    <col min="3858" max="3858" width="12.140625" customWidth="1"/>
    <col min="3859" max="3859" width="7.28515625" customWidth="1"/>
    <col min="3863" max="3863" width="10.140625" bestFit="1" customWidth="1"/>
    <col min="4098" max="4098" width="10.28515625" customWidth="1"/>
    <col min="4099" max="4099" width="36.85546875" customWidth="1"/>
    <col min="4100" max="4111" width="0" hidden="1" customWidth="1"/>
    <col min="4112" max="4113" width="11.7109375" customWidth="1"/>
    <col min="4114" max="4114" width="12.140625" customWidth="1"/>
    <col min="4115" max="4115" width="7.28515625" customWidth="1"/>
    <col min="4119" max="4119" width="10.140625" bestFit="1" customWidth="1"/>
    <col min="4354" max="4354" width="10.28515625" customWidth="1"/>
    <col min="4355" max="4355" width="36.85546875" customWidth="1"/>
    <col min="4356" max="4367" width="0" hidden="1" customWidth="1"/>
    <col min="4368" max="4369" width="11.7109375" customWidth="1"/>
    <col min="4370" max="4370" width="12.140625" customWidth="1"/>
    <col min="4371" max="4371" width="7.28515625" customWidth="1"/>
    <col min="4375" max="4375" width="10.140625" bestFit="1" customWidth="1"/>
    <col min="4610" max="4610" width="10.28515625" customWidth="1"/>
    <col min="4611" max="4611" width="36.85546875" customWidth="1"/>
    <col min="4612" max="4623" width="0" hidden="1" customWidth="1"/>
    <col min="4624" max="4625" width="11.7109375" customWidth="1"/>
    <col min="4626" max="4626" width="12.140625" customWidth="1"/>
    <col min="4627" max="4627" width="7.28515625" customWidth="1"/>
    <col min="4631" max="4631" width="10.140625" bestFit="1" customWidth="1"/>
    <col min="4866" max="4866" width="10.28515625" customWidth="1"/>
    <col min="4867" max="4867" width="36.85546875" customWidth="1"/>
    <col min="4868" max="4879" width="0" hidden="1" customWidth="1"/>
    <col min="4880" max="4881" width="11.7109375" customWidth="1"/>
    <col min="4882" max="4882" width="12.140625" customWidth="1"/>
    <col min="4883" max="4883" width="7.28515625" customWidth="1"/>
    <col min="4887" max="4887" width="10.140625" bestFit="1" customWidth="1"/>
    <col min="5122" max="5122" width="10.28515625" customWidth="1"/>
    <col min="5123" max="5123" width="36.85546875" customWidth="1"/>
    <col min="5124" max="5135" width="0" hidden="1" customWidth="1"/>
    <col min="5136" max="5137" width="11.7109375" customWidth="1"/>
    <col min="5138" max="5138" width="12.140625" customWidth="1"/>
    <col min="5139" max="5139" width="7.28515625" customWidth="1"/>
    <col min="5143" max="5143" width="10.140625" bestFit="1" customWidth="1"/>
    <col min="5378" max="5378" width="10.28515625" customWidth="1"/>
    <col min="5379" max="5379" width="36.85546875" customWidth="1"/>
    <col min="5380" max="5391" width="0" hidden="1" customWidth="1"/>
    <col min="5392" max="5393" width="11.7109375" customWidth="1"/>
    <col min="5394" max="5394" width="12.140625" customWidth="1"/>
    <col min="5395" max="5395" width="7.28515625" customWidth="1"/>
    <col min="5399" max="5399" width="10.140625" bestFit="1" customWidth="1"/>
    <col min="5634" max="5634" width="10.28515625" customWidth="1"/>
    <col min="5635" max="5635" width="36.85546875" customWidth="1"/>
    <col min="5636" max="5647" width="0" hidden="1" customWidth="1"/>
    <col min="5648" max="5649" width="11.7109375" customWidth="1"/>
    <col min="5650" max="5650" width="12.140625" customWidth="1"/>
    <col min="5651" max="5651" width="7.28515625" customWidth="1"/>
    <col min="5655" max="5655" width="10.140625" bestFit="1" customWidth="1"/>
    <col min="5890" max="5890" width="10.28515625" customWidth="1"/>
    <col min="5891" max="5891" width="36.85546875" customWidth="1"/>
    <col min="5892" max="5903" width="0" hidden="1" customWidth="1"/>
    <col min="5904" max="5905" width="11.7109375" customWidth="1"/>
    <col min="5906" max="5906" width="12.140625" customWidth="1"/>
    <col min="5907" max="5907" width="7.28515625" customWidth="1"/>
    <col min="5911" max="5911" width="10.140625" bestFit="1" customWidth="1"/>
    <col min="6146" max="6146" width="10.28515625" customWidth="1"/>
    <col min="6147" max="6147" width="36.85546875" customWidth="1"/>
    <col min="6148" max="6159" width="0" hidden="1" customWidth="1"/>
    <col min="6160" max="6161" width="11.7109375" customWidth="1"/>
    <col min="6162" max="6162" width="12.140625" customWidth="1"/>
    <col min="6163" max="6163" width="7.28515625" customWidth="1"/>
    <col min="6167" max="6167" width="10.140625" bestFit="1" customWidth="1"/>
    <col min="6402" max="6402" width="10.28515625" customWidth="1"/>
    <col min="6403" max="6403" width="36.85546875" customWidth="1"/>
    <col min="6404" max="6415" width="0" hidden="1" customWidth="1"/>
    <col min="6416" max="6417" width="11.7109375" customWidth="1"/>
    <col min="6418" max="6418" width="12.140625" customWidth="1"/>
    <col min="6419" max="6419" width="7.28515625" customWidth="1"/>
    <col min="6423" max="6423" width="10.140625" bestFit="1" customWidth="1"/>
    <col min="6658" max="6658" width="10.28515625" customWidth="1"/>
    <col min="6659" max="6659" width="36.85546875" customWidth="1"/>
    <col min="6660" max="6671" width="0" hidden="1" customWidth="1"/>
    <col min="6672" max="6673" width="11.7109375" customWidth="1"/>
    <col min="6674" max="6674" width="12.140625" customWidth="1"/>
    <col min="6675" max="6675" width="7.28515625" customWidth="1"/>
    <col min="6679" max="6679" width="10.140625" bestFit="1" customWidth="1"/>
    <col min="6914" max="6914" width="10.28515625" customWidth="1"/>
    <col min="6915" max="6915" width="36.85546875" customWidth="1"/>
    <col min="6916" max="6927" width="0" hidden="1" customWidth="1"/>
    <col min="6928" max="6929" width="11.7109375" customWidth="1"/>
    <col min="6930" max="6930" width="12.140625" customWidth="1"/>
    <col min="6931" max="6931" width="7.28515625" customWidth="1"/>
    <col min="6935" max="6935" width="10.140625" bestFit="1" customWidth="1"/>
    <col min="7170" max="7170" width="10.28515625" customWidth="1"/>
    <col min="7171" max="7171" width="36.85546875" customWidth="1"/>
    <col min="7172" max="7183" width="0" hidden="1" customWidth="1"/>
    <col min="7184" max="7185" width="11.7109375" customWidth="1"/>
    <col min="7186" max="7186" width="12.140625" customWidth="1"/>
    <col min="7187" max="7187" width="7.28515625" customWidth="1"/>
    <col min="7191" max="7191" width="10.140625" bestFit="1" customWidth="1"/>
    <col min="7426" max="7426" width="10.28515625" customWidth="1"/>
    <col min="7427" max="7427" width="36.85546875" customWidth="1"/>
    <col min="7428" max="7439" width="0" hidden="1" customWidth="1"/>
    <col min="7440" max="7441" width="11.7109375" customWidth="1"/>
    <col min="7442" max="7442" width="12.140625" customWidth="1"/>
    <col min="7443" max="7443" width="7.28515625" customWidth="1"/>
    <col min="7447" max="7447" width="10.140625" bestFit="1" customWidth="1"/>
    <col min="7682" max="7682" width="10.28515625" customWidth="1"/>
    <col min="7683" max="7683" width="36.85546875" customWidth="1"/>
    <col min="7684" max="7695" width="0" hidden="1" customWidth="1"/>
    <col min="7696" max="7697" width="11.7109375" customWidth="1"/>
    <col min="7698" max="7698" width="12.140625" customWidth="1"/>
    <col min="7699" max="7699" width="7.28515625" customWidth="1"/>
    <col min="7703" max="7703" width="10.140625" bestFit="1" customWidth="1"/>
    <col min="7938" max="7938" width="10.28515625" customWidth="1"/>
    <col min="7939" max="7939" width="36.85546875" customWidth="1"/>
    <col min="7940" max="7951" width="0" hidden="1" customWidth="1"/>
    <col min="7952" max="7953" width="11.7109375" customWidth="1"/>
    <col min="7954" max="7954" width="12.140625" customWidth="1"/>
    <col min="7955" max="7955" width="7.28515625" customWidth="1"/>
    <col min="7959" max="7959" width="10.140625" bestFit="1" customWidth="1"/>
    <col min="8194" max="8194" width="10.28515625" customWidth="1"/>
    <col min="8195" max="8195" width="36.85546875" customWidth="1"/>
    <col min="8196" max="8207" width="0" hidden="1" customWidth="1"/>
    <col min="8208" max="8209" width="11.7109375" customWidth="1"/>
    <col min="8210" max="8210" width="12.140625" customWidth="1"/>
    <col min="8211" max="8211" width="7.28515625" customWidth="1"/>
    <col min="8215" max="8215" width="10.140625" bestFit="1" customWidth="1"/>
    <col min="8450" max="8450" width="10.28515625" customWidth="1"/>
    <col min="8451" max="8451" width="36.85546875" customWidth="1"/>
    <col min="8452" max="8463" width="0" hidden="1" customWidth="1"/>
    <col min="8464" max="8465" width="11.7109375" customWidth="1"/>
    <col min="8466" max="8466" width="12.140625" customWidth="1"/>
    <col min="8467" max="8467" width="7.28515625" customWidth="1"/>
    <col min="8471" max="8471" width="10.140625" bestFit="1" customWidth="1"/>
    <col min="8706" max="8706" width="10.28515625" customWidth="1"/>
    <col min="8707" max="8707" width="36.85546875" customWidth="1"/>
    <col min="8708" max="8719" width="0" hidden="1" customWidth="1"/>
    <col min="8720" max="8721" width="11.7109375" customWidth="1"/>
    <col min="8722" max="8722" width="12.140625" customWidth="1"/>
    <col min="8723" max="8723" width="7.28515625" customWidth="1"/>
    <col min="8727" max="8727" width="10.140625" bestFit="1" customWidth="1"/>
    <col min="8962" max="8962" width="10.28515625" customWidth="1"/>
    <col min="8963" max="8963" width="36.85546875" customWidth="1"/>
    <col min="8964" max="8975" width="0" hidden="1" customWidth="1"/>
    <col min="8976" max="8977" width="11.7109375" customWidth="1"/>
    <col min="8978" max="8978" width="12.140625" customWidth="1"/>
    <col min="8979" max="8979" width="7.28515625" customWidth="1"/>
    <col min="8983" max="8983" width="10.140625" bestFit="1" customWidth="1"/>
    <col min="9218" max="9218" width="10.28515625" customWidth="1"/>
    <col min="9219" max="9219" width="36.85546875" customWidth="1"/>
    <col min="9220" max="9231" width="0" hidden="1" customWidth="1"/>
    <col min="9232" max="9233" width="11.7109375" customWidth="1"/>
    <col min="9234" max="9234" width="12.140625" customWidth="1"/>
    <col min="9235" max="9235" width="7.28515625" customWidth="1"/>
    <col min="9239" max="9239" width="10.140625" bestFit="1" customWidth="1"/>
    <col min="9474" max="9474" width="10.28515625" customWidth="1"/>
    <col min="9475" max="9475" width="36.85546875" customWidth="1"/>
    <col min="9476" max="9487" width="0" hidden="1" customWidth="1"/>
    <col min="9488" max="9489" width="11.7109375" customWidth="1"/>
    <col min="9490" max="9490" width="12.140625" customWidth="1"/>
    <col min="9491" max="9491" width="7.28515625" customWidth="1"/>
    <col min="9495" max="9495" width="10.140625" bestFit="1" customWidth="1"/>
    <col min="9730" max="9730" width="10.28515625" customWidth="1"/>
    <col min="9731" max="9731" width="36.85546875" customWidth="1"/>
    <col min="9732" max="9743" width="0" hidden="1" customWidth="1"/>
    <col min="9744" max="9745" width="11.7109375" customWidth="1"/>
    <col min="9746" max="9746" width="12.140625" customWidth="1"/>
    <col min="9747" max="9747" width="7.28515625" customWidth="1"/>
    <col min="9751" max="9751" width="10.140625" bestFit="1" customWidth="1"/>
    <col min="9986" max="9986" width="10.28515625" customWidth="1"/>
    <col min="9987" max="9987" width="36.85546875" customWidth="1"/>
    <col min="9988" max="9999" width="0" hidden="1" customWidth="1"/>
    <col min="10000" max="10001" width="11.7109375" customWidth="1"/>
    <col min="10002" max="10002" width="12.140625" customWidth="1"/>
    <col min="10003" max="10003" width="7.28515625" customWidth="1"/>
    <col min="10007" max="10007" width="10.140625" bestFit="1" customWidth="1"/>
    <col min="10242" max="10242" width="10.28515625" customWidth="1"/>
    <col min="10243" max="10243" width="36.85546875" customWidth="1"/>
    <col min="10244" max="10255" width="0" hidden="1" customWidth="1"/>
    <col min="10256" max="10257" width="11.7109375" customWidth="1"/>
    <col min="10258" max="10258" width="12.140625" customWidth="1"/>
    <col min="10259" max="10259" width="7.28515625" customWidth="1"/>
    <col min="10263" max="10263" width="10.140625" bestFit="1" customWidth="1"/>
    <col min="10498" max="10498" width="10.28515625" customWidth="1"/>
    <col min="10499" max="10499" width="36.85546875" customWidth="1"/>
    <col min="10500" max="10511" width="0" hidden="1" customWidth="1"/>
    <col min="10512" max="10513" width="11.7109375" customWidth="1"/>
    <col min="10514" max="10514" width="12.140625" customWidth="1"/>
    <col min="10515" max="10515" width="7.28515625" customWidth="1"/>
    <col min="10519" max="10519" width="10.140625" bestFit="1" customWidth="1"/>
    <col min="10754" max="10754" width="10.28515625" customWidth="1"/>
    <col min="10755" max="10755" width="36.85546875" customWidth="1"/>
    <col min="10756" max="10767" width="0" hidden="1" customWidth="1"/>
    <col min="10768" max="10769" width="11.7109375" customWidth="1"/>
    <col min="10770" max="10770" width="12.140625" customWidth="1"/>
    <col min="10771" max="10771" width="7.28515625" customWidth="1"/>
    <col min="10775" max="10775" width="10.140625" bestFit="1" customWidth="1"/>
    <col min="11010" max="11010" width="10.28515625" customWidth="1"/>
    <col min="11011" max="11011" width="36.85546875" customWidth="1"/>
    <col min="11012" max="11023" width="0" hidden="1" customWidth="1"/>
    <col min="11024" max="11025" width="11.7109375" customWidth="1"/>
    <col min="11026" max="11026" width="12.140625" customWidth="1"/>
    <col min="11027" max="11027" width="7.28515625" customWidth="1"/>
    <col min="11031" max="11031" width="10.140625" bestFit="1" customWidth="1"/>
    <col min="11266" max="11266" width="10.28515625" customWidth="1"/>
    <col min="11267" max="11267" width="36.85546875" customWidth="1"/>
    <col min="11268" max="11279" width="0" hidden="1" customWidth="1"/>
    <col min="11280" max="11281" width="11.7109375" customWidth="1"/>
    <col min="11282" max="11282" width="12.140625" customWidth="1"/>
    <col min="11283" max="11283" width="7.28515625" customWidth="1"/>
    <col min="11287" max="11287" width="10.140625" bestFit="1" customWidth="1"/>
    <col min="11522" max="11522" width="10.28515625" customWidth="1"/>
    <col min="11523" max="11523" width="36.85546875" customWidth="1"/>
    <col min="11524" max="11535" width="0" hidden="1" customWidth="1"/>
    <col min="11536" max="11537" width="11.7109375" customWidth="1"/>
    <col min="11538" max="11538" width="12.140625" customWidth="1"/>
    <col min="11539" max="11539" width="7.28515625" customWidth="1"/>
    <col min="11543" max="11543" width="10.140625" bestFit="1" customWidth="1"/>
    <col min="11778" max="11778" width="10.28515625" customWidth="1"/>
    <col min="11779" max="11779" width="36.85546875" customWidth="1"/>
    <col min="11780" max="11791" width="0" hidden="1" customWidth="1"/>
    <col min="11792" max="11793" width="11.7109375" customWidth="1"/>
    <col min="11794" max="11794" width="12.140625" customWidth="1"/>
    <col min="11795" max="11795" width="7.28515625" customWidth="1"/>
    <col min="11799" max="11799" width="10.140625" bestFit="1" customWidth="1"/>
    <col min="12034" max="12034" width="10.28515625" customWidth="1"/>
    <col min="12035" max="12035" width="36.85546875" customWidth="1"/>
    <col min="12036" max="12047" width="0" hidden="1" customWidth="1"/>
    <col min="12048" max="12049" width="11.7109375" customWidth="1"/>
    <col min="12050" max="12050" width="12.140625" customWidth="1"/>
    <col min="12051" max="12051" width="7.28515625" customWidth="1"/>
    <col min="12055" max="12055" width="10.140625" bestFit="1" customWidth="1"/>
    <col min="12290" max="12290" width="10.28515625" customWidth="1"/>
    <col min="12291" max="12291" width="36.85546875" customWidth="1"/>
    <col min="12292" max="12303" width="0" hidden="1" customWidth="1"/>
    <col min="12304" max="12305" width="11.7109375" customWidth="1"/>
    <col min="12306" max="12306" width="12.140625" customWidth="1"/>
    <col min="12307" max="12307" width="7.28515625" customWidth="1"/>
    <col min="12311" max="12311" width="10.140625" bestFit="1" customWidth="1"/>
    <col min="12546" max="12546" width="10.28515625" customWidth="1"/>
    <col min="12547" max="12547" width="36.85546875" customWidth="1"/>
    <col min="12548" max="12559" width="0" hidden="1" customWidth="1"/>
    <col min="12560" max="12561" width="11.7109375" customWidth="1"/>
    <col min="12562" max="12562" width="12.140625" customWidth="1"/>
    <col min="12563" max="12563" width="7.28515625" customWidth="1"/>
    <col min="12567" max="12567" width="10.140625" bestFit="1" customWidth="1"/>
    <col min="12802" max="12802" width="10.28515625" customWidth="1"/>
    <col min="12803" max="12803" width="36.85546875" customWidth="1"/>
    <col min="12804" max="12815" width="0" hidden="1" customWidth="1"/>
    <col min="12816" max="12817" width="11.7109375" customWidth="1"/>
    <col min="12818" max="12818" width="12.140625" customWidth="1"/>
    <col min="12819" max="12819" width="7.28515625" customWidth="1"/>
    <col min="12823" max="12823" width="10.140625" bestFit="1" customWidth="1"/>
    <col min="13058" max="13058" width="10.28515625" customWidth="1"/>
    <col min="13059" max="13059" width="36.85546875" customWidth="1"/>
    <col min="13060" max="13071" width="0" hidden="1" customWidth="1"/>
    <col min="13072" max="13073" width="11.7109375" customWidth="1"/>
    <col min="13074" max="13074" width="12.140625" customWidth="1"/>
    <col min="13075" max="13075" width="7.28515625" customWidth="1"/>
    <col min="13079" max="13079" width="10.140625" bestFit="1" customWidth="1"/>
    <col min="13314" max="13314" width="10.28515625" customWidth="1"/>
    <col min="13315" max="13315" width="36.85546875" customWidth="1"/>
    <col min="13316" max="13327" width="0" hidden="1" customWidth="1"/>
    <col min="13328" max="13329" width="11.7109375" customWidth="1"/>
    <col min="13330" max="13330" width="12.140625" customWidth="1"/>
    <col min="13331" max="13331" width="7.28515625" customWidth="1"/>
    <col min="13335" max="13335" width="10.140625" bestFit="1" customWidth="1"/>
    <col min="13570" max="13570" width="10.28515625" customWidth="1"/>
    <col min="13571" max="13571" width="36.85546875" customWidth="1"/>
    <col min="13572" max="13583" width="0" hidden="1" customWidth="1"/>
    <col min="13584" max="13585" width="11.7109375" customWidth="1"/>
    <col min="13586" max="13586" width="12.140625" customWidth="1"/>
    <col min="13587" max="13587" width="7.28515625" customWidth="1"/>
    <col min="13591" max="13591" width="10.140625" bestFit="1" customWidth="1"/>
    <col min="13826" max="13826" width="10.28515625" customWidth="1"/>
    <col min="13827" max="13827" width="36.85546875" customWidth="1"/>
    <col min="13828" max="13839" width="0" hidden="1" customWidth="1"/>
    <col min="13840" max="13841" width="11.7109375" customWidth="1"/>
    <col min="13842" max="13842" width="12.140625" customWidth="1"/>
    <col min="13843" max="13843" width="7.28515625" customWidth="1"/>
    <col min="13847" max="13847" width="10.140625" bestFit="1" customWidth="1"/>
    <col min="14082" max="14082" width="10.28515625" customWidth="1"/>
    <col min="14083" max="14083" width="36.85546875" customWidth="1"/>
    <col min="14084" max="14095" width="0" hidden="1" customWidth="1"/>
    <col min="14096" max="14097" width="11.7109375" customWidth="1"/>
    <col min="14098" max="14098" width="12.140625" customWidth="1"/>
    <col min="14099" max="14099" width="7.28515625" customWidth="1"/>
    <col min="14103" max="14103" width="10.140625" bestFit="1" customWidth="1"/>
    <col min="14338" max="14338" width="10.28515625" customWidth="1"/>
    <col min="14339" max="14339" width="36.85546875" customWidth="1"/>
    <col min="14340" max="14351" width="0" hidden="1" customWidth="1"/>
    <col min="14352" max="14353" width="11.7109375" customWidth="1"/>
    <col min="14354" max="14354" width="12.140625" customWidth="1"/>
    <col min="14355" max="14355" width="7.28515625" customWidth="1"/>
    <col min="14359" max="14359" width="10.140625" bestFit="1" customWidth="1"/>
    <col min="14594" max="14594" width="10.28515625" customWidth="1"/>
    <col min="14595" max="14595" width="36.85546875" customWidth="1"/>
    <col min="14596" max="14607" width="0" hidden="1" customWidth="1"/>
    <col min="14608" max="14609" width="11.7109375" customWidth="1"/>
    <col min="14610" max="14610" width="12.140625" customWidth="1"/>
    <col min="14611" max="14611" width="7.28515625" customWidth="1"/>
    <col min="14615" max="14615" width="10.140625" bestFit="1" customWidth="1"/>
    <col min="14850" max="14850" width="10.28515625" customWidth="1"/>
    <col min="14851" max="14851" width="36.85546875" customWidth="1"/>
    <col min="14852" max="14863" width="0" hidden="1" customWidth="1"/>
    <col min="14864" max="14865" width="11.7109375" customWidth="1"/>
    <col min="14866" max="14866" width="12.140625" customWidth="1"/>
    <col min="14867" max="14867" width="7.28515625" customWidth="1"/>
    <col min="14871" max="14871" width="10.140625" bestFit="1" customWidth="1"/>
    <col min="15106" max="15106" width="10.28515625" customWidth="1"/>
    <col min="15107" max="15107" width="36.85546875" customWidth="1"/>
    <col min="15108" max="15119" width="0" hidden="1" customWidth="1"/>
    <col min="15120" max="15121" width="11.7109375" customWidth="1"/>
    <col min="15122" max="15122" width="12.140625" customWidth="1"/>
    <col min="15123" max="15123" width="7.28515625" customWidth="1"/>
    <col min="15127" max="15127" width="10.140625" bestFit="1" customWidth="1"/>
    <col min="15362" max="15362" width="10.28515625" customWidth="1"/>
    <col min="15363" max="15363" width="36.85546875" customWidth="1"/>
    <col min="15364" max="15375" width="0" hidden="1" customWidth="1"/>
    <col min="15376" max="15377" width="11.7109375" customWidth="1"/>
    <col min="15378" max="15378" width="12.140625" customWidth="1"/>
    <col min="15379" max="15379" width="7.28515625" customWidth="1"/>
    <col min="15383" max="15383" width="10.140625" bestFit="1" customWidth="1"/>
    <col min="15618" max="15618" width="10.28515625" customWidth="1"/>
    <col min="15619" max="15619" width="36.85546875" customWidth="1"/>
    <col min="15620" max="15631" width="0" hidden="1" customWidth="1"/>
    <col min="15632" max="15633" width="11.7109375" customWidth="1"/>
    <col min="15634" max="15634" width="12.140625" customWidth="1"/>
    <col min="15635" max="15635" width="7.28515625" customWidth="1"/>
    <col min="15639" max="15639" width="10.140625" bestFit="1" customWidth="1"/>
    <col min="15874" max="15874" width="10.28515625" customWidth="1"/>
    <col min="15875" max="15875" width="36.85546875" customWidth="1"/>
    <col min="15876" max="15887" width="0" hidden="1" customWidth="1"/>
    <col min="15888" max="15889" width="11.7109375" customWidth="1"/>
    <col min="15890" max="15890" width="12.140625" customWidth="1"/>
    <col min="15891" max="15891" width="7.28515625" customWidth="1"/>
    <col min="15895" max="15895" width="10.140625" bestFit="1" customWidth="1"/>
    <col min="16130" max="16130" width="10.28515625" customWidth="1"/>
    <col min="16131" max="16131" width="36.85546875" customWidth="1"/>
    <col min="16132" max="16143" width="0" hidden="1" customWidth="1"/>
    <col min="16144" max="16145" width="11.7109375" customWidth="1"/>
    <col min="16146" max="16146" width="12.140625" customWidth="1"/>
    <col min="16147" max="16147" width="7.28515625" customWidth="1"/>
    <col min="16151" max="16151" width="10.140625" bestFit="1" customWidth="1"/>
  </cols>
  <sheetData>
    <row r="1" spans="1:23" hidden="1" x14ac:dyDescent="0.25"/>
    <row r="2" spans="1:23" ht="15.75" thickBot="1" x14ac:dyDescent="0.3">
      <c r="A2" s="907" t="s">
        <v>370</v>
      </c>
      <c r="B2" s="907"/>
      <c r="C2" s="907"/>
      <c r="D2" s="907"/>
      <c r="E2" s="907"/>
      <c r="F2" s="907"/>
      <c r="G2" s="907"/>
      <c r="H2" s="907"/>
      <c r="I2" s="907"/>
      <c r="J2" s="907"/>
      <c r="K2" s="515"/>
      <c r="L2" s="515"/>
      <c r="M2" s="515"/>
      <c r="N2" s="515"/>
      <c r="O2" s="515"/>
      <c r="P2" s="515"/>
      <c r="Q2" s="515"/>
      <c r="R2" s="514"/>
      <c r="S2" s="514"/>
    </row>
    <row r="3" spans="1:23" ht="15.75" customHeight="1" thickTop="1" thickBot="1" x14ac:dyDescent="0.3">
      <c r="A3" s="908" t="s">
        <v>113</v>
      </c>
      <c r="B3" s="892" t="s">
        <v>1</v>
      </c>
      <c r="C3" s="864" t="s">
        <v>114</v>
      </c>
      <c r="D3" s="788" t="s">
        <v>115</v>
      </c>
      <c r="E3" s="788" t="s">
        <v>116</v>
      </c>
      <c r="F3" s="788" t="s">
        <v>117</v>
      </c>
      <c r="G3" s="788" t="s">
        <v>118</v>
      </c>
      <c r="H3" s="788" t="s">
        <v>119</v>
      </c>
      <c r="I3" s="788" t="s">
        <v>8</v>
      </c>
      <c r="J3" s="788" t="s">
        <v>9</v>
      </c>
      <c r="K3" s="788" t="s">
        <v>10</v>
      </c>
      <c r="L3" s="788" t="s">
        <v>11</v>
      </c>
      <c r="M3" s="788" t="s">
        <v>12</v>
      </c>
      <c r="N3" s="788" t="s">
        <v>13</v>
      </c>
      <c r="O3" s="788" t="s">
        <v>14</v>
      </c>
      <c r="P3" s="788" t="s">
        <v>15</v>
      </c>
      <c r="Q3" s="788" t="s">
        <v>458</v>
      </c>
      <c r="R3" s="866" t="s">
        <v>424</v>
      </c>
      <c r="S3" s="858" t="s">
        <v>466</v>
      </c>
      <c r="T3" s="859"/>
      <c r="U3" s="902" t="s">
        <v>411</v>
      </c>
    </row>
    <row r="4" spans="1:23" ht="31.5" customHeight="1" thickBot="1" x14ac:dyDescent="0.3">
      <c r="A4" s="909"/>
      <c r="B4" s="893"/>
      <c r="C4" s="865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867"/>
      <c r="S4" s="689" t="s">
        <v>20</v>
      </c>
      <c r="T4" s="690" t="s">
        <v>23</v>
      </c>
      <c r="U4" s="903"/>
    </row>
    <row r="5" spans="1:23" ht="16.5" thickTop="1" thickBot="1" x14ac:dyDescent="0.3">
      <c r="A5" s="516" t="s">
        <v>371</v>
      </c>
      <c r="B5" s="899" t="s">
        <v>362</v>
      </c>
      <c r="C5" s="900"/>
      <c r="D5" s="517">
        <f t="shared" ref="D5:T5" si="0">SUM(D6:D12)</f>
        <v>477793</v>
      </c>
      <c r="E5" s="517">
        <f t="shared" si="0"/>
        <v>470856</v>
      </c>
      <c r="F5" s="517">
        <f t="shared" si="0"/>
        <v>334085</v>
      </c>
      <c r="G5" s="517">
        <f t="shared" si="0"/>
        <v>1303204</v>
      </c>
      <c r="H5" s="517">
        <f t="shared" si="0"/>
        <v>978096</v>
      </c>
      <c r="I5" s="517">
        <f t="shared" si="0"/>
        <v>1356608</v>
      </c>
      <c r="J5" s="517">
        <f t="shared" si="0"/>
        <v>1191263</v>
      </c>
      <c r="K5" s="517">
        <f t="shared" si="0"/>
        <v>977990</v>
      </c>
      <c r="L5" s="518">
        <f t="shared" si="0"/>
        <v>439019.94999999995</v>
      </c>
      <c r="M5" s="518">
        <f t="shared" si="0"/>
        <v>540080.30000000005</v>
      </c>
      <c r="N5" s="519">
        <f>SUM(N6:N12)</f>
        <v>2548753.6599999997</v>
      </c>
      <c r="O5" s="519">
        <f>SUM(O6:O12)</f>
        <v>484835.82</v>
      </c>
      <c r="P5" s="520">
        <f>SUM(P6:P12)</f>
        <v>849215.54</v>
      </c>
      <c r="Q5" s="519">
        <f>SUM(Q6:Q12)</f>
        <v>553837.26</v>
      </c>
      <c r="R5" s="520">
        <f t="shared" si="0"/>
        <v>919778</v>
      </c>
      <c r="S5" s="712">
        <f t="shared" si="0"/>
        <v>0</v>
      </c>
      <c r="T5" s="517">
        <f t="shared" si="0"/>
        <v>0</v>
      </c>
      <c r="U5" s="654">
        <f>SUM(U6:U12)</f>
        <v>919778</v>
      </c>
    </row>
    <row r="6" spans="1:23" x14ac:dyDescent="0.25">
      <c r="A6" s="904"/>
      <c r="B6" s="521"/>
      <c r="C6" s="521" t="s">
        <v>372</v>
      </c>
      <c r="D6" s="521">
        <v>307741</v>
      </c>
      <c r="E6" s="521">
        <v>188873</v>
      </c>
      <c r="F6" s="521">
        <v>209516</v>
      </c>
      <c r="G6" s="521">
        <v>326854</v>
      </c>
      <c r="H6" s="521">
        <v>199897</v>
      </c>
      <c r="I6" s="521">
        <v>22394</v>
      </c>
      <c r="J6" s="522">
        <v>122620</v>
      </c>
      <c r="K6" s="523">
        <v>207083</v>
      </c>
      <c r="L6" s="524">
        <v>173080.99</v>
      </c>
      <c r="M6" s="524">
        <v>233161.19</v>
      </c>
      <c r="N6" s="525">
        <v>1839260.43</v>
      </c>
      <c r="O6" s="525">
        <v>338571.97</v>
      </c>
      <c r="P6" s="525">
        <v>367612.56</v>
      </c>
      <c r="Q6" s="525">
        <v>378931.96</v>
      </c>
      <c r="R6" s="526">
        <v>428301</v>
      </c>
      <c r="S6" s="713"/>
      <c r="T6" s="526"/>
      <c r="U6" s="655">
        <f>R6+S6+T6</f>
        <v>428301</v>
      </c>
      <c r="W6" s="304"/>
    </row>
    <row r="7" spans="1:23" x14ac:dyDescent="0.25">
      <c r="A7" s="905"/>
      <c r="B7" s="527"/>
      <c r="C7" s="528" t="s">
        <v>373</v>
      </c>
      <c r="D7" s="528"/>
      <c r="E7" s="528"/>
      <c r="F7" s="528"/>
      <c r="G7" s="528"/>
      <c r="H7" s="528">
        <v>490783</v>
      </c>
      <c r="I7" s="528">
        <v>1098574</v>
      </c>
      <c r="J7" s="381">
        <v>733308</v>
      </c>
      <c r="K7" s="529">
        <v>631012</v>
      </c>
      <c r="L7" s="530">
        <v>171789.61</v>
      </c>
      <c r="M7" s="530">
        <v>233027.7</v>
      </c>
      <c r="N7" s="531">
        <v>497600.75</v>
      </c>
      <c r="O7" s="531"/>
      <c r="P7" s="531">
        <v>363308.49</v>
      </c>
      <c r="Q7" s="531"/>
      <c r="R7" s="126"/>
      <c r="S7" s="714"/>
      <c r="T7" s="126"/>
      <c r="U7" s="656">
        <f t="shared" ref="U7:U12" si="1">R7+S7+T7</f>
        <v>0</v>
      </c>
    </row>
    <row r="8" spans="1:23" x14ac:dyDescent="0.25">
      <c r="A8" s="905"/>
      <c r="B8" s="532"/>
      <c r="C8" s="377" t="s">
        <v>374</v>
      </c>
      <c r="D8" s="377"/>
      <c r="E8" s="377"/>
      <c r="F8" s="377"/>
      <c r="G8" s="377"/>
      <c r="H8" s="377">
        <v>52527</v>
      </c>
      <c r="I8" s="377">
        <v>53214</v>
      </c>
      <c r="J8" s="126">
        <v>53736</v>
      </c>
      <c r="K8" s="529">
        <v>54692</v>
      </c>
      <c r="L8" s="530">
        <v>59829.25</v>
      </c>
      <c r="M8" s="530">
        <v>73891.41</v>
      </c>
      <c r="N8" s="531">
        <v>74759.429999999993</v>
      </c>
      <c r="O8" s="531">
        <v>75808.05</v>
      </c>
      <c r="P8" s="531">
        <v>76653.59</v>
      </c>
      <c r="Q8" s="531">
        <v>77863.88</v>
      </c>
      <c r="R8" s="529">
        <v>91477</v>
      </c>
      <c r="S8" s="715"/>
      <c r="T8" s="529"/>
      <c r="U8" s="657">
        <f t="shared" si="1"/>
        <v>91477</v>
      </c>
    </row>
    <row r="9" spans="1:23" x14ac:dyDescent="0.25">
      <c r="A9" s="905"/>
      <c r="B9" s="533"/>
      <c r="C9" s="534" t="s">
        <v>430</v>
      </c>
      <c r="D9" s="535">
        <v>2622</v>
      </c>
      <c r="E9" s="535">
        <v>6805</v>
      </c>
      <c r="F9" s="535">
        <v>5206</v>
      </c>
      <c r="G9" s="535">
        <v>73230</v>
      </c>
      <c r="H9" s="535">
        <v>22330</v>
      </c>
      <c r="I9" s="535">
        <v>7462</v>
      </c>
      <c r="J9" s="536"/>
      <c r="K9" s="126"/>
      <c r="L9" s="315"/>
      <c r="M9" s="315"/>
      <c r="N9" s="128">
        <v>114400.25</v>
      </c>
      <c r="O9" s="128"/>
      <c r="P9" s="128"/>
      <c r="Q9" s="128">
        <v>47962.559999999998</v>
      </c>
      <c r="R9" s="126">
        <v>400000</v>
      </c>
      <c r="S9" s="714"/>
      <c r="T9" s="126"/>
      <c r="U9" s="656">
        <f t="shared" si="1"/>
        <v>400000</v>
      </c>
      <c r="W9" s="190"/>
    </row>
    <row r="10" spans="1:23" x14ac:dyDescent="0.25">
      <c r="A10" s="905"/>
      <c r="B10" s="533"/>
      <c r="C10" s="534" t="s">
        <v>375</v>
      </c>
      <c r="D10" s="535"/>
      <c r="E10" s="535"/>
      <c r="F10" s="535"/>
      <c r="G10" s="535"/>
      <c r="H10" s="535"/>
      <c r="I10" s="535"/>
      <c r="J10" s="536"/>
      <c r="K10" s="126"/>
      <c r="L10" s="315"/>
      <c r="M10" s="315"/>
      <c r="N10" s="128">
        <v>11332.8</v>
      </c>
      <c r="O10" s="128"/>
      <c r="P10" s="128">
        <v>14992.5</v>
      </c>
      <c r="Q10" s="128"/>
      <c r="R10" s="126"/>
      <c r="S10" s="714"/>
      <c r="T10" s="126"/>
      <c r="U10" s="656">
        <f t="shared" si="1"/>
        <v>0</v>
      </c>
      <c r="W10" s="190"/>
    </row>
    <row r="11" spans="1:23" x14ac:dyDescent="0.25">
      <c r="A11" s="905"/>
      <c r="B11" s="532"/>
      <c r="C11" s="532" t="s">
        <v>376</v>
      </c>
      <c r="D11" s="532"/>
      <c r="E11" s="532">
        <v>275178</v>
      </c>
      <c r="F11" s="532"/>
      <c r="G11" s="532">
        <v>903120</v>
      </c>
      <c r="H11" s="532">
        <v>212559</v>
      </c>
      <c r="I11" s="532">
        <v>174964</v>
      </c>
      <c r="J11" s="537">
        <v>281599</v>
      </c>
      <c r="K11" s="537">
        <v>85203</v>
      </c>
      <c r="L11" s="538">
        <v>34320.1</v>
      </c>
      <c r="M11" s="538">
        <v>0</v>
      </c>
      <c r="N11" s="539"/>
      <c r="O11" s="539">
        <v>70455.800000000047</v>
      </c>
      <c r="P11" s="539"/>
      <c r="Q11" s="539">
        <v>5000</v>
      </c>
      <c r="R11" s="537"/>
      <c r="S11" s="716"/>
      <c r="T11" s="537"/>
      <c r="U11" s="658">
        <f t="shared" si="1"/>
        <v>0</v>
      </c>
    </row>
    <row r="12" spans="1:23" ht="15.75" thickBot="1" x14ac:dyDescent="0.3">
      <c r="A12" s="906"/>
      <c r="B12" s="540"/>
      <c r="C12" s="532" t="s">
        <v>366</v>
      </c>
      <c r="D12" s="540">
        <v>167430</v>
      </c>
      <c r="E12" s="540">
        <v>0</v>
      </c>
      <c r="F12" s="540">
        <v>119363</v>
      </c>
      <c r="G12" s="540"/>
      <c r="H12" s="540"/>
      <c r="I12" s="540"/>
      <c r="J12" s="541"/>
      <c r="K12" s="541"/>
      <c r="L12" s="542"/>
      <c r="M12" s="542">
        <v>0</v>
      </c>
      <c r="N12" s="543">
        <v>11400</v>
      </c>
      <c r="O12" s="543"/>
      <c r="P12" s="543">
        <v>26648.400000000001</v>
      </c>
      <c r="Q12" s="543">
        <v>44078.86</v>
      </c>
      <c r="R12" s="541">
        <v>0</v>
      </c>
      <c r="S12" s="717"/>
      <c r="T12" s="541"/>
      <c r="U12" s="659">
        <f t="shared" si="1"/>
        <v>0</v>
      </c>
    </row>
    <row r="13" spans="1:23" ht="16.5" thickTop="1" thickBot="1" x14ac:dyDescent="0.3">
      <c r="A13" s="895" t="s">
        <v>369</v>
      </c>
      <c r="B13" s="896"/>
      <c r="C13" s="897"/>
      <c r="D13" s="511">
        <f t="shared" ref="D13:R13" si="2">D5</f>
        <v>477793</v>
      </c>
      <c r="E13" s="511">
        <f t="shared" si="2"/>
        <v>470856</v>
      </c>
      <c r="F13" s="511">
        <f t="shared" si="2"/>
        <v>334085</v>
      </c>
      <c r="G13" s="511">
        <f t="shared" si="2"/>
        <v>1303204</v>
      </c>
      <c r="H13" s="511">
        <f t="shared" si="2"/>
        <v>978096</v>
      </c>
      <c r="I13" s="511">
        <f t="shared" si="2"/>
        <v>1356608</v>
      </c>
      <c r="J13" s="511">
        <f t="shared" si="2"/>
        <v>1191263</v>
      </c>
      <c r="K13" s="511">
        <f t="shared" si="2"/>
        <v>977990</v>
      </c>
      <c r="L13" s="512">
        <f t="shared" si="2"/>
        <v>439019.94999999995</v>
      </c>
      <c r="M13" s="512">
        <f t="shared" si="2"/>
        <v>540080.30000000005</v>
      </c>
      <c r="N13" s="544">
        <f t="shared" si="2"/>
        <v>2548753.6599999997</v>
      </c>
      <c r="O13" s="512">
        <f t="shared" si="2"/>
        <v>484835.82</v>
      </c>
      <c r="P13" s="545">
        <f t="shared" si="2"/>
        <v>849215.54</v>
      </c>
      <c r="Q13" s="512">
        <f t="shared" si="2"/>
        <v>553837.26</v>
      </c>
      <c r="R13" s="511">
        <f t="shared" si="2"/>
        <v>919778</v>
      </c>
      <c r="S13" s="718">
        <f>S5</f>
        <v>0</v>
      </c>
      <c r="T13" s="511">
        <f>T5</f>
        <v>0</v>
      </c>
      <c r="U13" s="653">
        <f>U5</f>
        <v>919778</v>
      </c>
    </row>
    <row r="14" spans="1:23" ht="15.75" thickTop="1" x14ac:dyDescent="0.25"/>
  </sheetData>
  <mergeCells count="24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U3:U4"/>
    <mergeCell ref="A6:A12"/>
    <mergeCell ref="A13:C13"/>
    <mergeCell ref="Q3:Q4"/>
    <mergeCell ref="R3:R4"/>
    <mergeCell ref="B5:C5"/>
    <mergeCell ref="J3:J4"/>
    <mergeCell ref="K3:K4"/>
    <mergeCell ref="L3:L4"/>
    <mergeCell ref="M3:M4"/>
    <mergeCell ref="N3:N4"/>
    <mergeCell ref="O3:O4"/>
    <mergeCell ref="P3:P4"/>
    <mergeCell ref="S3:T3"/>
  </mergeCells>
  <pageMargins left="0.11811023622047245" right="0.11811023622047245" top="0.35433070866141736" bottom="0.7480314960629921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workbookViewId="0">
      <selection activeCell="A26" sqref="A26"/>
    </sheetView>
  </sheetViews>
  <sheetFormatPr defaultRowHeight="15" x14ac:dyDescent="0.25"/>
  <cols>
    <col min="1" max="1" width="52.42578125" customWidth="1"/>
    <col min="2" max="14" width="14.42578125" hidden="1" customWidth="1"/>
    <col min="15" max="15" width="15.5703125" customWidth="1"/>
    <col min="16" max="16" width="14.42578125" customWidth="1"/>
    <col min="17" max="17" width="10.85546875" customWidth="1"/>
    <col min="18" max="19" width="13.28515625" customWidth="1"/>
    <col min="20" max="20" width="14.28515625" customWidth="1"/>
    <col min="22" max="22" width="10.140625" bestFit="1" customWidth="1"/>
    <col min="23" max="23" width="11.42578125" bestFit="1" customWidth="1"/>
    <col min="24" max="24" width="12.140625" customWidth="1"/>
    <col min="25" max="25" width="10.5703125" customWidth="1"/>
    <col min="256" max="256" width="47" customWidth="1"/>
    <col min="257" max="268" width="0" hidden="1" customWidth="1"/>
    <col min="269" max="270" width="14.42578125" customWidth="1"/>
    <col min="271" max="271" width="13.140625" customWidth="1"/>
    <col min="272" max="272" width="10.85546875" customWidth="1"/>
    <col min="273" max="274" width="13.28515625" customWidth="1"/>
    <col min="277" max="277" width="10.140625" bestFit="1" customWidth="1"/>
    <col min="278" max="278" width="11.42578125" bestFit="1" customWidth="1"/>
    <col min="280" max="280" width="12.140625" customWidth="1"/>
    <col min="512" max="512" width="47" customWidth="1"/>
    <col min="513" max="524" width="0" hidden="1" customWidth="1"/>
    <col min="525" max="526" width="14.42578125" customWidth="1"/>
    <col min="527" max="527" width="13.140625" customWidth="1"/>
    <col min="528" max="528" width="10.85546875" customWidth="1"/>
    <col min="529" max="530" width="13.28515625" customWidth="1"/>
    <col min="533" max="533" width="10.140625" bestFit="1" customWidth="1"/>
    <col min="534" max="534" width="11.42578125" bestFit="1" customWidth="1"/>
    <col min="536" max="536" width="12.140625" customWidth="1"/>
    <col min="768" max="768" width="47" customWidth="1"/>
    <col min="769" max="780" width="0" hidden="1" customWidth="1"/>
    <col min="781" max="782" width="14.42578125" customWidth="1"/>
    <col min="783" max="783" width="13.140625" customWidth="1"/>
    <col min="784" max="784" width="10.85546875" customWidth="1"/>
    <col min="785" max="786" width="13.28515625" customWidth="1"/>
    <col min="789" max="789" width="10.140625" bestFit="1" customWidth="1"/>
    <col min="790" max="790" width="11.42578125" bestFit="1" customWidth="1"/>
    <col min="792" max="792" width="12.140625" customWidth="1"/>
    <col min="1024" max="1024" width="47" customWidth="1"/>
    <col min="1025" max="1036" width="0" hidden="1" customWidth="1"/>
    <col min="1037" max="1038" width="14.42578125" customWidth="1"/>
    <col min="1039" max="1039" width="13.140625" customWidth="1"/>
    <col min="1040" max="1040" width="10.85546875" customWidth="1"/>
    <col min="1041" max="1042" width="13.28515625" customWidth="1"/>
    <col min="1045" max="1045" width="10.140625" bestFit="1" customWidth="1"/>
    <col min="1046" max="1046" width="11.42578125" bestFit="1" customWidth="1"/>
    <col min="1048" max="1048" width="12.140625" customWidth="1"/>
    <col min="1280" max="1280" width="47" customWidth="1"/>
    <col min="1281" max="1292" width="0" hidden="1" customWidth="1"/>
    <col min="1293" max="1294" width="14.42578125" customWidth="1"/>
    <col min="1295" max="1295" width="13.140625" customWidth="1"/>
    <col min="1296" max="1296" width="10.85546875" customWidth="1"/>
    <col min="1297" max="1298" width="13.28515625" customWidth="1"/>
    <col min="1301" max="1301" width="10.140625" bestFit="1" customWidth="1"/>
    <col min="1302" max="1302" width="11.42578125" bestFit="1" customWidth="1"/>
    <col min="1304" max="1304" width="12.140625" customWidth="1"/>
    <col min="1536" max="1536" width="47" customWidth="1"/>
    <col min="1537" max="1548" width="0" hidden="1" customWidth="1"/>
    <col min="1549" max="1550" width="14.42578125" customWidth="1"/>
    <col min="1551" max="1551" width="13.140625" customWidth="1"/>
    <col min="1552" max="1552" width="10.85546875" customWidth="1"/>
    <col min="1553" max="1554" width="13.28515625" customWidth="1"/>
    <col min="1557" max="1557" width="10.140625" bestFit="1" customWidth="1"/>
    <col min="1558" max="1558" width="11.42578125" bestFit="1" customWidth="1"/>
    <col min="1560" max="1560" width="12.140625" customWidth="1"/>
    <col min="1792" max="1792" width="47" customWidth="1"/>
    <col min="1793" max="1804" width="0" hidden="1" customWidth="1"/>
    <col min="1805" max="1806" width="14.42578125" customWidth="1"/>
    <col min="1807" max="1807" width="13.140625" customWidth="1"/>
    <col min="1808" max="1808" width="10.85546875" customWidth="1"/>
    <col min="1809" max="1810" width="13.28515625" customWidth="1"/>
    <col min="1813" max="1813" width="10.140625" bestFit="1" customWidth="1"/>
    <col min="1814" max="1814" width="11.42578125" bestFit="1" customWidth="1"/>
    <col min="1816" max="1816" width="12.140625" customWidth="1"/>
    <col min="2048" max="2048" width="47" customWidth="1"/>
    <col min="2049" max="2060" width="0" hidden="1" customWidth="1"/>
    <col min="2061" max="2062" width="14.42578125" customWidth="1"/>
    <col min="2063" max="2063" width="13.140625" customWidth="1"/>
    <col min="2064" max="2064" width="10.85546875" customWidth="1"/>
    <col min="2065" max="2066" width="13.28515625" customWidth="1"/>
    <col min="2069" max="2069" width="10.140625" bestFit="1" customWidth="1"/>
    <col min="2070" max="2070" width="11.42578125" bestFit="1" customWidth="1"/>
    <col min="2072" max="2072" width="12.140625" customWidth="1"/>
    <col min="2304" max="2304" width="47" customWidth="1"/>
    <col min="2305" max="2316" width="0" hidden="1" customWidth="1"/>
    <col min="2317" max="2318" width="14.42578125" customWidth="1"/>
    <col min="2319" max="2319" width="13.140625" customWidth="1"/>
    <col min="2320" max="2320" width="10.85546875" customWidth="1"/>
    <col min="2321" max="2322" width="13.28515625" customWidth="1"/>
    <col min="2325" max="2325" width="10.140625" bestFit="1" customWidth="1"/>
    <col min="2326" max="2326" width="11.42578125" bestFit="1" customWidth="1"/>
    <col min="2328" max="2328" width="12.140625" customWidth="1"/>
    <col min="2560" max="2560" width="47" customWidth="1"/>
    <col min="2561" max="2572" width="0" hidden="1" customWidth="1"/>
    <col min="2573" max="2574" width="14.42578125" customWidth="1"/>
    <col min="2575" max="2575" width="13.140625" customWidth="1"/>
    <col min="2576" max="2576" width="10.85546875" customWidth="1"/>
    <col min="2577" max="2578" width="13.28515625" customWidth="1"/>
    <col min="2581" max="2581" width="10.140625" bestFit="1" customWidth="1"/>
    <col min="2582" max="2582" width="11.42578125" bestFit="1" customWidth="1"/>
    <col min="2584" max="2584" width="12.140625" customWidth="1"/>
    <col min="2816" max="2816" width="47" customWidth="1"/>
    <col min="2817" max="2828" width="0" hidden="1" customWidth="1"/>
    <col min="2829" max="2830" width="14.42578125" customWidth="1"/>
    <col min="2831" max="2831" width="13.140625" customWidth="1"/>
    <col min="2832" max="2832" width="10.85546875" customWidth="1"/>
    <col min="2833" max="2834" width="13.28515625" customWidth="1"/>
    <col min="2837" max="2837" width="10.140625" bestFit="1" customWidth="1"/>
    <col min="2838" max="2838" width="11.42578125" bestFit="1" customWidth="1"/>
    <col min="2840" max="2840" width="12.140625" customWidth="1"/>
    <col min="3072" max="3072" width="47" customWidth="1"/>
    <col min="3073" max="3084" width="0" hidden="1" customWidth="1"/>
    <col min="3085" max="3086" width="14.42578125" customWidth="1"/>
    <col min="3087" max="3087" width="13.140625" customWidth="1"/>
    <col min="3088" max="3088" width="10.85546875" customWidth="1"/>
    <col min="3089" max="3090" width="13.28515625" customWidth="1"/>
    <col min="3093" max="3093" width="10.140625" bestFit="1" customWidth="1"/>
    <col min="3094" max="3094" width="11.42578125" bestFit="1" customWidth="1"/>
    <col min="3096" max="3096" width="12.140625" customWidth="1"/>
    <col min="3328" max="3328" width="47" customWidth="1"/>
    <col min="3329" max="3340" width="0" hidden="1" customWidth="1"/>
    <col min="3341" max="3342" width="14.42578125" customWidth="1"/>
    <col min="3343" max="3343" width="13.140625" customWidth="1"/>
    <col min="3344" max="3344" width="10.85546875" customWidth="1"/>
    <col min="3345" max="3346" width="13.28515625" customWidth="1"/>
    <col min="3349" max="3349" width="10.140625" bestFit="1" customWidth="1"/>
    <col min="3350" max="3350" width="11.42578125" bestFit="1" customWidth="1"/>
    <col min="3352" max="3352" width="12.140625" customWidth="1"/>
    <col min="3584" max="3584" width="47" customWidth="1"/>
    <col min="3585" max="3596" width="0" hidden="1" customWidth="1"/>
    <col min="3597" max="3598" width="14.42578125" customWidth="1"/>
    <col min="3599" max="3599" width="13.140625" customWidth="1"/>
    <col min="3600" max="3600" width="10.85546875" customWidth="1"/>
    <col min="3601" max="3602" width="13.28515625" customWidth="1"/>
    <col min="3605" max="3605" width="10.140625" bestFit="1" customWidth="1"/>
    <col min="3606" max="3606" width="11.42578125" bestFit="1" customWidth="1"/>
    <col min="3608" max="3608" width="12.140625" customWidth="1"/>
    <col min="3840" max="3840" width="47" customWidth="1"/>
    <col min="3841" max="3852" width="0" hidden="1" customWidth="1"/>
    <col min="3853" max="3854" width="14.42578125" customWidth="1"/>
    <col min="3855" max="3855" width="13.140625" customWidth="1"/>
    <col min="3856" max="3856" width="10.85546875" customWidth="1"/>
    <col min="3857" max="3858" width="13.28515625" customWidth="1"/>
    <col min="3861" max="3861" width="10.140625" bestFit="1" customWidth="1"/>
    <col min="3862" max="3862" width="11.42578125" bestFit="1" customWidth="1"/>
    <col min="3864" max="3864" width="12.140625" customWidth="1"/>
    <col min="4096" max="4096" width="47" customWidth="1"/>
    <col min="4097" max="4108" width="0" hidden="1" customWidth="1"/>
    <col min="4109" max="4110" width="14.42578125" customWidth="1"/>
    <col min="4111" max="4111" width="13.140625" customWidth="1"/>
    <col min="4112" max="4112" width="10.85546875" customWidth="1"/>
    <col min="4113" max="4114" width="13.28515625" customWidth="1"/>
    <col min="4117" max="4117" width="10.140625" bestFit="1" customWidth="1"/>
    <col min="4118" max="4118" width="11.42578125" bestFit="1" customWidth="1"/>
    <col min="4120" max="4120" width="12.140625" customWidth="1"/>
    <col min="4352" max="4352" width="47" customWidth="1"/>
    <col min="4353" max="4364" width="0" hidden="1" customWidth="1"/>
    <col min="4365" max="4366" width="14.42578125" customWidth="1"/>
    <col min="4367" max="4367" width="13.140625" customWidth="1"/>
    <col min="4368" max="4368" width="10.85546875" customWidth="1"/>
    <col min="4369" max="4370" width="13.28515625" customWidth="1"/>
    <col min="4373" max="4373" width="10.140625" bestFit="1" customWidth="1"/>
    <col min="4374" max="4374" width="11.42578125" bestFit="1" customWidth="1"/>
    <col min="4376" max="4376" width="12.140625" customWidth="1"/>
    <col min="4608" max="4608" width="47" customWidth="1"/>
    <col min="4609" max="4620" width="0" hidden="1" customWidth="1"/>
    <col min="4621" max="4622" width="14.42578125" customWidth="1"/>
    <col min="4623" max="4623" width="13.140625" customWidth="1"/>
    <col min="4624" max="4624" width="10.85546875" customWidth="1"/>
    <col min="4625" max="4626" width="13.28515625" customWidth="1"/>
    <col min="4629" max="4629" width="10.140625" bestFit="1" customWidth="1"/>
    <col min="4630" max="4630" width="11.42578125" bestFit="1" customWidth="1"/>
    <col min="4632" max="4632" width="12.140625" customWidth="1"/>
    <col min="4864" max="4864" width="47" customWidth="1"/>
    <col min="4865" max="4876" width="0" hidden="1" customWidth="1"/>
    <col min="4877" max="4878" width="14.42578125" customWidth="1"/>
    <col min="4879" max="4879" width="13.140625" customWidth="1"/>
    <col min="4880" max="4880" width="10.85546875" customWidth="1"/>
    <col min="4881" max="4882" width="13.28515625" customWidth="1"/>
    <col min="4885" max="4885" width="10.140625" bestFit="1" customWidth="1"/>
    <col min="4886" max="4886" width="11.42578125" bestFit="1" customWidth="1"/>
    <col min="4888" max="4888" width="12.140625" customWidth="1"/>
    <col min="5120" max="5120" width="47" customWidth="1"/>
    <col min="5121" max="5132" width="0" hidden="1" customWidth="1"/>
    <col min="5133" max="5134" width="14.42578125" customWidth="1"/>
    <col min="5135" max="5135" width="13.140625" customWidth="1"/>
    <col min="5136" max="5136" width="10.85546875" customWidth="1"/>
    <col min="5137" max="5138" width="13.28515625" customWidth="1"/>
    <col min="5141" max="5141" width="10.140625" bestFit="1" customWidth="1"/>
    <col min="5142" max="5142" width="11.42578125" bestFit="1" customWidth="1"/>
    <col min="5144" max="5144" width="12.140625" customWidth="1"/>
    <col min="5376" max="5376" width="47" customWidth="1"/>
    <col min="5377" max="5388" width="0" hidden="1" customWidth="1"/>
    <col min="5389" max="5390" width="14.42578125" customWidth="1"/>
    <col min="5391" max="5391" width="13.140625" customWidth="1"/>
    <col min="5392" max="5392" width="10.85546875" customWidth="1"/>
    <col min="5393" max="5394" width="13.28515625" customWidth="1"/>
    <col min="5397" max="5397" width="10.140625" bestFit="1" customWidth="1"/>
    <col min="5398" max="5398" width="11.42578125" bestFit="1" customWidth="1"/>
    <col min="5400" max="5400" width="12.140625" customWidth="1"/>
    <col min="5632" max="5632" width="47" customWidth="1"/>
    <col min="5633" max="5644" width="0" hidden="1" customWidth="1"/>
    <col min="5645" max="5646" width="14.42578125" customWidth="1"/>
    <col min="5647" max="5647" width="13.140625" customWidth="1"/>
    <col min="5648" max="5648" width="10.85546875" customWidth="1"/>
    <col min="5649" max="5650" width="13.28515625" customWidth="1"/>
    <col min="5653" max="5653" width="10.140625" bestFit="1" customWidth="1"/>
    <col min="5654" max="5654" width="11.42578125" bestFit="1" customWidth="1"/>
    <col min="5656" max="5656" width="12.140625" customWidth="1"/>
    <col min="5888" max="5888" width="47" customWidth="1"/>
    <col min="5889" max="5900" width="0" hidden="1" customWidth="1"/>
    <col min="5901" max="5902" width="14.42578125" customWidth="1"/>
    <col min="5903" max="5903" width="13.140625" customWidth="1"/>
    <col min="5904" max="5904" width="10.85546875" customWidth="1"/>
    <col min="5905" max="5906" width="13.28515625" customWidth="1"/>
    <col min="5909" max="5909" width="10.140625" bestFit="1" customWidth="1"/>
    <col min="5910" max="5910" width="11.42578125" bestFit="1" customWidth="1"/>
    <col min="5912" max="5912" width="12.140625" customWidth="1"/>
    <col min="6144" max="6144" width="47" customWidth="1"/>
    <col min="6145" max="6156" width="0" hidden="1" customWidth="1"/>
    <col min="6157" max="6158" width="14.42578125" customWidth="1"/>
    <col min="6159" max="6159" width="13.140625" customWidth="1"/>
    <col min="6160" max="6160" width="10.85546875" customWidth="1"/>
    <col min="6161" max="6162" width="13.28515625" customWidth="1"/>
    <col min="6165" max="6165" width="10.140625" bestFit="1" customWidth="1"/>
    <col min="6166" max="6166" width="11.42578125" bestFit="1" customWidth="1"/>
    <col min="6168" max="6168" width="12.140625" customWidth="1"/>
    <col min="6400" max="6400" width="47" customWidth="1"/>
    <col min="6401" max="6412" width="0" hidden="1" customWidth="1"/>
    <col min="6413" max="6414" width="14.42578125" customWidth="1"/>
    <col min="6415" max="6415" width="13.140625" customWidth="1"/>
    <col min="6416" max="6416" width="10.85546875" customWidth="1"/>
    <col min="6417" max="6418" width="13.28515625" customWidth="1"/>
    <col min="6421" max="6421" width="10.140625" bestFit="1" customWidth="1"/>
    <col min="6422" max="6422" width="11.42578125" bestFit="1" customWidth="1"/>
    <col min="6424" max="6424" width="12.140625" customWidth="1"/>
    <col min="6656" max="6656" width="47" customWidth="1"/>
    <col min="6657" max="6668" width="0" hidden="1" customWidth="1"/>
    <col min="6669" max="6670" width="14.42578125" customWidth="1"/>
    <col min="6671" max="6671" width="13.140625" customWidth="1"/>
    <col min="6672" max="6672" width="10.85546875" customWidth="1"/>
    <col min="6673" max="6674" width="13.28515625" customWidth="1"/>
    <col min="6677" max="6677" width="10.140625" bestFit="1" customWidth="1"/>
    <col min="6678" max="6678" width="11.42578125" bestFit="1" customWidth="1"/>
    <col min="6680" max="6680" width="12.140625" customWidth="1"/>
    <col min="6912" max="6912" width="47" customWidth="1"/>
    <col min="6913" max="6924" width="0" hidden="1" customWidth="1"/>
    <col min="6925" max="6926" width="14.42578125" customWidth="1"/>
    <col min="6927" max="6927" width="13.140625" customWidth="1"/>
    <col min="6928" max="6928" width="10.85546875" customWidth="1"/>
    <col min="6929" max="6930" width="13.28515625" customWidth="1"/>
    <col min="6933" max="6933" width="10.140625" bestFit="1" customWidth="1"/>
    <col min="6934" max="6934" width="11.42578125" bestFit="1" customWidth="1"/>
    <col min="6936" max="6936" width="12.140625" customWidth="1"/>
    <col min="7168" max="7168" width="47" customWidth="1"/>
    <col min="7169" max="7180" width="0" hidden="1" customWidth="1"/>
    <col min="7181" max="7182" width="14.42578125" customWidth="1"/>
    <col min="7183" max="7183" width="13.140625" customWidth="1"/>
    <col min="7184" max="7184" width="10.85546875" customWidth="1"/>
    <col min="7185" max="7186" width="13.28515625" customWidth="1"/>
    <col min="7189" max="7189" width="10.140625" bestFit="1" customWidth="1"/>
    <col min="7190" max="7190" width="11.42578125" bestFit="1" customWidth="1"/>
    <col min="7192" max="7192" width="12.140625" customWidth="1"/>
    <col min="7424" max="7424" width="47" customWidth="1"/>
    <col min="7425" max="7436" width="0" hidden="1" customWidth="1"/>
    <col min="7437" max="7438" width="14.42578125" customWidth="1"/>
    <col min="7439" max="7439" width="13.140625" customWidth="1"/>
    <col min="7440" max="7440" width="10.85546875" customWidth="1"/>
    <col min="7441" max="7442" width="13.28515625" customWidth="1"/>
    <col min="7445" max="7445" width="10.140625" bestFit="1" customWidth="1"/>
    <col min="7446" max="7446" width="11.42578125" bestFit="1" customWidth="1"/>
    <col min="7448" max="7448" width="12.140625" customWidth="1"/>
    <col min="7680" max="7680" width="47" customWidth="1"/>
    <col min="7681" max="7692" width="0" hidden="1" customWidth="1"/>
    <col min="7693" max="7694" width="14.42578125" customWidth="1"/>
    <col min="7695" max="7695" width="13.140625" customWidth="1"/>
    <col min="7696" max="7696" width="10.85546875" customWidth="1"/>
    <col min="7697" max="7698" width="13.28515625" customWidth="1"/>
    <col min="7701" max="7701" width="10.140625" bestFit="1" customWidth="1"/>
    <col min="7702" max="7702" width="11.42578125" bestFit="1" customWidth="1"/>
    <col min="7704" max="7704" width="12.140625" customWidth="1"/>
    <col min="7936" max="7936" width="47" customWidth="1"/>
    <col min="7937" max="7948" width="0" hidden="1" customWidth="1"/>
    <col min="7949" max="7950" width="14.42578125" customWidth="1"/>
    <col min="7951" max="7951" width="13.140625" customWidth="1"/>
    <col min="7952" max="7952" width="10.85546875" customWidth="1"/>
    <col min="7953" max="7954" width="13.28515625" customWidth="1"/>
    <col min="7957" max="7957" width="10.140625" bestFit="1" customWidth="1"/>
    <col min="7958" max="7958" width="11.42578125" bestFit="1" customWidth="1"/>
    <col min="7960" max="7960" width="12.140625" customWidth="1"/>
    <col min="8192" max="8192" width="47" customWidth="1"/>
    <col min="8193" max="8204" width="0" hidden="1" customWidth="1"/>
    <col min="8205" max="8206" width="14.42578125" customWidth="1"/>
    <col min="8207" max="8207" width="13.140625" customWidth="1"/>
    <col min="8208" max="8208" width="10.85546875" customWidth="1"/>
    <col min="8209" max="8210" width="13.28515625" customWidth="1"/>
    <col min="8213" max="8213" width="10.140625" bestFit="1" customWidth="1"/>
    <col min="8214" max="8214" width="11.42578125" bestFit="1" customWidth="1"/>
    <col min="8216" max="8216" width="12.140625" customWidth="1"/>
    <col min="8448" max="8448" width="47" customWidth="1"/>
    <col min="8449" max="8460" width="0" hidden="1" customWidth="1"/>
    <col min="8461" max="8462" width="14.42578125" customWidth="1"/>
    <col min="8463" max="8463" width="13.140625" customWidth="1"/>
    <col min="8464" max="8464" width="10.85546875" customWidth="1"/>
    <col min="8465" max="8466" width="13.28515625" customWidth="1"/>
    <col min="8469" max="8469" width="10.140625" bestFit="1" customWidth="1"/>
    <col min="8470" max="8470" width="11.42578125" bestFit="1" customWidth="1"/>
    <col min="8472" max="8472" width="12.140625" customWidth="1"/>
    <col min="8704" max="8704" width="47" customWidth="1"/>
    <col min="8705" max="8716" width="0" hidden="1" customWidth="1"/>
    <col min="8717" max="8718" width="14.42578125" customWidth="1"/>
    <col min="8719" max="8719" width="13.140625" customWidth="1"/>
    <col min="8720" max="8720" width="10.85546875" customWidth="1"/>
    <col min="8721" max="8722" width="13.28515625" customWidth="1"/>
    <col min="8725" max="8725" width="10.140625" bestFit="1" customWidth="1"/>
    <col min="8726" max="8726" width="11.42578125" bestFit="1" customWidth="1"/>
    <col min="8728" max="8728" width="12.140625" customWidth="1"/>
    <col min="8960" max="8960" width="47" customWidth="1"/>
    <col min="8961" max="8972" width="0" hidden="1" customWidth="1"/>
    <col min="8973" max="8974" width="14.42578125" customWidth="1"/>
    <col min="8975" max="8975" width="13.140625" customWidth="1"/>
    <col min="8976" max="8976" width="10.85546875" customWidth="1"/>
    <col min="8977" max="8978" width="13.28515625" customWidth="1"/>
    <col min="8981" max="8981" width="10.140625" bestFit="1" customWidth="1"/>
    <col min="8982" max="8982" width="11.42578125" bestFit="1" customWidth="1"/>
    <col min="8984" max="8984" width="12.140625" customWidth="1"/>
    <col min="9216" max="9216" width="47" customWidth="1"/>
    <col min="9217" max="9228" width="0" hidden="1" customWidth="1"/>
    <col min="9229" max="9230" width="14.42578125" customWidth="1"/>
    <col min="9231" max="9231" width="13.140625" customWidth="1"/>
    <col min="9232" max="9232" width="10.85546875" customWidth="1"/>
    <col min="9233" max="9234" width="13.28515625" customWidth="1"/>
    <col min="9237" max="9237" width="10.140625" bestFit="1" customWidth="1"/>
    <col min="9238" max="9238" width="11.42578125" bestFit="1" customWidth="1"/>
    <col min="9240" max="9240" width="12.140625" customWidth="1"/>
    <col min="9472" max="9472" width="47" customWidth="1"/>
    <col min="9473" max="9484" width="0" hidden="1" customWidth="1"/>
    <col min="9485" max="9486" width="14.42578125" customWidth="1"/>
    <col min="9487" max="9487" width="13.140625" customWidth="1"/>
    <col min="9488" max="9488" width="10.85546875" customWidth="1"/>
    <col min="9489" max="9490" width="13.28515625" customWidth="1"/>
    <col min="9493" max="9493" width="10.140625" bestFit="1" customWidth="1"/>
    <col min="9494" max="9494" width="11.42578125" bestFit="1" customWidth="1"/>
    <col min="9496" max="9496" width="12.140625" customWidth="1"/>
    <col min="9728" max="9728" width="47" customWidth="1"/>
    <col min="9729" max="9740" width="0" hidden="1" customWidth="1"/>
    <col min="9741" max="9742" width="14.42578125" customWidth="1"/>
    <col min="9743" max="9743" width="13.140625" customWidth="1"/>
    <col min="9744" max="9744" width="10.85546875" customWidth="1"/>
    <col min="9745" max="9746" width="13.28515625" customWidth="1"/>
    <col min="9749" max="9749" width="10.140625" bestFit="1" customWidth="1"/>
    <col min="9750" max="9750" width="11.42578125" bestFit="1" customWidth="1"/>
    <col min="9752" max="9752" width="12.140625" customWidth="1"/>
    <col min="9984" max="9984" width="47" customWidth="1"/>
    <col min="9985" max="9996" width="0" hidden="1" customWidth="1"/>
    <col min="9997" max="9998" width="14.42578125" customWidth="1"/>
    <col min="9999" max="9999" width="13.140625" customWidth="1"/>
    <col min="10000" max="10000" width="10.85546875" customWidth="1"/>
    <col min="10001" max="10002" width="13.28515625" customWidth="1"/>
    <col min="10005" max="10005" width="10.140625" bestFit="1" customWidth="1"/>
    <col min="10006" max="10006" width="11.42578125" bestFit="1" customWidth="1"/>
    <col min="10008" max="10008" width="12.140625" customWidth="1"/>
    <col min="10240" max="10240" width="47" customWidth="1"/>
    <col min="10241" max="10252" width="0" hidden="1" customWidth="1"/>
    <col min="10253" max="10254" width="14.42578125" customWidth="1"/>
    <col min="10255" max="10255" width="13.140625" customWidth="1"/>
    <col min="10256" max="10256" width="10.85546875" customWidth="1"/>
    <col min="10257" max="10258" width="13.28515625" customWidth="1"/>
    <col min="10261" max="10261" width="10.140625" bestFit="1" customWidth="1"/>
    <col min="10262" max="10262" width="11.42578125" bestFit="1" customWidth="1"/>
    <col min="10264" max="10264" width="12.140625" customWidth="1"/>
    <col min="10496" max="10496" width="47" customWidth="1"/>
    <col min="10497" max="10508" width="0" hidden="1" customWidth="1"/>
    <col min="10509" max="10510" width="14.42578125" customWidth="1"/>
    <col min="10511" max="10511" width="13.140625" customWidth="1"/>
    <col min="10512" max="10512" width="10.85546875" customWidth="1"/>
    <col min="10513" max="10514" width="13.28515625" customWidth="1"/>
    <col min="10517" max="10517" width="10.140625" bestFit="1" customWidth="1"/>
    <col min="10518" max="10518" width="11.42578125" bestFit="1" customWidth="1"/>
    <col min="10520" max="10520" width="12.140625" customWidth="1"/>
    <col min="10752" max="10752" width="47" customWidth="1"/>
    <col min="10753" max="10764" width="0" hidden="1" customWidth="1"/>
    <col min="10765" max="10766" width="14.42578125" customWidth="1"/>
    <col min="10767" max="10767" width="13.140625" customWidth="1"/>
    <col min="10768" max="10768" width="10.85546875" customWidth="1"/>
    <col min="10769" max="10770" width="13.28515625" customWidth="1"/>
    <col min="10773" max="10773" width="10.140625" bestFit="1" customWidth="1"/>
    <col min="10774" max="10774" width="11.42578125" bestFit="1" customWidth="1"/>
    <col min="10776" max="10776" width="12.140625" customWidth="1"/>
    <col min="11008" max="11008" width="47" customWidth="1"/>
    <col min="11009" max="11020" width="0" hidden="1" customWidth="1"/>
    <col min="11021" max="11022" width="14.42578125" customWidth="1"/>
    <col min="11023" max="11023" width="13.140625" customWidth="1"/>
    <col min="11024" max="11024" width="10.85546875" customWidth="1"/>
    <col min="11025" max="11026" width="13.28515625" customWidth="1"/>
    <col min="11029" max="11029" width="10.140625" bestFit="1" customWidth="1"/>
    <col min="11030" max="11030" width="11.42578125" bestFit="1" customWidth="1"/>
    <col min="11032" max="11032" width="12.140625" customWidth="1"/>
    <col min="11264" max="11264" width="47" customWidth="1"/>
    <col min="11265" max="11276" width="0" hidden="1" customWidth="1"/>
    <col min="11277" max="11278" width="14.42578125" customWidth="1"/>
    <col min="11279" max="11279" width="13.140625" customWidth="1"/>
    <col min="11280" max="11280" width="10.85546875" customWidth="1"/>
    <col min="11281" max="11282" width="13.28515625" customWidth="1"/>
    <col min="11285" max="11285" width="10.140625" bestFit="1" customWidth="1"/>
    <col min="11286" max="11286" width="11.42578125" bestFit="1" customWidth="1"/>
    <col min="11288" max="11288" width="12.140625" customWidth="1"/>
    <col min="11520" max="11520" width="47" customWidth="1"/>
    <col min="11521" max="11532" width="0" hidden="1" customWidth="1"/>
    <col min="11533" max="11534" width="14.42578125" customWidth="1"/>
    <col min="11535" max="11535" width="13.140625" customWidth="1"/>
    <col min="11536" max="11536" width="10.85546875" customWidth="1"/>
    <col min="11537" max="11538" width="13.28515625" customWidth="1"/>
    <col min="11541" max="11541" width="10.140625" bestFit="1" customWidth="1"/>
    <col min="11542" max="11542" width="11.42578125" bestFit="1" customWidth="1"/>
    <col min="11544" max="11544" width="12.140625" customWidth="1"/>
    <col min="11776" max="11776" width="47" customWidth="1"/>
    <col min="11777" max="11788" width="0" hidden="1" customWidth="1"/>
    <col min="11789" max="11790" width="14.42578125" customWidth="1"/>
    <col min="11791" max="11791" width="13.140625" customWidth="1"/>
    <col min="11792" max="11792" width="10.85546875" customWidth="1"/>
    <col min="11793" max="11794" width="13.28515625" customWidth="1"/>
    <col min="11797" max="11797" width="10.140625" bestFit="1" customWidth="1"/>
    <col min="11798" max="11798" width="11.42578125" bestFit="1" customWidth="1"/>
    <col min="11800" max="11800" width="12.140625" customWidth="1"/>
    <col min="12032" max="12032" width="47" customWidth="1"/>
    <col min="12033" max="12044" width="0" hidden="1" customWidth="1"/>
    <col min="12045" max="12046" width="14.42578125" customWidth="1"/>
    <col min="12047" max="12047" width="13.140625" customWidth="1"/>
    <col min="12048" max="12048" width="10.85546875" customWidth="1"/>
    <col min="12049" max="12050" width="13.28515625" customWidth="1"/>
    <col min="12053" max="12053" width="10.140625" bestFit="1" customWidth="1"/>
    <col min="12054" max="12054" width="11.42578125" bestFit="1" customWidth="1"/>
    <col min="12056" max="12056" width="12.140625" customWidth="1"/>
    <col min="12288" max="12288" width="47" customWidth="1"/>
    <col min="12289" max="12300" width="0" hidden="1" customWidth="1"/>
    <col min="12301" max="12302" width="14.42578125" customWidth="1"/>
    <col min="12303" max="12303" width="13.140625" customWidth="1"/>
    <col min="12304" max="12304" width="10.85546875" customWidth="1"/>
    <col min="12305" max="12306" width="13.28515625" customWidth="1"/>
    <col min="12309" max="12309" width="10.140625" bestFit="1" customWidth="1"/>
    <col min="12310" max="12310" width="11.42578125" bestFit="1" customWidth="1"/>
    <col min="12312" max="12312" width="12.140625" customWidth="1"/>
    <col min="12544" max="12544" width="47" customWidth="1"/>
    <col min="12545" max="12556" width="0" hidden="1" customWidth="1"/>
    <col min="12557" max="12558" width="14.42578125" customWidth="1"/>
    <col min="12559" max="12559" width="13.140625" customWidth="1"/>
    <col min="12560" max="12560" width="10.85546875" customWidth="1"/>
    <col min="12561" max="12562" width="13.28515625" customWidth="1"/>
    <col min="12565" max="12565" width="10.140625" bestFit="1" customWidth="1"/>
    <col min="12566" max="12566" width="11.42578125" bestFit="1" customWidth="1"/>
    <col min="12568" max="12568" width="12.140625" customWidth="1"/>
    <col min="12800" max="12800" width="47" customWidth="1"/>
    <col min="12801" max="12812" width="0" hidden="1" customWidth="1"/>
    <col min="12813" max="12814" width="14.42578125" customWidth="1"/>
    <col min="12815" max="12815" width="13.140625" customWidth="1"/>
    <col min="12816" max="12816" width="10.85546875" customWidth="1"/>
    <col min="12817" max="12818" width="13.28515625" customWidth="1"/>
    <col min="12821" max="12821" width="10.140625" bestFit="1" customWidth="1"/>
    <col min="12822" max="12822" width="11.42578125" bestFit="1" customWidth="1"/>
    <col min="12824" max="12824" width="12.140625" customWidth="1"/>
    <col min="13056" max="13056" width="47" customWidth="1"/>
    <col min="13057" max="13068" width="0" hidden="1" customWidth="1"/>
    <col min="13069" max="13070" width="14.42578125" customWidth="1"/>
    <col min="13071" max="13071" width="13.140625" customWidth="1"/>
    <col min="13072" max="13072" width="10.85546875" customWidth="1"/>
    <col min="13073" max="13074" width="13.28515625" customWidth="1"/>
    <col min="13077" max="13077" width="10.140625" bestFit="1" customWidth="1"/>
    <col min="13078" max="13078" width="11.42578125" bestFit="1" customWidth="1"/>
    <col min="13080" max="13080" width="12.140625" customWidth="1"/>
    <col min="13312" max="13312" width="47" customWidth="1"/>
    <col min="13313" max="13324" width="0" hidden="1" customWidth="1"/>
    <col min="13325" max="13326" width="14.42578125" customWidth="1"/>
    <col min="13327" max="13327" width="13.140625" customWidth="1"/>
    <col min="13328" max="13328" width="10.85546875" customWidth="1"/>
    <col min="13329" max="13330" width="13.28515625" customWidth="1"/>
    <col min="13333" max="13333" width="10.140625" bestFit="1" customWidth="1"/>
    <col min="13334" max="13334" width="11.42578125" bestFit="1" customWidth="1"/>
    <col min="13336" max="13336" width="12.140625" customWidth="1"/>
    <col min="13568" max="13568" width="47" customWidth="1"/>
    <col min="13569" max="13580" width="0" hidden="1" customWidth="1"/>
    <col min="13581" max="13582" width="14.42578125" customWidth="1"/>
    <col min="13583" max="13583" width="13.140625" customWidth="1"/>
    <col min="13584" max="13584" width="10.85546875" customWidth="1"/>
    <col min="13585" max="13586" width="13.28515625" customWidth="1"/>
    <col min="13589" max="13589" width="10.140625" bestFit="1" customWidth="1"/>
    <col min="13590" max="13590" width="11.42578125" bestFit="1" customWidth="1"/>
    <col min="13592" max="13592" width="12.140625" customWidth="1"/>
    <col min="13824" max="13824" width="47" customWidth="1"/>
    <col min="13825" max="13836" width="0" hidden="1" customWidth="1"/>
    <col min="13837" max="13838" width="14.42578125" customWidth="1"/>
    <col min="13839" max="13839" width="13.140625" customWidth="1"/>
    <col min="13840" max="13840" width="10.85546875" customWidth="1"/>
    <col min="13841" max="13842" width="13.28515625" customWidth="1"/>
    <col min="13845" max="13845" width="10.140625" bestFit="1" customWidth="1"/>
    <col min="13846" max="13846" width="11.42578125" bestFit="1" customWidth="1"/>
    <col min="13848" max="13848" width="12.140625" customWidth="1"/>
    <col min="14080" max="14080" width="47" customWidth="1"/>
    <col min="14081" max="14092" width="0" hidden="1" customWidth="1"/>
    <col min="14093" max="14094" width="14.42578125" customWidth="1"/>
    <col min="14095" max="14095" width="13.140625" customWidth="1"/>
    <col min="14096" max="14096" width="10.85546875" customWidth="1"/>
    <col min="14097" max="14098" width="13.28515625" customWidth="1"/>
    <col min="14101" max="14101" width="10.140625" bestFit="1" customWidth="1"/>
    <col min="14102" max="14102" width="11.42578125" bestFit="1" customWidth="1"/>
    <col min="14104" max="14104" width="12.140625" customWidth="1"/>
    <col min="14336" max="14336" width="47" customWidth="1"/>
    <col min="14337" max="14348" width="0" hidden="1" customWidth="1"/>
    <col min="14349" max="14350" width="14.42578125" customWidth="1"/>
    <col min="14351" max="14351" width="13.140625" customWidth="1"/>
    <col min="14352" max="14352" width="10.85546875" customWidth="1"/>
    <col min="14353" max="14354" width="13.28515625" customWidth="1"/>
    <col min="14357" max="14357" width="10.140625" bestFit="1" customWidth="1"/>
    <col min="14358" max="14358" width="11.42578125" bestFit="1" customWidth="1"/>
    <col min="14360" max="14360" width="12.140625" customWidth="1"/>
    <col min="14592" max="14592" width="47" customWidth="1"/>
    <col min="14593" max="14604" width="0" hidden="1" customWidth="1"/>
    <col min="14605" max="14606" width="14.42578125" customWidth="1"/>
    <col min="14607" max="14607" width="13.140625" customWidth="1"/>
    <col min="14608" max="14608" width="10.85546875" customWidth="1"/>
    <col min="14609" max="14610" width="13.28515625" customWidth="1"/>
    <col min="14613" max="14613" width="10.140625" bestFit="1" customWidth="1"/>
    <col min="14614" max="14614" width="11.42578125" bestFit="1" customWidth="1"/>
    <col min="14616" max="14616" width="12.140625" customWidth="1"/>
    <col min="14848" max="14848" width="47" customWidth="1"/>
    <col min="14849" max="14860" width="0" hidden="1" customWidth="1"/>
    <col min="14861" max="14862" width="14.42578125" customWidth="1"/>
    <col min="14863" max="14863" width="13.140625" customWidth="1"/>
    <col min="14864" max="14864" width="10.85546875" customWidth="1"/>
    <col min="14865" max="14866" width="13.28515625" customWidth="1"/>
    <col min="14869" max="14869" width="10.140625" bestFit="1" customWidth="1"/>
    <col min="14870" max="14870" width="11.42578125" bestFit="1" customWidth="1"/>
    <col min="14872" max="14872" width="12.140625" customWidth="1"/>
    <col min="15104" max="15104" width="47" customWidth="1"/>
    <col min="15105" max="15116" width="0" hidden="1" customWidth="1"/>
    <col min="15117" max="15118" width="14.42578125" customWidth="1"/>
    <col min="15119" max="15119" width="13.140625" customWidth="1"/>
    <col min="15120" max="15120" width="10.85546875" customWidth="1"/>
    <col min="15121" max="15122" width="13.28515625" customWidth="1"/>
    <col min="15125" max="15125" width="10.140625" bestFit="1" customWidth="1"/>
    <col min="15126" max="15126" width="11.42578125" bestFit="1" customWidth="1"/>
    <col min="15128" max="15128" width="12.140625" customWidth="1"/>
    <col min="15360" max="15360" width="47" customWidth="1"/>
    <col min="15361" max="15372" width="0" hidden="1" customWidth="1"/>
    <col min="15373" max="15374" width="14.42578125" customWidth="1"/>
    <col min="15375" max="15375" width="13.140625" customWidth="1"/>
    <col min="15376" max="15376" width="10.85546875" customWidth="1"/>
    <col min="15377" max="15378" width="13.28515625" customWidth="1"/>
    <col min="15381" max="15381" width="10.140625" bestFit="1" customWidth="1"/>
    <col min="15382" max="15382" width="11.42578125" bestFit="1" customWidth="1"/>
    <col min="15384" max="15384" width="12.140625" customWidth="1"/>
    <col min="15616" max="15616" width="47" customWidth="1"/>
    <col min="15617" max="15628" width="0" hidden="1" customWidth="1"/>
    <col min="15629" max="15630" width="14.42578125" customWidth="1"/>
    <col min="15631" max="15631" width="13.140625" customWidth="1"/>
    <col min="15632" max="15632" width="10.85546875" customWidth="1"/>
    <col min="15633" max="15634" width="13.28515625" customWidth="1"/>
    <col min="15637" max="15637" width="10.140625" bestFit="1" customWidth="1"/>
    <col min="15638" max="15638" width="11.42578125" bestFit="1" customWidth="1"/>
    <col min="15640" max="15640" width="12.140625" customWidth="1"/>
    <col min="15872" max="15872" width="47" customWidth="1"/>
    <col min="15873" max="15884" width="0" hidden="1" customWidth="1"/>
    <col min="15885" max="15886" width="14.42578125" customWidth="1"/>
    <col min="15887" max="15887" width="13.140625" customWidth="1"/>
    <col min="15888" max="15888" width="10.85546875" customWidth="1"/>
    <col min="15889" max="15890" width="13.28515625" customWidth="1"/>
    <col min="15893" max="15893" width="10.140625" bestFit="1" customWidth="1"/>
    <col min="15894" max="15894" width="11.42578125" bestFit="1" customWidth="1"/>
    <col min="15896" max="15896" width="12.140625" customWidth="1"/>
    <col min="16128" max="16128" width="47" customWidth="1"/>
    <col min="16129" max="16140" width="0" hidden="1" customWidth="1"/>
    <col min="16141" max="16142" width="14.42578125" customWidth="1"/>
    <col min="16143" max="16143" width="13.140625" customWidth="1"/>
    <col min="16144" max="16144" width="10.85546875" customWidth="1"/>
    <col min="16145" max="16146" width="13.28515625" customWidth="1"/>
    <col min="16149" max="16149" width="10.140625" bestFit="1" customWidth="1"/>
    <col min="16150" max="16150" width="11.42578125" bestFit="1" customWidth="1"/>
    <col min="16152" max="16152" width="12.140625" customWidth="1"/>
  </cols>
  <sheetData>
    <row r="1" spans="1:25" ht="15.75" x14ac:dyDescent="0.25">
      <c r="A1" s="910" t="s">
        <v>377</v>
      </c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  <c r="M1" s="910"/>
      <c r="N1" s="910"/>
      <c r="O1" s="910"/>
      <c r="P1" s="910"/>
      <c r="Q1" s="910"/>
      <c r="R1" s="910"/>
      <c r="S1" s="910"/>
      <c r="T1" s="910"/>
    </row>
    <row r="2" spans="1:25" ht="15.75" thickBot="1" x14ac:dyDescent="0.3">
      <c r="A2" s="660"/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513"/>
      <c r="M2" s="513"/>
      <c r="N2" s="513"/>
      <c r="O2" s="513"/>
      <c r="P2" s="514"/>
      <c r="Q2" s="514"/>
    </row>
    <row r="3" spans="1:25" ht="13.5" customHeight="1" thickTop="1" x14ac:dyDescent="0.25">
      <c r="A3" s="917" t="s">
        <v>2</v>
      </c>
      <c r="B3" s="788" t="s">
        <v>115</v>
      </c>
      <c r="C3" s="788" t="s">
        <v>116</v>
      </c>
      <c r="D3" s="788" t="s">
        <v>117</v>
      </c>
      <c r="E3" s="788" t="s">
        <v>118</v>
      </c>
      <c r="F3" s="788" t="s">
        <v>119</v>
      </c>
      <c r="G3" s="788" t="s">
        <v>8</v>
      </c>
      <c r="H3" s="788" t="s">
        <v>9</v>
      </c>
      <c r="I3" s="788" t="s">
        <v>10</v>
      </c>
      <c r="J3" s="788" t="s">
        <v>11</v>
      </c>
      <c r="K3" s="788" t="s">
        <v>12</v>
      </c>
      <c r="L3" s="788" t="s">
        <v>13</v>
      </c>
      <c r="M3" s="788" t="s">
        <v>14</v>
      </c>
      <c r="N3" s="788" t="s">
        <v>15</v>
      </c>
      <c r="O3" s="788" t="s">
        <v>458</v>
      </c>
      <c r="P3" s="812" t="s">
        <v>425</v>
      </c>
      <c r="Q3" s="940" t="s">
        <v>465</v>
      </c>
      <c r="R3" s="941"/>
      <c r="S3" s="889"/>
      <c r="T3" s="902" t="s">
        <v>411</v>
      </c>
    </row>
    <row r="4" spans="1:25" x14ac:dyDescent="0.25">
      <c r="A4" s="918"/>
      <c r="B4" s="911"/>
      <c r="C4" s="911"/>
      <c r="D4" s="911"/>
      <c r="E4" s="911"/>
      <c r="F4" s="911"/>
      <c r="G4" s="911"/>
      <c r="H4" s="911"/>
      <c r="I4" s="911"/>
      <c r="J4" s="911"/>
      <c r="K4" s="911"/>
      <c r="L4" s="911"/>
      <c r="M4" s="911"/>
      <c r="N4" s="911"/>
      <c r="O4" s="911"/>
      <c r="P4" s="912"/>
      <c r="Q4" s="914" t="s">
        <v>21</v>
      </c>
      <c r="R4" s="915"/>
      <c r="S4" s="916"/>
      <c r="T4" s="913"/>
    </row>
    <row r="5" spans="1:25" ht="15.75" thickBot="1" x14ac:dyDescent="0.3">
      <c r="A5" s="91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  <c r="O5" s="789"/>
      <c r="P5" s="813"/>
      <c r="Q5" s="686" t="s">
        <v>20</v>
      </c>
      <c r="R5" s="685" t="s">
        <v>22</v>
      </c>
      <c r="S5" s="691" t="s">
        <v>23</v>
      </c>
      <c r="T5" s="903"/>
    </row>
    <row r="6" spans="1:25" ht="15.75" thickTop="1" x14ac:dyDescent="0.25">
      <c r="A6" s="661" t="s">
        <v>378</v>
      </c>
      <c r="B6" s="546">
        <v>7125871</v>
      </c>
      <c r="C6" s="546">
        <v>7561840</v>
      </c>
      <c r="D6" s="546">
        <v>9082354</v>
      </c>
      <c r="E6" s="546">
        <v>9080838</v>
      </c>
      <c r="F6" s="546">
        <v>8537685</v>
      </c>
      <c r="G6" s="546">
        <v>9096722</v>
      </c>
      <c r="H6" s="546">
        <v>9201831</v>
      </c>
      <c r="I6" s="546">
        <v>9722622</v>
      </c>
      <c r="J6" s="546">
        <v>9640328.2399999984</v>
      </c>
      <c r="K6" s="547">
        <v>10178626.01</v>
      </c>
      <c r="L6" s="547">
        <v>10784511.560000002</v>
      </c>
      <c r="M6" s="547">
        <v>10947354.260000002</v>
      </c>
      <c r="N6" s="546">
        <v>11835790.83</v>
      </c>
      <c r="O6" s="547">
        <v>12870365.970000001</v>
      </c>
      <c r="P6" s="546">
        <f>'Bežné príjmy'!R109</f>
        <v>12010967</v>
      </c>
      <c r="Q6" s="922">
        <f>'Bežné príjmy'!S109</f>
        <v>431180</v>
      </c>
      <c r="R6" s="923"/>
      <c r="S6" s="924"/>
      <c r="T6" s="662">
        <f>P6+Q6</f>
        <v>12442147</v>
      </c>
      <c r="U6" s="190"/>
      <c r="V6" s="190"/>
      <c r="W6" s="190"/>
      <c r="X6" s="190"/>
      <c r="Y6" s="190"/>
    </row>
    <row r="7" spans="1:25" ht="15.75" thickBot="1" x14ac:dyDescent="0.3">
      <c r="A7" s="663" t="s">
        <v>379</v>
      </c>
      <c r="B7" s="541">
        <v>5867125</v>
      </c>
      <c r="C7" s="541">
        <v>6460200</v>
      </c>
      <c r="D7" s="541">
        <v>7832271</v>
      </c>
      <c r="E7" s="541">
        <v>8716285.4299999997</v>
      </c>
      <c r="F7" s="541">
        <v>9309387</v>
      </c>
      <c r="G7" s="541">
        <v>8743512.1999999993</v>
      </c>
      <c r="H7" s="541">
        <v>8908071</v>
      </c>
      <c r="I7" s="541">
        <v>8934542</v>
      </c>
      <c r="J7" s="541">
        <v>9572545.3800000008</v>
      </c>
      <c r="K7" s="542">
        <v>9554914.7999999989</v>
      </c>
      <c r="L7" s="542">
        <v>9695081.3400000017</v>
      </c>
      <c r="M7" s="542">
        <v>10029034.879999999</v>
      </c>
      <c r="N7" s="541">
        <v>10815176.439999999</v>
      </c>
      <c r="O7" s="542">
        <v>12072287.609999999</v>
      </c>
      <c r="P7" s="541">
        <f>'bežné výdavky'!R210</f>
        <v>12096911</v>
      </c>
      <c r="Q7" s="541">
        <f>'bežné výdavky'!S210</f>
        <v>-37722</v>
      </c>
      <c r="R7" s="541">
        <f>'bežné výdavky'!T210</f>
        <v>218899</v>
      </c>
      <c r="S7" s="541"/>
      <c r="T7" s="659">
        <f>Q7+R7+P7</f>
        <v>12278088</v>
      </c>
      <c r="U7" s="190"/>
      <c r="V7" s="190"/>
      <c r="W7" s="190"/>
      <c r="X7" s="190"/>
      <c r="Y7" s="190"/>
    </row>
    <row r="8" spans="1:25" ht="15.75" thickBot="1" x14ac:dyDescent="0.3">
      <c r="A8" s="664" t="s">
        <v>380</v>
      </c>
      <c r="B8" s="548">
        <f t="shared" ref="B8:K8" si="0">B6-B7</f>
        <v>1258746</v>
      </c>
      <c r="C8" s="548">
        <f t="shared" si="0"/>
        <v>1101640</v>
      </c>
      <c r="D8" s="548">
        <f t="shared" si="0"/>
        <v>1250083</v>
      </c>
      <c r="E8" s="548">
        <f t="shared" si="0"/>
        <v>364552.5700000003</v>
      </c>
      <c r="F8" s="548">
        <f t="shared" si="0"/>
        <v>-771702</v>
      </c>
      <c r="G8" s="548">
        <f t="shared" si="0"/>
        <v>353209.80000000075</v>
      </c>
      <c r="H8" s="548">
        <f t="shared" si="0"/>
        <v>293760</v>
      </c>
      <c r="I8" s="548">
        <f t="shared" si="0"/>
        <v>788080</v>
      </c>
      <c r="J8" s="549">
        <f t="shared" si="0"/>
        <v>67782.859999997541</v>
      </c>
      <c r="K8" s="549">
        <f t="shared" si="0"/>
        <v>623711.21000000089</v>
      </c>
      <c r="L8" s="549">
        <f>L6-L7</f>
        <v>1089430.2200000007</v>
      </c>
      <c r="M8" s="549">
        <f>M6-M7</f>
        <v>918319.38000000268</v>
      </c>
      <c r="N8" s="548">
        <f>N6-N7</f>
        <v>1020614.3900000006</v>
      </c>
      <c r="O8" s="549">
        <f>O6-O7</f>
        <v>798078.36000000127</v>
      </c>
      <c r="P8" s="548">
        <f>P6-P7</f>
        <v>-85944</v>
      </c>
      <c r="Q8" s="928">
        <f>Q6-Q7-R7</f>
        <v>250003</v>
      </c>
      <c r="R8" s="929"/>
      <c r="S8" s="930"/>
      <c r="T8" s="665">
        <f>T6-T7</f>
        <v>164059</v>
      </c>
      <c r="V8" s="190"/>
      <c r="W8" s="190"/>
      <c r="X8" s="190"/>
      <c r="Y8" s="190"/>
    </row>
    <row r="9" spans="1:25" ht="16.5" thickTop="1" thickBot="1" x14ac:dyDescent="0.3">
      <c r="A9" s="937"/>
      <c r="B9" s="938"/>
      <c r="C9" s="938"/>
      <c r="D9" s="938"/>
      <c r="E9" s="938"/>
      <c r="F9" s="938"/>
      <c r="G9" s="938"/>
      <c r="H9" s="938"/>
      <c r="I9" s="938"/>
      <c r="J9" s="938"/>
      <c r="K9" s="938"/>
      <c r="L9" s="938"/>
      <c r="M9" s="938"/>
      <c r="N9" s="938"/>
      <c r="O9" s="938"/>
      <c r="P9" s="938"/>
      <c r="Q9" s="938"/>
      <c r="R9" s="938"/>
      <c r="S9" s="938"/>
      <c r="T9" s="939"/>
      <c r="V9" s="190"/>
      <c r="W9" s="190"/>
      <c r="X9" s="190"/>
      <c r="Y9" s="190"/>
    </row>
    <row r="10" spans="1:25" ht="15.75" thickTop="1" x14ac:dyDescent="0.25">
      <c r="A10" s="661" t="s">
        <v>381</v>
      </c>
      <c r="B10" s="546">
        <v>2113092</v>
      </c>
      <c r="C10" s="546">
        <v>1017958</v>
      </c>
      <c r="D10" s="546">
        <v>1245369</v>
      </c>
      <c r="E10" s="546">
        <v>4391413</v>
      </c>
      <c r="F10" s="546">
        <v>3456141</v>
      </c>
      <c r="G10" s="546">
        <v>4649713</v>
      </c>
      <c r="H10" s="546">
        <v>4502774.0599999996</v>
      </c>
      <c r="I10" s="546">
        <v>3678497</v>
      </c>
      <c r="J10" s="546">
        <v>1218338.5899999999</v>
      </c>
      <c r="K10" s="547">
        <v>752297.52</v>
      </c>
      <c r="L10" s="547">
        <v>935536.18</v>
      </c>
      <c r="M10" s="547">
        <v>1696241.7999999998</v>
      </c>
      <c r="N10" s="546">
        <v>2123247.52</v>
      </c>
      <c r="O10" s="547">
        <v>1526662.64</v>
      </c>
      <c r="P10" s="546">
        <f>'Kapitálové príjmy'!R41</f>
        <v>2564765</v>
      </c>
      <c r="Q10" s="922">
        <f>'Kapitálové príjmy'!S41</f>
        <v>73403</v>
      </c>
      <c r="R10" s="923"/>
      <c r="S10" s="924"/>
      <c r="T10" s="662">
        <f>P10+Q10</f>
        <v>2638168</v>
      </c>
      <c r="V10" s="190"/>
      <c r="W10" s="190"/>
      <c r="X10" s="190"/>
      <c r="Y10" s="190"/>
    </row>
    <row r="11" spans="1:25" ht="15.75" thickBot="1" x14ac:dyDescent="0.3">
      <c r="A11" s="663" t="s">
        <v>382</v>
      </c>
      <c r="B11" s="541">
        <v>2988050</v>
      </c>
      <c r="C11" s="541">
        <v>1793069</v>
      </c>
      <c r="D11" s="541">
        <v>2942409</v>
      </c>
      <c r="E11" s="541">
        <v>4880528</v>
      </c>
      <c r="F11" s="541">
        <v>5977301</v>
      </c>
      <c r="G11" s="541">
        <v>5818483</v>
      </c>
      <c r="H11" s="541">
        <v>4719096</v>
      </c>
      <c r="I11" s="541">
        <v>3939694</v>
      </c>
      <c r="J11" s="541">
        <v>1800938.79</v>
      </c>
      <c r="K11" s="542">
        <v>2904600.1800000006</v>
      </c>
      <c r="L11" s="542">
        <v>1348818.6500000001</v>
      </c>
      <c r="M11" s="542">
        <v>1900647.68</v>
      </c>
      <c r="N11" s="541">
        <v>2329182.13</v>
      </c>
      <c r="O11" s="542">
        <v>2649518.4900000002</v>
      </c>
      <c r="P11" s="541">
        <f>'Kapitálové výdavky'!R153</f>
        <v>9121651</v>
      </c>
      <c r="Q11" s="541">
        <f>'Kapitálové výdavky'!S153</f>
        <v>37722</v>
      </c>
      <c r="R11" s="692">
        <f>'Kapitálové výdavky'!T153</f>
        <v>306090</v>
      </c>
      <c r="S11" s="692"/>
      <c r="T11" s="697">
        <f>P11+Q11+R11</f>
        <v>9465463</v>
      </c>
      <c r="V11" s="190"/>
      <c r="W11" s="190"/>
      <c r="X11" s="190"/>
      <c r="Y11" s="190"/>
    </row>
    <row r="12" spans="1:25" ht="15.75" thickBot="1" x14ac:dyDescent="0.3">
      <c r="A12" s="666" t="s">
        <v>383</v>
      </c>
      <c r="B12" s="550">
        <f t="shared" ref="B12:K12" si="1">B10-B11</f>
        <v>-874958</v>
      </c>
      <c r="C12" s="550">
        <f t="shared" si="1"/>
        <v>-775111</v>
      </c>
      <c r="D12" s="550">
        <f t="shared" si="1"/>
        <v>-1697040</v>
      </c>
      <c r="E12" s="550">
        <f t="shared" si="1"/>
        <v>-489115</v>
      </c>
      <c r="F12" s="550">
        <f t="shared" si="1"/>
        <v>-2521160</v>
      </c>
      <c r="G12" s="550">
        <f t="shared" si="1"/>
        <v>-1168770</v>
      </c>
      <c r="H12" s="550">
        <f t="shared" si="1"/>
        <v>-216321.94000000041</v>
      </c>
      <c r="I12" s="550">
        <f t="shared" si="1"/>
        <v>-261197</v>
      </c>
      <c r="J12" s="551">
        <f t="shared" si="1"/>
        <v>-582600.20000000019</v>
      </c>
      <c r="K12" s="551">
        <f t="shared" si="1"/>
        <v>-2152302.6600000006</v>
      </c>
      <c r="L12" s="551">
        <f>L10-L11</f>
        <v>-413282.47000000009</v>
      </c>
      <c r="M12" s="551">
        <f>M10-M11</f>
        <v>-204405.88000000012</v>
      </c>
      <c r="N12" s="550">
        <f>N10-N11</f>
        <v>-205934.60999999987</v>
      </c>
      <c r="O12" s="551">
        <f>O10-O11</f>
        <v>-1122855.8500000003</v>
      </c>
      <c r="P12" s="550">
        <f>P10-P11</f>
        <v>-6556886</v>
      </c>
      <c r="Q12" s="925">
        <f>Q10-Q11-R11</f>
        <v>-270409</v>
      </c>
      <c r="R12" s="926"/>
      <c r="S12" s="927"/>
      <c r="T12" s="667">
        <f>T10-T11</f>
        <v>-6827295</v>
      </c>
      <c r="V12" s="190"/>
      <c r="W12" s="190"/>
      <c r="X12" s="190"/>
      <c r="Y12" s="190"/>
    </row>
    <row r="13" spans="1:25" ht="16.5" thickTop="1" thickBot="1" x14ac:dyDescent="0.3">
      <c r="A13" s="937"/>
      <c r="B13" s="938"/>
      <c r="C13" s="938"/>
      <c r="D13" s="938"/>
      <c r="E13" s="938"/>
      <c r="F13" s="938"/>
      <c r="G13" s="938"/>
      <c r="H13" s="938"/>
      <c r="I13" s="938"/>
      <c r="J13" s="938"/>
      <c r="K13" s="938"/>
      <c r="L13" s="938"/>
      <c r="M13" s="938"/>
      <c r="N13" s="938"/>
      <c r="O13" s="938"/>
      <c r="P13" s="938"/>
      <c r="Q13" s="938"/>
      <c r="R13" s="938"/>
      <c r="S13" s="938"/>
      <c r="T13" s="939"/>
      <c r="V13" s="190"/>
      <c r="W13" s="190"/>
      <c r="X13" s="190"/>
      <c r="Y13" s="190"/>
    </row>
    <row r="14" spans="1:25" ht="15.75" thickTop="1" x14ac:dyDescent="0.25">
      <c r="A14" s="661" t="s">
        <v>384</v>
      </c>
      <c r="B14" s="546">
        <v>499436</v>
      </c>
      <c r="C14" s="546">
        <v>313085</v>
      </c>
      <c r="D14" s="546">
        <v>1640749</v>
      </c>
      <c r="E14" s="546">
        <v>2754938</v>
      </c>
      <c r="F14" s="546">
        <v>4479434</v>
      </c>
      <c r="G14" s="546">
        <v>2266668</v>
      </c>
      <c r="H14" s="546">
        <v>1305406</v>
      </c>
      <c r="I14" s="546">
        <v>1509534</v>
      </c>
      <c r="J14" s="546">
        <v>1300969.1299999999</v>
      </c>
      <c r="K14" s="547">
        <v>2766561.36</v>
      </c>
      <c r="L14" s="547">
        <v>2492133.9299999997</v>
      </c>
      <c r="M14" s="547">
        <v>1267177.1200000001</v>
      </c>
      <c r="N14" s="546">
        <v>1389578.65</v>
      </c>
      <c r="O14" s="547">
        <v>1600445.57</v>
      </c>
      <c r="P14" s="546">
        <f>'Fin operácie - príjmy'!R22</f>
        <v>7562608</v>
      </c>
      <c r="Q14" s="922">
        <f>'Fin operácie - príjmy'!S22</f>
        <v>20406</v>
      </c>
      <c r="R14" s="923"/>
      <c r="S14" s="924"/>
      <c r="T14" s="662">
        <f>P14+Q14</f>
        <v>7583014</v>
      </c>
      <c r="U14" s="190"/>
      <c r="V14" s="190"/>
      <c r="W14" s="190"/>
      <c r="X14" s="190"/>
    </row>
    <row r="15" spans="1:25" ht="15.75" thickBot="1" x14ac:dyDescent="0.3">
      <c r="A15" s="663" t="s">
        <v>385</v>
      </c>
      <c r="B15" s="541">
        <v>477793</v>
      </c>
      <c r="C15" s="541">
        <v>470856</v>
      </c>
      <c r="D15" s="541">
        <v>334085</v>
      </c>
      <c r="E15" s="541">
        <v>1303204</v>
      </c>
      <c r="F15" s="541">
        <v>978096</v>
      </c>
      <c r="G15" s="541">
        <v>1356608</v>
      </c>
      <c r="H15" s="541">
        <v>1191263</v>
      </c>
      <c r="I15" s="541">
        <v>977990</v>
      </c>
      <c r="J15" s="541">
        <v>439019.94999999995</v>
      </c>
      <c r="K15" s="542">
        <v>540080.30000000005</v>
      </c>
      <c r="L15" s="542">
        <v>2548753.6599999997</v>
      </c>
      <c r="M15" s="542">
        <v>484835.82</v>
      </c>
      <c r="N15" s="541">
        <v>849215.54</v>
      </c>
      <c r="O15" s="542">
        <v>553837.26</v>
      </c>
      <c r="P15" s="541">
        <f>'Finančné operácie - výdavky'!R13</f>
        <v>919778</v>
      </c>
      <c r="Q15" s="541">
        <f>'Finančné operácie - výdavky'!S13</f>
        <v>0</v>
      </c>
      <c r="R15" s="541"/>
      <c r="S15" s="541">
        <f>'Finančné operácie - výdavky'!T13</f>
        <v>0</v>
      </c>
      <c r="T15" s="659">
        <f>P15+Q15+R15+S15</f>
        <v>919778</v>
      </c>
      <c r="V15" s="190"/>
      <c r="W15" s="190"/>
      <c r="X15" s="190"/>
    </row>
    <row r="16" spans="1:25" ht="15.75" thickBot="1" x14ac:dyDescent="0.3">
      <c r="A16" s="666" t="s">
        <v>386</v>
      </c>
      <c r="B16" s="550">
        <f t="shared" ref="B16:K16" si="2">B14-B15</f>
        <v>21643</v>
      </c>
      <c r="C16" s="550">
        <f t="shared" si="2"/>
        <v>-157771</v>
      </c>
      <c r="D16" s="550">
        <f t="shared" si="2"/>
        <v>1306664</v>
      </c>
      <c r="E16" s="550">
        <f t="shared" si="2"/>
        <v>1451734</v>
      </c>
      <c r="F16" s="550">
        <f t="shared" si="2"/>
        <v>3501338</v>
      </c>
      <c r="G16" s="550">
        <f t="shared" si="2"/>
        <v>910060</v>
      </c>
      <c r="H16" s="550">
        <f t="shared" si="2"/>
        <v>114143</v>
      </c>
      <c r="I16" s="550">
        <f t="shared" si="2"/>
        <v>531544</v>
      </c>
      <c r="J16" s="551">
        <f t="shared" si="2"/>
        <v>861949.17999999993</v>
      </c>
      <c r="K16" s="551">
        <f t="shared" si="2"/>
        <v>2226481.0599999996</v>
      </c>
      <c r="L16" s="551">
        <f>L14-L15</f>
        <v>-56619.729999999981</v>
      </c>
      <c r="M16" s="551">
        <f>M14-M15</f>
        <v>782341.3</v>
      </c>
      <c r="N16" s="550">
        <f>N14-N15</f>
        <v>540363.10999999987</v>
      </c>
      <c r="O16" s="551">
        <f>O14-O15</f>
        <v>1046608.31</v>
      </c>
      <c r="P16" s="550">
        <f>P14-P15</f>
        <v>6642830</v>
      </c>
      <c r="Q16" s="925">
        <f>Q14-Q15-S15</f>
        <v>20406</v>
      </c>
      <c r="R16" s="926"/>
      <c r="S16" s="927"/>
      <c r="T16" s="667">
        <f>T14-T15</f>
        <v>6663236</v>
      </c>
      <c r="W16" s="190"/>
    </row>
    <row r="17" spans="1:25" ht="16.5" thickTop="1" thickBot="1" x14ac:dyDescent="0.3">
      <c r="A17" s="937"/>
      <c r="B17" s="938"/>
      <c r="C17" s="938"/>
      <c r="D17" s="938"/>
      <c r="E17" s="938"/>
      <c r="F17" s="938"/>
      <c r="G17" s="938"/>
      <c r="H17" s="938"/>
      <c r="I17" s="938"/>
      <c r="J17" s="938"/>
      <c r="K17" s="938"/>
      <c r="L17" s="938"/>
      <c r="M17" s="938"/>
      <c r="N17" s="938"/>
      <c r="O17" s="938"/>
      <c r="P17" s="938"/>
      <c r="Q17" s="938"/>
      <c r="R17" s="938"/>
      <c r="S17" s="938"/>
      <c r="T17" s="939"/>
      <c r="V17" s="190"/>
      <c r="W17" s="190"/>
      <c r="X17" s="190"/>
      <c r="Y17" s="190"/>
    </row>
    <row r="18" spans="1:25" ht="16.5" customHeight="1" thickTop="1" x14ac:dyDescent="0.25">
      <c r="A18" s="931" t="s">
        <v>387</v>
      </c>
      <c r="B18" s="932"/>
      <c r="C18" s="932"/>
      <c r="D18" s="932"/>
      <c r="E18" s="932"/>
      <c r="F18" s="932"/>
      <c r="G18" s="932"/>
      <c r="H18" s="932"/>
      <c r="I18" s="932"/>
      <c r="J18" s="932"/>
      <c r="K18" s="932"/>
      <c r="L18" s="932"/>
      <c r="M18" s="932"/>
      <c r="N18" s="932"/>
      <c r="O18" s="932"/>
      <c r="P18" s="932"/>
      <c r="Q18" s="932"/>
      <c r="R18" s="932"/>
      <c r="S18" s="932"/>
      <c r="T18" s="933"/>
      <c r="V18" s="190"/>
      <c r="W18" s="190"/>
      <c r="X18" s="190"/>
      <c r="Y18" s="190"/>
    </row>
    <row r="19" spans="1:25" ht="15.75" customHeight="1" thickBot="1" x14ac:dyDescent="0.3">
      <c r="A19" s="934"/>
      <c r="B19" s="935"/>
      <c r="C19" s="935"/>
      <c r="D19" s="935"/>
      <c r="E19" s="935"/>
      <c r="F19" s="935"/>
      <c r="G19" s="935"/>
      <c r="H19" s="935"/>
      <c r="I19" s="935"/>
      <c r="J19" s="935"/>
      <c r="K19" s="935"/>
      <c r="L19" s="935"/>
      <c r="M19" s="935"/>
      <c r="N19" s="935"/>
      <c r="O19" s="935"/>
      <c r="P19" s="935"/>
      <c r="Q19" s="935"/>
      <c r="R19" s="935"/>
      <c r="S19" s="935"/>
      <c r="T19" s="936"/>
      <c r="W19" s="190"/>
      <c r="X19" s="190"/>
      <c r="Y19" s="190"/>
    </row>
    <row r="20" spans="1:25" ht="17.25" thickTop="1" thickBot="1" x14ac:dyDescent="0.3">
      <c r="A20" s="693" t="s">
        <v>388</v>
      </c>
      <c r="B20" s="694">
        <f t="shared" ref="B20:J20" si="3">B8+B12+B16</f>
        <v>405431</v>
      </c>
      <c r="C20" s="694">
        <f t="shared" si="3"/>
        <v>168758</v>
      </c>
      <c r="D20" s="694">
        <f t="shared" si="3"/>
        <v>859707</v>
      </c>
      <c r="E20" s="694">
        <f t="shared" si="3"/>
        <v>1327171.5700000003</v>
      </c>
      <c r="F20" s="694">
        <f t="shared" si="3"/>
        <v>208476</v>
      </c>
      <c r="G20" s="694">
        <f t="shared" si="3"/>
        <v>94499.800000000745</v>
      </c>
      <c r="H20" s="694">
        <f t="shared" si="3"/>
        <v>191581.05999999959</v>
      </c>
      <c r="I20" s="694">
        <f t="shared" si="3"/>
        <v>1058427</v>
      </c>
      <c r="J20" s="695">
        <f t="shared" si="3"/>
        <v>347131.83999999729</v>
      </c>
      <c r="K20" s="695">
        <f>K8+K12+K16</f>
        <v>697889.60999999987</v>
      </c>
      <c r="L20" s="695">
        <f>L8+L12+L16</f>
        <v>619528.0200000006</v>
      </c>
      <c r="M20" s="695">
        <f>M8+M12+M16</f>
        <v>1496254.8000000026</v>
      </c>
      <c r="N20" s="694">
        <f>N8+N12+N16</f>
        <v>1355042.8900000006</v>
      </c>
      <c r="O20" s="695">
        <f>O8+O12+O16</f>
        <v>721830.820000001</v>
      </c>
      <c r="P20" s="696">
        <f>P16+P12+P8</f>
        <v>0</v>
      </c>
      <c r="Q20" s="919">
        <f>Q16+Q12+Q8</f>
        <v>0</v>
      </c>
      <c r="R20" s="920"/>
      <c r="S20" s="921"/>
      <c r="T20" s="719">
        <f>T8+T12+T16</f>
        <v>0</v>
      </c>
    </row>
    <row r="21" spans="1:25" ht="15.75" thickTop="1" x14ac:dyDescent="0.25">
      <c r="W21" s="190"/>
    </row>
    <row r="22" spans="1:25" x14ac:dyDescent="0.25">
      <c r="V22" s="190"/>
    </row>
    <row r="23" spans="1:25" ht="12.75" customHeight="1" x14ac:dyDescent="0.25">
      <c r="P23" s="668"/>
      <c r="R23" s="668"/>
      <c r="S23" s="668"/>
      <c r="T23" s="190"/>
      <c r="W23" s="190"/>
    </row>
    <row r="24" spans="1:25" ht="15.75" customHeight="1" x14ac:dyDescent="0.25">
      <c r="P24" s="190"/>
      <c r="R24" s="190"/>
      <c r="T24" s="190"/>
    </row>
    <row r="25" spans="1:25" ht="15.75" x14ac:dyDescent="0.25">
      <c r="O25" s="668"/>
      <c r="Q25" s="190"/>
      <c r="S25" s="190"/>
      <c r="T25" s="190"/>
      <c r="W25" s="190"/>
    </row>
    <row r="26" spans="1:25" ht="15.75" x14ac:dyDescent="0.25">
      <c r="A26" t="s">
        <v>464</v>
      </c>
      <c r="O26" s="668"/>
      <c r="S26" s="190"/>
      <c r="T26" s="190"/>
    </row>
    <row r="27" spans="1:25" x14ac:dyDescent="0.25">
      <c r="A27" t="s">
        <v>434</v>
      </c>
      <c r="K27" s="190"/>
      <c r="M27" s="190"/>
      <c r="N27" s="190"/>
      <c r="O27" s="190"/>
      <c r="T27" s="190"/>
    </row>
    <row r="28" spans="1:25" x14ac:dyDescent="0.25">
      <c r="R28" s="729" t="s">
        <v>432</v>
      </c>
      <c r="T28" s="190"/>
    </row>
    <row r="29" spans="1:25" x14ac:dyDescent="0.25">
      <c r="R29" s="729" t="s">
        <v>433</v>
      </c>
    </row>
    <row r="30" spans="1:25" x14ac:dyDescent="0.25">
      <c r="Q30" t="s">
        <v>40</v>
      </c>
    </row>
    <row r="31" spans="1:25" ht="15.75" x14ac:dyDescent="0.25">
      <c r="J31" s="669"/>
      <c r="P31" s="190"/>
      <c r="Q31" s="190"/>
      <c r="R31" s="190"/>
      <c r="S31" s="190"/>
      <c r="T31" s="190"/>
    </row>
    <row r="32" spans="1:25" x14ac:dyDescent="0.25">
      <c r="P32" s="190"/>
      <c r="Q32" s="190"/>
      <c r="R32" s="190"/>
      <c r="S32" s="190"/>
      <c r="T32" s="190"/>
    </row>
    <row r="33" spans="10:24" x14ac:dyDescent="0.25">
      <c r="R33" t="s">
        <v>40</v>
      </c>
      <c r="S33" s="190"/>
    </row>
    <row r="34" spans="10:24" x14ac:dyDescent="0.25">
      <c r="J34" s="190"/>
    </row>
    <row r="35" spans="10:24" x14ac:dyDescent="0.25">
      <c r="S35" s="670"/>
    </row>
    <row r="38" spans="10:24" x14ac:dyDescent="0.25">
      <c r="P38" s="190"/>
      <c r="Q38" s="190"/>
      <c r="R38" s="190"/>
      <c r="S38" s="190"/>
    </row>
    <row r="41" spans="10:24" x14ac:dyDescent="0.25">
      <c r="W41" s="190"/>
      <c r="X41" s="190"/>
    </row>
    <row r="47" spans="10:24" x14ac:dyDescent="0.25">
      <c r="P47" s="190"/>
      <c r="Q47" s="190"/>
      <c r="R47" s="190"/>
      <c r="S47" s="190"/>
    </row>
    <row r="62" spans="16:18" x14ac:dyDescent="0.25">
      <c r="P62" s="190"/>
      <c r="Q62" s="190"/>
      <c r="R62" s="190"/>
    </row>
    <row r="63" spans="16:18" x14ac:dyDescent="0.25">
      <c r="P63" s="190"/>
      <c r="Q63" s="190"/>
      <c r="R63" s="190"/>
    </row>
    <row r="69" spans="1:18" x14ac:dyDescent="0.25">
      <c r="J69">
        <f>SUM(J55:J68)</f>
        <v>0</v>
      </c>
    </row>
    <row r="70" spans="1:18" x14ac:dyDescent="0.25">
      <c r="P70" s="190"/>
      <c r="Q70" s="190"/>
      <c r="R70" s="190"/>
    </row>
    <row r="71" spans="1:18" x14ac:dyDescent="0.25">
      <c r="P71" s="190"/>
      <c r="Q71" s="190"/>
      <c r="R71" s="190"/>
    </row>
    <row r="73" spans="1:18" x14ac:dyDescent="0.25">
      <c r="A73" s="671"/>
      <c r="J73">
        <v>12000</v>
      </c>
    </row>
    <row r="74" spans="1:18" x14ac:dyDescent="0.25">
      <c r="J74">
        <v>5000</v>
      </c>
    </row>
    <row r="75" spans="1:18" x14ac:dyDescent="0.25">
      <c r="J75">
        <v>5000</v>
      </c>
    </row>
    <row r="76" spans="1:18" x14ac:dyDescent="0.25">
      <c r="J76">
        <v>7000</v>
      </c>
    </row>
    <row r="82" spans="10:10" x14ac:dyDescent="0.25">
      <c r="J82">
        <f>SUM(J73:J81)</f>
        <v>29000</v>
      </c>
    </row>
  </sheetData>
  <mergeCells count="31">
    <mergeCell ref="C3:C5"/>
    <mergeCell ref="D3:D5"/>
    <mergeCell ref="E3:E5"/>
    <mergeCell ref="Q20:S20"/>
    <mergeCell ref="Q6:S6"/>
    <mergeCell ref="Q10:S10"/>
    <mergeCell ref="Q14:S14"/>
    <mergeCell ref="Q16:S16"/>
    <mergeCell ref="Q12:S12"/>
    <mergeCell ref="Q8:S8"/>
    <mergeCell ref="A18:T19"/>
    <mergeCell ref="A17:T17"/>
    <mergeCell ref="A13:T13"/>
    <mergeCell ref="A9:T9"/>
    <mergeCell ref="Q3:S3"/>
    <mergeCell ref="A1:T1"/>
    <mergeCell ref="K3:K5"/>
    <mergeCell ref="L3:L5"/>
    <mergeCell ref="M3:M5"/>
    <mergeCell ref="N3:N5"/>
    <mergeCell ref="P3:P5"/>
    <mergeCell ref="O3:O5"/>
    <mergeCell ref="T3:T5"/>
    <mergeCell ref="Q4:S4"/>
    <mergeCell ref="F3:F5"/>
    <mergeCell ref="G3:G5"/>
    <mergeCell ref="H3:H5"/>
    <mergeCell ref="I3:I5"/>
    <mergeCell ref="J3:J5"/>
    <mergeCell ref="A3:A5"/>
    <mergeCell ref="B3:B5"/>
  </mergeCells>
  <pageMargins left="0.31496062992125984" right="0.11811023622047245" top="0.35433070866141736" bottom="0.35433070866141736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7" zoomScaleNormal="100" workbookViewId="0">
      <selection activeCell="P23" sqref="P23"/>
    </sheetView>
  </sheetViews>
  <sheetFormatPr defaultRowHeight="15" x14ac:dyDescent="0.25"/>
  <cols>
    <col min="1" max="1" width="36" style="725" customWidth="1"/>
    <col min="2" max="2" width="13" style="725" customWidth="1"/>
    <col min="3" max="5" width="11.42578125" style="725" customWidth="1"/>
    <col min="6" max="6" width="11.42578125" style="725" hidden="1" customWidth="1"/>
    <col min="7" max="7" width="11.42578125" style="725" customWidth="1"/>
    <col min="8" max="8" width="15" style="725" customWidth="1"/>
    <col min="9" max="9" width="10.85546875" style="725" customWidth="1"/>
    <col min="10" max="10" width="12.140625" style="725" customWidth="1"/>
    <col min="11" max="11" width="12.28515625" style="725" customWidth="1"/>
    <col min="12" max="12" width="12.140625" style="725" customWidth="1"/>
    <col min="13" max="13" width="10.85546875" style="725" customWidth="1"/>
    <col min="14" max="14" width="11.28515625" style="725" customWidth="1"/>
    <col min="15" max="16384" width="9.140625" style="725"/>
  </cols>
  <sheetData>
    <row r="1" spans="1:20" ht="16.5" customHeight="1" thickTop="1" thickBot="1" x14ac:dyDescent="0.3">
      <c r="A1" s="942" t="s">
        <v>114</v>
      </c>
      <c r="B1" s="944" t="s">
        <v>16</v>
      </c>
      <c r="C1" s="946" t="s">
        <v>389</v>
      </c>
      <c r="D1" s="946"/>
      <c r="E1" s="946"/>
      <c r="F1" s="946"/>
      <c r="G1" s="946"/>
      <c r="H1" s="946"/>
      <c r="I1" s="946"/>
      <c r="J1" s="946"/>
      <c r="K1" s="946"/>
      <c r="L1" s="946"/>
      <c r="M1" s="946"/>
      <c r="N1" s="947" t="s">
        <v>390</v>
      </c>
    </row>
    <row r="2" spans="1:20" ht="39" thickBot="1" x14ac:dyDescent="0.3">
      <c r="A2" s="943"/>
      <c r="B2" s="945"/>
      <c r="C2" s="552" t="s">
        <v>391</v>
      </c>
      <c r="D2" s="552" t="s">
        <v>478</v>
      </c>
      <c r="E2" s="552" t="s">
        <v>392</v>
      </c>
      <c r="F2" s="552" t="s">
        <v>393</v>
      </c>
      <c r="G2" s="552" t="s">
        <v>394</v>
      </c>
      <c r="H2" s="552" t="s">
        <v>395</v>
      </c>
      <c r="I2" s="552" t="s">
        <v>396</v>
      </c>
      <c r="J2" s="552" t="s">
        <v>397</v>
      </c>
      <c r="K2" s="552" t="s">
        <v>421</v>
      </c>
      <c r="L2" s="552" t="s">
        <v>420</v>
      </c>
      <c r="M2" s="552" t="s">
        <v>419</v>
      </c>
      <c r="N2" s="948"/>
    </row>
    <row r="3" spans="1:20" ht="15.75" thickTop="1" x14ac:dyDescent="0.25">
      <c r="A3" s="722" t="s">
        <v>414</v>
      </c>
      <c r="B3" s="740">
        <v>16560</v>
      </c>
      <c r="C3" s="741"/>
      <c r="D3" s="741"/>
      <c r="E3" s="741"/>
      <c r="F3" s="741"/>
      <c r="G3" s="741"/>
      <c r="H3" s="741"/>
      <c r="I3" s="742">
        <v>16560</v>
      </c>
      <c r="J3" s="743"/>
      <c r="K3" s="743"/>
      <c r="L3" s="743"/>
      <c r="M3" s="743"/>
      <c r="N3" s="744">
        <f t="shared" ref="N3:N37" si="0">SUM(C3:M3)</f>
        <v>16560</v>
      </c>
    </row>
    <row r="4" spans="1:20" x14ac:dyDescent="0.25">
      <c r="A4" s="553" t="s">
        <v>401</v>
      </c>
      <c r="B4" s="73">
        <v>51297</v>
      </c>
      <c r="C4" s="73"/>
      <c r="D4" s="73"/>
      <c r="E4" s="73">
        <v>10381</v>
      </c>
      <c r="F4" s="73"/>
      <c r="G4" s="73"/>
      <c r="H4" s="73"/>
      <c r="I4" s="73">
        <f>25002-364+733</f>
        <v>25371</v>
      </c>
      <c r="J4" s="73"/>
      <c r="K4" s="73"/>
      <c r="L4" s="73"/>
      <c r="M4" s="73">
        <f>6000+9545</f>
        <v>15545</v>
      </c>
      <c r="N4" s="369">
        <f t="shared" si="0"/>
        <v>51297</v>
      </c>
    </row>
    <row r="5" spans="1:20" x14ac:dyDescent="0.25">
      <c r="A5" s="553" t="s">
        <v>441</v>
      </c>
      <c r="B5" s="73">
        <v>37833</v>
      </c>
      <c r="C5" s="73"/>
      <c r="D5" s="73"/>
      <c r="E5" s="73"/>
      <c r="F5" s="73"/>
      <c r="G5" s="73">
        <f>5000+32833</f>
        <v>37833</v>
      </c>
      <c r="H5" s="73"/>
      <c r="I5" s="73"/>
      <c r="J5" s="73"/>
      <c r="K5" s="73"/>
      <c r="L5" s="73"/>
      <c r="M5" s="73"/>
      <c r="N5" s="369">
        <f t="shared" si="0"/>
        <v>37833</v>
      </c>
    </row>
    <row r="6" spans="1:20" x14ac:dyDescent="0.25">
      <c r="A6" s="553" t="s">
        <v>306</v>
      </c>
      <c r="B6" s="73">
        <v>962295</v>
      </c>
      <c r="C6" s="73"/>
      <c r="D6" s="73"/>
      <c r="E6" s="73"/>
      <c r="F6" s="73"/>
      <c r="G6" s="73">
        <f>70000 -32833</f>
        <v>37167</v>
      </c>
      <c r="H6" s="73">
        <f>465346+454782</f>
        <v>920128</v>
      </c>
      <c r="I6" s="73"/>
      <c r="J6" s="73"/>
      <c r="K6" s="73"/>
      <c r="L6" s="73"/>
      <c r="M6" s="73">
        <v>5000</v>
      </c>
      <c r="N6" s="369">
        <f t="shared" si="0"/>
        <v>962295</v>
      </c>
    </row>
    <row r="7" spans="1:20" x14ac:dyDescent="0.25">
      <c r="A7" s="553" t="s">
        <v>429</v>
      </c>
      <c r="B7" s="73">
        <v>898000</v>
      </c>
      <c r="C7" s="73"/>
      <c r="D7" s="73"/>
      <c r="E7" s="73"/>
      <c r="F7" s="73"/>
      <c r="G7" s="73">
        <v>875000</v>
      </c>
      <c r="H7" s="73"/>
      <c r="I7" s="73"/>
      <c r="J7" s="73"/>
      <c r="K7" s="73"/>
      <c r="L7" s="73"/>
      <c r="M7" s="73">
        <v>23000</v>
      </c>
      <c r="N7" s="369">
        <f t="shared" si="0"/>
        <v>898000</v>
      </c>
    </row>
    <row r="8" spans="1:20" x14ac:dyDescent="0.25">
      <c r="A8" s="553" t="s">
        <v>321</v>
      </c>
      <c r="B8" s="73">
        <v>411934</v>
      </c>
      <c r="C8" s="73"/>
      <c r="D8" s="73"/>
      <c r="E8" s="73"/>
      <c r="F8" s="73"/>
      <c r="G8" s="73">
        <v>100000</v>
      </c>
      <c r="H8" s="73">
        <v>50000</v>
      </c>
      <c r="I8" s="73">
        <f>8000+4160</f>
        <v>12160</v>
      </c>
      <c r="J8" s="73"/>
      <c r="K8" s="73"/>
      <c r="L8" s="73"/>
      <c r="M8" s="73">
        <f>183934+65400+440</f>
        <v>249774</v>
      </c>
      <c r="N8" s="369">
        <f t="shared" si="0"/>
        <v>411934</v>
      </c>
    </row>
    <row r="9" spans="1:20" x14ac:dyDescent="0.25">
      <c r="A9" s="553" t="s">
        <v>454</v>
      </c>
      <c r="B9" s="73">
        <v>150000</v>
      </c>
      <c r="C9" s="73"/>
      <c r="D9" s="73"/>
      <c r="E9" s="73"/>
      <c r="F9" s="73"/>
      <c r="G9" s="73">
        <v>150000</v>
      </c>
      <c r="H9" s="73"/>
      <c r="I9" s="73"/>
      <c r="J9" s="73"/>
      <c r="K9" s="73"/>
      <c r="L9" s="73"/>
      <c r="M9" s="73"/>
      <c r="N9" s="369">
        <f t="shared" si="0"/>
        <v>150000</v>
      </c>
    </row>
    <row r="10" spans="1:20" x14ac:dyDescent="0.25">
      <c r="A10" s="553" t="s">
        <v>450</v>
      </c>
      <c r="B10" s="73">
        <v>3000</v>
      </c>
      <c r="C10" s="73"/>
      <c r="D10" s="73">
        <v>3000</v>
      </c>
      <c r="E10" s="73"/>
      <c r="F10" s="73"/>
      <c r="G10" s="73"/>
      <c r="H10" s="73"/>
      <c r="I10" s="73"/>
      <c r="J10" s="73"/>
      <c r="K10" s="73"/>
      <c r="L10" s="73"/>
      <c r="M10" s="73"/>
      <c r="N10" s="369">
        <f t="shared" si="0"/>
        <v>3000</v>
      </c>
    </row>
    <row r="11" spans="1:20" x14ac:dyDescent="0.25">
      <c r="A11" s="553" t="s">
        <v>330</v>
      </c>
      <c r="B11" s="73">
        <v>46000</v>
      </c>
      <c r="C11" s="73"/>
      <c r="D11" s="73"/>
      <c r="E11" s="73"/>
      <c r="F11" s="73"/>
      <c r="G11" s="73"/>
      <c r="H11" s="73"/>
      <c r="I11" s="73">
        <v>26105</v>
      </c>
      <c r="J11" s="73"/>
      <c r="K11" s="73"/>
      <c r="L11" s="73"/>
      <c r="M11" s="73">
        <f>8895+4000+7000</f>
        <v>19895</v>
      </c>
      <c r="N11" s="369">
        <f t="shared" si="0"/>
        <v>46000</v>
      </c>
    </row>
    <row r="12" spans="1:20" x14ac:dyDescent="0.25">
      <c r="A12" s="553" t="s">
        <v>339</v>
      </c>
      <c r="B12" s="73">
        <v>150535</v>
      </c>
      <c r="C12" s="73"/>
      <c r="D12" s="73"/>
      <c r="E12" s="73">
        <v>5000</v>
      </c>
      <c r="F12" s="73"/>
      <c r="G12" s="73"/>
      <c r="H12" s="73"/>
      <c r="I12" s="73"/>
      <c r="J12" s="73"/>
      <c r="K12" s="73"/>
      <c r="L12" s="73"/>
      <c r="M12" s="73">
        <f>167000-23465+2000</f>
        <v>145535</v>
      </c>
      <c r="N12" s="369">
        <f t="shared" si="0"/>
        <v>150535</v>
      </c>
    </row>
    <row r="13" spans="1:20" x14ac:dyDescent="0.25">
      <c r="A13" s="553" t="s">
        <v>341</v>
      </c>
      <c r="B13" s="73">
        <v>273693</v>
      </c>
      <c r="C13" s="73"/>
      <c r="D13" s="73"/>
      <c r="E13" s="73"/>
      <c r="F13" s="73"/>
      <c r="G13" s="73"/>
      <c r="H13" s="73"/>
      <c r="I13" s="73">
        <f>2340+1800+29012</f>
        <v>33152</v>
      </c>
      <c r="J13" s="73">
        <v>240541</v>
      </c>
      <c r="K13" s="73"/>
      <c r="L13" s="73"/>
      <c r="M13" s="73"/>
      <c r="N13" s="369">
        <f t="shared" si="0"/>
        <v>273693</v>
      </c>
    </row>
    <row r="14" spans="1:20" x14ac:dyDescent="0.25">
      <c r="A14" s="553" t="s">
        <v>428</v>
      </c>
      <c r="B14" s="73">
        <v>5983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>
        <v>5983</v>
      </c>
      <c r="N14" s="369">
        <f t="shared" si="0"/>
        <v>5983</v>
      </c>
    </row>
    <row r="15" spans="1:20" x14ac:dyDescent="0.25">
      <c r="A15" s="553" t="s">
        <v>447</v>
      </c>
      <c r="B15" s="73">
        <v>30000</v>
      </c>
      <c r="C15" s="73"/>
      <c r="D15" s="73"/>
      <c r="E15" s="73">
        <f>7000</f>
        <v>7000</v>
      </c>
      <c r="F15" s="73"/>
      <c r="G15" s="73">
        <v>23000</v>
      </c>
      <c r="H15" s="73"/>
      <c r="I15" s="73"/>
      <c r="J15" s="73"/>
      <c r="K15" s="73"/>
      <c r="L15" s="73"/>
      <c r="M15" s="73"/>
      <c r="N15" s="369">
        <f t="shared" si="0"/>
        <v>30000</v>
      </c>
    </row>
    <row r="16" spans="1:20" x14ac:dyDescent="0.25">
      <c r="A16" s="553" t="s">
        <v>444</v>
      </c>
      <c r="B16" s="73">
        <v>8600</v>
      </c>
      <c r="C16" s="73"/>
      <c r="D16" s="73">
        <v>5575</v>
      </c>
      <c r="E16" s="73">
        <f>8600-5575</f>
        <v>3025</v>
      </c>
      <c r="F16" s="73"/>
      <c r="G16" s="73"/>
      <c r="H16" s="73"/>
      <c r="I16" s="73"/>
      <c r="J16" s="73"/>
      <c r="K16" s="73"/>
      <c r="L16" s="73"/>
      <c r="M16" s="73"/>
      <c r="N16" s="369">
        <f t="shared" si="0"/>
        <v>8600</v>
      </c>
      <c r="T16" s="726"/>
    </row>
    <row r="17" spans="1:14" x14ac:dyDescent="0.25">
      <c r="A17" s="553" t="s">
        <v>473</v>
      </c>
      <c r="B17" s="73">
        <v>13188</v>
      </c>
      <c r="C17" s="73">
        <v>13188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369">
        <f t="shared" si="0"/>
        <v>13188</v>
      </c>
    </row>
    <row r="18" spans="1:14" x14ac:dyDescent="0.25">
      <c r="A18" s="553" t="s">
        <v>474</v>
      </c>
      <c r="B18" s="73">
        <v>6360</v>
      </c>
      <c r="C18" s="73">
        <v>6360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369">
        <f t="shared" si="0"/>
        <v>6360</v>
      </c>
    </row>
    <row r="19" spans="1:14" x14ac:dyDescent="0.25">
      <c r="A19" s="553" t="s">
        <v>477</v>
      </c>
      <c r="B19" s="73">
        <v>8579</v>
      </c>
      <c r="C19" s="73">
        <v>8579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369">
        <f t="shared" si="0"/>
        <v>8579</v>
      </c>
    </row>
    <row r="20" spans="1:14" x14ac:dyDescent="0.25">
      <c r="A20" s="553" t="s">
        <v>476</v>
      </c>
      <c r="B20" s="73">
        <v>8515</v>
      </c>
      <c r="C20" s="73">
        <v>8515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369">
        <f t="shared" si="0"/>
        <v>8515</v>
      </c>
    </row>
    <row r="21" spans="1:14" x14ac:dyDescent="0.25">
      <c r="A21" s="553" t="s">
        <v>475</v>
      </c>
      <c r="B21" s="73">
        <v>1080</v>
      </c>
      <c r="C21" s="73">
        <v>1080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369">
        <f t="shared" si="0"/>
        <v>1080</v>
      </c>
    </row>
    <row r="22" spans="1:14" x14ac:dyDescent="0.25">
      <c r="A22" s="553" t="s">
        <v>342</v>
      </c>
      <c r="B22" s="73">
        <v>1948202</v>
      </c>
      <c r="C22" s="73"/>
      <c r="D22" s="73"/>
      <c r="E22" s="73"/>
      <c r="F22" s="73"/>
      <c r="G22" s="73"/>
      <c r="H22" s="73"/>
      <c r="I22" s="73"/>
      <c r="J22" s="73">
        <v>1850792</v>
      </c>
      <c r="K22" s="73"/>
      <c r="L22" s="73"/>
      <c r="M22" s="73">
        <v>97410</v>
      </c>
      <c r="N22" s="369">
        <f t="shared" si="0"/>
        <v>1948202</v>
      </c>
    </row>
    <row r="23" spans="1:14" x14ac:dyDescent="0.25">
      <c r="A23" s="553" t="s">
        <v>343</v>
      </c>
      <c r="B23" s="73">
        <v>377143</v>
      </c>
      <c r="C23" s="73"/>
      <c r="D23" s="73"/>
      <c r="E23" s="73"/>
      <c r="F23" s="73"/>
      <c r="G23" s="73">
        <v>170000</v>
      </c>
      <c r="H23" s="73"/>
      <c r="I23" s="73"/>
      <c r="J23" s="73"/>
      <c r="K23" s="73"/>
      <c r="L23" s="73"/>
      <c r="M23" s="73">
        <v>207143</v>
      </c>
      <c r="N23" s="369">
        <f t="shared" si="0"/>
        <v>377143</v>
      </c>
    </row>
    <row r="24" spans="1:14" x14ac:dyDescent="0.25">
      <c r="A24" s="553" t="s">
        <v>436</v>
      </c>
      <c r="B24" s="73">
        <v>4000</v>
      </c>
      <c r="C24" s="73"/>
      <c r="D24" s="73"/>
      <c r="E24" s="73">
        <v>4000</v>
      </c>
      <c r="F24" s="73"/>
      <c r="G24" s="73"/>
      <c r="H24" s="73"/>
      <c r="I24" s="73"/>
      <c r="J24" s="73"/>
      <c r="K24" s="73"/>
      <c r="L24" s="73"/>
      <c r="M24" s="73"/>
      <c r="N24" s="369">
        <f t="shared" si="0"/>
        <v>4000</v>
      </c>
    </row>
    <row r="25" spans="1:14" x14ac:dyDescent="0.25">
      <c r="A25" s="553" t="s">
        <v>438</v>
      </c>
      <c r="B25" s="26">
        <v>5000</v>
      </c>
      <c r="C25" s="26"/>
      <c r="D25" s="26"/>
      <c r="E25" s="26">
        <v>5000</v>
      </c>
      <c r="F25" s="26"/>
      <c r="G25" s="26"/>
      <c r="H25" s="26"/>
      <c r="I25" s="26"/>
      <c r="J25" s="26"/>
      <c r="K25" s="26"/>
      <c r="L25" s="26"/>
      <c r="M25" s="26"/>
      <c r="N25" s="393">
        <f t="shared" si="0"/>
        <v>5000</v>
      </c>
    </row>
    <row r="26" spans="1:14" x14ac:dyDescent="0.25">
      <c r="A26" s="553" t="s">
        <v>344</v>
      </c>
      <c r="B26" s="60">
        <v>21480</v>
      </c>
      <c r="C26" s="60"/>
      <c r="D26" s="60">
        <v>1074</v>
      </c>
      <c r="E26" s="60"/>
      <c r="F26" s="60"/>
      <c r="G26" s="60"/>
      <c r="H26" s="60"/>
      <c r="I26" s="60"/>
      <c r="J26" s="60">
        <v>20406</v>
      </c>
      <c r="K26" s="60"/>
      <c r="L26" s="60"/>
      <c r="M26" s="60"/>
      <c r="N26" s="393">
        <f t="shared" si="0"/>
        <v>21480</v>
      </c>
    </row>
    <row r="27" spans="1:14" x14ac:dyDescent="0.25">
      <c r="A27" s="553" t="s">
        <v>357</v>
      </c>
      <c r="B27" s="60">
        <v>11154</v>
      </c>
      <c r="C27" s="60"/>
      <c r="D27" s="60"/>
      <c r="E27" s="60"/>
      <c r="F27" s="60"/>
      <c r="G27" s="60"/>
      <c r="H27" s="60"/>
      <c r="I27" s="60">
        <v>11154</v>
      </c>
      <c r="J27" s="60"/>
      <c r="K27" s="60"/>
      <c r="L27" s="60"/>
      <c r="M27" s="60"/>
      <c r="N27" s="393">
        <f t="shared" si="0"/>
        <v>11154</v>
      </c>
    </row>
    <row r="28" spans="1:14" x14ac:dyDescent="0.25">
      <c r="A28" s="553" t="s">
        <v>356</v>
      </c>
      <c r="B28" s="60">
        <v>113373</v>
      </c>
      <c r="C28" s="60"/>
      <c r="D28" s="60"/>
      <c r="E28" s="60"/>
      <c r="F28" s="60"/>
      <c r="G28" s="60">
        <v>50000</v>
      </c>
      <c r="H28" s="60">
        <v>63373</v>
      </c>
      <c r="I28" s="60"/>
      <c r="J28" s="60"/>
      <c r="K28" s="60"/>
      <c r="L28" s="60"/>
      <c r="M28" s="60"/>
      <c r="N28" s="393">
        <f t="shared" si="0"/>
        <v>113373</v>
      </c>
    </row>
    <row r="29" spans="1:14" x14ac:dyDescent="0.25">
      <c r="A29" s="553" t="s">
        <v>322</v>
      </c>
      <c r="B29" s="60">
        <v>22000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>
        <f>37200-5983-9217</f>
        <v>22000</v>
      </c>
      <c r="N29" s="393">
        <f t="shared" si="0"/>
        <v>22000</v>
      </c>
    </row>
    <row r="30" spans="1:14" x14ac:dyDescent="0.25">
      <c r="A30" s="553" t="s">
        <v>345</v>
      </c>
      <c r="B30" s="60">
        <v>27991</v>
      </c>
      <c r="C30" s="60"/>
      <c r="D30" s="60"/>
      <c r="E30" s="60"/>
      <c r="F30" s="60"/>
      <c r="G30" s="60"/>
      <c r="H30" s="60"/>
      <c r="I30" s="60">
        <v>27991</v>
      </c>
      <c r="J30" s="60"/>
      <c r="K30" s="60"/>
      <c r="L30" s="60"/>
      <c r="M30" s="60"/>
      <c r="N30" s="393">
        <f t="shared" si="0"/>
        <v>27991</v>
      </c>
    </row>
    <row r="31" spans="1:14" x14ac:dyDescent="0.25">
      <c r="A31" s="553" t="s">
        <v>452</v>
      </c>
      <c r="B31" s="60">
        <v>41550</v>
      </c>
      <c r="C31" s="60"/>
      <c r="D31" s="60"/>
      <c r="E31" s="60">
        <v>11550</v>
      </c>
      <c r="F31" s="60"/>
      <c r="G31" s="60">
        <v>30000</v>
      </c>
      <c r="H31" s="60"/>
      <c r="I31" s="60"/>
      <c r="J31" s="60"/>
      <c r="K31" s="60"/>
      <c r="L31" s="60"/>
      <c r="M31" s="60"/>
      <c r="N31" s="393">
        <f t="shared" si="0"/>
        <v>41550</v>
      </c>
    </row>
    <row r="32" spans="1:14" x14ac:dyDescent="0.25">
      <c r="A32" s="553" t="s">
        <v>346</v>
      </c>
      <c r="B32" s="60">
        <v>22290</v>
      </c>
      <c r="C32" s="60"/>
      <c r="D32" s="60">
        <v>800</v>
      </c>
      <c r="E32" s="60"/>
      <c r="F32" s="60"/>
      <c r="G32" s="60"/>
      <c r="H32" s="60"/>
      <c r="I32" s="60">
        <f>1104+20386</f>
        <v>21490</v>
      </c>
      <c r="J32" s="60"/>
      <c r="K32" s="60"/>
      <c r="L32" s="60"/>
      <c r="M32" s="60"/>
      <c r="N32" s="393">
        <f t="shared" si="0"/>
        <v>22290</v>
      </c>
    </row>
    <row r="33" spans="1:14" x14ac:dyDescent="0.25">
      <c r="A33" s="553" t="s">
        <v>453</v>
      </c>
      <c r="B33" s="60">
        <v>67930</v>
      </c>
      <c r="C33" s="60"/>
      <c r="D33" s="60"/>
      <c r="E33" s="60">
        <v>33967</v>
      </c>
      <c r="F33" s="60"/>
      <c r="G33" s="60"/>
      <c r="H33" s="60"/>
      <c r="I33" s="60"/>
      <c r="J33" s="60">
        <v>33963</v>
      </c>
      <c r="K33" s="60"/>
      <c r="L33" s="60"/>
      <c r="M33" s="60"/>
      <c r="N33" s="393">
        <f t="shared" si="0"/>
        <v>67930</v>
      </c>
    </row>
    <row r="34" spans="1:14" x14ac:dyDescent="0.25">
      <c r="A34" s="553" t="s">
        <v>462</v>
      </c>
      <c r="B34" s="60">
        <v>8500</v>
      </c>
      <c r="C34" s="60"/>
      <c r="D34" s="60"/>
      <c r="E34" s="60"/>
      <c r="F34" s="60"/>
      <c r="G34" s="60">
        <v>8500</v>
      </c>
      <c r="H34" s="60"/>
      <c r="I34" s="60"/>
      <c r="J34" s="60"/>
      <c r="K34" s="60"/>
      <c r="L34" s="60"/>
      <c r="M34" s="60"/>
      <c r="N34" s="393">
        <f t="shared" si="0"/>
        <v>8500</v>
      </c>
    </row>
    <row r="35" spans="1:14" x14ac:dyDescent="0.25">
      <c r="A35" s="553" t="s">
        <v>455</v>
      </c>
      <c r="B35" s="60">
        <v>6500</v>
      </c>
      <c r="C35" s="60"/>
      <c r="D35" s="60"/>
      <c r="E35" s="60">
        <v>6500</v>
      </c>
      <c r="F35" s="60"/>
      <c r="G35" s="60"/>
      <c r="H35" s="60"/>
      <c r="I35" s="60"/>
      <c r="J35" s="60"/>
      <c r="K35" s="60"/>
      <c r="L35" s="60"/>
      <c r="M35" s="60"/>
      <c r="N35" s="393">
        <f t="shared" si="0"/>
        <v>6500</v>
      </c>
    </row>
    <row r="36" spans="1:14" x14ac:dyDescent="0.25">
      <c r="A36" s="553" t="s">
        <v>337</v>
      </c>
      <c r="B36" s="60">
        <v>15000</v>
      </c>
      <c r="C36" s="60">
        <f>15000-9372</f>
        <v>5628</v>
      </c>
      <c r="D36" s="60"/>
      <c r="E36" s="60">
        <v>9372</v>
      </c>
      <c r="F36" s="60"/>
      <c r="G36" s="60"/>
      <c r="H36" s="60"/>
      <c r="I36" s="60"/>
      <c r="J36" s="60"/>
      <c r="K36" s="60"/>
      <c r="L36" s="60"/>
      <c r="M36" s="60"/>
      <c r="N36" s="393">
        <f t="shared" si="0"/>
        <v>15000</v>
      </c>
    </row>
    <row r="37" spans="1:14" x14ac:dyDescent="0.25">
      <c r="A37" s="553" t="s">
        <v>399</v>
      </c>
      <c r="B37" s="60">
        <v>10000</v>
      </c>
      <c r="C37" s="60"/>
      <c r="D37" s="60"/>
      <c r="E37" s="60">
        <v>10000</v>
      </c>
      <c r="F37" s="60"/>
      <c r="G37" s="60"/>
      <c r="H37" s="60"/>
      <c r="I37" s="60"/>
      <c r="J37" s="60"/>
      <c r="K37" s="60"/>
      <c r="L37" s="60"/>
      <c r="M37" s="60"/>
      <c r="N37" s="393">
        <f t="shared" si="0"/>
        <v>10000</v>
      </c>
    </row>
    <row r="38" spans="1:14" x14ac:dyDescent="0.25">
      <c r="A38" s="553" t="s">
        <v>472</v>
      </c>
      <c r="B38" s="60">
        <v>32400</v>
      </c>
      <c r="C38" s="60"/>
      <c r="D38" s="60"/>
      <c r="E38" s="60"/>
      <c r="F38" s="60"/>
      <c r="G38" s="60">
        <v>32400</v>
      </c>
      <c r="H38" s="60"/>
      <c r="I38" s="60"/>
      <c r="J38" s="60"/>
      <c r="K38" s="60"/>
      <c r="L38" s="60"/>
      <c r="M38" s="60"/>
      <c r="N38" s="393">
        <f t="shared" ref="N38:N39" si="1">SUM(C38:M38)</f>
        <v>32400</v>
      </c>
    </row>
    <row r="39" spans="1:14" x14ac:dyDescent="0.25">
      <c r="A39" s="553" t="s">
        <v>468</v>
      </c>
      <c r="B39" s="60">
        <v>50000</v>
      </c>
      <c r="C39" s="60"/>
      <c r="D39" s="60">
        <v>50000</v>
      </c>
      <c r="E39" s="60"/>
      <c r="F39" s="60"/>
      <c r="G39" s="60"/>
      <c r="H39" s="60"/>
      <c r="I39" s="60"/>
      <c r="J39" s="60"/>
      <c r="K39" s="60"/>
      <c r="L39" s="60"/>
      <c r="M39" s="60"/>
      <c r="N39" s="393">
        <f t="shared" si="1"/>
        <v>50000</v>
      </c>
    </row>
    <row r="40" spans="1:14" x14ac:dyDescent="0.25">
      <c r="A40" s="553" t="s">
        <v>469</v>
      </c>
      <c r="B40" s="60">
        <v>120000</v>
      </c>
      <c r="C40" s="60">
        <f>78997-3000-5575</f>
        <v>70422</v>
      </c>
      <c r="D40" s="60"/>
      <c r="E40" s="60">
        <f>41003+3000+5575</f>
        <v>49578</v>
      </c>
      <c r="F40" s="60"/>
      <c r="G40" s="60"/>
      <c r="H40" s="60"/>
      <c r="I40" s="60"/>
      <c r="J40" s="60"/>
      <c r="K40" s="60"/>
      <c r="L40" s="60"/>
      <c r="M40" s="60"/>
      <c r="N40" s="393">
        <f t="shared" ref="N40:N50" si="2">SUM(C40:M40)</f>
        <v>120000</v>
      </c>
    </row>
    <row r="41" spans="1:14" x14ac:dyDescent="0.25">
      <c r="A41" s="553" t="s">
        <v>413</v>
      </c>
      <c r="B41" s="60">
        <v>135000</v>
      </c>
      <c r="C41" s="60"/>
      <c r="D41" s="60">
        <v>32415</v>
      </c>
      <c r="E41" s="60"/>
      <c r="F41" s="60"/>
      <c r="G41" s="60"/>
      <c r="H41" s="60"/>
      <c r="I41" s="60"/>
      <c r="J41" s="60"/>
      <c r="K41" s="60"/>
      <c r="L41" s="60"/>
      <c r="M41" s="60">
        <v>102585</v>
      </c>
      <c r="N41" s="393">
        <f t="shared" si="2"/>
        <v>135000</v>
      </c>
    </row>
    <row r="42" spans="1:14" x14ac:dyDescent="0.25">
      <c r="A42" s="553" t="s">
        <v>412</v>
      </c>
      <c r="B42" s="60">
        <v>51904</v>
      </c>
      <c r="C42" s="60"/>
      <c r="D42" s="60"/>
      <c r="E42" s="60">
        <v>13363</v>
      </c>
      <c r="F42" s="60"/>
      <c r="G42" s="60">
        <v>25952</v>
      </c>
      <c r="H42" s="60"/>
      <c r="I42" s="60">
        <f>39322-26572+572-733</f>
        <v>12589</v>
      </c>
      <c r="J42" s="60"/>
      <c r="K42" s="60"/>
      <c r="L42" s="60"/>
      <c r="M42" s="60"/>
      <c r="N42" s="393">
        <f t="shared" si="2"/>
        <v>51904</v>
      </c>
    </row>
    <row r="43" spans="1:14" x14ac:dyDescent="0.25">
      <c r="A43" s="553" t="s">
        <v>417</v>
      </c>
      <c r="B43" s="60">
        <v>2783178</v>
      </c>
      <c r="C43" s="60"/>
      <c r="D43" s="60"/>
      <c r="E43" s="60"/>
      <c r="F43" s="60"/>
      <c r="G43" s="60">
        <v>834950</v>
      </c>
      <c r="H43" s="60"/>
      <c r="I43" s="60"/>
      <c r="J43" s="60"/>
      <c r="K43" s="60">
        <v>1948228</v>
      </c>
      <c r="L43" s="60"/>
      <c r="M43" s="60"/>
      <c r="N43" s="393">
        <f t="shared" si="2"/>
        <v>2783178</v>
      </c>
    </row>
    <row r="44" spans="1:14" x14ac:dyDescent="0.25">
      <c r="A44" s="553" t="s">
        <v>437</v>
      </c>
      <c r="B44" s="60">
        <v>5000</v>
      </c>
      <c r="C44" s="60"/>
      <c r="D44" s="60"/>
      <c r="E44" s="60">
        <v>5000</v>
      </c>
      <c r="F44" s="60"/>
      <c r="G44" s="60"/>
      <c r="H44" s="60"/>
      <c r="I44" s="60"/>
      <c r="J44" s="60"/>
      <c r="K44" s="60"/>
      <c r="L44" s="60"/>
      <c r="M44" s="60"/>
      <c r="N44" s="393">
        <f t="shared" si="2"/>
        <v>5000</v>
      </c>
    </row>
    <row r="45" spans="1:14" x14ac:dyDescent="0.25">
      <c r="A45" s="553" t="s">
        <v>418</v>
      </c>
      <c r="B45" s="60">
        <v>431829</v>
      </c>
      <c r="C45" s="60"/>
      <c r="D45" s="60"/>
      <c r="E45" s="60"/>
      <c r="F45" s="60"/>
      <c r="G45" s="60">
        <v>86330</v>
      </c>
      <c r="H45" s="60"/>
      <c r="I45" s="60"/>
      <c r="J45" s="60"/>
      <c r="K45" s="60">
        <v>104022</v>
      </c>
      <c r="L45" s="60">
        <v>241477</v>
      </c>
      <c r="M45" s="60"/>
      <c r="N45" s="393">
        <f t="shared" si="2"/>
        <v>431829</v>
      </c>
    </row>
    <row r="46" spans="1:14" x14ac:dyDescent="0.25">
      <c r="A46" s="553" t="s">
        <v>470</v>
      </c>
      <c r="B46" s="60">
        <v>14253</v>
      </c>
      <c r="C46" s="60">
        <v>14253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393">
        <f t="shared" si="2"/>
        <v>14253</v>
      </c>
    </row>
    <row r="47" spans="1:14" x14ac:dyDescent="0.25">
      <c r="A47" s="553" t="s">
        <v>459</v>
      </c>
      <c r="B47" s="60">
        <v>5000</v>
      </c>
      <c r="C47" s="60">
        <v>5000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393">
        <f t="shared" si="2"/>
        <v>5000</v>
      </c>
    </row>
    <row r="48" spans="1:14" x14ac:dyDescent="0.25">
      <c r="A48" s="553" t="s">
        <v>471</v>
      </c>
      <c r="B48" s="60">
        <v>23000</v>
      </c>
      <c r="C48" s="60">
        <v>23000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393">
        <f t="shared" si="2"/>
        <v>23000</v>
      </c>
    </row>
    <row r="49" spans="1:14" x14ac:dyDescent="0.25">
      <c r="A49" s="553" t="s">
        <v>451</v>
      </c>
      <c r="B49" s="60">
        <v>11334</v>
      </c>
      <c r="C49" s="60">
        <v>8034</v>
      </c>
      <c r="D49" s="60"/>
      <c r="E49" s="60">
        <v>3300</v>
      </c>
      <c r="F49" s="60"/>
      <c r="G49" s="60"/>
      <c r="H49" s="60"/>
      <c r="I49" s="60"/>
      <c r="J49" s="60"/>
      <c r="K49" s="60"/>
      <c r="L49" s="60"/>
      <c r="M49" s="60"/>
      <c r="N49" s="393">
        <f t="shared" si="2"/>
        <v>11334</v>
      </c>
    </row>
    <row r="50" spans="1:14" ht="15.75" thickBot="1" x14ac:dyDescent="0.3">
      <c r="A50" s="553" t="s">
        <v>426</v>
      </c>
      <c r="B50" s="60">
        <v>17000</v>
      </c>
      <c r="C50" s="60"/>
      <c r="D50" s="60"/>
      <c r="E50" s="60"/>
      <c r="F50" s="60"/>
      <c r="G50" s="60"/>
      <c r="H50" s="60"/>
      <c r="I50" s="60">
        <v>17000</v>
      </c>
      <c r="J50" s="60"/>
      <c r="K50" s="60"/>
      <c r="L50" s="60"/>
      <c r="M50" s="60"/>
      <c r="N50" s="393">
        <f t="shared" si="2"/>
        <v>17000</v>
      </c>
    </row>
    <row r="51" spans="1:14" ht="17.25" thickTop="1" thickBot="1" x14ac:dyDescent="0.3">
      <c r="A51" s="554" t="s">
        <v>398</v>
      </c>
      <c r="B51" s="555">
        <f>SUM(B3:B50)</f>
        <v>9465463</v>
      </c>
      <c r="C51" s="555">
        <f t="shared" ref="C51:N51" si="3">SUM(C3:C50)</f>
        <v>164059</v>
      </c>
      <c r="D51" s="555">
        <f t="shared" si="3"/>
        <v>92864</v>
      </c>
      <c r="E51" s="555">
        <f t="shared" si="3"/>
        <v>177036</v>
      </c>
      <c r="F51" s="555">
        <f t="shared" si="3"/>
        <v>0</v>
      </c>
      <c r="G51" s="555">
        <f t="shared" si="3"/>
        <v>2461132</v>
      </c>
      <c r="H51" s="555">
        <f t="shared" si="3"/>
        <v>1033501</v>
      </c>
      <c r="I51" s="555">
        <f t="shared" si="3"/>
        <v>203572</v>
      </c>
      <c r="J51" s="555">
        <f t="shared" si="3"/>
        <v>2145702</v>
      </c>
      <c r="K51" s="555">
        <f t="shared" si="3"/>
        <v>2052250</v>
      </c>
      <c r="L51" s="555">
        <f t="shared" si="3"/>
        <v>241477</v>
      </c>
      <c r="M51" s="555">
        <f t="shared" si="3"/>
        <v>893870</v>
      </c>
      <c r="N51" s="556">
        <f t="shared" si="3"/>
        <v>9465463</v>
      </c>
    </row>
    <row r="52" spans="1:14" ht="15.75" thickTop="1" x14ac:dyDescent="0.25"/>
    <row r="53" spans="1:14" x14ac:dyDescent="0.25">
      <c r="G53" s="726"/>
      <c r="I53" s="726"/>
      <c r="L53" s="726"/>
    </row>
    <row r="54" spans="1:14" x14ac:dyDescent="0.25">
      <c r="B54" s="726"/>
      <c r="G54" s="726"/>
      <c r="I54" s="726"/>
      <c r="L54" s="726"/>
      <c r="M54" s="726"/>
      <c r="N54" s="726"/>
    </row>
    <row r="55" spans="1:14" x14ac:dyDescent="0.25">
      <c r="B55" s="726"/>
      <c r="C55" s="726"/>
      <c r="D55" s="726"/>
      <c r="G55" s="727"/>
      <c r="M55" s="726"/>
    </row>
    <row r="56" spans="1:14" x14ac:dyDescent="0.25">
      <c r="B56" s="726"/>
      <c r="C56" s="726"/>
      <c r="E56" s="726"/>
      <c r="I56" s="726"/>
      <c r="N56" s="726"/>
    </row>
    <row r="57" spans="1:14" x14ac:dyDescent="0.25">
      <c r="C57" s="726"/>
      <c r="D57" s="726"/>
      <c r="I57" s="726"/>
    </row>
    <row r="58" spans="1:14" x14ac:dyDescent="0.25">
      <c r="M58" s="726"/>
    </row>
    <row r="59" spans="1:14" x14ac:dyDescent="0.25">
      <c r="M59" s="726"/>
    </row>
    <row r="65" spans="13:13" x14ac:dyDescent="0.25">
      <c r="M65" s="726"/>
    </row>
  </sheetData>
  <mergeCells count="4">
    <mergeCell ref="A1:A2"/>
    <mergeCell ref="B1:B2"/>
    <mergeCell ref="C1:M1"/>
    <mergeCell ref="N1:N2"/>
  </mergeCells>
  <pageMargins left="0.23622047244094491" right="0.23622047244094491" top="0" bottom="3.937007874015748E-2" header="0.31496062992125984" footer="0.31496062992125984"/>
  <pageSetup paperSize="9" scale="74" orientation="landscape" r:id="rId1"/>
  <rowBreaks count="1" manualBreakCount="1">
    <brk id="51" max="16383" man="1"/>
  </rowBreaks>
  <colBreaks count="1" manualBreakCount="1">
    <brk id="14" max="1048575" man="1"/>
  </colBreaks>
  <ignoredErrors>
    <ignoredError sqref="N3 N5:N16 N49:N51 N24:N37 N42:N45 N46:N47 N38:N41 N22:N23 N17:N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  <vt:lpstr>'bežné výdavky'!Oblasť_tlače</vt:lpstr>
      <vt:lpstr>'Finančné operácie - výdavky'!Oblasť_tlače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2020-11-13T08:11:11Z</cp:lastPrinted>
  <dcterms:created xsi:type="dcterms:W3CDTF">2019-11-29T12:22:49Z</dcterms:created>
  <dcterms:modified xsi:type="dcterms:W3CDTF">2020-11-13T08:46:36Z</dcterms:modified>
</cp:coreProperties>
</file>