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85" yWindow="0" windowWidth="19785" windowHeight="12615" activeTab="6"/>
  </bookViews>
  <sheets>
    <sheet name="Bežné príjmy" sheetId="1" r:id="rId1"/>
    <sheet name="bežné výdavky" sheetId="2" r:id="rId2"/>
    <sheet name="Kapitálové príjmy" sheetId="3" r:id="rId3"/>
    <sheet name="Kapitálové výdavky" sheetId="4" r:id="rId4"/>
    <sheet name="Fin operácie - príjmy" sheetId="5" r:id="rId5"/>
    <sheet name="Finančné operácie - výdavky" sheetId="6" r:id="rId6"/>
    <sheet name="HOSP." sheetId="7" r:id="rId7"/>
    <sheet name="Zdroje krytia" sheetId="9" r:id="rId8"/>
  </sheets>
  <calcPr calcId="144525"/>
</workbook>
</file>

<file path=xl/calcChain.xml><?xml version="1.0" encoding="utf-8"?>
<calcChain xmlns="http://schemas.openxmlformats.org/spreadsheetml/2006/main">
  <c r="S4" i="4" l="1"/>
  <c r="S9" i="4"/>
  <c r="S12" i="4"/>
  <c r="S30" i="4"/>
  <c r="S214" i="2" l="1"/>
  <c r="W149" i="2"/>
  <c r="R124" i="4" l="1"/>
  <c r="R30" i="4"/>
  <c r="T43" i="4" l="1"/>
  <c r="Y134" i="2" l="1"/>
  <c r="X134" i="2"/>
  <c r="U131" i="2" l="1"/>
  <c r="X131" i="2"/>
  <c r="S197" i="2" l="1"/>
  <c r="R149" i="2"/>
  <c r="F11" i="9" l="1"/>
  <c r="R5" i="1" l="1"/>
  <c r="J43" i="9" l="1"/>
  <c r="J48" i="9"/>
  <c r="J57" i="9" l="1"/>
  <c r="R7" i="2" l="1"/>
  <c r="H26" i="9" l="1"/>
  <c r="B63" i="9"/>
  <c r="H63" i="9"/>
  <c r="B26" i="9"/>
  <c r="C31" i="9"/>
  <c r="C27" i="9"/>
  <c r="I15" i="9"/>
  <c r="C15" i="9"/>
  <c r="H31" i="9"/>
  <c r="T47" i="2"/>
  <c r="T48" i="2"/>
  <c r="T49" i="2"/>
  <c r="R73" i="1"/>
  <c r="I16" i="9" l="1"/>
  <c r="I39" i="9" l="1"/>
  <c r="I45" i="9"/>
  <c r="T202" i="2" l="1"/>
  <c r="T165" i="2"/>
  <c r="P208" i="2" l="1"/>
  <c r="C10" i="9" l="1"/>
  <c r="C65" i="9" s="1"/>
  <c r="H10" i="9" l="1"/>
  <c r="Q122" i="2" l="1"/>
  <c r="T125" i="2"/>
  <c r="I48" i="9" l="1"/>
  <c r="H65" i="9" l="1"/>
  <c r="H60" i="9"/>
  <c r="I32" i="9"/>
  <c r="G6" i="9" l="1"/>
  <c r="J64" i="9" l="1"/>
  <c r="J63" i="9"/>
  <c r="J62" i="9"/>
  <c r="J61" i="9"/>
  <c r="J60" i="9"/>
  <c r="J59" i="9"/>
  <c r="J58" i="9"/>
  <c r="J56" i="9"/>
  <c r="J55" i="9"/>
  <c r="J54" i="9"/>
  <c r="J53" i="9"/>
  <c r="J52" i="9"/>
  <c r="J51" i="9"/>
  <c r="J50" i="9"/>
  <c r="J49" i="9"/>
  <c r="J47" i="9"/>
  <c r="J46" i="9"/>
  <c r="J45" i="9"/>
  <c r="J44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5" i="9"/>
  <c r="J4" i="9"/>
  <c r="J3" i="9"/>
  <c r="I65" i="9"/>
  <c r="G65" i="9"/>
  <c r="F65" i="9"/>
  <c r="E65" i="9"/>
  <c r="D65" i="9"/>
  <c r="B65" i="9"/>
  <c r="J65" i="9" l="1"/>
  <c r="R19" i="3"/>
  <c r="S124" i="4"/>
  <c r="T130" i="4"/>
  <c r="S80" i="4"/>
  <c r="S74" i="4" l="1"/>
  <c r="Q124" i="4"/>
  <c r="T14" i="4"/>
  <c r="T5" i="4" l="1"/>
  <c r="Q30" i="4"/>
  <c r="Q12" i="4"/>
  <c r="Q9" i="4"/>
  <c r="Q4" i="4"/>
  <c r="T22" i="4"/>
  <c r="S13" i="1" l="1"/>
  <c r="R6" i="1"/>
  <c r="Q74" i="4" l="1"/>
  <c r="Q144" i="4"/>
  <c r="Q107" i="4"/>
  <c r="Q101" i="4"/>
  <c r="Q80" i="4"/>
  <c r="S144" i="4" l="1"/>
  <c r="Q4" i="2"/>
  <c r="Q29" i="2"/>
  <c r="T33" i="2" l="1"/>
  <c r="T9" i="2"/>
  <c r="T51" i="2"/>
  <c r="P54" i="3" l="1"/>
  <c r="N10" i="7" s="1"/>
  <c r="N14" i="7"/>
  <c r="N15" i="7"/>
  <c r="N16" i="7"/>
  <c r="N6" i="7"/>
  <c r="P149" i="4"/>
  <c r="N11" i="7" s="1"/>
  <c r="N7" i="7"/>
  <c r="N8" i="7" s="1"/>
  <c r="N12" i="7" l="1"/>
  <c r="P110" i="1"/>
  <c r="S4" i="2"/>
  <c r="R4" i="2"/>
  <c r="T145" i="4" l="1"/>
  <c r="R144" i="4"/>
  <c r="R13" i="1" l="1"/>
  <c r="R18" i="1"/>
  <c r="T50" i="4" l="1"/>
  <c r="T111" i="4" l="1"/>
  <c r="S107" i="4"/>
  <c r="R107" i="4"/>
  <c r="R8" i="5" l="1"/>
  <c r="T77" i="4"/>
  <c r="T36" i="4"/>
  <c r="T48" i="4"/>
  <c r="T49" i="4"/>
  <c r="T51" i="4"/>
  <c r="T52" i="4"/>
  <c r="T53" i="4"/>
  <c r="S7" i="3" l="1"/>
  <c r="S12" i="3"/>
  <c r="S11" i="3" s="1"/>
  <c r="S6" i="3" s="1"/>
  <c r="S5" i="3" s="1"/>
  <c r="T41" i="4" l="1"/>
  <c r="R74" i="4" l="1"/>
  <c r="T75" i="4"/>
  <c r="T110" i="4" l="1"/>
  <c r="T109" i="4"/>
  <c r="S7" i="1" l="1"/>
  <c r="Q146" i="2" l="1"/>
  <c r="Q45" i="1"/>
  <c r="Q14" i="2" l="1"/>
  <c r="R5" i="5" l="1"/>
  <c r="T139" i="2" l="1"/>
  <c r="T76" i="4" l="1"/>
  <c r="T78" i="4" l="1"/>
  <c r="R45" i="1" l="1"/>
  <c r="R41" i="1"/>
  <c r="R12" i="4" l="1"/>
  <c r="T70" i="4"/>
  <c r="T66" i="4" s="1"/>
  <c r="S66" i="4"/>
  <c r="R66" i="4"/>
  <c r="Q66" i="4"/>
  <c r="R80" i="4"/>
  <c r="T146" i="4"/>
  <c r="T144" i="4" s="1"/>
  <c r="T133" i="2" l="1"/>
  <c r="R127" i="2" l="1"/>
  <c r="R146" i="2"/>
  <c r="T147" i="2"/>
  <c r="S146" i="2"/>
  <c r="T42" i="2"/>
  <c r="T11" i="6"/>
  <c r="T10" i="6"/>
  <c r="T9" i="6"/>
  <c r="T8" i="6"/>
  <c r="T7" i="6"/>
  <c r="T6" i="6"/>
  <c r="T4" i="6" s="1"/>
  <c r="T12" i="6" s="1"/>
  <c r="S15" i="7" s="1"/>
  <c r="T5" i="6"/>
  <c r="R7" i="3"/>
  <c r="S53" i="3"/>
  <c r="S52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10" i="3"/>
  <c r="S9" i="3"/>
  <c r="S8" i="3"/>
  <c r="Q7" i="3"/>
  <c r="Q19" i="3"/>
  <c r="R4" i="6"/>
  <c r="R12" i="6" s="1"/>
  <c r="P15" i="7" s="1"/>
  <c r="S4" i="6"/>
  <c r="S12" i="6" s="1"/>
  <c r="R15" i="7" s="1"/>
  <c r="Q12" i="6"/>
  <c r="O15" i="7" s="1"/>
  <c r="Q4" i="6"/>
  <c r="R51" i="3"/>
  <c r="R50" i="3" s="1"/>
  <c r="S51" i="3"/>
  <c r="Q51" i="3"/>
  <c r="Q50" i="3" s="1"/>
  <c r="S50" i="3"/>
  <c r="R11" i="3"/>
  <c r="R6" i="3" s="1"/>
  <c r="Q11" i="3"/>
  <c r="Q6" i="3" s="1"/>
  <c r="S16" i="5"/>
  <c r="S15" i="5"/>
  <c r="S14" i="5"/>
  <c r="S13" i="5"/>
  <c r="S12" i="5"/>
  <c r="S11" i="5"/>
  <c r="S10" i="5"/>
  <c r="S9" i="5"/>
  <c r="S7" i="5"/>
  <c r="S6" i="5"/>
  <c r="Q8" i="5"/>
  <c r="Q5" i="5"/>
  <c r="T148" i="4"/>
  <c r="T143" i="4"/>
  <c r="T135" i="4"/>
  <c r="T134" i="4"/>
  <c r="T133" i="4"/>
  <c r="T132" i="4"/>
  <c r="T131" i="4"/>
  <c r="T129" i="4"/>
  <c r="T128" i="4"/>
  <c r="T127" i="4"/>
  <c r="T123" i="4"/>
  <c r="T116" i="4"/>
  <c r="T108" i="4"/>
  <c r="T107" i="4" s="1"/>
  <c r="T104" i="4"/>
  <c r="T102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79" i="4"/>
  <c r="T74" i="4" s="1"/>
  <c r="T67" i="4"/>
  <c r="T58" i="4"/>
  <c r="T56" i="4"/>
  <c r="T55" i="4"/>
  <c r="T54" i="4"/>
  <c r="T47" i="4"/>
  <c r="T46" i="4"/>
  <c r="T45" i="4"/>
  <c r="T44" i="4"/>
  <c r="T42" i="4"/>
  <c r="T40" i="4"/>
  <c r="T39" i="4"/>
  <c r="T38" i="4"/>
  <c r="T37" i="4"/>
  <c r="T29" i="4"/>
  <c r="T28" i="4"/>
  <c r="T27" i="4"/>
  <c r="T26" i="4"/>
  <c r="T25" i="4"/>
  <c r="T24" i="4"/>
  <c r="T23" i="4"/>
  <c r="T21" i="4"/>
  <c r="T20" i="4"/>
  <c r="T19" i="4"/>
  <c r="T18" i="4"/>
  <c r="T17" i="4"/>
  <c r="T16" i="4"/>
  <c r="T15" i="4"/>
  <c r="T13" i="4"/>
  <c r="T10" i="4"/>
  <c r="T124" i="4" l="1"/>
  <c r="T30" i="4"/>
  <c r="S8" i="5"/>
  <c r="S19" i="3"/>
  <c r="S18" i="3" s="1"/>
  <c r="S17" i="3" s="1"/>
  <c r="Q17" i="5"/>
  <c r="O14" i="7" s="1"/>
  <c r="O16" i="7" s="1"/>
  <c r="S5" i="5"/>
  <c r="T12" i="4"/>
  <c r="R17" i="5"/>
  <c r="P14" i="7" s="1"/>
  <c r="P16" i="7" s="1"/>
  <c r="T80" i="4"/>
  <c r="R18" i="3"/>
  <c r="R17" i="3" s="1"/>
  <c r="Q18" i="3"/>
  <c r="Q17" i="3" s="1"/>
  <c r="S17" i="5" l="1"/>
  <c r="S14" i="7" s="1"/>
  <c r="R57" i="4"/>
  <c r="S57" i="4"/>
  <c r="T57" i="4"/>
  <c r="R101" i="4"/>
  <c r="S101" i="4"/>
  <c r="T101" i="4"/>
  <c r="R103" i="4"/>
  <c r="S103" i="4"/>
  <c r="T103" i="4"/>
  <c r="R115" i="4"/>
  <c r="S115" i="4"/>
  <c r="T115" i="4"/>
  <c r="R122" i="4"/>
  <c r="S122" i="4"/>
  <c r="T122" i="4"/>
  <c r="R141" i="4"/>
  <c r="S141" i="4"/>
  <c r="T141" i="4"/>
  <c r="R147" i="4"/>
  <c r="S147" i="4"/>
  <c r="T147" i="4"/>
  <c r="Q147" i="4"/>
  <c r="Q141" i="4"/>
  <c r="Q122" i="4"/>
  <c r="Q115" i="4"/>
  <c r="Q103" i="4"/>
  <c r="Q57" i="4"/>
  <c r="R4" i="4"/>
  <c r="T4" i="4"/>
  <c r="R9" i="4"/>
  <c r="T9" i="4"/>
  <c r="T207" i="2"/>
  <c r="T206" i="2"/>
  <c r="T205" i="2"/>
  <c r="T204" i="2"/>
  <c r="T203" i="2"/>
  <c r="T201" i="2"/>
  <c r="T200" i="2"/>
  <c r="T199" i="2"/>
  <c r="T198" i="2"/>
  <c r="T197" i="2"/>
  <c r="T196" i="2"/>
  <c r="T195" i="2"/>
  <c r="T192" i="2"/>
  <c r="T191" i="2"/>
  <c r="T190" i="2"/>
  <c r="T189" i="2"/>
  <c r="T188" i="2" s="1"/>
  <c r="T186" i="2"/>
  <c r="T185" i="2"/>
  <c r="T184" i="2"/>
  <c r="T183" i="2"/>
  <c r="T181" i="2"/>
  <c r="T178" i="2"/>
  <c r="T177" i="2"/>
  <c r="T176" i="2"/>
  <c r="T175" i="2"/>
  <c r="T174" i="2"/>
  <c r="T166" i="2"/>
  <c r="T164" i="2"/>
  <c r="T163" i="2"/>
  <c r="T162" i="2"/>
  <c r="T161" i="2"/>
  <c r="T160" i="2"/>
  <c r="T159" i="2"/>
  <c r="T158" i="2"/>
  <c r="T156" i="2"/>
  <c r="T155" i="2"/>
  <c r="T154" i="2"/>
  <c r="T153" i="2"/>
  <c r="T150" i="2"/>
  <c r="T149" i="2"/>
  <c r="T148" i="2"/>
  <c r="T145" i="2"/>
  <c r="T144" i="2"/>
  <c r="T142" i="2"/>
  <c r="T141" i="2"/>
  <c r="T140" i="2"/>
  <c r="T138" i="2"/>
  <c r="T137" i="2"/>
  <c r="T136" i="2"/>
  <c r="T135" i="2"/>
  <c r="T134" i="2"/>
  <c r="T132" i="2"/>
  <c r="T131" i="2"/>
  <c r="T130" i="2"/>
  <c r="T129" i="2"/>
  <c r="T128" i="2"/>
  <c r="T126" i="2"/>
  <c r="T124" i="2"/>
  <c r="T123" i="2"/>
  <c r="T121" i="2"/>
  <c r="T120" i="2"/>
  <c r="T119" i="2"/>
  <c r="T118" i="2"/>
  <c r="T117" i="2"/>
  <c r="T116" i="2"/>
  <c r="T115" i="2" s="1"/>
  <c r="T114" i="2"/>
  <c r="T113" i="2"/>
  <c r="T111" i="2"/>
  <c r="T109" i="2"/>
  <c r="T108" i="2"/>
  <c r="T107" i="2"/>
  <c r="T106" i="2"/>
  <c r="T89" i="2"/>
  <c r="T88" i="2"/>
  <c r="T87" i="2"/>
  <c r="T86" i="2" s="1"/>
  <c r="T85" i="2"/>
  <c r="T84" i="2"/>
  <c r="T83" i="2"/>
  <c r="T82" i="2"/>
  <c r="T81" i="2" s="1"/>
  <c r="T78" i="2"/>
  <c r="T77" i="2"/>
  <c r="T76" i="2"/>
  <c r="T75" i="2"/>
  <c r="T74" i="2" s="1"/>
  <c r="T73" i="2"/>
  <c r="T72" i="2"/>
  <c r="T70" i="2" s="1"/>
  <c r="T71" i="2"/>
  <c r="T66" i="2"/>
  <c r="T65" i="2"/>
  <c r="T64" i="2"/>
  <c r="T63" i="2"/>
  <c r="T62" i="2"/>
  <c r="T61" i="2"/>
  <c r="T60" i="2"/>
  <c r="T59" i="2"/>
  <c r="T58" i="2"/>
  <c r="T57" i="2" s="1"/>
  <c r="T55" i="2"/>
  <c r="T54" i="2"/>
  <c r="T53" i="2"/>
  <c r="T52" i="2"/>
  <c r="T46" i="2"/>
  <c r="T45" i="2"/>
  <c r="T44" i="2"/>
  <c r="T40" i="2"/>
  <c r="T39" i="2"/>
  <c r="T38" i="2"/>
  <c r="T37" i="2"/>
  <c r="T35" i="2"/>
  <c r="T26" i="2"/>
  <c r="T28" i="2"/>
  <c r="T32" i="2"/>
  <c r="T31" i="2"/>
  <c r="T30" i="2"/>
  <c r="T24" i="2"/>
  <c r="T23" i="2"/>
  <c r="T22" i="2"/>
  <c r="T21" i="2"/>
  <c r="T20" i="2"/>
  <c r="T18" i="2"/>
  <c r="T17" i="2"/>
  <c r="T16" i="2"/>
  <c r="T15" i="2"/>
  <c r="T13" i="2"/>
  <c r="T12" i="2"/>
  <c r="T11" i="2"/>
  <c r="T8" i="2"/>
  <c r="T7" i="2"/>
  <c r="T6" i="2"/>
  <c r="T5" i="2"/>
  <c r="R57" i="2"/>
  <c r="S57" i="2"/>
  <c r="Q57" i="2"/>
  <c r="Q56" i="2" s="1"/>
  <c r="R173" i="2"/>
  <c r="S173" i="2"/>
  <c r="R194" i="2"/>
  <c r="R193" i="2" s="1"/>
  <c r="S194" i="2"/>
  <c r="S193" i="2" s="1"/>
  <c r="Q194" i="2"/>
  <c r="Q193" i="2" s="1"/>
  <c r="R188" i="2"/>
  <c r="S188" i="2"/>
  <c r="Q188" i="2"/>
  <c r="R182" i="2"/>
  <c r="S182" i="2"/>
  <c r="Q182" i="2"/>
  <c r="R180" i="2"/>
  <c r="S180" i="2"/>
  <c r="T180" i="2"/>
  <c r="Q180" i="2"/>
  <c r="Q173" i="2"/>
  <c r="Q172" i="2" s="1"/>
  <c r="R157" i="2"/>
  <c r="S157" i="2"/>
  <c r="Q157" i="2"/>
  <c r="R152" i="2"/>
  <c r="S152" i="2"/>
  <c r="Q152" i="2"/>
  <c r="R143" i="2"/>
  <c r="S143" i="2"/>
  <c r="T143" i="2"/>
  <c r="Q143" i="2"/>
  <c r="S127" i="2"/>
  <c r="Q127" i="2"/>
  <c r="R122" i="2"/>
  <c r="S122" i="2"/>
  <c r="R115" i="2"/>
  <c r="S115" i="2"/>
  <c r="Q115" i="2"/>
  <c r="R112" i="2"/>
  <c r="S112" i="2"/>
  <c r="Q112" i="2"/>
  <c r="R110" i="2"/>
  <c r="S110" i="2"/>
  <c r="T110" i="2"/>
  <c r="Q110" i="2"/>
  <c r="R91" i="2"/>
  <c r="S91" i="2"/>
  <c r="Q91" i="2"/>
  <c r="R86" i="2"/>
  <c r="S86" i="2"/>
  <c r="Q86" i="2"/>
  <c r="R81" i="2"/>
  <c r="S81" i="2"/>
  <c r="Q81" i="2"/>
  <c r="R74" i="2"/>
  <c r="S74" i="2"/>
  <c r="Q74" i="2"/>
  <c r="R70" i="2"/>
  <c r="S70" i="2"/>
  <c r="Q70" i="2"/>
  <c r="R56" i="2"/>
  <c r="S56" i="2"/>
  <c r="R50" i="2"/>
  <c r="S50" i="2"/>
  <c r="Q50" i="2"/>
  <c r="R43" i="2"/>
  <c r="S43" i="2"/>
  <c r="Q43" i="2"/>
  <c r="R41" i="2"/>
  <c r="S41" i="2"/>
  <c r="T41" i="2"/>
  <c r="Q41" i="2"/>
  <c r="R36" i="2"/>
  <c r="S36" i="2"/>
  <c r="Q36" i="2"/>
  <c r="R34" i="2"/>
  <c r="S34" i="2"/>
  <c r="T34" i="2"/>
  <c r="Q34" i="2"/>
  <c r="R29" i="2"/>
  <c r="S29" i="2"/>
  <c r="R27" i="2"/>
  <c r="S27" i="2"/>
  <c r="T27" i="2"/>
  <c r="Q27" i="2"/>
  <c r="R25" i="2"/>
  <c r="S25" i="2"/>
  <c r="T25" i="2"/>
  <c r="Q25" i="2"/>
  <c r="R19" i="2"/>
  <c r="S19" i="2"/>
  <c r="Q19" i="2"/>
  <c r="R14" i="2"/>
  <c r="S14" i="2"/>
  <c r="R10" i="2"/>
  <c r="S10" i="2"/>
  <c r="Q10" i="2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2" i="1"/>
  <c r="S71" i="1" s="1"/>
  <c r="S67" i="1"/>
  <c r="S66" i="1"/>
  <c r="S63" i="1" s="1"/>
  <c r="S65" i="1"/>
  <c r="S64" i="1"/>
  <c r="S59" i="1"/>
  <c r="S57" i="1"/>
  <c r="S56" i="1"/>
  <c r="S55" i="1"/>
  <c r="S54" i="1"/>
  <c r="S53" i="1"/>
  <c r="S52" i="1"/>
  <c r="S51" i="1"/>
  <c r="S50" i="1"/>
  <c r="S49" i="1"/>
  <c r="S48" i="1"/>
  <c r="S47" i="1"/>
  <c r="S46" i="1"/>
  <c r="S44" i="1"/>
  <c r="S43" i="1"/>
  <c r="S42" i="1"/>
  <c r="S39" i="1"/>
  <c r="S38" i="1"/>
  <c r="S37" i="1"/>
  <c r="S36" i="1"/>
  <c r="S35" i="1"/>
  <c r="S34" i="1"/>
  <c r="S33" i="1"/>
  <c r="S31" i="1"/>
  <c r="S28" i="1" s="1"/>
  <c r="S25" i="1"/>
  <c r="S24" i="1"/>
  <c r="S23" i="1"/>
  <c r="S22" i="1"/>
  <c r="S21" i="1"/>
  <c r="S20" i="1"/>
  <c r="S19" i="1"/>
  <c r="S16" i="1"/>
  <c r="S15" i="1"/>
  <c r="S14" i="1"/>
  <c r="S12" i="1" s="1"/>
  <c r="S6" i="1"/>
  <c r="R12" i="1"/>
  <c r="R17" i="1"/>
  <c r="R32" i="1"/>
  <c r="R28" i="1"/>
  <c r="R27" i="1"/>
  <c r="R71" i="1"/>
  <c r="Q41" i="1"/>
  <c r="R60" i="1"/>
  <c r="R58" i="1"/>
  <c r="R40" i="1" s="1"/>
  <c r="R63" i="1"/>
  <c r="R62" i="1" s="1"/>
  <c r="Q71" i="1"/>
  <c r="Q73" i="1"/>
  <c r="Q63" i="1"/>
  <c r="Q62" i="1" s="1"/>
  <c r="Q60" i="1"/>
  <c r="Q58" i="1"/>
  <c r="Q32" i="1"/>
  <c r="Q28" i="1"/>
  <c r="Q18" i="1"/>
  <c r="Q17" i="1" s="1"/>
  <c r="Q13" i="1"/>
  <c r="Q6" i="1"/>
  <c r="S18" i="1" l="1"/>
  <c r="S17" i="1" s="1"/>
  <c r="T122" i="2"/>
  <c r="T29" i="2"/>
  <c r="T4" i="2"/>
  <c r="S149" i="4"/>
  <c r="Q11" i="7" s="1"/>
  <c r="S16" i="7"/>
  <c r="S73" i="1"/>
  <c r="S70" i="1" s="1"/>
  <c r="Q70" i="1"/>
  <c r="S32" i="1"/>
  <c r="S27" i="1" s="1"/>
  <c r="R69" i="1"/>
  <c r="Q40" i="1"/>
  <c r="Q69" i="1"/>
  <c r="T149" i="4"/>
  <c r="R26" i="1"/>
  <c r="R110" i="1" s="1"/>
  <c r="P6" i="7" s="1"/>
  <c r="S41" i="1"/>
  <c r="S45" i="1"/>
  <c r="S40" i="1" s="1"/>
  <c r="T56" i="2"/>
  <c r="T146" i="2"/>
  <c r="T19" i="2"/>
  <c r="Q149" i="4"/>
  <c r="S151" i="2"/>
  <c r="S208" i="2" s="1"/>
  <c r="Q7" i="7" s="1"/>
  <c r="S172" i="2"/>
  <c r="Q151" i="2"/>
  <c r="Q208" i="2" s="1"/>
  <c r="R151" i="2"/>
  <c r="R172" i="2"/>
  <c r="T152" i="2"/>
  <c r="T173" i="2"/>
  <c r="T172" i="2" s="1"/>
  <c r="T194" i="2"/>
  <c r="T193" i="2" s="1"/>
  <c r="T50" i="2"/>
  <c r="T157" i="2"/>
  <c r="T127" i="2"/>
  <c r="T10" i="2"/>
  <c r="T14" i="2"/>
  <c r="T43" i="2"/>
  <c r="T112" i="2"/>
  <c r="T91" i="2"/>
  <c r="R149" i="4"/>
  <c r="T182" i="2"/>
  <c r="T36" i="2"/>
  <c r="S5" i="1"/>
  <c r="R70" i="1"/>
  <c r="Q27" i="1"/>
  <c r="S11" i="7" l="1"/>
  <c r="S69" i="1"/>
  <c r="S26" i="1"/>
  <c r="Q26" i="1"/>
  <c r="O11" i="7"/>
  <c r="R208" i="2"/>
  <c r="O7" i="7"/>
  <c r="P11" i="7"/>
  <c r="T151" i="2"/>
  <c r="T208" i="2" s="1"/>
  <c r="P7" i="7" l="1"/>
  <c r="P8" i="7" s="1"/>
  <c r="S7" i="7"/>
  <c r="S110" i="1"/>
  <c r="S6" i="7" s="1"/>
  <c r="K204" i="2"/>
  <c r="K202" i="2"/>
  <c r="J197" i="2"/>
  <c r="O194" i="2"/>
  <c r="N194" i="2"/>
  <c r="M194" i="2"/>
  <c r="L194" i="2"/>
  <c r="K194" i="2"/>
  <c r="J194" i="2"/>
  <c r="I194" i="2"/>
  <c r="H194" i="2"/>
  <c r="O193" i="2"/>
  <c r="N193" i="2"/>
  <c r="M193" i="2"/>
  <c r="L193" i="2"/>
  <c r="K193" i="2"/>
  <c r="J193" i="2"/>
  <c r="I193" i="2"/>
  <c r="O188" i="2"/>
  <c r="N188" i="2"/>
  <c r="M188" i="2"/>
  <c r="L188" i="2"/>
  <c r="K188" i="2"/>
  <c r="J188" i="2"/>
  <c r="I188" i="2"/>
  <c r="H188" i="2"/>
  <c r="O182" i="2"/>
  <c r="N182" i="2"/>
  <c r="M182" i="2"/>
  <c r="L182" i="2"/>
  <c r="K182" i="2"/>
  <c r="J182" i="2"/>
  <c r="I182" i="2"/>
  <c r="H182" i="2"/>
  <c r="O180" i="2"/>
  <c r="N180" i="2"/>
  <c r="M180" i="2"/>
  <c r="K180" i="2"/>
  <c r="J180" i="2"/>
  <c r="I180" i="2"/>
  <c r="J176" i="2"/>
  <c r="I176" i="2"/>
  <c r="I175" i="2"/>
  <c r="O173" i="2"/>
  <c r="O172" i="2" s="1"/>
  <c r="N173" i="2"/>
  <c r="M173" i="2"/>
  <c r="M172" i="2" s="1"/>
  <c r="L173" i="2"/>
  <c r="K173" i="2"/>
  <c r="K172" i="2" s="1"/>
  <c r="J173" i="2"/>
  <c r="I173" i="2"/>
  <c r="I172" i="2" s="1"/>
  <c r="N172" i="2"/>
  <c r="L172" i="2"/>
  <c r="J172" i="2"/>
  <c r="I170" i="2"/>
  <c r="I167" i="2" s="1"/>
  <c r="O167" i="2"/>
  <c r="N167" i="2"/>
  <c r="M167" i="2"/>
  <c r="L167" i="2"/>
  <c r="K167" i="2"/>
  <c r="J167" i="2"/>
  <c r="O157" i="2"/>
  <c r="N157" i="2"/>
  <c r="M157" i="2"/>
  <c r="L157" i="2"/>
  <c r="K157" i="2"/>
  <c r="J157" i="2"/>
  <c r="J151" i="2" s="1"/>
  <c r="I157" i="2"/>
  <c r="O152" i="2"/>
  <c r="O151" i="2" s="1"/>
  <c r="N152" i="2"/>
  <c r="M152" i="2"/>
  <c r="M151" i="2" s="1"/>
  <c r="L152" i="2"/>
  <c r="K152" i="2"/>
  <c r="K151" i="2" s="1"/>
  <c r="J152" i="2"/>
  <c r="I152" i="2"/>
  <c r="I151" i="2" s="1"/>
  <c r="N151" i="2"/>
  <c r="L151" i="2"/>
  <c r="O146" i="2"/>
  <c r="N146" i="2"/>
  <c r="M146" i="2"/>
  <c r="L146" i="2"/>
  <c r="K146" i="2"/>
  <c r="J146" i="2"/>
  <c r="I146" i="2"/>
  <c r="G146" i="2"/>
  <c r="F146" i="2"/>
  <c r="E146" i="2"/>
  <c r="O143" i="2"/>
  <c r="N143" i="2"/>
  <c r="M143" i="2"/>
  <c r="L143" i="2"/>
  <c r="K143" i="2"/>
  <c r="J143" i="2"/>
  <c r="I143" i="2"/>
  <c r="H143" i="2"/>
  <c r="G143" i="2"/>
  <c r="F143" i="2"/>
  <c r="E143" i="2"/>
  <c r="D143" i="2"/>
  <c r="O127" i="2"/>
  <c r="N127" i="2"/>
  <c r="M127" i="2"/>
  <c r="L127" i="2"/>
  <c r="K127" i="2"/>
  <c r="J127" i="2"/>
  <c r="I127" i="2"/>
  <c r="F127" i="2"/>
  <c r="E127" i="2"/>
  <c r="O122" i="2"/>
  <c r="N122" i="2"/>
  <c r="M122" i="2"/>
  <c r="L122" i="2"/>
  <c r="K122" i="2"/>
  <c r="J122" i="2"/>
  <c r="I122" i="2"/>
  <c r="H122" i="2"/>
  <c r="G122" i="2"/>
  <c r="F122" i="2"/>
  <c r="E122" i="2"/>
  <c r="D122" i="2"/>
  <c r="K118" i="2"/>
  <c r="O115" i="2"/>
  <c r="N115" i="2"/>
  <c r="M115" i="2"/>
  <c r="L115" i="2"/>
  <c r="K115" i="2"/>
  <c r="J115" i="2"/>
  <c r="I115" i="2"/>
  <c r="O112" i="2"/>
  <c r="N112" i="2"/>
  <c r="M112" i="2"/>
  <c r="K112" i="2"/>
  <c r="J112" i="2"/>
  <c r="I112" i="2"/>
  <c r="G112" i="2"/>
  <c r="F112" i="2"/>
  <c r="E112" i="2"/>
  <c r="D112" i="2"/>
  <c r="O110" i="2"/>
  <c r="N110" i="2"/>
  <c r="M110" i="2"/>
  <c r="K110" i="2"/>
  <c r="J110" i="2"/>
  <c r="I110" i="2"/>
  <c r="G110" i="2"/>
  <c r="F110" i="2"/>
  <c r="E110" i="2"/>
  <c r="D110" i="2"/>
  <c r="K108" i="2"/>
  <c r="K103" i="2"/>
  <c r="K91" i="2" s="1"/>
  <c r="O91" i="2"/>
  <c r="N91" i="2"/>
  <c r="M91" i="2"/>
  <c r="L91" i="2"/>
  <c r="J91" i="2"/>
  <c r="I91" i="2"/>
  <c r="O86" i="2"/>
  <c r="N86" i="2"/>
  <c r="M86" i="2"/>
  <c r="L86" i="2"/>
  <c r="K86" i="2"/>
  <c r="J86" i="2"/>
  <c r="I86" i="2"/>
  <c r="O81" i="2"/>
  <c r="N81" i="2"/>
  <c r="M81" i="2"/>
  <c r="L81" i="2"/>
  <c r="K81" i="2"/>
  <c r="J81" i="2"/>
  <c r="I81" i="2"/>
  <c r="H81" i="2"/>
  <c r="M79" i="2"/>
  <c r="K79" i="2"/>
  <c r="O74" i="2"/>
  <c r="N74" i="2"/>
  <c r="M74" i="2"/>
  <c r="L74" i="2"/>
  <c r="K74" i="2"/>
  <c r="J74" i="2"/>
  <c r="I74" i="2"/>
  <c r="H74" i="2"/>
  <c r="O70" i="2"/>
  <c r="N70" i="2"/>
  <c r="O57" i="2"/>
  <c r="N57" i="2"/>
  <c r="N56" i="2" s="1"/>
  <c r="M57" i="2"/>
  <c r="L57" i="2"/>
  <c r="L56" i="2" s="1"/>
  <c r="K57" i="2"/>
  <c r="J57" i="2"/>
  <c r="J56" i="2" s="1"/>
  <c r="I57" i="2"/>
  <c r="O56" i="2"/>
  <c r="M56" i="2"/>
  <c r="K56" i="2"/>
  <c r="I56" i="2"/>
  <c r="O50" i="2"/>
  <c r="N50" i="2"/>
  <c r="M50" i="2"/>
  <c r="L50" i="2"/>
  <c r="K50" i="2"/>
  <c r="J50" i="2"/>
  <c r="I50" i="2"/>
  <c r="K46" i="2"/>
  <c r="K43" i="2" s="1"/>
  <c r="O43" i="2"/>
  <c r="N43" i="2"/>
  <c r="M43" i="2"/>
  <c r="L43" i="2"/>
  <c r="J43" i="2"/>
  <c r="I43" i="2"/>
  <c r="H43" i="2"/>
  <c r="O41" i="2"/>
  <c r="N41" i="2"/>
  <c r="M41" i="2"/>
  <c r="L41" i="2"/>
  <c r="K41" i="2"/>
  <c r="J41" i="2"/>
  <c r="I41" i="2"/>
  <c r="H41" i="2"/>
  <c r="G41" i="2"/>
  <c r="F41" i="2"/>
  <c r="E41" i="2"/>
  <c r="D41" i="2"/>
  <c r="O36" i="2"/>
  <c r="N36" i="2"/>
  <c r="M36" i="2"/>
  <c r="L36" i="2"/>
  <c r="K36" i="2"/>
  <c r="J36" i="2"/>
  <c r="I36" i="2"/>
  <c r="H36" i="2"/>
  <c r="O34" i="2"/>
  <c r="N34" i="2"/>
  <c r="M34" i="2"/>
  <c r="L34" i="2"/>
  <c r="K34" i="2"/>
  <c r="J34" i="2"/>
  <c r="I34" i="2"/>
  <c r="H34" i="2"/>
  <c r="G34" i="2"/>
  <c r="F34" i="2"/>
  <c r="E34" i="2"/>
  <c r="D34" i="2"/>
  <c r="H32" i="2"/>
  <c r="O29" i="2"/>
  <c r="N29" i="2"/>
  <c r="M29" i="2"/>
  <c r="L29" i="2"/>
  <c r="K29" i="2"/>
  <c r="J29" i="2"/>
  <c r="I29" i="2"/>
  <c r="H29" i="2"/>
  <c r="O27" i="2"/>
  <c r="N27" i="2"/>
  <c r="M27" i="2"/>
  <c r="L27" i="2"/>
  <c r="K27" i="2"/>
  <c r="J27" i="2"/>
  <c r="I27" i="2"/>
  <c r="H27" i="2"/>
  <c r="G27" i="2"/>
  <c r="F27" i="2"/>
  <c r="E27" i="2"/>
  <c r="D27" i="2"/>
  <c r="O25" i="2"/>
  <c r="N25" i="2"/>
  <c r="M25" i="2"/>
  <c r="L25" i="2"/>
  <c r="K25" i="2"/>
  <c r="J25" i="2"/>
  <c r="I25" i="2"/>
  <c r="H25" i="2"/>
  <c r="G25" i="2"/>
  <c r="F25" i="2"/>
  <c r="E25" i="2"/>
  <c r="D25" i="2"/>
  <c r="O19" i="2"/>
  <c r="N19" i="2"/>
  <c r="M19" i="2"/>
  <c r="L19" i="2"/>
  <c r="K19" i="2"/>
  <c r="J19" i="2"/>
  <c r="I19" i="2"/>
  <c r="H19" i="2"/>
  <c r="O14" i="2"/>
  <c r="N14" i="2"/>
  <c r="M14" i="2"/>
  <c r="L14" i="2"/>
  <c r="K14" i="2"/>
  <c r="J14" i="2"/>
  <c r="I14" i="2"/>
  <c r="H14" i="2"/>
  <c r="O10" i="2"/>
  <c r="N10" i="2"/>
  <c r="M10" i="2"/>
  <c r="L10" i="2"/>
  <c r="K10" i="2"/>
  <c r="J10" i="2"/>
  <c r="I10" i="2"/>
  <c r="H10" i="2"/>
  <c r="O4" i="2"/>
  <c r="N4" i="2"/>
  <c r="M4" i="2"/>
  <c r="L4" i="2"/>
  <c r="K4" i="2"/>
  <c r="J4" i="2"/>
  <c r="I4" i="2"/>
  <c r="H4" i="2"/>
  <c r="G4" i="2"/>
  <c r="G208" i="2" s="1"/>
  <c r="F4" i="2"/>
  <c r="E4" i="2"/>
  <c r="E208" i="2" s="1"/>
  <c r="D4" i="2"/>
  <c r="D208" i="2" s="1"/>
  <c r="L16" i="7"/>
  <c r="J16" i="7"/>
  <c r="H16" i="7"/>
  <c r="F16" i="7"/>
  <c r="D16" i="7"/>
  <c r="B16" i="7"/>
  <c r="L12" i="7"/>
  <c r="J12" i="7"/>
  <c r="H12" i="7"/>
  <c r="F12" i="7"/>
  <c r="D12" i="7"/>
  <c r="B12" i="7"/>
  <c r="J8" i="7"/>
  <c r="H8" i="7"/>
  <c r="F8" i="7"/>
  <c r="D8" i="7"/>
  <c r="B8" i="7"/>
  <c r="Q5" i="6"/>
  <c r="O4" i="6"/>
  <c r="O12" i="6" s="1"/>
  <c r="N4" i="6"/>
  <c r="N12" i="6" s="1"/>
  <c r="M4" i="6"/>
  <c r="M12" i="6" s="1"/>
  <c r="L4" i="6"/>
  <c r="L12" i="6" s="1"/>
  <c r="K4" i="6"/>
  <c r="K12" i="6" s="1"/>
  <c r="J4" i="6"/>
  <c r="J12" i="6" s="1"/>
  <c r="I4" i="6"/>
  <c r="I12" i="6" s="1"/>
  <c r="H4" i="6"/>
  <c r="H12" i="6" s="1"/>
  <c r="G4" i="6"/>
  <c r="G12" i="6" s="1"/>
  <c r="F4" i="6"/>
  <c r="F12" i="6" s="1"/>
  <c r="E4" i="6"/>
  <c r="E12" i="6" s="1"/>
  <c r="D4" i="6"/>
  <c r="D12" i="6" s="1"/>
  <c r="G9" i="5"/>
  <c r="O8" i="5"/>
  <c r="N8" i="5"/>
  <c r="M8" i="5"/>
  <c r="L8" i="5"/>
  <c r="K8" i="5"/>
  <c r="J8" i="5"/>
  <c r="I8" i="5"/>
  <c r="H8" i="5"/>
  <c r="G8" i="5"/>
  <c r="D8" i="5"/>
  <c r="O5" i="5"/>
  <c r="N5" i="5"/>
  <c r="M5" i="5"/>
  <c r="L5" i="5"/>
  <c r="K5" i="5"/>
  <c r="J5" i="5"/>
  <c r="I5" i="5"/>
  <c r="H5" i="5"/>
  <c r="G5" i="5"/>
  <c r="F5" i="5"/>
  <c r="F17" i="5" s="1"/>
  <c r="E5" i="5"/>
  <c r="E17" i="5" s="1"/>
  <c r="D5" i="5"/>
  <c r="N149" i="4"/>
  <c r="H149" i="4"/>
  <c r="O147" i="4"/>
  <c r="O149" i="4" s="1"/>
  <c r="L147" i="4"/>
  <c r="K147" i="4"/>
  <c r="K144" i="4" s="1"/>
  <c r="J147" i="4"/>
  <c r="J149" i="4" s="1"/>
  <c r="I147" i="4"/>
  <c r="I149" i="4" s="1"/>
  <c r="K141" i="4"/>
  <c r="M124" i="4"/>
  <c r="L124" i="4"/>
  <c r="K124" i="4"/>
  <c r="M122" i="4"/>
  <c r="M115" i="4"/>
  <c r="L115" i="4"/>
  <c r="K115" i="4"/>
  <c r="M107" i="4"/>
  <c r="L107" i="4"/>
  <c r="K107" i="4"/>
  <c r="M80" i="4"/>
  <c r="L80" i="4"/>
  <c r="K80" i="4"/>
  <c r="M74" i="4"/>
  <c r="L74" i="4"/>
  <c r="K74" i="4"/>
  <c r="M66" i="4"/>
  <c r="L66" i="4"/>
  <c r="K66" i="4"/>
  <c r="M57" i="4"/>
  <c r="L57" i="4"/>
  <c r="K57" i="4"/>
  <c r="M30" i="4"/>
  <c r="L30" i="4"/>
  <c r="K30" i="4"/>
  <c r="M12" i="4"/>
  <c r="K12" i="4"/>
  <c r="M9" i="4"/>
  <c r="K9" i="4"/>
  <c r="O51" i="3"/>
  <c r="O50" i="3" s="1"/>
  <c r="N51" i="3"/>
  <c r="M51" i="3"/>
  <c r="M50" i="3" s="1"/>
  <c r="K51" i="3"/>
  <c r="J51" i="3"/>
  <c r="J50" i="3" s="1"/>
  <c r="I51" i="3"/>
  <c r="H51" i="3"/>
  <c r="H50" i="3" s="1"/>
  <c r="G51" i="3"/>
  <c r="F51" i="3"/>
  <c r="F50" i="3" s="1"/>
  <c r="E51" i="3"/>
  <c r="D51" i="3"/>
  <c r="D50" i="3" s="1"/>
  <c r="N50" i="3"/>
  <c r="K50" i="3"/>
  <c r="I50" i="3"/>
  <c r="G50" i="3"/>
  <c r="E50" i="3"/>
  <c r="N18" i="3"/>
  <c r="M19" i="3"/>
  <c r="M18" i="3" s="1"/>
  <c r="O18" i="3"/>
  <c r="L18" i="3"/>
  <c r="K18" i="3"/>
  <c r="J18" i="3"/>
  <c r="I18" i="3"/>
  <c r="G18" i="3"/>
  <c r="G17" i="3" s="1"/>
  <c r="F18" i="3"/>
  <c r="E18" i="3"/>
  <c r="D18" i="3"/>
  <c r="L17" i="3"/>
  <c r="K17" i="3"/>
  <c r="I17" i="3"/>
  <c r="E17" i="3"/>
  <c r="O11" i="3"/>
  <c r="N11" i="3"/>
  <c r="M11" i="3"/>
  <c r="L11" i="3"/>
  <c r="K11" i="3"/>
  <c r="J11" i="3"/>
  <c r="I11" i="3"/>
  <c r="H11" i="3"/>
  <c r="G11" i="3"/>
  <c r="F11" i="3"/>
  <c r="E11" i="3"/>
  <c r="D11" i="3"/>
  <c r="O7" i="3"/>
  <c r="N7" i="3"/>
  <c r="M7" i="3"/>
  <c r="L7" i="3"/>
  <c r="K7" i="3"/>
  <c r="J7" i="3"/>
  <c r="I7" i="3"/>
  <c r="H7" i="3"/>
  <c r="G7" i="3"/>
  <c r="F7" i="3"/>
  <c r="E7" i="3"/>
  <c r="D7" i="3"/>
  <c r="O6" i="3"/>
  <c r="N6" i="3"/>
  <c r="M6" i="3"/>
  <c r="L6" i="3"/>
  <c r="K6" i="3"/>
  <c r="J6" i="3"/>
  <c r="I6" i="3"/>
  <c r="H6" i="3"/>
  <c r="G6" i="3"/>
  <c r="F6" i="3"/>
  <c r="E6" i="3"/>
  <c r="D6" i="3"/>
  <c r="O5" i="3"/>
  <c r="N5" i="3"/>
  <c r="M5" i="3"/>
  <c r="L5" i="3"/>
  <c r="K5" i="3"/>
  <c r="J5" i="3"/>
  <c r="I5" i="3"/>
  <c r="H5" i="3"/>
  <c r="H54" i="3" s="1"/>
  <c r="G5" i="3"/>
  <c r="F5" i="3"/>
  <c r="E5" i="3"/>
  <c r="D5" i="3"/>
  <c r="K108" i="1"/>
  <c r="J108" i="1"/>
  <c r="I108" i="1"/>
  <c r="L107" i="1"/>
  <c r="K107" i="1"/>
  <c r="J107" i="1"/>
  <c r="I107" i="1"/>
  <c r="H107" i="1"/>
  <c r="G107" i="1"/>
  <c r="F107" i="1"/>
  <c r="E107" i="1"/>
  <c r="D107" i="1"/>
  <c r="O106" i="1"/>
  <c r="O73" i="1" s="1"/>
  <c r="N106" i="1"/>
  <c r="J94" i="1"/>
  <c r="J73" i="1" s="1"/>
  <c r="K88" i="1"/>
  <c r="K81" i="1"/>
  <c r="K73" i="1" s="1"/>
  <c r="N73" i="1"/>
  <c r="M73" i="1"/>
  <c r="I73" i="1"/>
  <c r="I70" i="1" s="1"/>
  <c r="I69" i="1" s="1"/>
  <c r="O71" i="1"/>
  <c r="N71" i="1"/>
  <c r="N70" i="1" s="1"/>
  <c r="N69" i="1" s="1"/>
  <c r="M71" i="1"/>
  <c r="L71" i="1"/>
  <c r="L70" i="1" s="1"/>
  <c r="L69" i="1" s="1"/>
  <c r="K71" i="1"/>
  <c r="J71" i="1"/>
  <c r="I71" i="1"/>
  <c r="H71" i="1"/>
  <c r="H70" i="1" s="1"/>
  <c r="H69" i="1" s="1"/>
  <c r="G71" i="1"/>
  <c r="F71" i="1"/>
  <c r="F70" i="1" s="1"/>
  <c r="F69" i="1" s="1"/>
  <c r="E71" i="1"/>
  <c r="D71" i="1"/>
  <c r="D70" i="1" s="1"/>
  <c r="D69" i="1" s="1"/>
  <c r="G70" i="1"/>
  <c r="E70" i="1"/>
  <c r="E69" i="1" s="1"/>
  <c r="K66" i="1"/>
  <c r="K63" i="1" s="1"/>
  <c r="K62" i="1" s="1"/>
  <c r="O63" i="1"/>
  <c r="O62" i="1" s="1"/>
  <c r="N63" i="1"/>
  <c r="M63" i="1"/>
  <c r="M62" i="1" s="1"/>
  <c r="L63" i="1"/>
  <c r="L62" i="1" s="1"/>
  <c r="J63" i="1"/>
  <c r="I63" i="1"/>
  <c r="I62" i="1" s="1"/>
  <c r="N62" i="1"/>
  <c r="J62" i="1"/>
  <c r="G62" i="1"/>
  <c r="F62" i="1"/>
  <c r="E62" i="1"/>
  <c r="D62" i="1"/>
  <c r="O60" i="1"/>
  <c r="N60" i="1"/>
  <c r="M60" i="1"/>
  <c r="L60" i="1"/>
  <c r="K60" i="1"/>
  <c r="J60" i="1"/>
  <c r="I60" i="1"/>
  <c r="H60" i="1"/>
  <c r="G60" i="1"/>
  <c r="F60" i="1"/>
  <c r="E60" i="1"/>
  <c r="D60" i="1"/>
  <c r="O58" i="1"/>
  <c r="N58" i="1"/>
  <c r="M58" i="1"/>
  <c r="L58" i="1"/>
  <c r="K58" i="1"/>
  <c r="J58" i="1"/>
  <c r="I58" i="1"/>
  <c r="H58" i="1"/>
  <c r="G58" i="1"/>
  <c r="F58" i="1"/>
  <c r="E58" i="1"/>
  <c r="D58" i="1"/>
  <c r="K57" i="1"/>
  <c r="J57" i="1"/>
  <c r="I57" i="1"/>
  <c r="K54" i="1"/>
  <c r="I53" i="1"/>
  <c r="I52" i="1"/>
  <c r="K49" i="1"/>
  <c r="K45" i="1" s="1"/>
  <c r="O45" i="1"/>
  <c r="N45" i="1"/>
  <c r="M45" i="1"/>
  <c r="L45" i="1"/>
  <c r="J45" i="1"/>
  <c r="O41" i="1"/>
  <c r="N41" i="1"/>
  <c r="M41" i="1"/>
  <c r="L41" i="1"/>
  <c r="K41" i="1"/>
  <c r="J41" i="1"/>
  <c r="I41" i="1"/>
  <c r="H41" i="1"/>
  <c r="G41" i="1"/>
  <c r="G40" i="1" s="1"/>
  <c r="F41" i="1"/>
  <c r="E41" i="1"/>
  <c r="E40" i="1" s="1"/>
  <c r="D41" i="1"/>
  <c r="N40" i="1"/>
  <c r="J40" i="1"/>
  <c r="H40" i="1"/>
  <c r="F40" i="1"/>
  <c r="D40" i="1"/>
  <c r="K38" i="1"/>
  <c r="K32" i="1" s="1"/>
  <c r="O32" i="1"/>
  <c r="N32" i="1"/>
  <c r="M32" i="1"/>
  <c r="L32" i="1"/>
  <c r="J32" i="1"/>
  <c r="I32" i="1"/>
  <c r="G32" i="1"/>
  <c r="F32" i="1"/>
  <c r="F27" i="1" s="1"/>
  <c r="F26" i="1" s="1"/>
  <c r="E32" i="1"/>
  <c r="E27" i="1" s="1"/>
  <c r="D32" i="1"/>
  <c r="D27" i="1" s="1"/>
  <c r="O28" i="1"/>
  <c r="O27" i="1" s="1"/>
  <c r="N28" i="1"/>
  <c r="N27" i="1" s="1"/>
  <c r="M28" i="1"/>
  <c r="L28" i="1"/>
  <c r="L27" i="1" s="1"/>
  <c r="K28" i="1"/>
  <c r="J28" i="1"/>
  <c r="I28" i="1"/>
  <c r="M27" i="1"/>
  <c r="G27" i="1"/>
  <c r="K24" i="1"/>
  <c r="I24" i="1"/>
  <c r="I18" i="1" s="1"/>
  <c r="I17" i="1" s="1"/>
  <c r="O18" i="1"/>
  <c r="N18" i="1"/>
  <c r="N17" i="1" s="1"/>
  <c r="M18" i="1"/>
  <c r="L18" i="1"/>
  <c r="L17" i="1" s="1"/>
  <c r="K18" i="1"/>
  <c r="J18" i="1"/>
  <c r="J17" i="1" s="1"/>
  <c r="H18" i="1"/>
  <c r="H17" i="1" s="1"/>
  <c r="O17" i="1"/>
  <c r="M17" i="1"/>
  <c r="K17" i="1"/>
  <c r="G17" i="1"/>
  <c r="F17" i="1"/>
  <c r="E17" i="1"/>
  <c r="D17" i="1"/>
  <c r="O13" i="1"/>
  <c r="N13" i="1"/>
  <c r="N12" i="1" s="1"/>
  <c r="M13" i="1"/>
  <c r="L13" i="1"/>
  <c r="L12" i="1" s="1"/>
  <c r="K13" i="1"/>
  <c r="J13" i="1"/>
  <c r="J12" i="1" s="1"/>
  <c r="I13" i="1"/>
  <c r="O12" i="1"/>
  <c r="M12" i="1"/>
  <c r="K12" i="1"/>
  <c r="I12" i="1"/>
  <c r="G12" i="1"/>
  <c r="F12" i="1"/>
  <c r="E12" i="1"/>
  <c r="D12" i="1"/>
  <c r="O6" i="1"/>
  <c r="N6" i="1"/>
  <c r="M6" i="1"/>
  <c r="M5" i="1" s="1"/>
  <c r="L6" i="1"/>
  <c r="K6" i="1"/>
  <c r="K5" i="1" s="1"/>
  <c r="J6" i="1"/>
  <c r="I6" i="1"/>
  <c r="I5" i="1" s="1"/>
  <c r="H6" i="1"/>
  <c r="G6" i="1"/>
  <c r="G5" i="1" s="1"/>
  <c r="F6" i="1"/>
  <c r="E6" i="1"/>
  <c r="E5" i="1" s="1"/>
  <c r="D6" i="1"/>
  <c r="O5" i="1"/>
  <c r="H208" i="2" l="1"/>
  <c r="S8" i="7"/>
  <c r="M40" i="1"/>
  <c r="M26" i="1" s="1"/>
  <c r="M110" i="1" s="1"/>
  <c r="O40" i="1"/>
  <c r="D5" i="1"/>
  <c r="F5" i="1"/>
  <c r="J27" i="1"/>
  <c r="J26" i="1" s="1"/>
  <c r="L40" i="1"/>
  <c r="I45" i="1"/>
  <c r="M70" i="1"/>
  <c r="M69" i="1" s="1"/>
  <c r="K70" i="1"/>
  <c r="K69" i="1" s="1"/>
  <c r="O70" i="1"/>
  <c r="O69" i="1" s="1"/>
  <c r="L26" i="1"/>
  <c r="N26" i="1"/>
  <c r="D26" i="1"/>
  <c r="D110" i="1" s="1"/>
  <c r="I27" i="1"/>
  <c r="K27" i="1"/>
  <c r="K26" i="1" s="1"/>
  <c r="K110" i="1" s="1"/>
  <c r="D17" i="3"/>
  <c r="F17" i="3"/>
  <c r="J17" i="3"/>
  <c r="M17" i="3"/>
  <c r="O17" i="3"/>
  <c r="I40" i="1"/>
  <c r="K40" i="1"/>
  <c r="J70" i="1"/>
  <c r="J69" i="1" s="1"/>
  <c r="J110" i="1" s="1"/>
  <c r="G69" i="1"/>
  <c r="J208" i="2"/>
  <c r="L208" i="2"/>
  <c r="N208" i="2"/>
  <c r="B20" i="7"/>
  <c r="F20" i="7"/>
  <c r="J20" i="7"/>
  <c r="M149" i="4"/>
  <c r="L149" i="4"/>
  <c r="F208" i="2"/>
  <c r="K149" i="4"/>
  <c r="G17" i="5"/>
  <c r="I17" i="5"/>
  <c r="K17" i="5"/>
  <c r="M17" i="5"/>
  <c r="O17" i="5"/>
  <c r="D17" i="5"/>
  <c r="H17" i="5"/>
  <c r="J17" i="5"/>
  <c r="L17" i="5"/>
  <c r="N17" i="5"/>
  <c r="E54" i="3"/>
  <c r="G54" i="3"/>
  <c r="J54" i="3"/>
  <c r="L54" i="3"/>
  <c r="M54" i="3"/>
  <c r="D54" i="3"/>
  <c r="F54" i="3"/>
  <c r="I54" i="3"/>
  <c r="K54" i="3"/>
  <c r="O54" i="3"/>
  <c r="H5" i="1"/>
  <c r="H110" i="1" s="1"/>
  <c r="J5" i="1"/>
  <c r="L5" i="1"/>
  <c r="L110" i="1" s="1"/>
  <c r="N5" i="1"/>
  <c r="E26" i="1"/>
  <c r="G26" i="1"/>
  <c r="I26" i="1"/>
  <c r="I110" i="1" s="1"/>
  <c r="O26" i="1"/>
  <c r="O110" i="1" s="1"/>
  <c r="E110" i="1"/>
  <c r="G110" i="1"/>
  <c r="D20" i="7"/>
  <c r="H20" i="7"/>
  <c r="I208" i="2"/>
  <c r="K208" i="2"/>
  <c r="M208" i="2"/>
  <c r="O208" i="2"/>
  <c r="L8" i="7"/>
  <c r="L20" i="7" s="1"/>
  <c r="N20" i="7"/>
  <c r="C8" i="7"/>
  <c r="E8" i="7"/>
  <c r="G8" i="7"/>
  <c r="I8" i="7"/>
  <c r="K8" i="7"/>
  <c r="M8" i="7"/>
  <c r="C12" i="7"/>
  <c r="E12" i="7"/>
  <c r="G12" i="7"/>
  <c r="I12" i="7"/>
  <c r="K12" i="7"/>
  <c r="M12" i="7"/>
  <c r="C16" i="7"/>
  <c r="E16" i="7"/>
  <c r="G16" i="7"/>
  <c r="I16" i="7"/>
  <c r="K16" i="7"/>
  <c r="M16" i="7"/>
  <c r="N17" i="3"/>
  <c r="N54" i="3" s="1"/>
  <c r="F110" i="1"/>
  <c r="N110" i="1"/>
  <c r="J44" i="7"/>
  <c r="M20" i="7" l="1"/>
  <c r="I20" i="7"/>
  <c r="E20" i="7"/>
  <c r="K20" i="7"/>
  <c r="G20" i="7"/>
  <c r="C20" i="7"/>
  <c r="Q12" i="1"/>
  <c r="Q5" i="1" s="1"/>
  <c r="Q110" i="1" s="1"/>
  <c r="O6" i="7" s="1"/>
  <c r="Q5" i="3"/>
  <c r="Q54" i="3" s="1"/>
  <c r="O10" i="7" s="1"/>
  <c r="S54" i="3"/>
  <c r="S10" i="7" s="1"/>
  <c r="R5" i="3"/>
  <c r="R54" i="3" s="1"/>
  <c r="O12" i="7" l="1"/>
  <c r="O8" i="7"/>
  <c r="S12" i="7"/>
  <c r="S20" i="7" s="1"/>
  <c r="P10" i="7"/>
  <c r="P12" i="7" s="1"/>
  <c r="P20" i="7" s="1"/>
  <c r="O20" i="7" l="1"/>
</calcChain>
</file>

<file path=xl/sharedStrings.xml><?xml version="1.0" encoding="utf-8"?>
<sst xmlns="http://schemas.openxmlformats.org/spreadsheetml/2006/main" count="793" uniqueCount="487">
  <si>
    <t>Kategória</t>
  </si>
  <si>
    <t>Položka</t>
  </si>
  <si>
    <t>U k a z o v a t e ľ</t>
  </si>
  <si>
    <t>čerpanie k 31.12.2006</t>
  </si>
  <si>
    <t>čerpanie k 31.12.2007</t>
  </si>
  <si>
    <t>čerpanie k 31.12.2008</t>
  </si>
  <si>
    <t>čerpanie k 31.12.2009</t>
  </si>
  <si>
    <t>čerpanie k 31.12.2010</t>
  </si>
  <si>
    <t>Čerpanie rozpočtu 2011</t>
  </si>
  <si>
    <t>Čerpanie rozpočtu 2012</t>
  </si>
  <si>
    <t>Čerpanie rozpočtu 2013</t>
  </si>
  <si>
    <t>Čerpanie rozpočtu 2014</t>
  </si>
  <si>
    <t>Čerpanie rozpočtu 2015</t>
  </si>
  <si>
    <t>Čerpanie rozpočtu 2016</t>
  </si>
  <si>
    <t>Čerpanie rozpočtu 2017</t>
  </si>
  <si>
    <t>Daňové príjmy</t>
  </si>
  <si>
    <t>dane z príj.,ziskov kapitalového majetku</t>
  </si>
  <si>
    <t>Výnos dane z príjmov poukázaný územnej samospráve</t>
  </si>
  <si>
    <t>a</t>
  </si>
  <si>
    <t>b</t>
  </si>
  <si>
    <t>c</t>
  </si>
  <si>
    <t>d</t>
  </si>
  <si>
    <t>Dane z majetku</t>
  </si>
  <si>
    <t>daň z nehnuteľnosti</t>
  </si>
  <si>
    <t xml:space="preserve">    - z pozemkov</t>
  </si>
  <si>
    <t xml:space="preserve">    - zo stavieb</t>
  </si>
  <si>
    <t xml:space="preserve">    - z bytov</t>
  </si>
  <si>
    <t>Domáce dane na tovary a služby</t>
  </si>
  <si>
    <t>dane za špecifické služby</t>
  </si>
  <si>
    <t>Za psa FO a PO</t>
  </si>
  <si>
    <t>Za zábavné hracie prístroje</t>
  </si>
  <si>
    <t>Za predajné automaty</t>
  </si>
  <si>
    <t>Daň za ubytovanie</t>
  </si>
  <si>
    <t xml:space="preserve">Za záber VP </t>
  </si>
  <si>
    <t>Príjem za TKO FO</t>
  </si>
  <si>
    <t>Príjem za TKO PO</t>
  </si>
  <si>
    <t>Nedaňové príjmy</t>
  </si>
  <si>
    <t>príjmy z podnikania a vlastníctva majetku</t>
  </si>
  <si>
    <t xml:space="preserve"> </t>
  </si>
  <si>
    <t>Dividendy</t>
  </si>
  <si>
    <t>Odvod zisku Staveb.prevádzkareň s.r.o</t>
  </si>
  <si>
    <t>Odvod zo zisku Lesy mesta Levoča</t>
  </si>
  <si>
    <t>príjmy z vlastníctva</t>
  </si>
  <si>
    <t xml:space="preserve">     z prenajatých pozemkov a budov PO</t>
  </si>
  <si>
    <t xml:space="preserve">     z prenajatých pozemkov a budov FO</t>
  </si>
  <si>
    <t xml:space="preserve">     z prenájmu nehnuteľností HPZ</t>
  </si>
  <si>
    <t xml:space="preserve">     z prenájmu bytov </t>
  </si>
  <si>
    <t xml:space="preserve">     z prenájmu nebyt. priestorov</t>
  </si>
  <si>
    <t xml:space="preserve">     z prenájmu soc. bytov</t>
  </si>
  <si>
    <t>administra .a iné popl. a platby z toho:</t>
  </si>
  <si>
    <t>Administratívne poplatky</t>
  </si>
  <si>
    <t xml:space="preserve">     správne poplatky</t>
  </si>
  <si>
    <t xml:space="preserve">     právne zastupovanie</t>
  </si>
  <si>
    <t xml:space="preserve">     pokuty, penále, vecné bremená</t>
  </si>
  <si>
    <t>Poplatky a platby z nepr. a náh.pr.služ.</t>
  </si>
  <si>
    <t>Príjem za opatrovateľskú službu</t>
  </si>
  <si>
    <t>Za propagáciu</t>
  </si>
  <si>
    <t>Obce TKO</t>
  </si>
  <si>
    <t>Za stravné v Jedálni-šek</t>
  </si>
  <si>
    <t>Potraviny - jedáleň</t>
  </si>
  <si>
    <t>Potraviny - školské jedálne</t>
  </si>
  <si>
    <t>Za stravné ostatné -zamestnanci</t>
  </si>
  <si>
    <t>Príjem za  Detské Jasle</t>
  </si>
  <si>
    <t>Bytové priestory</t>
  </si>
  <si>
    <t>Nebytové priestory</t>
  </si>
  <si>
    <t>Za predaj tovarov a služieb</t>
  </si>
  <si>
    <t>Školné</t>
  </si>
  <si>
    <t>Ďalšie admin.a iné poplatky a platby</t>
  </si>
  <si>
    <t xml:space="preserve">     za znečistenie ovzdušia</t>
  </si>
  <si>
    <t>Úroky z domac.úverov, pôžič. a vkladov</t>
  </si>
  <si>
    <t>Uroky z účtov finančného hospodárenia</t>
  </si>
  <si>
    <t>Iné nedaňové príjmy</t>
  </si>
  <si>
    <t>Odvod z výťažku 5%</t>
  </si>
  <si>
    <t>Poistné</t>
  </si>
  <si>
    <t>0,5% - výťažok z lotérie</t>
  </si>
  <si>
    <t>Ostatné  - obce zmluva TKO</t>
  </si>
  <si>
    <t>Granty a transfery</t>
  </si>
  <si>
    <t>Tuzemské bežné granty a transfery</t>
  </si>
  <si>
    <t>Granty</t>
  </si>
  <si>
    <t xml:space="preserve">Dar "Dni Majstra Pavla" </t>
  </si>
  <si>
    <t>Transfery na rovnakej úrovni</t>
  </si>
  <si>
    <t>Transfer na matričnú činnosť</t>
  </si>
  <si>
    <t>Transfer na školstvo</t>
  </si>
  <si>
    <t>Transfer na stavebný úrad</t>
  </si>
  <si>
    <t>Transfer na školský úrad</t>
  </si>
  <si>
    <t>Transfer na ŠFRB</t>
  </si>
  <si>
    <t>Transfer na prídavky na deti</t>
  </si>
  <si>
    <t>Transfer na dávku v hmotnej núdzi</t>
  </si>
  <si>
    <t>Transfer na aktivačnú činnosť</t>
  </si>
  <si>
    <t>Transfer KÚCD a PK</t>
  </si>
  <si>
    <t>Ochrana životného prostredia</t>
  </si>
  <si>
    <t>Komunitná a terénna sociálna práca</t>
  </si>
  <si>
    <t>Transfer REGOB</t>
  </si>
  <si>
    <t>Vojnové hroby</t>
  </si>
  <si>
    <t>Chránené dielne</t>
  </si>
  <si>
    <t>Recyklačný fond</t>
  </si>
  <si>
    <t>MK Kostol sv. Jakuba</t>
  </si>
  <si>
    <t>Dotácia cesty</t>
  </si>
  <si>
    <t>Modernizácia zberného dvora</t>
  </si>
  <si>
    <t>MŠ G. Haina</t>
  </si>
  <si>
    <t>MK Oprava parkanového múru</t>
  </si>
  <si>
    <t xml:space="preserve">Osobitný príjemca </t>
  </si>
  <si>
    <t>Osobitný príjemca - mesto</t>
  </si>
  <si>
    <t xml:space="preserve">Karpatské klim. mestečká </t>
  </si>
  <si>
    <t>MK Radnica a zvonica NMP č.2</t>
  </si>
  <si>
    <t xml:space="preserve">vzdelávanie seniorov </t>
  </si>
  <si>
    <t xml:space="preserve">Kultúra- puto spájajúce obyvateľov vidieka </t>
  </si>
  <si>
    <t>Prestavba NMP - I.etapa - Exter. manaž.</t>
  </si>
  <si>
    <t>opatrovateľska služba</t>
  </si>
  <si>
    <t>Zahraničné granty</t>
  </si>
  <si>
    <t>Bežné</t>
  </si>
  <si>
    <t>Bežné príjmy celkom</t>
  </si>
  <si>
    <t>Funkčná klasifikácia</t>
  </si>
  <si>
    <t>Ukazovateľ</t>
  </si>
  <si>
    <t>Čerpanie rozpočtu 2006</t>
  </si>
  <si>
    <t>Čerpanie rozpočtu 2007</t>
  </si>
  <si>
    <t>Čerpanie rozpočtu 2008</t>
  </si>
  <si>
    <t>Čerpanie rozpočtu 2009</t>
  </si>
  <si>
    <t>Čerpanie rozpočtu 2010</t>
  </si>
  <si>
    <t xml:space="preserve">Návrh rozpočtu 2019 </t>
  </si>
  <si>
    <t>01.1.1.</t>
  </si>
  <si>
    <t>Výdavky verejnej správy, finančná a rozp.</t>
  </si>
  <si>
    <t>mzdy</t>
  </si>
  <si>
    <t>poistné</t>
  </si>
  <si>
    <t>tovary a služby</t>
  </si>
  <si>
    <t>bežné transfery</t>
  </si>
  <si>
    <t>01.1.2</t>
  </si>
  <si>
    <t xml:space="preserve">Finanč.a rozpočt.oblasť </t>
  </si>
  <si>
    <t>Auditorská činnosť</t>
  </si>
  <si>
    <t>Poplatky banke</t>
  </si>
  <si>
    <t>Daň z príjmu</t>
  </si>
  <si>
    <t>01.3.3</t>
  </si>
  <si>
    <t>Iné všeobecné služby-matrika</t>
  </si>
  <si>
    <t>01.6.0</t>
  </si>
  <si>
    <t>REGOB</t>
  </si>
  <si>
    <t>voľby</t>
  </si>
  <si>
    <t>01.7.0</t>
  </si>
  <si>
    <t>Transakcie verejného dlhu</t>
  </si>
  <si>
    <t>Splátka úrokov bankám</t>
  </si>
  <si>
    <t>02.2.0.</t>
  </si>
  <si>
    <t>Vojenská obrana</t>
  </si>
  <si>
    <t>Civilná ochrana</t>
  </si>
  <si>
    <t>03.1.0</t>
  </si>
  <si>
    <t>Policajné služby-mestská polícia</t>
  </si>
  <si>
    <t>03.2.0</t>
  </si>
  <si>
    <t>Požiarna ochrana</t>
  </si>
  <si>
    <t>Požiarná ochrana</t>
  </si>
  <si>
    <t>04.1.2.</t>
  </si>
  <si>
    <t>Aktivačná činnosť - koordinátori</t>
  </si>
  <si>
    <t>04.2.1</t>
  </si>
  <si>
    <t>Veterinárna oblasť</t>
  </si>
  <si>
    <t>Veterinár. oblasť /odchyt  psov/</t>
  </si>
  <si>
    <t>04.4.3</t>
  </si>
  <si>
    <t>Stavebný úrad</t>
  </si>
  <si>
    <t>Fontána dobročinnosti</t>
  </si>
  <si>
    <t>04.5.1</t>
  </si>
  <si>
    <t>Doprava</t>
  </si>
  <si>
    <t>Údržba ciest - Technické služby</t>
  </si>
  <si>
    <t>Zrážková voda - TS</t>
  </si>
  <si>
    <t>Dopravné značenie</t>
  </si>
  <si>
    <t>Parkovné</t>
  </si>
  <si>
    <t>Cestná doprava / transfer SAD /</t>
  </si>
  <si>
    <t>04.7.3</t>
  </si>
  <si>
    <t>Cestovný ruch</t>
  </si>
  <si>
    <t xml:space="preserve">Informačná kancelária </t>
  </si>
  <si>
    <t>Propagácia, reklama a inzercia</t>
  </si>
  <si>
    <t>UNESCO</t>
  </si>
  <si>
    <t>Partnerské mestá</t>
  </si>
  <si>
    <t>Slovenské kráľovské mestá</t>
  </si>
  <si>
    <t xml:space="preserve">členské </t>
  </si>
  <si>
    <t>Medzinárodný zraz turistov</t>
  </si>
  <si>
    <t>Značenie Levočské vrchy</t>
  </si>
  <si>
    <t>Lyžiarske trate</t>
  </si>
  <si>
    <t>04.9.0</t>
  </si>
  <si>
    <t>Chránená dielňa</t>
  </si>
  <si>
    <t>600</t>
  </si>
  <si>
    <t>05.1.0</t>
  </si>
  <si>
    <t>Nakladanie s odpadmi</t>
  </si>
  <si>
    <t>630</t>
  </si>
  <si>
    <t>Uzat.a rek.skládky KO D.Stráže</t>
  </si>
  <si>
    <t>skládka KO D.Stráže</t>
  </si>
  <si>
    <t>Tranfer na Technické služby</t>
  </si>
  <si>
    <t>05.2.0</t>
  </si>
  <si>
    <t>Nakladanie s odpadovými vodami</t>
  </si>
  <si>
    <t>ČOV, parkoviská - stočné</t>
  </si>
  <si>
    <t>0</t>
  </si>
  <si>
    <t>05.4.0</t>
  </si>
  <si>
    <t xml:space="preserve">Životné prostredie </t>
  </si>
  <si>
    <t>Protipovodňové aktivity</t>
  </si>
  <si>
    <t>06.1.0</t>
  </si>
  <si>
    <t>Štátny fond rozvoja bývania</t>
  </si>
  <si>
    <t>06.2.0</t>
  </si>
  <si>
    <t>Rozvoj obcí</t>
  </si>
  <si>
    <t>Kostol sv. Jakuba</t>
  </si>
  <si>
    <t>obnova oddychovej zóny Schiessplatz</t>
  </si>
  <si>
    <t>oddychová zóna</t>
  </si>
  <si>
    <t>modernizácia verejných priestranstiev</t>
  </si>
  <si>
    <t>úprava verejných priestranstiev</t>
  </si>
  <si>
    <t>Strelecká bašta</t>
  </si>
  <si>
    <t>Hradobný múr</t>
  </si>
  <si>
    <t>Obnova hradobného múru</t>
  </si>
  <si>
    <t xml:space="preserve">Prestavba NMP I. etapa </t>
  </si>
  <si>
    <t xml:space="preserve">Znalecký posudok </t>
  </si>
  <si>
    <t>Územný plán mesta</t>
  </si>
  <si>
    <t>projekty</t>
  </si>
  <si>
    <t>Hnedý priemyselný park</t>
  </si>
  <si>
    <t>Verejná zeleň - Technické služby</t>
  </si>
  <si>
    <t>06.3.0</t>
  </si>
  <si>
    <t>Zásobovanie vodou</t>
  </si>
  <si>
    <t>Voda - Lev.Lúky</t>
  </si>
  <si>
    <t>06.4.0</t>
  </si>
  <si>
    <t>Verejné osvetlenie</t>
  </si>
  <si>
    <t>Oprava VO</t>
  </si>
  <si>
    <t>Technické služby</t>
  </si>
  <si>
    <t>06.6.0</t>
  </si>
  <si>
    <t>Bývanie a občianska vybavenosť</t>
  </si>
  <si>
    <t xml:space="preserve">Kláštorská </t>
  </si>
  <si>
    <t>08.1.0</t>
  </si>
  <si>
    <t>Transfery pre šport a telovýchovu</t>
  </si>
  <si>
    <t>Transfer pre TS (SÚZ)</t>
  </si>
  <si>
    <t>Nájom TS</t>
  </si>
  <si>
    <t>Ostat.trans.pre šport a telových.</t>
  </si>
  <si>
    <t>08.2.0</t>
  </si>
  <si>
    <t>Kultúrne služby</t>
  </si>
  <si>
    <t>Náklady na obradné siene / APO/</t>
  </si>
  <si>
    <t>Karpatské klim. mestečká</t>
  </si>
  <si>
    <t xml:space="preserve">Dni Majstra Pavla </t>
  </si>
  <si>
    <t>Dni Majstra Pavla - MsKS</t>
  </si>
  <si>
    <t>ostatné kultúrne podujatia</t>
  </si>
  <si>
    <t>Ostatné transfery na  kultúru</t>
  </si>
  <si>
    <t>500. výročie</t>
  </si>
  <si>
    <t>Transfery na  kultúru - FS Levočan</t>
  </si>
  <si>
    <t>kultúrno - spoločenské aktivíty</t>
  </si>
  <si>
    <t>Transfer pre MsKS</t>
  </si>
  <si>
    <t>Divadlo - MsKS</t>
  </si>
  <si>
    <t>Knižnica - MsKS</t>
  </si>
  <si>
    <t>Galéria - MsKS</t>
  </si>
  <si>
    <t>Kino - MsKS</t>
  </si>
  <si>
    <t>08.3.0.</t>
  </si>
  <si>
    <t xml:space="preserve">Vysielacie a vydavateľské služby </t>
  </si>
  <si>
    <t>Vysielanie mestskej televízie</t>
  </si>
  <si>
    <t>LIM</t>
  </si>
  <si>
    <t>08.4.0</t>
  </si>
  <si>
    <t>Náboženské a iné spoločenské služby</t>
  </si>
  <si>
    <t>Transfer pre členské ZMOS a ostatné</t>
  </si>
  <si>
    <t>Technické služby-cint. služby</t>
  </si>
  <si>
    <t>Transfer pre ostat. spol. služby</t>
  </si>
  <si>
    <t>09.</t>
  </si>
  <si>
    <t>Školstvo</t>
  </si>
  <si>
    <t>Školský úrad</t>
  </si>
  <si>
    <t>Rozpočet školstva</t>
  </si>
  <si>
    <t>Náklady na školstvo-prenes. výkon</t>
  </si>
  <si>
    <t>Náklady na školstvo-originál. výkon</t>
  </si>
  <si>
    <t>Projekty - školy</t>
  </si>
  <si>
    <t>Voľnočasové aktivity CVČ</t>
  </si>
  <si>
    <t>Neštátne školstvo</t>
  </si>
  <si>
    <t>09.6.0.</t>
  </si>
  <si>
    <t>Náklady na  stredisko služieb škole</t>
  </si>
  <si>
    <t>odchodné, odstupné, nemocenské</t>
  </si>
  <si>
    <t>10.2.0.</t>
  </si>
  <si>
    <t>Zariadenia sociálnych služieb - staroba</t>
  </si>
  <si>
    <t>Náklady na jedáleň</t>
  </si>
  <si>
    <t>Náklady na Klub dôchodcov</t>
  </si>
  <si>
    <t>Ďalšie služby - opatrovateľská služba</t>
  </si>
  <si>
    <t>zariadenie opatrovateľ.služby</t>
  </si>
  <si>
    <t>10.4.0.</t>
  </si>
  <si>
    <t>Detské jasle</t>
  </si>
  <si>
    <t>10.7.0.</t>
  </si>
  <si>
    <t>Prísp. neštát. subjekt.- pomoc občanom v hmotnej a sociálnej núdzi</t>
  </si>
  <si>
    <t>Terénna soc. Práca, komunitná práca</t>
  </si>
  <si>
    <t>Prídavky na deti</t>
  </si>
  <si>
    <t>Potravinová pomoc</t>
  </si>
  <si>
    <t>Stravovanie HMNU</t>
  </si>
  <si>
    <t>Osobitný príjemca -mesto</t>
  </si>
  <si>
    <t>Školské potreby - HMNU</t>
  </si>
  <si>
    <t>Jednorazová dávka primator</t>
  </si>
  <si>
    <t>Rozpočet bež. výdavky celkom</t>
  </si>
  <si>
    <t xml:space="preserve">kapitalové príjmy </t>
  </si>
  <si>
    <t>Príjem z predaja kapitálových aktív</t>
  </si>
  <si>
    <r>
      <t xml:space="preserve">    </t>
    </r>
    <r>
      <rPr>
        <sz val="10"/>
        <rFont val="Arial CE"/>
        <family val="2"/>
        <charset val="238"/>
      </rPr>
      <t xml:space="preserve"> z predaja budov</t>
    </r>
  </si>
  <si>
    <t xml:space="preserve">     z predaja nehmotného majetku</t>
  </si>
  <si>
    <t xml:space="preserve">     z predaja hnuteľného majetku</t>
  </si>
  <si>
    <t>Príjem z predaja pozemkov</t>
  </si>
  <si>
    <t>z pozemkov</t>
  </si>
  <si>
    <t>Levočská Dolina (Suchý)</t>
  </si>
  <si>
    <t>ul. V. Greschika – garáže</t>
  </si>
  <si>
    <t>Levočské Lúky majetkoprávne vysp.</t>
  </si>
  <si>
    <t>ostatné príjmy</t>
  </si>
  <si>
    <t>Kapitalové granty a transfery</t>
  </si>
  <si>
    <t>refundácia projektov</t>
  </si>
  <si>
    <t>refundácia projektov - krátkodobý úver</t>
  </si>
  <si>
    <t>Tréningová hala</t>
  </si>
  <si>
    <t>dot. na  obnovu kult. pamiatok</t>
  </si>
  <si>
    <t>komunitné centrum</t>
  </si>
  <si>
    <t>Radnica a Zvonica NMP 2</t>
  </si>
  <si>
    <t>Dom meštiansky - galéria</t>
  </si>
  <si>
    <t>prevencia kriminality</t>
  </si>
  <si>
    <t>NMP č.4</t>
  </si>
  <si>
    <t>Sanácia miest s nelegálnym odpadom</t>
  </si>
  <si>
    <t>Pranier</t>
  </si>
  <si>
    <t>Telocvičňa ZŠ G. Haina</t>
  </si>
  <si>
    <t>Fontána dorbočinnosti</t>
  </si>
  <si>
    <t xml:space="preserve">Zlepšenie kľúčových kopetencií žiakov ZŠ </t>
  </si>
  <si>
    <t>Modernizácia zbrného dvora</t>
  </si>
  <si>
    <t>Prestavba zberných miest</t>
  </si>
  <si>
    <t>Hradby</t>
  </si>
  <si>
    <t>Kapitálové</t>
  </si>
  <si>
    <t>Kapitalové príjmy celkom</t>
  </si>
  <si>
    <t>Časť 1.2.2. Výdavky kapitálového rozpočtu</t>
  </si>
  <si>
    <t>Rozpočet 2015</t>
  </si>
  <si>
    <t>Verejná správa</t>
  </si>
  <si>
    <t>Policajné služby</t>
  </si>
  <si>
    <t>kamerový systém</t>
  </si>
  <si>
    <t>auto</t>
  </si>
  <si>
    <t>Prestavba N.M.P. II. etapa časť B</t>
  </si>
  <si>
    <t>Klietka hamby</t>
  </si>
  <si>
    <t>Fasáda NMP 50</t>
  </si>
  <si>
    <t>Doprava-výstavba a oprava ciest</t>
  </si>
  <si>
    <t>Cesta ul. Okružná</t>
  </si>
  <si>
    <t>Prístupový chodník/schodisko Pod vinicou</t>
  </si>
  <si>
    <t>PD - cesta Mariánska hora</t>
  </si>
  <si>
    <t>MPV  - cesta Mariánska hora</t>
  </si>
  <si>
    <t>cesta Mariánska hora</t>
  </si>
  <si>
    <t>Cesta Lev. Dolina</t>
  </si>
  <si>
    <t>Železničný riadok - cesta - garáže</t>
  </si>
  <si>
    <t>Nákladanie s odpadmi</t>
  </si>
  <si>
    <t>Príspevok pre TS</t>
  </si>
  <si>
    <t>Univerzálny vyklápač</t>
  </si>
  <si>
    <t>Rozvoj bývania</t>
  </si>
  <si>
    <t>Príspevok pre TS nákup profesionálnej kosačky</t>
  </si>
  <si>
    <t>Ortofomapa</t>
  </si>
  <si>
    <t>územný plán</t>
  </si>
  <si>
    <t>MPV Plantáže</t>
  </si>
  <si>
    <t>VO Probstnerova cesta</t>
  </si>
  <si>
    <t>Kaplnka Levočské Lúky, NN prípojka</t>
  </si>
  <si>
    <t>Vnútrobloky</t>
  </si>
  <si>
    <t>MPV cyklochodník</t>
  </si>
  <si>
    <t>Spevnené plochy sídl. Sever</t>
  </si>
  <si>
    <t>Byty</t>
  </si>
  <si>
    <t>preložka VN</t>
  </si>
  <si>
    <t>MPV pozemkov pre most Lev. Dolina</t>
  </si>
  <si>
    <t xml:space="preserve">MPV pozemkov pre autobus. zastávku </t>
  </si>
  <si>
    <t>MPV stavba Strelnica</t>
  </si>
  <si>
    <t>07.1.2</t>
  </si>
  <si>
    <t>Ine zdravotnícke služby</t>
  </si>
  <si>
    <t>Centrum integrovanej zdrav. starostlivosti</t>
  </si>
  <si>
    <t>08.2.0.9</t>
  </si>
  <si>
    <t>Rekreačné a športové služby</t>
  </si>
  <si>
    <t>08.2.0.</t>
  </si>
  <si>
    <t xml:space="preserve">NMP č. 54 - divadlo, výmena okien II. etapa </t>
  </si>
  <si>
    <t>08.4.0.</t>
  </si>
  <si>
    <t xml:space="preserve">ZŠ G. Haina - ŠJ </t>
  </si>
  <si>
    <t>MŠ Žel. riadok - elok. MŠ Francisciho</t>
  </si>
  <si>
    <t>MŠ Francisciho</t>
  </si>
  <si>
    <t>10.7.0</t>
  </si>
  <si>
    <t>Rozpočet kapitál. výdavky celkom</t>
  </si>
  <si>
    <t>Finančné operácie</t>
  </si>
  <si>
    <t>Dlhodobé úvery</t>
  </si>
  <si>
    <t>Príjmy z prevodov peňaž. Fondov obcí FRB</t>
  </si>
  <si>
    <t>fond nevyčerpaných dotácií</t>
  </si>
  <si>
    <t xml:space="preserve">predaj akcií </t>
  </si>
  <si>
    <t>zábezpeky</t>
  </si>
  <si>
    <t>Prevod investičný fond</t>
  </si>
  <si>
    <t>Finančné operácie celkom</t>
  </si>
  <si>
    <t xml:space="preserve">Časť 2.2. Výdavkové finančné operácie </t>
  </si>
  <si>
    <t>01.7</t>
  </si>
  <si>
    <t>Splácanie bankových úverov dlhodobých</t>
  </si>
  <si>
    <t>Splácanie bankových úverov krátkodobých</t>
  </si>
  <si>
    <t>Splácanie bankových úverov ŠFRB</t>
  </si>
  <si>
    <t>dodávateľský úver - chodníky</t>
  </si>
  <si>
    <t xml:space="preserve">dodávateľský úver - auto </t>
  </si>
  <si>
    <t>Prevod na fond nevyčerpaných dotácií</t>
  </si>
  <si>
    <t xml:space="preserve">REKAPITULÁCIA  PRÍJMOV  A  VÝDAVKOV </t>
  </si>
  <si>
    <t>Príjmy bežného rozpočtu</t>
  </si>
  <si>
    <t>Výdavky bežného rozpočtu</t>
  </si>
  <si>
    <t>Prebytok/schodok bežného hospodárenia</t>
  </si>
  <si>
    <t>Príjmy kapitáloveho rozpočtu</t>
  </si>
  <si>
    <t>Výdavky kapitálového rozpočtu</t>
  </si>
  <si>
    <t>Prebytok/schodok kapitálového hospodárenia</t>
  </si>
  <si>
    <t>Príjmy - finančné operácie</t>
  </si>
  <si>
    <t>Výdavky - finančné operácie</t>
  </si>
  <si>
    <t>Prebytok/schodok finančného hospodárenia</t>
  </si>
  <si>
    <t>Rekapitulácia</t>
  </si>
  <si>
    <t>Prebytok/schodok  hospodárenia</t>
  </si>
  <si>
    <t>Zdroje krytia</t>
  </si>
  <si>
    <t>spolu</t>
  </si>
  <si>
    <t>prebytok BR</t>
  </si>
  <si>
    <t>kapitálové príjmy</t>
  </si>
  <si>
    <t>príjmy z min. rokov</t>
  </si>
  <si>
    <t>granty a transfery</t>
  </si>
  <si>
    <t>Fond nevyčerpaných dot.</t>
  </si>
  <si>
    <t>úver</t>
  </si>
  <si>
    <t xml:space="preserve">Kostol sv. Jakuba </t>
  </si>
  <si>
    <t>Chodník - predmestie</t>
  </si>
  <si>
    <t xml:space="preserve">Nízkouhlíková stratégia </t>
  </si>
  <si>
    <t>Zlepšenie kľúčových kompetencií žiakov ZŠ</t>
  </si>
  <si>
    <t>fond opráv ŠFRB</t>
  </si>
  <si>
    <t>PD - Zariadenie pre seniorov</t>
  </si>
  <si>
    <t>Časť 1.1 Bežný rozpočet</t>
  </si>
  <si>
    <t>Časť 1.1.1. Príjmy bežného rozpočtu</t>
  </si>
  <si>
    <t>Časť 1.1.2. Výdavky bežného rozpočtu</t>
  </si>
  <si>
    <t>Časť 1.2. Kapitálový rozpočet</t>
  </si>
  <si>
    <t>Časť 1.2.1. Príjmy kapitálového rozpočtu</t>
  </si>
  <si>
    <t>Podnikateľská činnosť</t>
  </si>
  <si>
    <t xml:space="preserve">Časť II. Finančné operácie </t>
  </si>
  <si>
    <t xml:space="preserve">Časť 2.1. Príjmové finančné operácie </t>
  </si>
  <si>
    <t>Upravený rozpočet 2019</t>
  </si>
  <si>
    <t>primátor mesta</t>
  </si>
  <si>
    <t>ZŠ Francisciho - udržba</t>
  </si>
  <si>
    <t>ZUŠ Levoča</t>
  </si>
  <si>
    <t>ZŠ Francisciho - konvektomat</t>
  </si>
  <si>
    <t>Prestavba N.M.P. II. etapa časť A</t>
  </si>
  <si>
    <t>Kostol sv. Jakuba dot.2018</t>
  </si>
  <si>
    <t>ZUŠ Levoča - údržba</t>
  </si>
  <si>
    <t>NMP 43 - PD</t>
  </si>
  <si>
    <t>NMP 47 - PD</t>
  </si>
  <si>
    <t>Jasle PDS</t>
  </si>
  <si>
    <t>cyklochodník</t>
  </si>
  <si>
    <t>Vodná nádrž Levoča</t>
  </si>
  <si>
    <t>Záchytné parkovisko</t>
  </si>
  <si>
    <t>Ing. Miroslav Vilkovský , MBA</t>
  </si>
  <si>
    <t>Lev. Lúky - miestna komunikácia</t>
  </si>
  <si>
    <t>Dotácia - Sadová ulica</t>
  </si>
  <si>
    <t>Cesta Sadová ulica</t>
  </si>
  <si>
    <t>MPV  - cesty</t>
  </si>
  <si>
    <t>MPV - ostatné</t>
  </si>
  <si>
    <t>VO Kláštorská</t>
  </si>
  <si>
    <t>Štúrová ulica</t>
  </si>
  <si>
    <t>Štúrová ulica odvodnenie</t>
  </si>
  <si>
    <t xml:space="preserve">Príspevok pre TS </t>
  </si>
  <si>
    <t>Dotácia MV SR - miestna komunikácia</t>
  </si>
  <si>
    <t>Križovatka ul. Slavkovská</t>
  </si>
  <si>
    <t>IBV Krupný jarok</t>
  </si>
  <si>
    <t>Strednodobý úver</t>
  </si>
  <si>
    <t>MsKS - oprava podlahy(kongres. sála)</t>
  </si>
  <si>
    <t>Prístupová komunikácia Levočské kúpele</t>
  </si>
  <si>
    <t>Úprava priechodov pre chodcov pri št. ceste i/18</t>
  </si>
  <si>
    <t xml:space="preserve">TS zdvíhacia nožnicová plošina </t>
  </si>
  <si>
    <t>TS pojazdná pracovná plošina</t>
  </si>
  <si>
    <t xml:space="preserve">VO ul. Za sedriou </t>
  </si>
  <si>
    <t>Rozpočet 2019</t>
  </si>
  <si>
    <t>Plynofikácia Sadová ulica</t>
  </si>
  <si>
    <t>Voda, kanál LD</t>
  </si>
  <si>
    <t>WEB stránka</t>
  </si>
  <si>
    <t>PD - parkovisko hrdob. priekopa</t>
  </si>
  <si>
    <t>PD - chodník Novoveská cesta</t>
  </si>
  <si>
    <t>PD - MK pri Strelnici</t>
  </si>
  <si>
    <t>Studňa Sadová ulica</t>
  </si>
  <si>
    <t>PD - MK Špitálska ul.</t>
  </si>
  <si>
    <t>PD VO ul. M. Hlaváčka</t>
  </si>
  <si>
    <t xml:space="preserve">Miestna občianska poriadková služba </t>
  </si>
  <si>
    <t>Príspevok pre TS Chodník - Obzor</t>
  </si>
  <si>
    <t>Tribúna - zimný štadión</t>
  </si>
  <si>
    <t>Rozšírenie MK Mäsiarskej ulici</t>
  </si>
  <si>
    <t>Projektová dokumentácia</t>
  </si>
  <si>
    <t>Odvodnenie parkoviska sídl. Západ</t>
  </si>
  <si>
    <t>Rekonštrukcia - spolufinancovanie</t>
  </si>
  <si>
    <t>investičný fond</t>
  </si>
  <si>
    <t>Ostatné</t>
  </si>
  <si>
    <t>Skutočnosť 2018</t>
  </si>
  <si>
    <t>Kostol sv. Jakuba - veža</t>
  </si>
  <si>
    <t>Centrum na podporu rozvoja okresu Levoča</t>
  </si>
  <si>
    <t>Vklad DO ZI soc. podnik</t>
  </si>
  <si>
    <t>Za sédriou - cesta</t>
  </si>
  <si>
    <t>osvetlenie športovej haly - spolufinancovanie</t>
  </si>
  <si>
    <t>Parkanový múr</t>
  </si>
  <si>
    <t xml:space="preserve">PD BD Levoča, Západ </t>
  </si>
  <si>
    <t>Zvyšovanie energetickej účinnosti budovy ZUŠ</t>
  </si>
  <si>
    <t xml:space="preserve">NMP 28 </t>
  </si>
  <si>
    <t>NMP č.28 - strecha</t>
  </si>
  <si>
    <t>Meštiansky dom, NMP 50</t>
  </si>
  <si>
    <t>Meštiansky dom, NMP 51</t>
  </si>
  <si>
    <t>Radnica PD</t>
  </si>
  <si>
    <t>ZUŠ Fasáda</t>
  </si>
  <si>
    <t>Výstavba</t>
  </si>
  <si>
    <t>DJ Rekonštrukcia - spolufinancovanie</t>
  </si>
  <si>
    <t>SPOLU</t>
  </si>
  <si>
    <t>Bežecký areál - dotácia</t>
  </si>
  <si>
    <t>Detské ihrisko Pri prameni</t>
  </si>
  <si>
    <t>detské ihrisko Pri prameni</t>
  </si>
  <si>
    <t>VÚC cyklochodník</t>
  </si>
  <si>
    <t>Úrad vlády - parkovisko</t>
  </si>
  <si>
    <t>zmena č.6</t>
  </si>
  <si>
    <t>MŠ G. Haina - korekcia</t>
  </si>
  <si>
    <t>Vyvesené: 18.10.2019</t>
  </si>
  <si>
    <t>Zvesené: 25.11.2019</t>
  </si>
  <si>
    <t>Schválené na 11. zasadnutí MZ dňa 21.11.2019 uznesením č.11/56,57,58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</si>
</sst>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_S_k"/>
    <numFmt numFmtId="165" formatCode="[$-41B]General"/>
    <numFmt numFmtId="166" formatCode="#,##0.0000"/>
  </numFmts>
  <fonts count="52" x14ac:knownFonts="1">
    <font>
      <sz val="11"/>
      <color theme="1"/>
      <name val="Calibri"/>
      <family val="2"/>
      <charset val="238"/>
      <scheme val="minor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11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b/>
      <sz val="9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1"/>
      <name val="Arial CE"/>
      <charset val="238"/>
    </font>
    <font>
      <sz val="11"/>
      <name val="Arial CE"/>
      <family val="2"/>
      <charset val="238"/>
    </font>
    <font>
      <b/>
      <sz val="11"/>
      <name val="Arial"/>
      <family val="2"/>
    </font>
    <font>
      <sz val="10"/>
      <color indexed="10"/>
      <name val="Arial"/>
      <family val="2"/>
    </font>
    <font>
      <b/>
      <i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name val="Arial CE"/>
      <family val="2"/>
      <charset val="238"/>
    </font>
    <font>
      <sz val="12"/>
      <color rgb="FF00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8"/>
      <color theme="3"/>
      <name val="Cambria"/>
      <family val="2"/>
      <charset val="238"/>
      <scheme val="major"/>
    </font>
    <font>
      <sz val="11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sz val="10"/>
      <color rgb="FFFF0000"/>
      <name val="Arial CE"/>
      <family val="2"/>
      <charset val="238"/>
    </font>
    <font>
      <sz val="10"/>
      <color rgb="FFFF0000"/>
      <name val="Arial CE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69696"/>
        <bgColor indexed="64"/>
      </patternFill>
    </fill>
  </fills>
  <borders count="118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61">
    <xf numFmtId="0" fontId="0" fillId="0" borderId="0"/>
    <xf numFmtId="0" fontId="29" fillId="0" borderId="0" applyNumberFormat="0" applyFill="0" applyBorder="0" applyAlignment="0" applyProtection="0"/>
    <xf numFmtId="0" fontId="30" fillId="0" borderId="109" applyNumberFormat="0" applyFill="0" applyAlignment="0" applyProtection="0"/>
    <xf numFmtId="0" fontId="31" fillId="0" borderId="110" applyNumberFormat="0" applyFill="0" applyAlignment="0" applyProtection="0"/>
    <xf numFmtId="0" fontId="32" fillId="0" borderId="111" applyNumberFormat="0" applyFill="0" applyAlignment="0" applyProtection="0"/>
    <xf numFmtId="0" fontId="32" fillId="0" borderId="0" applyNumberFormat="0" applyFill="0" applyBorder="0" applyAlignment="0" applyProtection="0"/>
    <xf numFmtId="0" fontId="33" fillId="3" borderId="0" applyNumberFormat="0" applyBorder="0" applyAlignment="0" applyProtection="0"/>
    <xf numFmtId="0" fontId="34" fillId="4" borderId="0" applyNumberFormat="0" applyBorder="0" applyAlignment="0" applyProtection="0"/>
    <xf numFmtId="0" fontId="35" fillId="5" borderId="0" applyNumberFormat="0" applyBorder="0" applyAlignment="0" applyProtection="0"/>
    <xf numFmtId="0" fontId="36" fillId="6" borderId="112" applyNumberFormat="0" applyAlignment="0" applyProtection="0"/>
    <xf numFmtId="0" fontId="37" fillId="7" borderId="113" applyNumberFormat="0" applyAlignment="0" applyProtection="0"/>
    <xf numFmtId="0" fontId="38" fillId="7" borderId="112" applyNumberFormat="0" applyAlignment="0" applyProtection="0"/>
    <xf numFmtId="0" fontId="39" fillId="0" borderId="114" applyNumberFormat="0" applyFill="0" applyAlignment="0" applyProtection="0"/>
    <xf numFmtId="0" fontId="40" fillId="8" borderId="115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4" fillId="0" borderId="117" applyNumberFormat="0" applyFill="0" applyAlignment="0" applyProtection="0"/>
    <xf numFmtId="0" fontId="43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43" fillId="33" borderId="0" applyNumberFormat="0" applyBorder="0" applyAlignment="0" applyProtection="0"/>
    <xf numFmtId="0" fontId="45" fillId="0" borderId="0"/>
    <xf numFmtId="165" fontId="44" fillId="0" borderId="0"/>
    <xf numFmtId="0" fontId="12" fillId="0" borderId="0"/>
    <xf numFmtId="0" fontId="28" fillId="0" borderId="0"/>
    <xf numFmtId="0" fontId="10" fillId="0" borderId="0"/>
    <xf numFmtId="0" fontId="46" fillId="0" borderId="0"/>
    <xf numFmtId="0" fontId="28" fillId="0" borderId="0"/>
    <xf numFmtId="0" fontId="12" fillId="0" borderId="0"/>
    <xf numFmtId="0" fontId="28" fillId="0" borderId="0"/>
    <xf numFmtId="0" fontId="28" fillId="0" borderId="0"/>
    <xf numFmtId="0" fontId="28" fillId="0" borderId="0"/>
    <xf numFmtId="0" fontId="28" fillId="9" borderId="116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9" borderId="116" applyNumberFormat="0" applyFont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9" borderId="116" applyNumberFormat="0" applyFont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9" borderId="116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9" borderId="116" applyNumberFormat="0" applyFont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9" borderId="116" applyNumberFormat="0" applyFont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9" borderId="116" applyNumberFormat="0" applyFont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1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9" borderId="116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9" borderId="116" applyNumberFormat="0" applyFont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9" borderId="116" applyNumberFormat="0" applyFont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47" fillId="0" borderId="0" applyNumberFormat="0" applyFill="0" applyBorder="0" applyAlignment="0" applyProtection="0"/>
    <xf numFmtId="0" fontId="48" fillId="0" borderId="0"/>
    <xf numFmtId="0" fontId="48" fillId="0" borderId="0"/>
    <xf numFmtId="9" fontId="12" fillId="0" borderId="0" applyFont="0" applyFill="0" applyBorder="0" applyAlignment="0" applyProtection="0"/>
    <xf numFmtId="0" fontId="1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1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</cellStyleXfs>
  <cellXfs count="898">
    <xf numFmtId="0" fontId="0" fillId="0" borderId="0" xfId="0"/>
    <xf numFmtId="0" fontId="4" fillId="0" borderId="0" xfId="0" applyFont="1"/>
    <xf numFmtId="3" fontId="5" fillId="0" borderId="13" xfId="0" applyNumberFormat="1" applyFont="1" applyFill="1" applyBorder="1"/>
    <xf numFmtId="4" fontId="5" fillId="0" borderId="13" xfId="0" applyNumberFormat="1" applyFont="1" applyFill="1" applyBorder="1"/>
    <xf numFmtId="3" fontId="5" fillId="0" borderId="14" xfId="0" applyNumberFormat="1" applyFont="1" applyFill="1" applyBorder="1"/>
    <xf numFmtId="3" fontId="5" fillId="0" borderId="16" xfId="0" applyNumberFormat="1" applyFont="1" applyFill="1" applyBorder="1"/>
    <xf numFmtId="3" fontId="4" fillId="0" borderId="0" xfId="0" applyNumberFormat="1" applyFont="1"/>
    <xf numFmtId="3" fontId="6" fillId="0" borderId="20" xfId="0" applyNumberFormat="1" applyFont="1" applyFill="1" applyBorder="1"/>
    <xf numFmtId="4" fontId="6" fillId="0" borderId="20" xfId="0" applyNumberFormat="1" applyFont="1" applyFill="1" applyBorder="1"/>
    <xf numFmtId="3" fontId="6" fillId="0" borderId="15" xfId="0" applyNumberFormat="1" applyFont="1" applyFill="1" applyBorder="1"/>
    <xf numFmtId="0" fontId="0" fillId="0" borderId="0" xfId="0" applyFont="1"/>
    <xf numFmtId="0" fontId="10" fillId="0" borderId="19" xfId="0" applyFont="1" applyFill="1" applyBorder="1"/>
    <xf numFmtId="0" fontId="10" fillId="0" borderId="24" xfId="0" applyFont="1" applyFill="1" applyBorder="1"/>
    <xf numFmtId="3" fontId="10" fillId="0" borderId="24" xfId="0" applyNumberFormat="1" applyFont="1" applyFill="1" applyBorder="1"/>
    <xf numFmtId="3" fontId="10" fillId="0" borderId="18" xfId="0" applyNumberFormat="1" applyFont="1" applyFill="1" applyBorder="1"/>
    <xf numFmtId="4" fontId="8" fillId="0" borderId="18" xfId="0" applyNumberFormat="1" applyFont="1" applyFill="1" applyBorder="1"/>
    <xf numFmtId="3" fontId="8" fillId="0" borderId="18" xfId="0" applyNumberFormat="1" applyFont="1" applyFill="1" applyBorder="1"/>
    <xf numFmtId="3" fontId="4" fillId="0" borderId="24" xfId="0" applyNumberFormat="1" applyFont="1" applyBorder="1"/>
    <xf numFmtId="3" fontId="0" fillId="0" borderId="21" xfId="0" applyNumberFormat="1" applyFont="1" applyBorder="1"/>
    <xf numFmtId="0" fontId="10" fillId="0" borderId="26" xfId="0" applyFont="1" applyFill="1" applyBorder="1"/>
    <xf numFmtId="3" fontId="10" fillId="0" borderId="26" xfId="0" applyNumberFormat="1" applyFont="1" applyFill="1" applyBorder="1"/>
    <xf numFmtId="3" fontId="10" fillId="0" borderId="27" xfId="0" applyNumberFormat="1" applyFont="1" applyFill="1" applyBorder="1"/>
    <xf numFmtId="4" fontId="8" fillId="0" borderId="27" xfId="0" applyNumberFormat="1" applyFont="1" applyFill="1" applyBorder="1"/>
    <xf numFmtId="3" fontId="8" fillId="0" borderId="27" xfId="0" applyNumberFormat="1" applyFont="1" applyFill="1" applyBorder="1"/>
    <xf numFmtId="3" fontId="4" fillId="0" borderId="29" xfId="0" applyNumberFormat="1" applyFont="1" applyBorder="1"/>
    <xf numFmtId="3" fontId="4" fillId="0" borderId="30" xfId="0" applyNumberFormat="1" applyFont="1" applyBorder="1"/>
    <xf numFmtId="0" fontId="10" fillId="0" borderId="31" xfId="0" applyFont="1" applyFill="1" applyBorder="1"/>
    <xf numFmtId="3" fontId="10" fillId="0" borderId="31" xfId="0" applyNumberFormat="1" applyFont="1" applyFill="1" applyBorder="1"/>
    <xf numFmtId="3" fontId="10" fillId="0" borderId="32" xfId="0" applyNumberFormat="1" applyFont="1" applyFill="1" applyBorder="1"/>
    <xf numFmtId="4" fontId="8" fillId="0" borderId="32" xfId="0" applyNumberFormat="1" applyFont="1" applyFill="1" applyBorder="1"/>
    <xf numFmtId="3" fontId="8" fillId="0" borderId="32" xfId="0" applyNumberFormat="1" applyFont="1" applyFill="1" applyBorder="1"/>
    <xf numFmtId="3" fontId="4" fillId="0" borderId="31" xfId="0" applyNumberFormat="1" applyFont="1" applyBorder="1"/>
    <xf numFmtId="3" fontId="4" fillId="0" borderId="33" xfId="0" applyNumberFormat="1" applyFont="1" applyBorder="1"/>
    <xf numFmtId="0" fontId="10" fillId="0" borderId="35" xfId="0" applyFont="1" applyFill="1" applyBorder="1"/>
    <xf numFmtId="3" fontId="10" fillId="0" borderId="35" xfId="0" applyNumberFormat="1" applyFont="1" applyFill="1" applyBorder="1"/>
    <xf numFmtId="3" fontId="10" fillId="0" borderId="36" xfId="0" applyNumberFormat="1" applyFont="1" applyFill="1" applyBorder="1"/>
    <xf numFmtId="4" fontId="8" fillId="0" borderId="36" xfId="0" applyNumberFormat="1" applyFont="1" applyFill="1" applyBorder="1"/>
    <xf numFmtId="3" fontId="8" fillId="0" borderId="36" xfId="0" applyNumberFormat="1" applyFont="1" applyFill="1" applyBorder="1"/>
    <xf numFmtId="3" fontId="4" fillId="0" borderId="38" xfId="0" applyNumberFormat="1" applyFont="1" applyBorder="1"/>
    <xf numFmtId="3" fontId="4" fillId="0" borderId="39" xfId="0" applyNumberFormat="1" applyFont="1" applyBorder="1"/>
    <xf numFmtId="3" fontId="11" fillId="0" borderId="24" xfId="0" applyNumberFormat="1" applyFont="1" applyFill="1" applyBorder="1"/>
    <xf numFmtId="4" fontId="11" fillId="0" borderId="24" xfId="0" applyNumberFormat="1" applyFont="1" applyFill="1" applyBorder="1"/>
    <xf numFmtId="3" fontId="11" fillId="0" borderId="18" xfId="0" applyNumberFormat="1" applyFont="1" applyFill="1" applyBorder="1"/>
    <xf numFmtId="3" fontId="11" fillId="0" borderId="21" xfId="0" applyNumberFormat="1" applyFont="1" applyFill="1" applyBorder="1"/>
    <xf numFmtId="0" fontId="9" fillId="0" borderId="24" xfId="0" applyFont="1" applyFill="1" applyBorder="1"/>
    <xf numFmtId="0" fontId="9" fillId="0" borderId="12" xfId="0" applyFont="1" applyFill="1" applyBorder="1"/>
    <xf numFmtId="3" fontId="2" fillId="0" borderId="34" xfId="0" applyNumberFormat="1" applyFont="1" applyFill="1" applyBorder="1"/>
    <xf numFmtId="4" fontId="2" fillId="0" borderId="34" xfId="0" applyNumberFormat="1" applyFont="1" applyFill="1" applyBorder="1"/>
    <xf numFmtId="3" fontId="2" fillId="0" borderId="11" xfId="0" applyNumberFormat="1" applyFont="1" applyFill="1" applyBorder="1"/>
    <xf numFmtId="3" fontId="2" fillId="0" borderId="41" xfId="0" applyNumberFormat="1" applyFont="1" applyFill="1" applyBorder="1"/>
    <xf numFmtId="0" fontId="10" fillId="0" borderId="42" xfId="0" applyFont="1" applyFill="1" applyBorder="1"/>
    <xf numFmtId="0" fontId="10" fillId="0" borderId="29" xfId="0" applyFont="1" applyFill="1" applyBorder="1"/>
    <xf numFmtId="3" fontId="10" fillId="0" borderId="28" xfId="0" applyNumberFormat="1" applyFont="1" applyFill="1" applyBorder="1"/>
    <xf numFmtId="4" fontId="8" fillId="0" borderId="28" xfId="0" applyNumberFormat="1" applyFont="1" applyFill="1" applyBorder="1"/>
    <xf numFmtId="3" fontId="8" fillId="0" borderId="28" xfId="0" applyNumberFormat="1" applyFont="1" applyFill="1" applyBorder="1"/>
    <xf numFmtId="3" fontId="10" fillId="0" borderId="37" xfId="0" applyNumberFormat="1" applyFont="1" applyFill="1" applyBorder="1"/>
    <xf numFmtId="4" fontId="8" fillId="0" borderId="37" xfId="0" applyNumberFormat="1" applyFont="1" applyFill="1" applyBorder="1"/>
    <xf numFmtId="3" fontId="8" fillId="0" borderId="37" xfId="0" applyNumberFormat="1" applyFont="1" applyFill="1" applyBorder="1"/>
    <xf numFmtId="0" fontId="9" fillId="0" borderId="34" xfId="0" applyFont="1" applyFill="1" applyBorder="1"/>
    <xf numFmtId="0" fontId="9" fillId="0" borderId="43" xfId="0" applyFont="1" applyFill="1" applyBorder="1"/>
    <xf numFmtId="0" fontId="9" fillId="0" borderId="44" xfId="0" applyFont="1" applyFill="1" applyBorder="1"/>
    <xf numFmtId="3" fontId="9" fillId="0" borderId="20" xfId="0" applyNumberFormat="1" applyFont="1" applyFill="1" applyBorder="1"/>
    <xf numFmtId="3" fontId="9" fillId="0" borderId="24" xfId="0" applyNumberFormat="1" applyFont="1" applyFill="1" applyBorder="1"/>
    <xf numFmtId="4" fontId="9" fillId="0" borderId="24" xfId="0" applyNumberFormat="1" applyFont="1" applyFill="1" applyBorder="1"/>
    <xf numFmtId="3" fontId="9" fillId="0" borderId="18" xfId="0" applyNumberFormat="1" applyFont="1" applyFill="1" applyBorder="1"/>
    <xf numFmtId="3" fontId="9" fillId="0" borderId="21" xfId="0" applyNumberFormat="1" applyFont="1" applyFill="1" applyBorder="1"/>
    <xf numFmtId="0" fontId="8" fillId="0" borderId="26" xfId="0" applyFont="1" applyFill="1" applyBorder="1"/>
    <xf numFmtId="3" fontId="8" fillId="0" borderId="26" xfId="0" applyNumberFormat="1" applyFont="1" applyFill="1" applyBorder="1"/>
    <xf numFmtId="0" fontId="8" fillId="0" borderId="31" xfId="0" applyFont="1" applyFill="1" applyBorder="1"/>
    <xf numFmtId="3" fontId="8" fillId="0" borderId="31" xfId="0" applyNumberFormat="1" applyFont="1" applyFill="1" applyBorder="1"/>
    <xf numFmtId="0" fontId="8" fillId="0" borderId="35" xfId="0" applyFont="1" applyFill="1" applyBorder="1"/>
    <xf numFmtId="0" fontId="8" fillId="0" borderId="38" xfId="0" applyFont="1" applyFill="1" applyBorder="1"/>
    <xf numFmtId="3" fontId="5" fillId="0" borderId="23" xfId="0" applyNumberFormat="1" applyFont="1" applyFill="1" applyBorder="1"/>
    <xf numFmtId="4" fontId="5" fillId="0" borderId="23" xfId="0" applyNumberFormat="1" applyFont="1" applyFill="1" applyBorder="1"/>
    <xf numFmtId="3" fontId="5" fillId="0" borderId="46" xfId="0" applyNumberFormat="1" applyFont="1" applyFill="1" applyBorder="1"/>
    <xf numFmtId="3" fontId="5" fillId="0" borderId="47" xfId="0" applyNumberFormat="1" applyFont="1" applyFill="1" applyBorder="1"/>
    <xf numFmtId="3" fontId="6" fillId="0" borderId="23" xfId="0" applyNumberFormat="1" applyFont="1" applyFill="1" applyBorder="1"/>
    <xf numFmtId="4" fontId="6" fillId="0" borderId="23" xfId="0" applyNumberFormat="1" applyFont="1" applyFill="1" applyBorder="1"/>
    <xf numFmtId="3" fontId="6" fillId="0" borderId="46" xfId="0" applyNumberFormat="1" applyFont="1" applyFill="1" applyBorder="1"/>
    <xf numFmtId="3" fontId="6" fillId="0" borderId="47" xfId="0" applyNumberFormat="1" applyFont="1" applyFill="1" applyBorder="1"/>
    <xf numFmtId="0" fontId="9" fillId="0" borderId="45" xfId="0" applyFont="1" applyFill="1" applyBorder="1"/>
    <xf numFmtId="0" fontId="8" fillId="0" borderId="27" xfId="0" applyFont="1" applyFill="1" applyBorder="1"/>
    <xf numFmtId="0" fontId="8" fillId="0" borderId="28" xfId="0" applyFont="1" applyFill="1" applyBorder="1"/>
    <xf numFmtId="3" fontId="8" fillId="0" borderId="29" xfId="0" applyNumberFormat="1" applyFont="1" applyFill="1" applyBorder="1"/>
    <xf numFmtId="4" fontId="4" fillId="0" borderId="29" xfId="0" applyNumberFormat="1" applyFont="1" applyBorder="1"/>
    <xf numFmtId="4" fontId="4" fillId="0" borderId="30" xfId="0" applyNumberFormat="1" applyFont="1" applyBorder="1"/>
    <xf numFmtId="0" fontId="8" fillId="0" borderId="32" xfId="0" applyFont="1" applyFill="1" applyBorder="1"/>
    <xf numFmtId="4" fontId="4" fillId="0" borderId="31" xfId="0" applyNumberFormat="1" applyFont="1" applyBorder="1"/>
    <xf numFmtId="4" fontId="4" fillId="0" borderId="33" xfId="0" applyNumberFormat="1" applyFont="1" applyBorder="1"/>
    <xf numFmtId="0" fontId="8" fillId="0" borderId="36" xfId="0" applyFont="1" applyFill="1" applyBorder="1"/>
    <xf numFmtId="3" fontId="8" fillId="0" borderId="35" xfId="0" applyNumberFormat="1" applyFont="1" applyFill="1" applyBorder="1"/>
    <xf numFmtId="0" fontId="2" fillId="0" borderId="24" xfId="0" applyFont="1" applyFill="1" applyBorder="1"/>
    <xf numFmtId="0" fontId="2" fillId="0" borderId="18" xfId="0" applyFont="1" applyFill="1" applyBorder="1"/>
    <xf numFmtId="3" fontId="2" fillId="0" borderId="23" xfId="0" applyNumberFormat="1" applyFont="1" applyFill="1" applyBorder="1"/>
    <xf numFmtId="3" fontId="2" fillId="0" borderId="24" xfId="0" applyNumberFormat="1" applyFont="1" applyFill="1" applyBorder="1"/>
    <xf numFmtId="4" fontId="2" fillId="0" borderId="24" xfId="0" applyNumberFormat="1" applyFont="1" applyFill="1" applyBorder="1"/>
    <xf numFmtId="3" fontId="2" fillId="0" borderId="18" xfId="0" applyNumberFormat="1" applyFont="1" applyFill="1" applyBorder="1"/>
    <xf numFmtId="3" fontId="2" fillId="0" borderId="21" xfId="0" applyNumberFormat="1" applyFont="1" applyFill="1" applyBorder="1"/>
    <xf numFmtId="3" fontId="8" fillId="0" borderId="30" xfId="0" applyNumberFormat="1" applyFont="1" applyFill="1" applyBorder="1"/>
    <xf numFmtId="3" fontId="8" fillId="0" borderId="33" xfId="0" applyNumberFormat="1" applyFont="1" applyFill="1" applyBorder="1"/>
    <xf numFmtId="0" fontId="8" fillId="0" borderId="37" xfId="0" applyFont="1" applyFill="1" applyBorder="1"/>
    <xf numFmtId="3" fontId="8" fillId="0" borderId="39" xfId="0" applyNumberFormat="1" applyFont="1" applyFill="1" applyBorder="1"/>
    <xf numFmtId="3" fontId="6" fillId="0" borderId="24" xfId="0" applyNumberFormat="1" applyFont="1" applyFill="1" applyBorder="1"/>
    <xf numFmtId="4" fontId="6" fillId="0" borderId="24" xfId="0" applyNumberFormat="1" applyFont="1" applyFill="1" applyBorder="1"/>
    <xf numFmtId="3" fontId="6" fillId="0" borderId="18" xfId="0" applyNumberFormat="1" applyFont="1" applyFill="1" applyBorder="1"/>
    <xf numFmtId="3" fontId="6" fillId="0" borderId="21" xfId="0" applyNumberFormat="1" applyFont="1" applyFill="1" applyBorder="1"/>
    <xf numFmtId="4" fontId="2" fillId="0" borderId="18" xfId="0" applyNumberFormat="1" applyFont="1" applyFill="1" applyBorder="1"/>
    <xf numFmtId="0" fontId="8" fillId="0" borderId="15" xfId="0" applyFont="1" applyFill="1" applyBorder="1"/>
    <xf numFmtId="4" fontId="8" fillId="0" borderId="15" xfId="0" applyNumberFormat="1" applyFont="1" applyFill="1" applyBorder="1"/>
    <xf numFmtId="3" fontId="8" fillId="0" borderId="15" xfId="0" applyNumberFormat="1" applyFont="1" applyFill="1" applyBorder="1"/>
    <xf numFmtId="3" fontId="8" fillId="0" borderId="48" xfId="0" applyNumberFormat="1" applyFont="1" applyFill="1" applyBorder="1"/>
    <xf numFmtId="0" fontId="8" fillId="0" borderId="29" xfId="0" applyFont="1" applyFill="1" applyBorder="1"/>
    <xf numFmtId="4" fontId="8" fillId="0" borderId="29" xfId="0" applyNumberFormat="1" applyFont="1" applyFill="1" applyBorder="1"/>
    <xf numFmtId="3" fontId="8" fillId="0" borderId="38" xfId="0" applyNumberFormat="1" applyFont="1" applyFill="1" applyBorder="1"/>
    <xf numFmtId="0" fontId="8" fillId="0" borderId="24" xfId="0" applyFont="1" applyFill="1" applyBorder="1"/>
    <xf numFmtId="0" fontId="8" fillId="0" borderId="11" xfId="0" applyFont="1" applyFill="1" applyBorder="1"/>
    <xf numFmtId="4" fontId="8" fillId="0" borderId="11" xfId="0" applyNumberFormat="1" applyFont="1" applyFill="1" applyBorder="1"/>
    <xf numFmtId="3" fontId="8" fillId="0" borderId="11" xfId="0" applyNumberFormat="1" applyFont="1" applyFill="1" applyBorder="1"/>
    <xf numFmtId="3" fontId="4" fillId="0" borderId="48" xfId="0" applyNumberFormat="1" applyFont="1" applyBorder="1"/>
    <xf numFmtId="3" fontId="6" fillId="0" borderId="34" xfId="0" applyNumberFormat="1" applyFont="1" applyFill="1" applyBorder="1"/>
    <xf numFmtId="4" fontId="6" fillId="0" borderId="34" xfId="0" applyNumberFormat="1" applyFont="1" applyFill="1" applyBorder="1"/>
    <xf numFmtId="3" fontId="6" fillId="0" borderId="11" xfId="0" applyNumberFormat="1" applyFont="1" applyFill="1" applyBorder="1"/>
    <xf numFmtId="4" fontId="4" fillId="0" borderId="24" xfId="0" applyNumberFormat="1" applyFont="1" applyBorder="1"/>
    <xf numFmtId="4" fontId="4" fillId="0" borderId="21" xfId="0" applyNumberFormat="1" applyFont="1" applyBorder="1"/>
    <xf numFmtId="0" fontId="10" fillId="0" borderId="34" xfId="0" applyFont="1" applyFill="1" applyBorder="1"/>
    <xf numFmtId="3" fontId="8" fillId="0" borderId="24" xfId="0" applyNumberFormat="1" applyFont="1" applyFill="1" applyBorder="1"/>
    <xf numFmtId="4" fontId="10" fillId="0" borderId="11" xfId="0" applyNumberFormat="1" applyFont="1" applyFill="1" applyBorder="1"/>
    <xf numFmtId="3" fontId="10" fillId="0" borderId="11" xfId="0" applyNumberFormat="1" applyFont="1" applyFill="1" applyBorder="1"/>
    <xf numFmtId="3" fontId="11" fillId="0" borderId="34" xfId="0" applyNumberFormat="1" applyFont="1" applyFill="1" applyBorder="1"/>
    <xf numFmtId="4" fontId="11" fillId="0" borderId="34" xfId="0" applyNumberFormat="1" applyFont="1" applyFill="1" applyBorder="1"/>
    <xf numFmtId="3" fontId="11" fillId="0" borderId="11" xfId="0" applyNumberFormat="1" applyFont="1" applyFill="1" applyBorder="1"/>
    <xf numFmtId="4" fontId="11" fillId="0" borderId="11" xfId="0" applyNumberFormat="1" applyFont="1" applyFill="1" applyBorder="1"/>
    <xf numFmtId="3" fontId="11" fillId="0" borderId="41" xfId="0" applyNumberFormat="1" applyFont="1" applyFill="1" applyBorder="1"/>
    <xf numFmtId="0" fontId="10" fillId="0" borderId="27" xfId="0" applyFont="1" applyFill="1" applyBorder="1"/>
    <xf numFmtId="0" fontId="10" fillId="0" borderId="28" xfId="0" applyFont="1" applyFill="1" applyBorder="1"/>
    <xf numFmtId="3" fontId="10" fillId="0" borderId="29" xfId="0" applyNumberFormat="1" applyFont="1" applyFill="1" applyBorder="1"/>
    <xf numFmtId="0" fontId="10" fillId="0" borderId="32" xfId="0" applyFont="1" applyFill="1" applyBorder="1"/>
    <xf numFmtId="4" fontId="10" fillId="0" borderId="32" xfId="0" applyNumberFormat="1" applyFont="1" applyFill="1" applyBorder="1"/>
    <xf numFmtId="3" fontId="10" fillId="0" borderId="33" xfId="0" applyNumberFormat="1" applyFont="1" applyFill="1" applyBorder="1"/>
    <xf numFmtId="0" fontId="10" fillId="0" borderId="36" xfId="0" applyFont="1" applyFill="1" applyBorder="1"/>
    <xf numFmtId="4" fontId="4" fillId="0" borderId="35" xfId="0" applyNumberFormat="1" applyFont="1" applyBorder="1"/>
    <xf numFmtId="4" fontId="4" fillId="0" borderId="49" xfId="0" applyNumberFormat="1" applyFont="1" applyBorder="1"/>
    <xf numFmtId="3" fontId="13" fillId="0" borderId="24" xfId="0" applyNumberFormat="1" applyFont="1" applyFill="1" applyBorder="1"/>
    <xf numFmtId="4" fontId="13" fillId="0" borderId="24" xfId="0" applyNumberFormat="1" applyFont="1" applyFill="1" applyBorder="1"/>
    <xf numFmtId="3" fontId="13" fillId="0" borderId="18" xfId="0" applyNumberFormat="1" applyFont="1" applyFill="1" applyBorder="1"/>
    <xf numFmtId="3" fontId="13" fillId="0" borderId="21" xfId="0" applyNumberFormat="1" applyFont="1" applyFill="1" applyBorder="1"/>
    <xf numFmtId="0" fontId="2" fillId="0" borderId="34" xfId="0" applyFont="1" applyFill="1" applyBorder="1"/>
    <xf numFmtId="3" fontId="2" fillId="0" borderId="20" xfId="0" applyNumberFormat="1" applyFont="1" applyFill="1" applyBorder="1"/>
    <xf numFmtId="4" fontId="2" fillId="0" borderId="11" xfId="0" applyNumberFormat="1" applyFont="1" applyFill="1" applyBorder="1"/>
    <xf numFmtId="4" fontId="9" fillId="0" borderId="18" xfId="0" applyNumberFormat="1" applyFont="1" applyFill="1" applyBorder="1"/>
    <xf numFmtId="4" fontId="8" fillId="0" borderId="26" xfId="0" applyNumberFormat="1" applyFont="1" applyFill="1" applyBorder="1"/>
    <xf numFmtId="4" fontId="8" fillId="0" borderId="31" xfId="0" applyNumberFormat="1" applyFont="1" applyFill="1" applyBorder="1"/>
    <xf numFmtId="3" fontId="12" fillId="0" borderId="31" xfId="0" applyNumberFormat="1" applyFont="1" applyFill="1" applyBorder="1"/>
    <xf numFmtId="3" fontId="12" fillId="0" borderId="32" xfId="0" applyNumberFormat="1" applyFont="1" applyFill="1" applyBorder="1"/>
    <xf numFmtId="4" fontId="8" fillId="0" borderId="32" xfId="0" applyNumberFormat="1" applyFont="1" applyFill="1" applyBorder="1" applyAlignment="1"/>
    <xf numFmtId="4" fontId="4" fillId="0" borderId="39" xfId="0" applyNumberFormat="1" applyFont="1" applyBorder="1"/>
    <xf numFmtId="0" fontId="8" fillId="0" borderId="46" xfId="0" applyFont="1" applyFill="1" applyBorder="1"/>
    <xf numFmtId="3" fontId="8" fillId="0" borderId="23" xfId="0" applyNumberFormat="1" applyFont="1" applyFill="1" applyBorder="1"/>
    <xf numFmtId="4" fontId="4" fillId="0" borderId="23" xfId="0" applyNumberFormat="1" applyFont="1" applyBorder="1"/>
    <xf numFmtId="4" fontId="4" fillId="0" borderId="47" xfId="0" applyNumberFormat="1" applyFont="1" applyBorder="1"/>
    <xf numFmtId="3" fontId="5" fillId="0" borderId="53" xfId="0" applyNumberFormat="1" applyFont="1" applyFill="1" applyBorder="1"/>
    <xf numFmtId="4" fontId="5" fillId="0" borderId="53" xfId="0" applyNumberFormat="1" applyFont="1" applyFill="1" applyBorder="1"/>
    <xf numFmtId="3" fontId="6" fillId="0" borderId="2" xfId="0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vertical="center" wrapText="1"/>
    </xf>
    <xf numFmtId="0" fontId="8" fillId="0" borderId="26" xfId="0" applyFont="1" applyFill="1" applyBorder="1" applyAlignment="1">
      <alignment horizontal="center"/>
    </xf>
    <xf numFmtId="3" fontId="0" fillId="0" borderId="0" xfId="0" applyNumberFormat="1"/>
    <xf numFmtId="0" fontId="8" fillId="0" borderId="31" xfId="0" applyFont="1" applyFill="1" applyBorder="1" applyAlignment="1">
      <alignment horizontal="center"/>
    </xf>
    <xf numFmtId="3" fontId="8" fillId="0" borderId="60" xfId="0" applyNumberFormat="1" applyFont="1" applyFill="1" applyBorder="1"/>
    <xf numFmtId="4" fontId="8" fillId="0" borderId="60" xfId="0" applyNumberFormat="1" applyFont="1" applyFill="1" applyBorder="1"/>
    <xf numFmtId="0" fontId="8" fillId="0" borderId="44" xfId="0" applyFont="1" applyFill="1" applyBorder="1"/>
    <xf numFmtId="4" fontId="8" fillId="0" borderId="44" xfId="0" applyNumberFormat="1" applyFont="1" applyFill="1" applyBorder="1"/>
    <xf numFmtId="3" fontId="8" fillId="0" borderId="34" xfId="0" applyNumberFormat="1" applyFont="1" applyFill="1" applyBorder="1"/>
    <xf numFmtId="49" fontId="6" fillId="0" borderId="40" xfId="0" applyNumberFormat="1" applyFont="1" applyFill="1" applyBorder="1"/>
    <xf numFmtId="3" fontId="6" fillId="0" borderId="19" xfId="0" applyNumberFormat="1" applyFont="1" applyFill="1" applyBorder="1" applyAlignment="1">
      <alignment horizontal="right"/>
    </xf>
    <xf numFmtId="3" fontId="3" fillId="0" borderId="21" xfId="0" applyNumberFormat="1" applyFont="1" applyBorder="1"/>
    <xf numFmtId="0" fontId="10" fillId="0" borderId="61" xfId="0" applyNumberFormat="1" applyFont="1" applyFill="1" applyBorder="1" applyAlignment="1">
      <alignment horizontal="center"/>
    </xf>
    <xf numFmtId="3" fontId="10" fillId="0" borderId="26" xfId="0" applyNumberFormat="1" applyFont="1" applyFill="1" applyBorder="1" applyAlignment="1">
      <alignment horizontal="right"/>
    </xf>
    <xf numFmtId="4" fontId="10" fillId="0" borderId="26" xfId="0" applyNumberFormat="1" applyFont="1" applyFill="1" applyBorder="1"/>
    <xf numFmtId="4" fontId="10" fillId="0" borderId="27" xfId="0" applyNumberFormat="1" applyFont="1" applyFill="1" applyBorder="1"/>
    <xf numFmtId="0" fontId="10" fillId="0" borderId="60" xfId="0" applyNumberFormat="1" applyFont="1" applyFill="1" applyBorder="1" applyAlignment="1">
      <alignment horizontal="center"/>
    </xf>
    <xf numFmtId="3" fontId="10" fillId="0" borderId="31" xfId="0" applyNumberFormat="1" applyFont="1" applyFill="1" applyBorder="1" applyAlignment="1">
      <alignment horizontal="right"/>
    </xf>
    <xf numFmtId="4" fontId="10" fillId="0" borderId="31" xfId="0" applyNumberFormat="1" applyFont="1" applyFill="1" applyBorder="1"/>
    <xf numFmtId="0" fontId="10" fillId="0" borderId="62" xfId="0" applyNumberFormat="1" applyFont="1" applyFill="1" applyBorder="1" applyAlignment="1">
      <alignment horizontal="center"/>
    </xf>
    <xf numFmtId="0" fontId="10" fillId="0" borderId="62" xfId="0" applyFont="1" applyFill="1" applyBorder="1"/>
    <xf numFmtId="3" fontId="10" fillId="0" borderId="62" xfId="0" applyNumberFormat="1" applyFont="1" applyFill="1" applyBorder="1" applyAlignment="1">
      <alignment horizontal="right"/>
    </xf>
    <xf numFmtId="4" fontId="10" fillId="0" borderId="37" xfId="0" applyNumberFormat="1" applyFont="1" applyFill="1" applyBorder="1"/>
    <xf numFmtId="0" fontId="8" fillId="0" borderId="61" xfId="0" applyFont="1" applyFill="1" applyBorder="1"/>
    <xf numFmtId="3" fontId="8" fillId="0" borderId="61" xfId="0" applyNumberFormat="1" applyFont="1" applyFill="1" applyBorder="1" applyAlignment="1">
      <alignment horizontal="right"/>
    </xf>
    <xf numFmtId="0" fontId="8" fillId="0" borderId="60" xfId="0" applyFont="1" applyFill="1" applyBorder="1"/>
    <xf numFmtId="3" fontId="8" fillId="0" borderId="60" xfId="0" applyNumberFormat="1" applyFont="1" applyFill="1" applyBorder="1" applyAlignment="1">
      <alignment horizontal="right"/>
    </xf>
    <xf numFmtId="3" fontId="8" fillId="0" borderId="44" xfId="0" applyNumberFormat="1" applyFont="1" applyFill="1" applyBorder="1" applyAlignment="1">
      <alignment horizontal="right"/>
    </xf>
    <xf numFmtId="0" fontId="8" fillId="0" borderId="20" xfId="0" applyFont="1" applyFill="1" applyBorder="1"/>
    <xf numFmtId="0" fontId="8" fillId="0" borderId="61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3" fontId="8" fillId="0" borderId="44" xfId="0" applyNumberFormat="1" applyFont="1" applyFill="1" applyBorder="1"/>
    <xf numFmtId="3" fontId="6" fillId="0" borderId="24" xfId="0" applyNumberFormat="1" applyFont="1" applyFill="1" applyBorder="1" applyAlignment="1">
      <alignment horizontal="right"/>
    </xf>
    <xf numFmtId="0" fontId="10" fillId="0" borderId="44" xfId="0" applyNumberFormat="1" applyFont="1" applyFill="1" applyBorder="1" applyAlignment="1">
      <alignment horizontal="center"/>
    </xf>
    <xf numFmtId="0" fontId="8" fillId="0" borderId="63" xfId="0" applyFont="1" applyFill="1" applyBorder="1"/>
    <xf numFmtId="3" fontId="8" fillId="0" borderId="20" xfId="0" applyNumberFormat="1" applyFont="1" applyFill="1" applyBorder="1" applyAlignment="1">
      <alignment horizontal="right"/>
    </xf>
    <xf numFmtId="0" fontId="8" fillId="0" borderId="64" xfId="0" applyFont="1" applyFill="1" applyBorder="1" applyAlignment="1">
      <alignment horizontal="center"/>
    </xf>
    <xf numFmtId="3" fontId="8" fillId="0" borderId="26" xfId="0" applyNumberFormat="1" applyFont="1" applyFill="1" applyBorder="1" applyAlignment="1">
      <alignment horizontal="right"/>
    </xf>
    <xf numFmtId="3" fontId="8" fillId="0" borderId="31" xfId="0" applyNumberFormat="1" applyFont="1" applyFill="1" applyBorder="1" applyAlignment="1">
      <alignment horizontal="right"/>
    </xf>
    <xf numFmtId="3" fontId="8" fillId="0" borderId="20" xfId="0" applyNumberFormat="1" applyFont="1" applyFill="1" applyBorder="1"/>
    <xf numFmtId="0" fontId="8" fillId="0" borderId="65" xfId="0" applyFont="1" applyFill="1" applyBorder="1" applyAlignment="1">
      <alignment horizontal="center"/>
    </xf>
    <xf numFmtId="0" fontId="8" fillId="0" borderId="66" xfId="0" applyFont="1" applyFill="1" applyBorder="1"/>
    <xf numFmtId="3" fontId="8" fillId="0" borderId="34" xfId="0" applyNumberFormat="1" applyFont="1" applyFill="1" applyBorder="1" applyAlignment="1">
      <alignment horizontal="right"/>
    </xf>
    <xf numFmtId="0" fontId="8" fillId="0" borderId="34" xfId="0" applyFont="1" applyFill="1" applyBorder="1"/>
    <xf numFmtId="4" fontId="8" fillId="0" borderId="24" xfId="0" applyNumberFormat="1" applyFont="1" applyFill="1" applyBorder="1"/>
    <xf numFmtId="0" fontId="8" fillId="0" borderId="25" xfId="0" applyFont="1" applyFill="1" applyBorder="1"/>
    <xf numFmtId="0" fontId="8" fillId="0" borderId="44" xfId="0" applyFont="1" applyFill="1" applyBorder="1" applyAlignment="1">
      <alignment horizontal="center"/>
    </xf>
    <xf numFmtId="2" fontId="8" fillId="0" borderId="20" xfId="0" applyNumberFormat="1" applyFont="1" applyFill="1" applyBorder="1"/>
    <xf numFmtId="0" fontId="8" fillId="0" borderId="35" xfId="0" applyFont="1" applyFill="1" applyBorder="1" applyAlignment="1">
      <alignment horizontal="center"/>
    </xf>
    <xf numFmtId="3" fontId="8" fillId="0" borderId="35" xfId="0" applyNumberFormat="1" applyFont="1" applyFill="1" applyBorder="1" applyAlignment="1">
      <alignment horizontal="right"/>
    </xf>
    <xf numFmtId="4" fontId="8" fillId="0" borderId="35" xfId="0" applyNumberFormat="1" applyFont="1" applyFill="1" applyBorder="1"/>
    <xf numFmtId="0" fontId="10" fillId="0" borderId="68" xfId="0" applyFont="1" applyFill="1" applyBorder="1" applyAlignment="1">
      <alignment horizontal="center"/>
    </xf>
    <xf numFmtId="0" fontId="10" fillId="0" borderId="61" xfId="0" applyFont="1" applyFill="1" applyBorder="1" applyAlignment="1">
      <alignment horizontal="left"/>
    </xf>
    <xf numFmtId="3" fontId="10" fillId="0" borderId="61" xfId="0" applyNumberFormat="1" applyFont="1" applyFill="1" applyBorder="1" applyAlignment="1">
      <alignment horizontal="right"/>
    </xf>
    <xf numFmtId="0" fontId="10" fillId="0" borderId="61" xfId="0" applyFont="1" applyFill="1" applyBorder="1" applyAlignment="1">
      <alignment horizontal="right"/>
    </xf>
    <xf numFmtId="0" fontId="10" fillId="0" borderId="68" xfId="0" applyFont="1" applyFill="1" applyBorder="1" applyAlignment="1">
      <alignment horizontal="left"/>
    </xf>
    <xf numFmtId="3" fontId="10" fillId="0" borderId="68" xfId="0" applyNumberFormat="1" applyFont="1" applyFill="1" applyBorder="1" applyAlignment="1">
      <alignment horizontal="right"/>
    </xf>
    <xf numFmtId="0" fontId="10" fillId="0" borderId="68" xfId="0" applyFont="1" applyFill="1" applyBorder="1" applyAlignment="1">
      <alignment horizontal="right"/>
    </xf>
    <xf numFmtId="4" fontId="10" fillId="0" borderId="28" xfId="0" applyNumberFormat="1" applyFont="1" applyFill="1" applyBorder="1"/>
    <xf numFmtId="0" fontId="8" fillId="0" borderId="12" xfId="0" applyFont="1" applyFill="1" applyBorder="1"/>
    <xf numFmtId="3" fontId="8" fillId="0" borderId="12" xfId="0" applyNumberFormat="1" applyFont="1" applyFill="1" applyBorder="1" applyAlignment="1">
      <alignment horizontal="right"/>
    </xf>
    <xf numFmtId="0" fontId="8" fillId="0" borderId="12" xfId="0" applyFont="1" applyFill="1" applyBorder="1" applyAlignment="1">
      <alignment horizontal="right"/>
    </xf>
    <xf numFmtId="49" fontId="6" fillId="0" borderId="10" xfId="0" applyNumberFormat="1" applyFont="1" applyFill="1" applyBorder="1"/>
    <xf numFmtId="3" fontId="6" fillId="0" borderId="12" xfId="0" applyNumberFormat="1" applyFont="1" applyFill="1" applyBorder="1" applyAlignment="1">
      <alignment horizontal="right"/>
    </xf>
    <xf numFmtId="3" fontId="10" fillId="0" borderId="19" xfId="0" applyNumberFormat="1" applyFont="1" applyFill="1" applyBorder="1" applyAlignment="1">
      <alignment horizontal="right"/>
    </xf>
    <xf numFmtId="4" fontId="10" fillId="0" borderId="24" xfId="0" applyNumberFormat="1" applyFont="1" applyFill="1" applyBorder="1"/>
    <xf numFmtId="0" fontId="10" fillId="0" borderId="68" xfId="0" applyNumberFormat="1" applyFont="1" applyFill="1" applyBorder="1" applyAlignment="1">
      <alignment horizontal="center"/>
    </xf>
    <xf numFmtId="0" fontId="10" fillId="0" borderId="12" xfId="0" applyNumberFormat="1" applyFont="1" applyFill="1" applyBorder="1" applyAlignment="1">
      <alignment horizontal="center"/>
    </xf>
    <xf numFmtId="3" fontId="10" fillId="0" borderId="34" xfId="0" applyNumberFormat="1" applyFont="1" applyFill="1" applyBorder="1"/>
    <xf numFmtId="4" fontId="10" fillId="0" borderId="29" xfId="0" applyNumberFormat="1" applyFont="1" applyFill="1" applyBorder="1"/>
    <xf numFmtId="3" fontId="10" fillId="0" borderId="38" xfId="0" applyNumberFormat="1" applyFont="1" applyFill="1" applyBorder="1"/>
    <xf numFmtId="0" fontId="10" fillId="0" borderId="20" xfId="0" applyFont="1" applyFill="1" applyBorder="1"/>
    <xf numFmtId="4" fontId="10" fillId="0" borderId="36" xfId="0" applyNumberFormat="1" applyFont="1" applyFill="1" applyBorder="1"/>
    <xf numFmtId="0" fontId="6" fillId="0" borderId="19" xfId="0" applyFont="1" applyFill="1" applyBorder="1" applyAlignment="1">
      <alignment horizontal="right"/>
    </xf>
    <xf numFmtId="4" fontId="6" fillId="0" borderId="18" xfId="0" applyNumberFormat="1" applyFont="1" applyFill="1" applyBorder="1"/>
    <xf numFmtId="49" fontId="10" fillId="0" borderId="61" xfId="0" applyNumberFormat="1" applyFont="1" applyFill="1" applyBorder="1" applyAlignment="1">
      <alignment horizontal="center"/>
    </xf>
    <xf numFmtId="49" fontId="10" fillId="0" borderId="60" xfId="0" applyNumberFormat="1" applyFont="1" applyFill="1" applyBorder="1" applyAlignment="1">
      <alignment horizontal="center"/>
    </xf>
    <xf numFmtId="0" fontId="8" fillId="0" borderId="62" xfId="0" applyFont="1" applyFill="1" applyBorder="1" applyAlignment="1">
      <alignment horizontal="center"/>
    </xf>
    <xf numFmtId="49" fontId="10" fillId="0" borderId="61" xfId="0" applyNumberFormat="1" applyFont="1" applyFill="1" applyBorder="1" applyAlignment="1">
      <alignment horizontal="left"/>
    </xf>
    <xf numFmtId="3" fontId="10" fillId="0" borderId="61" xfId="0" applyNumberFormat="1" applyFont="1" applyFill="1" applyBorder="1" applyAlignment="1">
      <alignment horizontal="left"/>
    </xf>
    <xf numFmtId="49" fontId="10" fillId="0" borderId="61" xfId="0" applyNumberFormat="1" applyFont="1" applyFill="1" applyBorder="1" applyAlignment="1">
      <alignment horizontal="right"/>
    </xf>
    <xf numFmtId="49" fontId="8" fillId="0" borderId="60" xfId="0" applyNumberFormat="1" applyFont="1" applyFill="1" applyBorder="1" applyAlignment="1">
      <alignment horizontal="left"/>
    </xf>
    <xf numFmtId="3" fontId="8" fillId="0" borderId="60" xfId="0" applyNumberFormat="1" applyFont="1" applyFill="1" applyBorder="1" applyAlignment="1">
      <alignment horizontal="left"/>
    </xf>
    <xf numFmtId="49" fontId="8" fillId="0" borderId="60" xfId="0" applyNumberFormat="1" applyFont="1" applyFill="1" applyBorder="1" applyAlignment="1">
      <alignment horizontal="right"/>
    </xf>
    <xf numFmtId="3" fontId="8" fillId="0" borderId="70" xfId="0" applyNumberFormat="1" applyFont="1" applyFill="1" applyBorder="1" applyAlignment="1">
      <alignment horizontal="right"/>
    </xf>
    <xf numFmtId="4" fontId="8" fillId="0" borderId="29" xfId="0" applyNumberFormat="1" applyFont="1" applyFill="1" applyBorder="1" applyAlignment="1">
      <alignment horizontal="right"/>
    </xf>
    <xf numFmtId="3" fontId="8" fillId="0" borderId="71" xfId="0" applyNumberFormat="1" applyFont="1" applyFill="1" applyBorder="1" applyAlignment="1">
      <alignment horizontal="left"/>
    </xf>
    <xf numFmtId="3" fontId="8" fillId="0" borderId="71" xfId="0" applyNumberFormat="1" applyFont="1" applyFill="1" applyBorder="1" applyAlignment="1">
      <alignment horizontal="right"/>
    </xf>
    <xf numFmtId="49" fontId="8" fillId="0" borderId="71" xfId="0" applyNumberFormat="1" applyFont="1" applyFill="1" applyBorder="1" applyAlignment="1">
      <alignment horizontal="right"/>
    </xf>
    <xf numFmtId="3" fontId="8" fillId="0" borderId="72" xfId="0" applyNumberFormat="1" applyFont="1" applyFill="1" applyBorder="1" applyAlignment="1">
      <alignment horizontal="right"/>
    </xf>
    <xf numFmtId="4" fontId="8" fillId="0" borderId="20" xfId="0" applyNumberFormat="1" applyFont="1" applyFill="1" applyBorder="1" applyAlignment="1">
      <alignment horizontal="right"/>
    </xf>
    <xf numFmtId="49" fontId="8" fillId="0" borderId="35" xfId="0" applyNumberFormat="1" applyFont="1" applyFill="1" applyBorder="1"/>
    <xf numFmtId="49" fontId="8" fillId="0" borderId="35" xfId="0" applyNumberFormat="1" applyFont="1" applyFill="1" applyBorder="1" applyAlignment="1">
      <alignment horizontal="right"/>
    </xf>
    <xf numFmtId="3" fontId="8" fillId="0" borderId="73" xfId="0" applyNumberFormat="1" applyFont="1" applyFill="1" applyBorder="1" applyAlignment="1">
      <alignment horizontal="right"/>
    </xf>
    <xf numFmtId="4" fontId="8" fillId="0" borderId="35" xfId="0" applyNumberFormat="1" applyFont="1" applyFill="1" applyBorder="1" applyAlignment="1">
      <alignment horizontal="right"/>
    </xf>
    <xf numFmtId="49" fontId="6" fillId="0" borderId="10" xfId="0" applyNumberFormat="1" applyFont="1" applyFill="1" applyBorder="1" applyAlignment="1">
      <alignment horizontal="left"/>
    </xf>
    <xf numFmtId="3" fontId="9" fillId="0" borderId="12" xfId="0" applyNumberFormat="1" applyFont="1" applyFill="1" applyBorder="1" applyAlignment="1">
      <alignment horizontal="left"/>
    </xf>
    <xf numFmtId="0" fontId="9" fillId="0" borderId="12" xfId="0" applyNumberFormat="1" applyFont="1" applyFill="1" applyBorder="1" applyAlignment="1">
      <alignment horizontal="right"/>
    </xf>
    <xf numFmtId="3" fontId="9" fillId="0" borderId="34" xfId="0" applyNumberFormat="1" applyFont="1" applyFill="1" applyBorder="1"/>
    <xf numFmtId="4" fontId="9" fillId="0" borderId="34" xfId="0" applyNumberFormat="1" applyFont="1" applyFill="1" applyBorder="1"/>
    <xf numFmtId="3" fontId="9" fillId="0" borderId="11" xfId="0" applyNumberFormat="1" applyFont="1" applyFill="1" applyBorder="1"/>
    <xf numFmtId="49" fontId="8" fillId="0" borderId="12" xfId="0" applyNumberFormat="1" applyFont="1" applyFill="1" applyBorder="1"/>
    <xf numFmtId="3" fontId="8" fillId="0" borderId="12" xfId="0" applyNumberFormat="1" applyFont="1" applyFill="1" applyBorder="1"/>
    <xf numFmtId="49" fontId="8" fillId="0" borderId="12" xfId="0" applyNumberFormat="1" applyFont="1" applyFill="1" applyBorder="1" applyAlignment="1">
      <alignment horizontal="right"/>
    </xf>
    <xf numFmtId="0" fontId="8" fillId="0" borderId="62" xfId="0" applyFont="1" applyFill="1" applyBorder="1"/>
    <xf numFmtId="3" fontId="8" fillId="0" borderId="62" xfId="0" applyNumberFormat="1" applyFont="1" applyFill="1" applyBorder="1" applyAlignment="1">
      <alignment horizontal="right"/>
    </xf>
    <xf numFmtId="3" fontId="8" fillId="0" borderId="62" xfId="0" applyNumberFormat="1" applyFont="1" applyFill="1" applyBorder="1"/>
    <xf numFmtId="0" fontId="8" fillId="0" borderId="71" xfId="0" applyFont="1" applyFill="1" applyBorder="1" applyAlignment="1">
      <alignment horizontal="center"/>
    </xf>
    <xf numFmtId="4" fontId="8" fillId="0" borderId="20" xfId="0" applyNumberFormat="1" applyFont="1" applyFill="1" applyBorder="1"/>
    <xf numFmtId="3" fontId="6" fillId="0" borderId="61" xfId="0" applyNumberFormat="1" applyFont="1" applyFill="1" applyBorder="1" applyAlignment="1">
      <alignment horizontal="right"/>
    </xf>
    <xf numFmtId="3" fontId="6" fillId="0" borderId="26" xfId="0" applyNumberFormat="1" applyFont="1" applyFill="1" applyBorder="1"/>
    <xf numFmtId="3" fontId="6" fillId="0" borderId="68" xfId="0" applyNumberFormat="1" applyFont="1" applyFill="1" applyBorder="1" applyAlignment="1">
      <alignment horizontal="right"/>
    </xf>
    <xf numFmtId="3" fontId="6" fillId="0" borderId="29" xfId="0" applyNumberFormat="1" applyFont="1" applyFill="1" applyBorder="1"/>
    <xf numFmtId="4" fontId="6" fillId="0" borderId="28" xfId="0" applyNumberFormat="1" applyFont="1" applyFill="1" applyBorder="1"/>
    <xf numFmtId="3" fontId="6" fillId="0" borderId="28" xfId="0" applyNumberFormat="1" applyFont="1" applyFill="1" applyBorder="1"/>
    <xf numFmtId="0" fontId="8" fillId="0" borderId="68" xfId="0" applyFont="1" applyFill="1" applyBorder="1" applyAlignment="1">
      <alignment horizontal="center"/>
    </xf>
    <xf numFmtId="4" fontId="8" fillId="0" borderId="38" xfId="0" applyNumberFormat="1" applyFont="1" applyFill="1" applyBorder="1"/>
    <xf numFmtId="0" fontId="8" fillId="0" borderId="19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3" fontId="6" fillId="0" borderId="27" xfId="0" applyNumberFormat="1" applyFont="1" applyFill="1" applyBorder="1"/>
    <xf numFmtId="3" fontId="12" fillId="0" borderId="26" xfId="0" applyNumberFormat="1" applyFont="1" applyBorder="1"/>
    <xf numFmtId="3" fontId="12" fillId="0" borderId="67" xfId="0" applyNumberFormat="1" applyFont="1" applyBorder="1"/>
    <xf numFmtId="49" fontId="2" fillId="0" borderId="74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2" fillId="0" borderId="73" xfId="0" applyNumberFormat="1" applyFont="1" applyFill="1" applyBorder="1" applyAlignment="1">
      <alignment horizontal="center"/>
    </xf>
    <xf numFmtId="49" fontId="2" fillId="0" borderId="61" xfId="0" applyNumberFormat="1" applyFont="1" applyFill="1" applyBorder="1" applyAlignment="1">
      <alignment horizontal="center"/>
    </xf>
    <xf numFmtId="3" fontId="8" fillId="0" borderId="61" xfId="0" applyNumberFormat="1" applyFont="1" applyFill="1" applyBorder="1"/>
    <xf numFmtId="49" fontId="2" fillId="0" borderId="68" xfId="0" applyNumberFormat="1" applyFont="1" applyFill="1" applyBorder="1" applyAlignment="1">
      <alignment horizontal="center"/>
    </xf>
    <xf numFmtId="3" fontId="8" fillId="0" borderId="68" xfId="0" applyNumberFormat="1" applyFont="1" applyFill="1" applyBorder="1"/>
    <xf numFmtId="0" fontId="8" fillId="0" borderId="68" xfId="0" applyFont="1" applyFill="1" applyBorder="1"/>
    <xf numFmtId="49" fontId="2" fillId="0" borderId="60" xfId="0" applyNumberFormat="1" applyFont="1" applyFill="1" applyBorder="1" applyAlignment="1">
      <alignment horizontal="center"/>
    </xf>
    <xf numFmtId="49" fontId="2" fillId="0" borderId="31" xfId="0" applyNumberFormat="1" applyFont="1" applyFill="1" applyBorder="1" applyAlignment="1">
      <alignment horizontal="center"/>
    </xf>
    <xf numFmtId="49" fontId="2" fillId="0" borderId="38" xfId="0" applyNumberFormat="1" applyFont="1" applyFill="1" applyBorder="1" applyAlignment="1">
      <alignment horizontal="center"/>
    </xf>
    <xf numFmtId="49" fontId="2" fillId="0" borderId="35" xfId="0" applyNumberFormat="1" applyFont="1" applyFill="1" applyBorder="1" applyAlignment="1">
      <alignment horizontal="center"/>
    </xf>
    <xf numFmtId="4" fontId="12" fillId="0" borderId="20" xfId="0" applyNumberFormat="1" applyFont="1" applyFill="1" applyBorder="1"/>
    <xf numFmtId="3" fontId="12" fillId="0" borderId="15" xfId="0" applyNumberFormat="1" applyFont="1" applyFill="1" applyBorder="1"/>
    <xf numFmtId="4" fontId="12" fillId="0" borderId="15" xfId="0" applyNumberFormat="1" applyFont="1" applyFill="1" applyBorder="1"/>
    <xf numFmtId="4" fontId="12" fillId="0" borderId="31" xfId="0" applyNumberFormat="1" applyFont="1" applyFill="1" applyBorder="1"/>
    <xf numFmtId="4" fontId="12" fillId="0" borderId="32" xfId="0" applyNumberFormat="1" applyFont="1" applyFill="1" applyBorder="1"/>
    <xf numFmtId="3" fontId="3" fillId="0" borderId="24" xfId="0" applyNumberFormat="1" applyFont="1" applyBorder="1"/>
    <xf numFmtId="0" fontId="8" fillId="0" borderId="29" xfId="0" applyFont="1" applyFill="1" applyBorder="1" applyAlignment="1">
      <alignment horizontal="center"/>
    </xf>
    <xf numFmtId="3" fontId="9" fillId="0" borderId="35" xfId="0" applyNumberFormat="1" applyFont="1" applyFill="1" applyBorder="1"/>
    <xf numFmtId="3" fontId="9" fillId="0" borderId="12" xfId="0" applyNumberFormat="1" applyFont="1" applyFill="1" applyBorder="1" applyAlignment="1">
      <alignment horizontal="right"/>
    </xf>
    <xf numFmtId="4" fontId="9" fillId="0" borderId="35" xfId="0" applyNumberFormat="1" applyFont="1" applyFill="1" applyBorder="1"/>
    <xf numFmtId="0" fontId="12" fillId="0" borderId="62" xfId="0" applyFont="1" applyFill="1" applyBorder="1" applyAlignment="1">
      <alignment horizontal="center"/>
    </xf>
    <xf numFmtId="4" fontId="8" fillId="0" borderId="34" xfId="0" applyNumberFormat="1" applyFont="1" applyFill="1" applyBorder="1"/>
    <xf numFmtId="3" fontId="6" fillId="0" borderId="12" xfId="0" applyNumberFormat="1" applyFont="1" applyFill="1" applyBorder="1" applyAlignment="1">
      <alignment horizontal="right" vertical="center" wrapText="1"/>
    </xf>
    <xf numFmtId="3" fontId="7" fillId="0" borderId="24" xfId="0" applyNumberFormat="1" applyFont="1" applyFill="1" applyBorder="1" applyAlignment="1">
      <alignment vertical="center" wrapText="1"/>
    </xf>
    <xf numFmtId="4" fontId="7" fillId="0" borderId="24" xfId="0" applyNumberFormat="1" applyFont="1" applyFill="1" applyBorder="1" applyAlignment="1">
      <alignment vertical="center" wrapText="1"/>
    </xf>
    <xf numFmtId="3" fontId="2" fillId="0" borderId="19" xfId="0" applyNumberFormat="1" applyFont="1" applyFill="1" applyBorder="1" applyAlignment="1">
      <alignment horizontal="right" vertical="center" wrapText="1"/>
    </xf>
    <xf numFmtId="3" fontId="3" fillId="0" borderId="24" xfId="0" applyNumberFormat="1" applyFont="1" applyFill="1" applyBorder="1" applyAlignment="1">
      <alignment vertical="center" wrapText="1"/>
    </xf>
    <xf numFmtId="4" fontId="3" fillId="0" borderId="24" xfId="0" applyNumberFormat="1" applyFont="1" applyFill="1" applyBorder="1" applyAlignment="1">
      <alignment vertical="center" wrapText="1"/>
    </xf>
    <xf numFmtId="3" fontId="12" fillId="0" borderId="26" xfId="0" applyNumberFormat="1" applyFont="1" applyFill="1" applyBorder="1" applyAlignment="1">
      <alignment vertical="center" wrapText="1"/>
    </xf>
    <xf numFmtId="4" fontId="12" fillId="0" borderId="26" xfId="0" applyNumberFormat="1" applyFont="1" applyFill="1" applyBorder="1" applyAlignment="1">
      <alignment vertical="center" wrapText="1"/>
    </xf>
    <xf numFmtId="3" fontId="12" fillId="0" borderId="27" xfId="0" applyNumberFormat="1" applyFont="1" applyFill="1" applyBorder="1" applyAlignment="1">
      <alignment vertical="center" wrapText="1"/>
    </xf>
    <xf numFmtId="4" fontId="12" fillId="0" borderId="27" xfId="0" applyNumberFormat="1" applyFont="1" applyFill="1" applyBorder="1" applyAlignment="1">
      <alignment vertical="center" wrapText="1"/>
    </xf>
    <xf numFmtId="3" fontId="12" fillId="0" borderId="31" xfId="0" applyNumberFormat="1" applyFont="1" applyFill="1" applyBorder="1" applyAlignment="1">
      <alignment vertical="center" wrapText="1"/>
    </xf>
    <xf numFmtId="4" fontId="12" fillId="0" borderId="32" xfId="0" applyNumberFormat="1" applyFont="1" applyFill="1" applyBorder="1" applyAlignment="1">
      <alignment vertical="center" wrapText="1"/>
    </xf>
    <xf numFmtId="3" fontId="12" fillId="0" borderId="32" xfId="0" applyNumberFormat="1" applyFont="1" applyFill="1" applyBorder="1" applyAlignment="1">
      <alignment vertical="center" wrapText="1"/>
    </xf>
    <xf numFmtId="3" fontId="12" fillId="0" borderId="35" xfId="0" applyNumberFormat="1" applyFont="1" applyFill="1" applyBorder="1" applyAlignment="1">
      <alignment vertical="center" wrapText="1"/>
    </xf>
    <xf numFmtId="4" fontId="12" fillId="0" borderId="36" xfId="0" applyNumberFormat="1" applyFont="1" applyFill="1" applyBorder="1" applyAlignment="1">
      <alignment vertical="center" wrapText="1"/>
    </xf>
    <xf numFmtId="3" fontId="12" fillId="0" borderId="36" xfId="0" applyNumberFormat="1" applyFont="1" applyFill="1" applyBorder="1" applyAlignment="1">
      <alignment vertical="center" wrapText="1"/>
    </xf>
    <xf numFmtId="0" fontId="12" fillId="0" borderId="29" xfId="0" applyFont="1" applyFill="1" applyBorder="1" applyAlignment="1">
      <alignment horizontal="center"/>
    </xf>
    <xf numFmtId="0" fontId="12" fillId="0" borderId="31" xfId="0" applyFont="1" applyFill="1" applyBorder="1" applyAlignment="1">
      <alignment horizontal="center"/>
    </xf>
    <xf numFmtId="0" fontId="12" fillId="0" borderId="38" xfId="0" applyFont="1" applyFill="1" applyBorder="1" applyAlignment="1">
      <alignment horizontal="center"/>
    </xf>
    <xf numFmtId="3" fontId="8" fillId="0" borderId="71" xfId="0" applyNumberFormat="1" applyFont="1" applyFill="1" applyBorder="1"/>
    <xf numFmtId="0" fontId="8" fillId="0" borderId="71" xfId="0" applyFont="1" applyFill="1" applyBorder="1"/>
    <xf numFmtId="0" fontId="12" fillId="0" borderId="76" xfId="0" applyFont="1" applyFill="1" applyBorder="1" applyAlignment="1">
      <alignment horizontal="center"/>
    </xf>
    <xf numFmtId="0" fontId="8" fillId="0" borderId="77" xfId="0" applyFont="1" applyFill="1" applyBorder="1"/>
    <xf numFmtId="3" fontId="8" fillId="0" borderId="77" xfId="0" applyNumberFormat="1" applyFont="1" applyFill="1" applyBorder="1"/>
    <xf numFmtId="3" fontId="8" fillId="0" borderId="8" xfId="0" applyNumberFormat="1" applyFont="1" applyFill="1" applyBorder="1"/>
    <xf numFmtId="4" fontId="8" fillId="0" borderId="8" xfId="0" applyNumberFormat="1" applyFont="1" applyFill="1" applyBorder="1"/>
    <xf numFmtId="0" fontId="5" fillId="0" borderId="53" xfId="0" applyFont="1" applyFill="1" applyBorder="1"/>
    <xf numFmtId="4" fontId="0" fillId="0" borderId="0" xfId="0" applyNumberFormat="1"/>
    <xf numFmtId="3" fontId="0" fillId="0" borderId="0" xfId="0" applyNumberFormat="1" applyFont="1"/>
    <xf numFmtId="0" fontId="5" fillId="0" borderId="79" xfId="0" applyFont="1" applyFill="1" applyBorder="1"/>
    <xf numFmtId="3" fontId="5" fillId="0" borderId="34" xfId="0" applyNumberFormat="1" applyFont="1" applyFill="1" applyBorder="1" applyAlignment="1">
      <alignment horizontal="right"/>
    </xf>
    <xf numFmtId="4" fontId="5" fillId="0" borderId="34" xfId="0" applyNumberFormat="1" applyFont="1" applyFill="1" applyBorder="1" applyAlignment="1">
      <alignment horizontal="right"/>
    </xf>
    <xf numFmtId="3" fontId="5" fillId="0" borderId="41" xfId="0" applyNumberFormat="1" applyFont="1" applyFill="1" applyBorder="1" applyAlignment="1">
      <alignment horizontal="right"/>
    </xf>
    <xf numFmtId="0" fontId="6" fillId="0" borderId="80" xfId="0" applyFont="1" applyFill="1" applyBorder="1"/>
    <xf numFmtId="0" fontId="2" fillId="0" borderId="46" xfId="0" applyFont="1" applyFill="1" applyBorder="1" applyAlignment="1">
      <alignment horizontal="center"/>
    </xf>
    <xf numFmtId="0" fontId="2" fillId="0" borderId="29" xfId="0" applyFont="1" applyFill="1" applyBorder="1"/>
    <xf numFmtId="0" fontId="2" fillId="0" borderId="28" xfId="0" applyFont="1" applyFill="1" applyBorder="1"/>
    <xf numFmtId="0" fontId="2" fillId="0" borderId="15" xfId="0" applyFont="1" applyFill="1" applyBorder="1"/>
    <xf numFmtId="0" fontId="10" fillId="0" borderId="15" xfId="0" applyFont="1" applyFill="1" applyBorder="1"/>
    <xf numFmtId="3" fontId="10" fillId="0" borderId="15" xfId="0" applyNumberFormat="1" applyFont="1" applyFill="1" applyBorder="1"/>
    <xf numFmtId="0" fontId="2" fillId="0" borderId="24" xfId="0" applyFont="1" applyFill="1" applyBorder="1" applyAlignment="1">
      <alignment horizontal="center"/>
    </xf>
    <xf numFmtId="0" fontId="8" fillId="0" borderId="28" xfId="0" applyFont="1" applyBorder="1"/>
    <xf numFmtId="3" fontId="8" fillId="0" borderId="28" xfId="0" applyNumberFormat="1" applyFont="1" applyBorder="1"/>
    <xf numFmtId="4" fontId="8" fillId="0" borderId="28" xfId="0" applyNumberFormat="1" applyFont="1" applyBorder="1"/>
    <xf numFmtId="0" fontId="12" fillId="0" borderId="31" xfId="0" applyFont="1" applyFill="1" applyBorder="1"/>
    <xf numFmtId="0" fontId="12" fillId="0" borderId="32" xfId="0" applyFont="1" applyFill="1" applyBorder="1"/>
    <xf numFmtId="3" fontId="12" fillId="0" borderId="28" xfId="0" applyNumberFormat="1" applyFont="1" applyFill="1" applyBorder="1"/>
    <xf numFmtId="4" fontId="12" fillId="0" borderId="28" xfId="0" applyNumberFormat="1" applyFont="1" applyFill="1" applyBorder="1"/>
    <xf numFmtId="3" fontId="12" fillId="0" borderId="29" xfId="0" applyNumberFormat="1" applyFont="1" applyFill="1" applyBorder="1"/>
    <xf numFmtId="3" fontId="12" fillId="0" borderId="30" xfId="0" applyNumberFormat="1" applyFont="1" applyFill="1" applyBorder="1"/>
    <xf numFmtId="0" fontId="8" fillId="0" borderId="35" xfId="0" applyFont="1" applyFill="1" applyBorder="1" applyAlignment="1">
      <alignment horizontal="left"/>
    </xf>
    <xf numFmtId="0" fontId="5" fillId="0" borderId="81" xfId="0" applyFont="1" applyFill="1" applyBorder="1" applyAlignment="1">
      <alignment horizontal="center"/>
    </xf>
    <xf numFmtId="3" fontId="5" fillId="0" borderId="18" xfId="0" applyNumberFormat="1" applyFont="1" applyFill="1" applyBorder="1"/>
    <xf numFmtId="4" fontId="5" fillId="0" borderId="18" xfId="0" applyNumberFormat="1" applyFont="1" applyFill="1" applyBorder="1"/>
    <xf numFmtId="3" fontId="5" fillId="0" borderId="24" xfId="0" applyNumberFormat="1" applyFont="1" applyFill="1" applyBorder="1"/>
    <xf numFmtId="3" fontId="5" fillId="0" borderId="21" xfId="0" applyNumberFormat="1" applyFont="1" applyFill="1" applyBorder="1"/>
    <xf numFmtId="3" fontId="11" fillId="0" borderId="46" xfId="0" applyNumberFormat="1" applyFont="1" applyFill="1" applyBorder="1"/>
    <xf numFmtId="4" fontId="11" fillId="0" borderId="46" xfId="0" applyNumberFormat="1" applyFont="1" applyFill="1" applyBorder="1"/>
    <xf numFmtId="3" fontId="11" fillId="0" borderId="23" xfId="0" applyNumberFormat="1" applyFont="1" applyFill="1" applyBorder="1"/>
    <xf numFmtId="4" fontId="11" fillId="0" borderId="23" xfId="0" applyNumberFormat="1" applyFont="1" applyFill="1" applyBorder="1"/>
    <xf numFmtId="3" fontId="11" fillId="0" borderId="47" xfId="0" applyNumberFormat="1" applyFont="1" applyFill="1" applyBorder="1"/>
    <xf numFmtId="0" fontId="12" fillId="0" borderId="20" xfId="0" applyFont="1" applyFill="1" applyBorder="1"/>
    <xf numFmtId="0" fontId="12" fillId="0" borderId="15" xfId="0" applyFont="1" applyFill="1" applyBorder="1"/>
    <xf numFmtId="4" fontId="8" fillId="0" borderId="33" xfId="0" applyNumberFormat="1" applyFont="1" applyFill="1" applyBorder="1"/>
    <xf numFmtId="0" fontId="6" fillId="0" borderId="40" xfId="0" applyFont="1" applyFill="1" applyBorder="1"/>
    <xf numFmtId="0" fontId="6" fillId="0" borderId="24" xfId="0" applyFont="1" applyFill="1" applyBorder="1" applyAlignment="1">
      <alignment horizontal="right"/>
    </xf>
    <xf numFmtId="3" fontId="6" fillId="0" borderId="45" xfId="0" applyNumberFormat="1" applyFont="1" applyFill="1" applyBorder="1" applyAlignment="1">
      <alignment horizontal="right"/>
    </xf>
    <xf numFmtId="4" fontId="6" fillId="0" borderId="24" xfId="0" applyNumberFormat="1" applyFont="1" applyFill="1" applyBorder="1" applyAlignment="1">
      <alignment horizontal="right"/>
    </xf>
    <xf numFmtId="3" fontId="7" fillId="0" borderId="24" xfId="0" applyNumberFormat="1" applyFont="1" applyFill="1" applyBorder="1"/>
    <xf numFmtId="3" fontId="7" fillId="0" borderId="21" xfId="0" applyNumberFormat="1" applyFont="1" applyFill="1" applyBorder="1"/>
    <xf numFmtId="4" fontId="8" fillId="0" borderId="30" xfId="0" applyNumberFormat="1" applyFont="1" applyFill="1" applyBorder="1"/>
    <xf numFmtId="0" fontId="5" fillId="0" borderId="82" xfId="0" applyFont="1" applyFill="1" applyBorder="1"/>
    <xf numFmtId="0" fontId="5" fillId="0" borderId="54" xfId="0" applyFont="1" applyFill="1" applyBorder="1" applyAlignment="1">
      <alignment horizontal="center"/>
    </xf>
    <xf numFmtId="3" fontId="5" fillId="0" borderId="55" xfId="0" applyNumberFormat="1" applyFont="1" applyFill="1" applyBorder="1"/>
    <xf numFmtId="3" fontId="6" fillId="0" borderId="34" xfId="0" applyNumberFormat="1" applyFont="1" applyFill="1" applyBorder="1" applyAlignment="1">
      <alignment horizontal="right"/>
    </xf>
    <xf numFmtId="0" fontId="6" fillId="0" borderId="11" xfId="0" applyFont="1" applyFill="1" applyBorder="1" applyAlignment="1">
      <alignment horizontal="right"/>
    </xf>
    <xf numFmtId="49" fontId="2" fillId="0" borderId="25" xfId="0" applyNumberFormat="1" applyFont="1" applyFill="1" applyBorder="1" applyAlignment="1"/>
    <xf numFmtId="3" fontId="8" fillId="0" borderId="67" xfId="0" applyNumberFormat="1" applyFont="1" applyFill="1" applyBorder="1"/>
    <xf numFmtId="49" fontId="6" fillId="0" borderId="40" xfId="0" applyNumberFormat="1" applyFont="1" applyFill="1" applyBorder="1" applyAlignment="1"/>
    <xf numFmtId="49" fontId="2" fillId="0" borderId="20" xfId="0" applyNumberFormat="1" applyFont="1" applyFill="1" applyBorder="1" applyAlignment="1"/>
    <xf numFmtId="0" fontId="8" fillId="0" borderId="32" xfId="0" applyFont="1" applyFill="1" applyBorder="1" applyAlignment="1">
      <alignment horizontal="right"/>
    </xf>
    <xf numFmtId="3" fontId="8" fillId="0" borderId="32" xfId="0" applyNumberFormat="1" applyFont="1" applyFill="1" applyBorder="1" applyAlignment="1">
      <alignment horizontal="right"/>
    </xf>
    <xf numFmtId="0" fontId="8" fillId="0" borderId="37" xfId="0" applyFont="1" applyFill="1" applyBorder="1" applyAlignment="1">
      <alignment horizontal="right"/>
    </xf>
    <xf numFmtId="3" fontId="8" fillId="0" borderId="37" xfId="0" applyNumberFormat="1" applyFont="1" applyFill="1" applyBorder="1" applyAlignment="1">
      <alignment horizontal="right"/>
    </xf>
    <xf numFmtId="49" fontId="11" fillId="0" borderId="40" xfId="0" applyNumberFormat="1" applyFont="1" applyFill="1" applyBorder="1" applyAlignment="1"/>
    <xf numFmtId="3" fontId="7" fillId="0" borderId="18" xfId="0" applyNumberFormat="1" applyFont="1" applyFill="1" applyBorder="1" applyAlignment="1">
      <alignment horizontal="right"/>
    </xf>
    <xf numFmtId="49" fontId="2" fillId="0" borderId="22" xfId="0" applyNumberFormat="1" applyFont="1" applyFill="1" applyBorder="1" applyAlignment="1"/>
    <xf numFmtId="49" fontId="2" fillId="0" borderId="23" xfId="0" applyNumberFormat="1" applyFont="1" applyFill="1" applyBorder="1" applyAlignment="1"/>
    <xf numFmtId="0" fontId="8" fillId="0" borderId="27" xfId="0" applyFont="1" applyFill="1" applyBorder="1" applyAlignment="1">
      <alignment horizontal="right"/>
    </xf>
    <xf numFmtId="3" fontId="8" fillId="0" borderId="27" xfId="0" applyNumberFormat="1" applyFont="1" applyFill="1" applyBorder="1" applyAlignment="1">
      <alignment horizontal="right"/>
    </xf>
    <xf numFmtId="0" fontId="8" fillId="0" borderId="28" xfId="0" applyFont="1" applyFill="1" applyBorder="1" applyAlignment="1">
      <alignment horizontal="right"/>
    </xf>
    <xf numFmtId="3" fontId="8" fillId="0" borderId="28" xfId="0" applyNumberFormat="1" applyFont="1" applyFill="1" applyBorder="1" applyAlignment="1">
      <alignment horizontal="right"/>
    </xf>
    <xf numFmtId="49" fontId="2" fillId="0" borderId="10" xfId="0" applyNumberFormat="1" applyFont="1" applyFill="1" applyBorder="1" applyAlignment="1"/>
    <xf numFmtId="49" fontId="2" fillId="0" borderId="34" xfId="0" applyNumberFormat="1" applyFont="1" applyFill="1" applyBorder="1" applyAlignment="1"/>
    <xf numFmtId="0" fontId="8" fillId="0" borderId="15" xfId="0" applyFont="1" applyFill="1" applyBorder="1" applyAlignment="1">
      <alignment horizontal="right"/>
    </xf>
    <xf numFmtId="3" fontId="8" fillId="0" borderId="15" xfId="0" applyNumberFormat="1" applyFont="1" applyFill="1" applyBorder="1" applyAlignment="1">
      <alignment horizontal="right"/>
    </xf>
    <xf numFmtId="49" fontId="6" fillId="0" borderId="10" xfId="0" applyNumberFormat="1" applyFont="1" applyFill="1" applyBorder="1" applyAlignment="1"/>
    <xf numFmtId="3" fontId="6" fillId="0" borderId="18" xfId="0" applyNumberFormat="1" applyFont="1" applyFill="1" applyBorder="1" applyAlignment="1">
      <alignment horizontal="left"/>
    </xf>
    <xf numFmtId="0" fontId="6" fillId="0" borderId="18" xfId="0" applyFont="1" applyFill="1" applyBorder="1" applyAlignment="1">
      <alignment horizontal="right"/>
    </xf>
    <xf numFmtId="3" fontId="6" fillId="0" borderId="18" xfId="0" applyNumberFormat="1" applyFont="1" applyFill="1" applyBorder="1" applyAlignment="1">
      <alignment horizontal="right"/>
    </xf>
    <xf numFmtId="0" fontId="10" fillId="0" borderId="26" xfId="0" applyFont="1" applyFill="1" applyBorder="1" applyAlignment="1">
      <alignment horizontal="left"/>
    </xf>
    <xf numFmtId="3" fontId="10" fillId="0" borderId="26" xfId="0" applyNumberFormat="1" applyFont="1" applyFill="1" applyBorder="1" applyAlignment="1">
      <alignment horizontal="left"/>
    </xf>
    <xf numFmtId="0" fontId="6" fillId="0" borderId="26" xfId="0" applyFont="1" applyFill="1" applyBorder="1" applyAlignment="1">
      <alignment horizontal="right"/>
    </xf>
    <xf numFmtId="3" fontId="6" fillId="0" borderId="26" xfId="0" applyNumberFormat="1" applyFont="1" applyFill="1" applyBorder="1" applyAlignment="1">
      <alignment horizontal="right"/>
    </xf>
    <xf numFmtId="3" fontId="17" fillId="0" borderId="26" xfId="0" applyNumberFormat="1" applyFont="1" applyFill="1" applyBorder="1"/>
    <xf numFmtId="3" fontId="17" fillId="0" borderId="67" xfId="0" applyNumberFormat="1" applyFont="1" applyFill="1" applyBorder="1"/>
    <xf numFmtId="0" fontId="10" fillId="0" borderId="29" xfId="0" applyFont="1" applyFill="1" applyBorder="1" applyAlignment="1">
      <alignment horizontal="left"/>
    </xf>
    <xf numFmtId="3" fontId="10" fillId="0" borderId="29" xfId="0" applyNumberFormat="1" applyFont="1" applyFill="1" applyBorder="1" applyAlignment="1">
      <alignment horizontal="left"/>
    </xf>
    <xf numFmtId="0" fontId="6" fillId="0" borderId="29" xfId="0" applyFont="1" applyFill="1" applyBorder="1" applyAlignment="1">
      <alignment horizontal="right"/>
    </xf>
    <xf numFmtId="3" fontId="6" fillId="0" borderId="29" xfId="0" applyNumberFormat="1" applyFont="1" applyFill="1" applyBorder="1" applyAlignment="1">
      <alignment horizontal="right"/>
    </xf>
    <xf numFmtId="3" fontId="17" fillId="0" borderId="29" xfId="0" applyNumberFormat="1" applyFont="1" applyFill="1" applyBorder="1"/>
    <xf numFmtId="3" fontId="17" fillId="0" borderId="30" xfId="0" applyNumberFormat="1" applyFont="1" applyFill="1" applyBorder="1"/>
    <xf numFmtId="0" fontId="10" fillId="0" borderId="31" xfId="0" applyFont="1" applyFill="1" applyBorder="1" applyAlignment="1">
      <alignment horizontal="left"/>
    </xf>
    <xf numFmtId="3" fontId="10" fillId="0" borderId="31" xfId="0" applyNumberFormat="1" applyFont="1" applyFill="1" applyBorder="1" applyAlignment="1">
      <alignment horizontal="left"/>
    </xf>
    <xf numFmtId="0" fontId="6" fillId="0" borderId="31" xfId="0" applyFont="1" applyFill="1" applyBorder="1" applyAlignment="1">
      <alignment horizontal="right"/>
    </xf>
    <xf numFmtId="3" fontId="6" fillId="0" borderId="31" xfId="0" applyNumberFormat="1" applyFont="1" applyFill="1" applyBorder="1" applyAlignment="1">
      <alignment horizontal="right"/>
    </xf>
    <xf numFmtId="3" fontId="6" fillId="0" borderId="31" xfId="0" applyNumberFormat="1" applyFont="1" applyFill="1" applyBorder="1"/>
    <xf numFmtId="3" fontId="9" fillId="0" borderId="31" xfId="0" applyNumberFormat="1" applyFont="1" applyFill="1" applyBorder="1"/>
    <xf numFmtId="3" fontId="6" fillId="0" borderId="33" xfId="0" applyNumberFormat="1" applyFont="1" applyFill="1" applyBorder="1"/>
    <xf numFmtId="0" fontId="8" fillId="0" borderId="36" xfId="0" applyFont="1" applyFill="1" applyBorder="1" applyAlignment="1">
      <alignment horizontal="right"/>
    </xf>
    <xf numFmtId="3" fontId="8" fillId="0" borderId="36" xfId="0" applyNumberFormat="1" applyFont="1" applyFill="1" applyBorder="1" applyAlignment="1">
      <alignment horizontal="right"/>
    </xf>
    <xf numFmtId="3" fontId="8" fillId="0" borderId="41" xfId="0" applyNumberFormat="1" applyFont="1" applyFill="1" applyBorder="1"/>
    <xf numFmtId="3" fontId="18" fillId="0" borderId="27" xfId="0" applyNumberFormat="1" applyFont="1" applyFill="1" applyBorder="1"/>
    <xf numFmtId="4" fontId="18" fillId="0" borderId="27" xfId="0" applyNumberFormat="1" applyFont="1" applyFill="1" applyBorder="1"/>
    <xf numFmtId="3" fontId="18" fillId="0" borderId="26" xfId="0" applyNumberFormat="1" applyFont="1" applyFill="1" applyBorder="1"/>
    <xf numFmtId="3" fontId="18" fillId="0" borderId="15" xfId="0" applyNumberFormat="1" applyFont="1" applyFill="1" applyBorder="1"/>
    <xf numFmtId="3" fontId="18" fillId="0" borderId="32" xfId="0" applyNumberFormat="1" applyFont="1" applyFill="1" applyBorder="1"/>
    <xf numFmtId="4" fontId="18" fillId="0" borderId="32" xfId="0" applyNumberFormat="1" applyFont="1" applyFill="1" applyBorder="1"/>
    <xf numFmtId="0" fontId="8" fillId="0" borderId="75" xfId="0" applyFont="1" applyFill="1" applyBorder="1"/>
    <xf numFmtId="3" fontId="8" fillId="0" borderId="84" xfId="0" applyNumberFormat="1" applyFont="1" applyFill="1" applyBorder="1"/>
    <xf numFmtId="0" fontId="8" fillId="0" borderId="84" xfId="0" applyFont="1" applyFill="1" applyBorder="1"/>
    <xf numFmtId="0" fontId="8" fillId="0" borderId="84" xfId="0" applyFont="1" applyFill="1" applyBorder="1" applyAlignment="1">
      <alignment horizontal="right"/>
    </xf>
    <xf numFmtId="3" fontId="8" fillId="0" borderId="84" xfId="0" applyNumberFormat="1" applyFont="1" applyFill="1" applyBorder="1" applyAlignment="1">
      <alignment horizontal="right"/>
    </xf>
    <xf numFmtId="3" fontId="8" fillId="0" borderId="70" xfId="0" applyNumberFormat="1" applyFont="1" applyFill="1" applyBorder="1"/>
    <xf numFmtId="0" fontId="8" fillId="0" borderId="70" xfId="0" applyFont="1" applyFill="1" applyBorder="1"/>
    <xf numFmtId="0" fontId="8" fillId="0" borderId="70" xfId="0" applyFont="1" applyFill="1" applyBorder="1" applyAlignment="1">
      <alignment horizontal="right"/>
    </xf>
    <xf numFmtId="0" fontId="12" fillId="0" borderId="60" xfId="0" applyFont="1" applyFill="1" applyBorder="1"/>
    <xf numFmtId="3" fontId="12" fillId="0" borderId="72" xfId="0" applyNumberFormat="1" applyFont="1" applyFill="1" applyBorder="1"/>
    <xf numFmtId="0" fontId="12" fillId="0" borderId="72" xfId="0" applyFont="1" applyFill="1" applyBorder="1"/>
    <xf numFmtId="0" fontId="12" fillId="0" borderId="72" xfId="0" applyFont="1" applyFill="1" applyBorder="1" applyAlignment="1">
      <alignment horizontal="right"/>
    </xf>
    <xf numFmtId="3" fontId="12" fillId="0" borderId="72" xfId="0" applyNumberFormat="1" applyFont="1" applyFill="1" applyBorder="1" applyAlignment="1">
      <alignment horizontal="right"/>
    </xf>
    <xf numFmtId="3" fontId="8" fillId="0" borderId="72" xfId="0" applyNumberFormat="1" applyFont="1" applyFill="1" applyBorder="1"/>
    <xf numFmtId="0" fontId="8" fillId="0" borderId="72" xfId="0" applyFont="1" applyFill="1" applyBorder="1"/>
    <xf numFmtId="0" fontId="8" fillId="0" borderId="72" xfId="0" applyFont="1" applyFill="1" applyBorder="1" applyAlignment="1">
      <alignment horizontal="right"/>
    </xf>
    <xf numFmtId="3" fontId="6" fillId="0" borderId="37" xfId="0" applyNumberFormat="1" applyFont="1" applyFill="1" applyBorder="1"/>
    <xf numFmtId="0" fontId="6" fillId="0" borderId="37" xfId="0" applyFont="1" applyFill="1" applyBorder="1"/>
    <xf numFmtId="0" fontId="6" fillId="0" borderId="37" xfId="0" applyFont="1" applyFill="1" applyBorder="1" applyAlignment="1">
      <alignment horizontal="right"/>
    </xf>
    <xf numFmtId="3" fontId="6" fillId="0" borderId="37" xfId="0" applyNumberFormat="1" applyFont="1" applyFill="1" applyBorder="1" applyAlignment="1">
      <alignment horizontal="right"/>
    </xf>
    <xf numFmtId="4" fontId="6" fillId="0" borderId="37" xfId="0" applyNumberFormat="1" applyFont="1" applyFill="1" applyBorder="1"/>
    <xf numFmtId="0" fontId="19" fillId="0" borderId="0" xfId="0" applyFont="1"/>
    <xf numFmtId="3" fontId="6" fillId="0" borderId="69" xfId="0" applyNumberFormat="1" applyFont="1" applyFill="1" applyBorder="1" applyAlignment="1">
      <alignment horizontal="left"/>
    </xf>
    <xf numFmtId="0" fontId="6" fillId="0" borderId="69" xfId="0" applyFont="1" applyFill="1" applyBorder="1" applyAlignment="1">
      <alignment horizontal="right"/>
    </xf>
    <xf numFmtId="3" fontId="6" fillId="0" borderId="69" xfId="0" applyNumberFormat="1" applyFont="1" applyFill="1" applyBorder="1" applyAlignment="1">
      <alignment horizontal="right"/>
    </xf>
    <xf numFmtId="3" fontId="10" fillId="0" borderId="27" xfId="0" applyNumberFormat="1" applyFont="1" applyFill="1" applyBorder="1" applyAlignment="1">
      <alignment horizontal="left"/>
    </xf>
    <xf numFmtId="0" fontId="10" fillId="0" borderId="27" xfId="0" applyFont="1" applyFill="1" applyBorder="1" applyAlignment="1">
      <alignment horizontal="left"/>
    </xf>
    <xf numFmtId="0" fontId="10" fillId="0" borderId="27" xfId="0" applyFont="1" applyFill="1" applyBorder="1" applyAlignment="1">
      <alignment horizontal="right"/>
    </xf>
    <xf numFmtId="3" fontId="10" fillId="0" borderId="27" xfId="0" applyNumberFormat="1" applyFont="1" applyFill="1" applyBorder="1" applyAlignment="1">
      <alignment horizontal="right"/>
    </xf>
    <xf numFmtId="3" fontId="10" fillId="0" borderId="67" xfId="0" applyNumberFormat="1" applyFont="1" applyFill="1" applyBorder="1"/>
    <xf numFmtId="3" fontId="10" fillId="0" borderId="28" xfId="0" applyNumberFormat="1" applyFont="1" applyFill="1" applyBorder="1" applyAlignment="1">
      <alignment horizontal="left"/>
    </xf>
    <xf numFmtId="0" fontId="10" fillId="0" borderId="28" xfId="0" applyFont="1" applyFill="1" applyBorder="1" applyAlignment="1">
      <alignment horizontal="left"/>
    </xf>
    <xf numFmtId="0" fontId="10" fillId="0" borderId="28" xfId="0" applyFont="1" applyFill="1" applyBorder="1" applyAlignment="1">
      <alignment horizontal="right"/>
    </xf>
    <xf numFmtId="3" fontId="10" fillId="0" borderId="28" xfId="0" applyNumberFormat="1" applyFont="1" applyFill="1" applyBorder="1" applyAlignment="1">
      <alignment horizontal="right"/>
    </xf>
    <xf numFmtId="3" fontId="10" fillId="0" borderId="30" xfId="0" applyNumberFormat="1" applyFont="1" applyFill="1" applyBorder="1"/>
    <xf numFmtId="3" fontId="10" fillId="0" borderId="49" xfId="0" applyNumberFormat="1" applyFont="1" applyFill="1" applyBorder="1"/>
    <xf numFmtId="0" fontId="8" fillId="0" borderId="11" xfId="0" applyFont="1" applyFill="1" applyBorder="1" applyAlignment="1">
      <alignment horizontal="right"/>
    </xf>
    <xf numFmtId="3" fontId="8" fillId="0" borderId="11" xfId="0" applyNumberFormat="1" applyFont="1" applyFill="1" applyBorder="1" applyAlignment="1">
      <alignment horizontal="right"/>
    </xf>
    <xf numFmtId="4" fontId="6" fillId="0" borderId="11" xfId="0" applyNumberFormat="1" applyFont="1" applyFill="1" applyBorder="1"/>
    <xf numFmtId="0" fontId="7" fillId="0" borderId="40" xfId="0" applyFont="1" applyFill="1" applyBorder="1"/>
    <xf numFmtId="49" fontId="6" fillId="0" borderId="24" xfId="0" applyNumberFormat="1" applyFont="1" applyFill="1" applyBorder="1" applyAlignment="1">
      <alignment horizontal="right"/>
    </xf>
    <xf numFmtId="0" fontId="12" fillId="0" borderId="17" xfId="0" applyFont="1" applyFill="1" applyBorder="1"/>
    <xf numFmtId="0" fontId="12" fillId="0" borderId="0" xfId="0" applyFont="1" applyFill="1" applyBorder="1"/>
    <xf numFmtId="0" fontId="12" fillId="0" borderId="24" xfId="0" applyFont="1" applyFill="1" applyBorder="1"/>
    <xf numFmtId="3" fontId="12" fillId="0" borderId="18" xfId="0" applyNumberFormat="1" applyFont="1" applyFill="1" applyBorder="1"/>
    <xf numFmtId="0" fontId="12" fillId="0" borderId="45" xfId="0" applyFont="1" applyFill="1" applyBorder="1"/>
    <xf numFmtId="4" fontId="12" fillId="0" borderId="24" xfId="0" applyNumberFormat="1" applyFont="1" applyFill="1" applyBorder="1"/>
    <xf numFmtId="0" fontId="12" fillId="0" borderId="21" xfId="0" applyFont="1" applyFill="1" applyBorder="1"/>
    <xf numFmtId="49" fontId="2" fillId="0" borderId="40" xfId="0" applyNumberFormat="1" applyFont="1" applyFill="1" applyBorder="1" applyAlignment="1"/>
    <xf numFmtId="49" fontId="2" fillId="0" borderId="24" xfId="0" applyNumberFormat="1" applyFont="1" applyFill="1" applyBorder="1" applyAlignment="1">
      <alignment horizontal="left"/>
    </xf>
    <xf numFmtId="1" fontId="9" fillId="0" borderId="24" xfId="0" applyNumberFormat="1" applyFont="1" applyFill="1" applyBorder="1"/>
    <xf numFmtId="1" fontId="9" fillId="0" borderId="21" xfId="0" applyNumberFormat="1" applyFont="1" applyFill="1" applyBorder="1"/>
    <xf numFmtId="0" fontId="2" fillId="0" borderId="26" xfId="0" applyFont="1" applyFill="1" applyBorder="1" applyAlignment="1"/>
    <xf numFmtId="0" fontId="2" fillId="0" borderId="35" xfId="0" applyFont="1" applyFill="1" applyBorder="1" applyAlignment="1"/>
    <xf numFmtId="3" fontId="8" fillId="0" borderId="49" xfId="0" applyNumberFormat="1" applyFont="1" applyFill="1" applyBorder="1"/>
    <xf numFmtId="0" fontId="8" fillId="0" borderId="27" xfId="0" applyFont="1" applyFill="1" applyBorder="1" applyAlignment="1"/>
    <xf numFmtId="3" fontId="8" fillId="0" borderId="27" xfId="0" applyNumberFormat="1" applyFont="1" applyFill="1" applyBorder="1" applyAlignment="1"/>
    <xf numFmtId="4" fontId="8" fillId="0" borderId="26" xfId="0" applyNumberFormat="1" applyFont="1" applyFill="1" applyBorder="1" applyAlignment="1">
      <alignment horizontal="right"/>
    </xf>
    <xf numFmtId="0" fontId="2" fillId="0" borderId="29" xfId="0" applyFont="1" applyFill="1" applyBorder="1" applyAlignment="1"/>
    <xf numFmtId="0" fontId="8" fillId="0" borderId="28" xfId="0" applyFont="1" applyFill="1" applyBorder="1" applyAlignment="1"/>
    <xf numFmtId="3" fontId="8" fillId="0" borderId="28" xfId="0" applyNumberFormat="1" applyFont="1" applyFill="1" applyBorder="1" applyAlignment="1"/>
    <xf numFmtId="3" fontId="8" fillId="0" borderId="29" xfId="0" applyNumberFormat="1" applyFont="1" applyFill="1" applyBorder="1" applyAlignment="1">
      <alignment horizontal="right"/>
    </xf>
    <xf numFmtId="0" fontId="2" fillId="0" borderId="31" xfId="0" applyFont="1" applyFill="1" applyBorder="1" applyAlignment="1"/>
    <xf numFmtId="0" fontId="8" fillId="0" borderId="32" xfId="0" applyFont="1" applyFill="1" applyBorder="1" applyAlignment="1"/>
    <xf numFmtId="3" fontId="2" fillId="0" borderId="53" xfId="0" applyNumberFormat="1" applyFont="1" applyFill="1" applyBorder="1"/>
    <xf numFmtId="4" fontId="2" fillId="0" borderId="53" xfId="0" applyNumberFormat="1" applyFont="1" applyFill="1" applyBorder="1"/>
    <xf numFmtId="3" fontId="2" fillId="0" borderId="55" xfId="0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/>
    <xf numFmtId="16" fontId="2" fillId="0" borderId="0" xfId="0" applyNumberFormat="1" applyFont="1" applyFill="1" applyBorder="1" applyAlignment="1">
      <alignment horizontal="left"/>
    </xf>
    <xf numFmtId="49" fontId="2" fillId="0" borderId="10" xfId="0" applyNumberFormat="1" applyFont="1" applyFill="1" applyBorder="1"/>
    <xf numFmtId="3" fontId="0" fillId="0" borderId="34" xfId="0" applyNumberFormat="1" applyFill="1" applyBorder="1"/>
    <xf numFmtId="4" fontId="0" fillId="0" borderId="34" xfId="0" applyNumberFormat="1" applyFill="1" applyBorder="1"/>
    <xf numFmtId="4" fontId="0" fillId="0" borderId="13" xfId="0" applyNumberFormat="1" applyFill="1" applyBorder="1"/>
    <xf numFmtId="3" fontId="0" fillId="0" borderId="13" xfId="0" applyNumberFormat="1" applyFill="1" applyBorder="1"/>
    <xf numFmtId="0" fontId="0" fillId="0" borderId="26" xfId="0" applyFill="1" applyBorder="1"/>
    <xf numFmtId="3" fontId="0" fillId="0" borderId="26" xfId="0" applyNumberFormat="1" applyFill="1" applyBorder="1"/>
    <xf numFmtId="3" fontId="12" fillId="0" borderId="26" xfId="0" applyNumberFormat="1" applyFont="1" applyFill="1" applyBorder="1" applyAlignment="1">
      <alignment horizontal="right"/>
    </xf>
    <xf numFmtId="4" fontId="12" fillId="0" borderId="26" xfId="0" applyNumberFormat="1" applyFont="1" applyFill="1" applyBorder="1" applyAlignment="1">
      <alignment horizontal="right"/>
    </xf>
    <xf numFmtId="4" fontId="12" fillId="0" borderId="27" xfId="0" applyNumberFormat="1" applyFont="1" applyFill="1" applyBorder="1" applyAlignment="1">
      <alignment horizontal="right"/>
    </xf>
    <xf numFmtId="3" fontId="12" fillId="0" borderId="27" xfId="0" applyNumberFormat="1" applyFont="1" applyFill="1" applyBorder="1" applyAlignment="1">
      <alignment horizontal="right"/>
    </xf>
    <xf numFmtId="3" fontId="12" fillId="0" borderId="26" xfId="0" applyNumberFormat="1" applyFont="1" applyFill="1" applyBorder="1"/>
    <xf numFmtId="3" fontId="12" fillId="0" borderId="67" xfId="0" applyNumberFormat="1" applyFont="1" applyFill="1" applyBorder="1"/>
    <xf numFmtId="0" fontId="0" fillId="0" borderId="29" xfId="0" applyFill="1" applyBorder="1"/>
    <xf numFmtId="0" fontId="12" fillId="0" borderId="29" xfId="0" applyFont="1" applyFill="1" applyBorder="1"/>
    <xf numFmtId="3" fontId="12" fillId="0" borderId="31" xfId="0" applyNumberFormat="1" applyFont="1" applyFill="1" applyBorder="1" applyAlignment="1">
      <alignment horizontal="right"/>
    </xf>
    <xf numFmtId="4" fontId="12" fillId="0" borderId="31" xfId="0" applyNumberFormat="1" applyFont="1" applyFill="1" applyBorder="1" applyAlignment="1">
      <alignment horizontal="right"/>
    </xf>
    <xf numFmtId="4" fontId="12" fillId="0" borderId="32" xfId="0" applyNumberFormat="1" applyFont="1" applyFill="1" applyBorder="1" applyAlignment="1">
      <alignment horizontal="right"/>
    </xf>
    <xf numFmtId="3" fontId="12" fillId="0" borderId="32" xfId="0" applyNumberFormat="1" applyFont="1" applyFill="1" applyBorder="1" applyAlignment="1">
      <alignment horizontal="right"/>
    </xf>
    <xf numFmtId="3" fontId="12" fillId="0" borderId="33" xfId="0" applyNumberFormat="1" applyFont="1" applyFill="1" applyBorder="1"/>
    <xf numFmtId="0" fontId="0" fillId="0" borderId="31" xfId="0" applyFill="1" applyBorder="1"/>
    <xf numFmtId="3" fontId="12" fillId="0" borderId="33" xfId="0" applyNumberFormat="1" applyFont="1" applyFill="1" applyBorder="1" applyAlignment="1">
      <alignment horizontal="right"/>
    </xf>
    <xf numFmtId="0" fontId="20" fillId="0" borderId="31" xfId="0" applyFont="1" applyFill="1" applyBorder="1"/>
    <xf numFmtId="0" fontId="0" fillId="0" borderId="31" xfId="0" applyFont="1" applyFill="1" applyBorder="1"/>
    <xf numFmtId="0" fontId="4" fillId="0" borderId="31" xfId="0" applyFont="1" applyFill="1" applyBorder="1"/>
    <xf numFmtId="3" fontId="4" fillId="0" borderId="31" xfId="0" applyNumberFormat="1" applyFont="1" applyFill="1" applyBorder="1"/>
    <xf numFmtId="3" fontId="0" fillId="0" borderId="31" xfId="0" applyNumberFormat="1" applyFill="1" applyBorder="1"/>
    <xf numFmtId="4" fontId="0" fillId="0" borderId="31" xfId="0" applyNumberFormat="1" applyFill="1" applyBorder="1"/>
    <xf numFmtId="4" fontId="0" fillId="0" borderId="32" xfId="0" applyNumberFormat="1" applyFill="1" applyBorder="1"/>
    <xf numFmtId="3" fontId="0" fillId="0" borderId="32" xfId="0" applyNumberFormat="1" applyFill="1" applyBorder="1"/>
    <xf numFmtId="3" fontId="0" fillId="0" borderId="33" xfId="0" applyNumberFormat="1" applyFill="1" applyBorder="1"/>
    <xf numFmtId="0" fontId="0" fillId="0" borderId="38" xfId="0" applyFill="1" applyBorder="1"/>
    <xf numFmtId="3" fontId="0" fillId="0" borderId="38" xfId="0" applyNumberFormat="1" applyFill="1" applyBorder="1"/>
    <xf numFmtId="4" fontId="0" fillId="0" borderId="38" xfId="0" applyNumberFormat="1" applyFill="1" applyBorder="1"/>
    <xf numFmtId="4" fontId="0" fillId="0" borderId="37" xfId="0" applyNumberFormat="1" applyFill="1" applyBorder="1"/>
    <xf numFmtId="3" fontId="0" fillId="0" borderId="37" xfId="0" applyNumberFormat="1" applyFill="1" applyBorder="1"/>
    <xf numFmtId="3" fontId="0" fillId="0" borderId="39" xfId="0" applyNumberFormat="1" applyFill="1" applyBorder="1"/>
    <xf numFmtId="4" fontId="2" fillId="0" borderId="54" xfId="0" applyNumberFormat="1" applyFont="1" applyFill="1" applyBorder="1"/>
    <xf numFmtId="3" fontId="2" fillId="0" borderId="51" xfId="0" applyNumberFormat="1" applyFont="1" applyFill="1" applyBorder="1"/>
    <xf numFmtId="3" fontId="0" fillId="0" borderId="86" xfId="0" applyNumberFormat="1" applyFill="1" applyBorder="1"/>
    <xf numFmtId="4" fontId="0" fillId="0" borderId="86" xfId="0" applyNumberFormat="1" applyFill="1" applyBorder="1"/>
    <xf numFmtId="3" fontId="7" fillId="0" borderId="87" xfId="0" applyNumberFormat="1" applyFont="1" applyFill="1" applyBorder="1" applyAlignment="1">
      <alignment vertical="center"/>
    </xf>
    <xf numFmtId="4" fontId="7" fillId="0" borderId="87" xfId="0" applyNumberFormat="1" applyFont="1" applyFill="1" applyBorder="1" applyAlignment="1">
      <alignment vertical="center"/>
    </xf>
    <xf numFmtId="3" fontId="7" fillId="0" borderId="87" xfId="0" applyNumberFormat="1" applyFont="1" applyFill="1" applyBorder="1"/>
    <xf numFmtId="4" fontId="7" fillId="0" borderId="87" xfId="0" applyNumberFormat="1" applyFont="1" applyFill="1" applyBorder="1"/>
    <xf numFmtId="3" fontId="22" fillId="0" borderId="0" xfId="0" applyNumberFormat="1" applyFont="1"/>
    <xf numFmtId="3" fontId="14" fillId="0" borderId="0" xfId="0" applyNumberFormat="1" applyFont="1"/>
    <xf numFmtId="0" fontId="3" fillId="2" borderId="87" xfId="0" applyFont="1" applyFill="1" applyBorder="1" applyAlignment="1">
      <alignment vertical="center" wrapText="1"/>
    </xf>
    <xf numFmtId="0" fontId="3" fillId="2" borderId="87" xfId="0" applyFont="1" applyFill="1" applyBorder="1" applyAlignment="1">
      <alignment horizontal="center" vertical="center" wrapText="1"/>
    </xf>
    <xf numFmtId="0" fontId="8" fillId="0" borderId="89" xfId="0" applyFont="1" applyFill="1" applyBorder="1"/>
    <xf numFmtId="0" fontId="2" fillId="0" borderId="25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3" fontId="6" fillId="0" borderId="3" xfId="0" applyNumberFormat="1" applyFont="1" applyFill="1" applyBorder="1" applyAlignment="1">
      <alignment vertical="center" wrapText="1"/>
    </xf>
    <xf numFmtId="4" fontId="6" fillId="0" borderId="3" xfId="0" applyNumberFormat="1" applyFont="1" applyFill="1" applyBorder="1" applyAlignment="1">
      <alignment vertical="center" wrapText="1"/>
    </xf>
    <xf numFmtId="3" fontId="23" fillId="0" borderId="29" xfId="0" applyNumberFormat="1" applyFont="1" applyBorder="1"/>
    <xf numFmtId="3" fontId="23" fillId="0" borderId="30" xfId="0" applyNumberFormat="1" applyFont="1" applyBorder="1"/>
    <xf numFmtId="3" fontId="23" fillId="0" borderId="31" xfId="0" applyNumberFormat="1" applyFont="1" applyBorder="1"/>
    <xf numFmtId="3" fontId="23" fillId="0" borderId="33" xfId="0" applyNumberFormat="1" applyFont="1" applyBorder="1"/>
    <xf numFmtId="4" fontId="23" fillId="0" borderId="31" xfId="0" applyNumberFormat="1" applyFont="1" applyBorder="1"/>
    <xf numFmtId="4" fontId="23" fillId="0" borderId="33" xfId="0" applyNumberFormat="1" applyFont="1" applyBorder="1"/>
    <xf numFmtId="4" fontId="23" fillId="0" borderId="38" xfId="0" applyNumberFormat="1" applyFont="1" applyBorder="1"/>
    <xf numFmtId="4" fontId="23" fillId="0" borderId="39" xfId="0" applyNumberFormat="1" applyFont="1" applyBorder="1"/>
    <xf numFmtId="3" fontId="23" fillId="0" borderId="39" xfId="0" applyNumberFormat="1" applyFont="1" applyBorder="1"/>
    <xf numFmtId="3" fontId="23" fillId="0" borderId="20" xfId="0" applyNumberFormat="1" applyFont="1" applyBorder="1"/>
    <xf numFmtId="3" fontId="23" fillId="0" borderId="48" xfId="0" applyNumberFormat="1" applyFont="1" applyBorder="1"/>
    <xf numFmtId="3" fontId="23" fillId="0" borderId="24" xfId="0" applyNumberFormat="1" applyFont="1" applyBorder="1"/>
    <xf numFmtId="3" fontId="23" fillId="0" borderId="21" xfId="0" applyNumberFormat="1" applyFont="1" applyBorder="1"/>
    <xf numFmtId="4" fontId="11" fillId="0" borderId="18" xfId="0" applyNumberFormat="1" applyFont="1" applyFill="1" applyBorder="1"/>
    <xf numFmtId="3" fontId="23" fillId="0" borderId="38" xfId="0" applyNumberFormat="1" applyFont="1" applyBorder="1"/>
    <xf numFmtId="3" fontId="23" fillId="0" borderId="26" xfId="0" applyNumberFormat="1" applyFont="1" applyBorder="1"/>
    <xf numFmtId="3" fontId="23" fillId="0" borderId="67" xfId="0" applyNumberFormat="1" applyFont="1" applyBorder="1"/>
    <xf numFmtId="3" fontId="23" fillId="0" borderId="35" xfId="0" applyNumberFormat="1" applyFont="1" applyBorder="1"/>
    <xf numFmtId="3" fontId="23" fillId="0" borderId="49" xfId="0" applyNumberFormat="1" applyFont="1" applyBorder="1"/>
    <xf numFmtId="3" fontId="23" fillId="0" borderId="34" xfId="0" applyNumberFormat="1" applyFont="1" applyBorder="1"/>
    <xf numFmtId="3" fontId="23" fillId="0" borderId="41" xfId="0" applyNumberFormat="1" applyFont="1" applyBorder="1"/>
    <xf numFmtId="0" fontId="12" fillId="0" borderId="36" xfId="0" applyFont="1" applyFill="1" applyBorder="1"/>
    <xf numFmtId="4" fontId="23" fillId="0" borderId="29" xfId="0" applyNumberFormat="1" applyFont="1" applyBorder="1"/>
    <xf numFmtId="4" fontId="23" fillId="0" borderId="30" xfId="0" applyNumberFormat="1" applyFont="1" applyBorder="1"/>
    <xf numFmtId="4" fontId="23" fillId="0" borderId="24" xfId="0" applyNumberFormat="1" applyFont="1" applyBorder="1"/>
    <xf numFmtId="4" fontId="23" fillId="0" borderId="21" xfId="0" applyNumberFormat="1" applyFont="1" applyBorder="1"/>
    <xf numFmtId="4" fontId="23" fillId="0" borderId="20" xfId="0" applyNumberFormat="1" applyFont="1" applyBorder="1"/>
    <xf numFmtId="4" fontId="23" fillId="0" borderId="48" xfId="0" applyNumberFormat="1" applyFont="1" applyBorder="1"/>
    <xf numFmtId="3" fontId="9" fillId="0" borderId="36" xfId="0" applyNumberFormat="1" applyFont="1" applyFill="1" applyBorder="1"/>
    <xf numFmtId="3" fontId="7" fillId="0" borderId="18" xfId="0" applyNumberFormat="1" applyFont="1" applyFill="1" applyBorder="1" applyAlignment="1">
      <alignment vertical="center" wrapText="1"/>
    </xf>
    <xf numFmtId="4" fontId="7" fillId="0" borderId="18" xfId="0" applyNumberFormat="1" applyFont="1" applyFill="1" applyBorder="1" applyAlignment="1">
      <alignment vertical="center" wrapText="1"/>
    </xf>
    <xf numFmtId="4" fontId="23" fillId="0" borderId="35" xfId="0" applyNumberFormat="1" applyFont="1" applyBorder="1"/>
    <xf numFmtId="4" fontId="23" fillId="0" borderId="49" xfId="0" applyNumberFormat="1" applyFont="1" applyBorder="1"/>
    <xf numFmtId="0" fontId="3" fillId="0" borderId="0" xfId="0" applyFont="1" applyFill="1" applyAlignment="1">
      <alignment horizontal="left"/>
    </xf>
    <xf numFmtId="0" fontId="3" fillId="0" borderId="83" xfId="0" applyFont="1" applyFill="1" applyBorder="1" applyAlignment="1">
      <alignment horizontal="left"/>
    </xf>
    <xf numFmtId="0" fontId="8" fillId="0" borderId="23" xfId="0" applyFont="1" applyFill="1" applyBorder="1" applyAlignment="1">
      <alignment horizontal="center"/>
    </xf>
    <xf numFmtId="0" fontId="8" fillId="0" borderId="34" xfId="0" applyFont="1" applyFill="1" applyBorder="1" applyAlignment="1">
      <alignment horizontal="center"/>
    </xf>
    <xf numFmtId="49" fontId="6" fillId="0" borderId="10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"/>
    </xf>
    <xf numFmtId="0" fontId="0" fillId="0" borderId="0" xfId="0" applyFill="1" applyBorder="1" applyAlignment="1"/>
    <xf numFmtId="0" fontId="5" fillId="0" borderId="10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40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6" fillId="0" borderId="91" xfId="0" applyFont="1" applyFill="1" applyBorder="1" applyAlignment="1">
      <alignment horizontal="center"/>
    </xf>
    <xf numFmtId="3" fontId="5" fillId="0" borderId="54" xfId="0" applyNumberFormat="1" applyFont="1" applyFill="1" applyBorder="1"/>
    <xf numFmtId="49" fontId="6" fillId="0" borderId="1" xfId="0" applyNumberFormat="1" applyFont="1" applyFill="1" applyBorder="1" applyAlignment="1">
      <alignment vertical="center" wrapText="1"/>
    </xf>
    <xf numFmtId="49" fontId="2" fillId="0" borderId="25" xfId="0" applyNumberFormat="1" applyFont="1" applyFill="1" applyBorder="1"/>
    <xf numFmtId="0" fontId="8" fillId="0" borderId="92" xfId="0" applyFont="1" applyFill="1" applyBorder="1"/>
    <xf numFmtId="14" fontId="6" fillId="0" borderId="40" xfId="0" applyNumberFormat="1" applyFont="1" applyFill="1" applyBorder="1"/>
    <xf numFmtId="0" fontId="8" fillId="0" borderId="40" xfId="0" applyFont="1" applyFill="1" applyBorder="1"/>
    <xf numFmtId="16" fontId="6" fillId="0" borderId="40" xfId="0" applyNumberFormat="1" applyFont="1" applyFill="1" applyBorder="1"/>
    <xf numFmtId="0" fontId="6" fillId="0" borderId="40" xfId="0" applyFont="1" applyFill="1" applyBorder="1" applyAlignment="1">
      <alignment vertical="center" wrapText="1"/>
    </xf>
    <xf numFmtId="0" fontId="5" fillId="0" borderId="78" xfId="0" applyFont="1" applyFill="1" applyBorder="1"/>
    <xf numFmtId="0" fontId="5" fillId="0" borderId="52" xfId="0" applyFont="1" applyFill="1" applyBorder="1" applyAlignment="1">
      <alignment horizontal="center"/>
    </xf>
    <xf numFmtId="4" fontId="5" fillId="0" borderId="54" xfId="0" applyNumberFormat="1" applyFont="1" applyFill="1" applyBorder="1"/>
    <xf numFmtId="0" fontId="0" fillId="0" borderId="93" xfId="0" applyFill="1" applyBorder="1"/>
    <xf numFmtId="3" fontId="0" fillId="0" borderId="94" xfId="0" applyNumberFormat="1" applyFill="1" applyBorder="1"/>
    <xf numFmtId="0" fontId="0" fillId="0" borderId="95" xfId="0" applyFill="1" applyBorder="1"/>
    <xf numFmtId="0" fontId="7" fillId="0" borderId="96" xfId="0" applyFont="1" applyFill="1" applyBorder="1" applyAlignment="1">
      <alignment vertical="center"/>
    </xf>
    <xf numFmtId="3" fontId="7" fillId="0" borderId="88" xfId="0" applyNumberFormat="1" applyFont="1" applyFill="1" applyBorder="1" applyAlignment="1">
      <alignment vertical="center"/>
    </xf>
    <xf numFmtId="0" fontId="7" fillId="0" borderId="96" xfId="0" applyFont="1" applyFill="1" applyBorder="1"/>
    <xf numFmtId="3" fontId="7" fillId="0" borderId="88" xfId="0" applyNumberFormat="1" applyFont="1" applyFill="1" applyBorder="1"/>
    <xf numFmtId="0" fontId="14" fillId="0" borderId="78" xfId="0" applyFont="1" applyFill="1" applyBorder="1"/>
    <xf numFmtId="3" fontId="14" fillId="0" borderId="53" xfId="0" applyNumberFormat="1" applyFont="1" applyFill="1" applyBorder="1"/>
    <xf numFmtId="4" fontId="14" fillId="0" borderId="53" xfId="0" applyNumberFormat="1" applyFont="1" applyFill="1" applyBorder="1"/>
    <xf numFmtId="3" fontId="14" fillId="0" borderId="51" xfId="0" applyNumberFormat="1" applyFont="1" applyFill="1" applyBorder="1"/>
    <xf numFmtId="3" fontId="14" fillId="0" borderId="55" xfId="0" applyNumberFormat="1" applyFont="1" applyFill="1" applyBorder="1"/>
    <xf numFmtId="0" fontId="2" fillId="0" borderId="0" xfId="0" applyFont="1" applyFill="1" applyAlignment="1"/>
    <xf numFmtId="0" fontId="2" fillId="0" borderId="83" xfId="0" applyFont="1" applyFill="1" applyBorder="1" applyAlignment="1"/>
    <xf numFmtId="0" fontId="2" fillId="0" borderId="6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4" fillId="0" borderId="0" xfId="0" applyFont="1"/>
    <xf numFmtId="0" fontId="3" fillId="0" borderId="102" xfId="0" applyFont="1" applyBorder="1" applyAlignment="1">
      <alignment horizontal="center" vertical="center" wrapText="1"/>
    </xf>
    <xf numFmtId="3" fontId="6" fillId="0" borderId="48" xfId="0" applyNumberFormat="1" applyFont="1" applyFill="1" applyBorder="1"/>
    <xf numFmtId="0" fontId="3" fillId="0" borderId="87" xfId="0" applyFont="1" applyBorder="1" applyAlignment="1">
      <alignment horizontal="center" vertical="center" wrapText="1"/>
    </xf>
    <xf numFmtId="0" fontId="2" fillId="0" borderId="87" xfId="0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vertical="center" wrapText="1"/>
    </xf>
    <xf numFmtId="3" fontId="8" fillId="0" borderId="21" xfId="0" applyNumberFormat="1" applyFont="1" applyFill="1" applyBorder="1"/>
    <xf numFmtId="3" fontId="6" fillId="0" borderId="41" xfId="0" applyNumberFormat="1" applyFont="1" applyFill="1" applyBorder="1"/>
    <xf numFmtId="3" fontId="9" fillId="0" borderId="49" xfId="0" applyNumberFormat="1" applyFont="1" applyFill="1" applyBorder="1"/>
    <xf numFmtId="3" fontId="7" fillId="0" borderId="21" xfId="0" applyNumberFormat="1" applyFont="1" applyFill="1" applyBorder="1" applyAlignment="1">
      <alignment vertical="center" wrapText="1"/>
    </xf>
    <xf numFmtId="3" fontId="3" fillId="0" borderId="21" xfId="0" applyNumberFormat="1" applyFont="1" applyFill="1" applyBorder="1" applyAlignment="1">
      <alignment vertical="center" wrapText="1"/>
    </xf>
    <xf numFmtId="3" fontId="6" fillId="0" borderId="41" xfId="0" applyNumberFormat="1" applyFont="1" applyFill="1" applyBorder="1" applyAlignment="1">
      <alignment horizontal="right"/>
    </xf>
    <xf numFmtId="0" fontId="2" fillId="0" borderId="83" xfId="0" applyFont="1" applyFill="1" applyBorder="1" applyAlignment="1">
      <alignment horizontal="center" vertical="center" wrapText="1"/>
    </xf>
    <xf numFmtId="3" fontId="12" fillId="0" borderId="61" xfId="0" applyNumberFormat="1" applyFont="1" applyFill="1" applyBorder="1"/>
    <xf numFmtId="3" fontId="12" fillId="0" borderId="60" xfId="0" applyNumberFormat="1" applyFont="1" applyFill="1" applyBorder="1"/>
    <xf numFmtId="3" fontId="12" fillId="0" borderId="60" xfId="0" applyNumberFormat="1" applyFont="1" applyFill="1" applyBorder="1" applyAlignment="1">
      <alignment horizontal="right"/>
    </xf>
    <xf numFmtId="3" fontId="0" fillId="0" borderId="60" xfId="0" applyNumberFormat="1" applyFill="1" applyBorder="1"/>
    <xf numFmtId="3" fontId="0" fillId="0" borderId="71" xfId="0" applyNumberFormat="1" applyFill="1" applyBorder="1"/>
    <xf numFmtId="0" fontId="25" fillId="0" borderId="0" xfId="0" applyFont="1" applyAlignment="1">
      <alignment horizontal="center"/>
    </xf>
    <xf numFmtId="0" fontId="12" fillId="0" borderId="23" xfId="0" applyFont="1" applyFill="1" applyBorder="1"/>
    <xf numFmtId="49" fontId="2" fillId="0" borderId="24" xfId="0" applyNumberFormat="1" applyFont="1" applyFill="1" applyBorder="1" applyAlignment="1"/>
    <xf numFmtId="3" fontId="18" fillId="0" borderId="28" xfId="0" applyNumberFormat="1" applyFont="1" applyFill="1" applyBorder="1"/>
    <xf numFmtId="4" fontId="18" fillId="0" borderId="28" xfId="0" applyNumberFormat="1" applyFont="1" applyFill="1" applyBorder="1"/>
    <xf numFmtId="3" fontId="18" fillId="0" borderId="29" xfId="0" applyNumberFormat="1" applyFont="1" applyFill="1" applyBorder="1"/>
    <xf numFmtId="3" fontId="0" fillId="0" borderId="16" xfId="0" applyNumberFormat="1" applyFill="1" applyBorder="1"/>
    <xf numFmtId="0" fontId="0" fillId="0" borderId="0" xfId="0" applyAlignment="1"/>
    <xf numFmtId="0" fontId="26" fillId="0" borderId="60" xfId="0" applyFont="1" applyFill="1" applyBorder="1"/>
    <xf numFmtId="0" fontId="7" fillId="0" borderId="1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4" fillId="0" borderId="0" xfId="0" applyFont="1" applyAlignment="1"/>
    <xf numFmtId="3" fontId="27" fillId="0" borderId="0" xfId="0" applyNumberFormat="1" applyFont="1"/>
    <xf numFmtId="0" fontId="6" fillId="0" borderId="19" xfId="0" applyFont="1" applyFill="1" applyBorder="1" applyAlignment="1">
      <alignment horizontal="left"/>
    </xf>
    <xf numFmtId="0" fontId="6" fillId="0" borderId="69" xfId="0" applyFont="1" applyFill="1" applyBorder="1" applyAlignment="1">
      <alignment horizontal="left"/>
    </xf>
    <xf numFmtId="0" fontId="23" fillId="0" borderId="0" xfId="0" applyFont="1"/>
    <xf numFmtId="4" fontId="23" fillId="0" borderId="0" xfId="0" applyNumberFormat="1" applyFont="1" applyAlignment="1"/>
    <xf numFmtId="3" fontId="23" fillId="0" borderId="0" xfId="0" applyNumberFormat="1" applyFont="1"/>
    <xf numFmtId="4" fontId="23" fillId="0" borderId="0" xfId="0" applyNumberFormat="1" applyFont="1"/>
    <xf numFmtId="0" fontId="10" fillId="0" borderId="69" xfId="0" applyNumberFormat="1" applyFont="1" applyFill="1" applyBorder="1" applyAlignment="1">
      <alignment horizontal="center"/>
    </xf>
    <xf numFmtId="4" fontId="23" fillId="0" borderId="26" xfId="0" applyNumberFormat="1" applyFont="1" applyBorder="1"/>
    <xf numFmtId="3" fontId="4" fillId="0" borderId="35" xfId="0" applyNumberFormat="1" applyFont="1" applyBorder="1"/>
    <xf numFmtId="3" fontId="4" fillId="0" borderId="49" xfId="0" applyNumberFormat="1" applyFont="1" applyBorder="1"/>
    <xf numFmtId="0" fontId="6" fillId="0" borderId="26" xfId="0" applyFont="1" applyFill="1" applyBorder="1" applyAlignment="1">
      <alignment horizontal="left"/>
    </xf>
    <xf numFmtId="0" fontId="12" fillId="0" borderId="35" xfId="0" applyFont="1" applyFill="1" applyBorder="1"/>
    <xf numFmtId="0" fontId="12" fillId="0" borderId="73" xfId="0" applyFont="1" applyFill="1" applyBorder="1"/>
    <xf numFmtId="3" fontId="12" fillId="0" borderId="36" xfId="0" applyNumberFormat="1" applyFont="1" applyFill="1" applyBorder="1"/>
    <xf numFmtId="3" fontId="12" fillId="0" borderId="35" xfId="0" applyNumberFormat="1" applyFont="1" applyFill="1" applyBorder="1"/>
    <xf numFmtId="0" fontId="12" fillId="0" borderId="49" xfId="0" applyFont="1" applyFill="1" applyBorder="1"/>
    <xf numFmtId="0" fontId="10" fillId="0" borderId="74" xfId="0" applyFont="1" applyFill="1" applyBorder="1" applyAlignment="1">
      <alignment horizontal="left"/>
    </xf>
    <xf numFmtId="0" fontId="10" fillId="0" borderId="74" xfId="0" applyFont="1" applyFill="1" applyBorder="1" applyAlignment="1">
      <alignment horizontal="right"/>
    </xf>
    <xf numFmtId="3" fontId="10" fillId="0" borderId="74" xfId="0" applyNumberFormat="1" applyFont="1" applyFill="1" applyBorder="1" applyAlignment="1">
      <alignment horizontal="right"/>
    </xf>
    <xf numFmtId="3" fontId="10" fillId="0" borderId="74" xfId="0" applyNumberFormat="1" applyFont="1" applyFill="1" applyBorder="1"/>
    <xf numFmtId="4" fontId="5" fillId="0" borderId="46" xfId="0" applyNumberFormat="1" applyFont="1" applyFill="1" applyBorder="1"/>
    <xf numFmtId="4" fontId="2" fillId="0" borderId="0" xfId="0" applyNumberFormat="1" applyFont="1" applyFill="1" applyBorder="1" applyAlignment="1"/>
    <xf numFmtId="4" fontId="2" fillId="0" borderId="83" xfId="0" applyNumberFormat="1" applyFont="1" applyFill="1" applyBorder="1" applyAlignment="1"/>
    <xf numFmtId="4" fontId="13" fillId="0" borderId="18" xfId="0" applyNumberFormat="1" applyFont="1" applyFill="1" applyBorder="1"/>
    <xf numFmtId="4" fontId="4" fillId="0" borderId="0" xfId="0" applyNumberFormat="1" applyFont="1"/>
    <xf numFmtId="4" fontId="3" fillId="0" borderId="21" xfId="0" applyNumberFormat="1" applyFont="1" applyBorder="1"/>
    <xf numFmtId="3" fontId="8" fillId="0" borderId="0" xfId="0" applyNumberFormat="1" applyFont="1" applyFill="1" applyBorder="1"/>
    <xf numFmtId="0" fontId="8" fillId="0" borderId="93" xfId="0" applyFont="1" applyFill="1" applyBorder="1"/>
    <xf numFmtId="3" fontId="8" fillId="0" borderId="86" xfId="0" applyNumberFormat="1" applyFont="1" applyFill="1" applyBorder="1"/>
    <xf numFmtId="0" fontId="10" fillId="0" borderId="89" xfId="0" applyFont="1" applyFill="1" applyBorder="1" applyAlignment="1">
      <alignment horizontal="left"/>
    </xf>
    <xf numFmtId="0" fontId="12" fillId="0" borderId="89" xfId="0" applyFont="1" applyFill="1" applyBorder="1"/>
    <xf numFmtId="0" fontId="12" fillId="0" borderId="95" xfId="0" applyFont="1" applyFill="1" applyBorder="1"/>
    <xf numFmtId="0" fontId="12" fillId="0" borderId="38" xfId="0" applyFont="1" applyFill="1" applyBorder="1"/>
    <xf numFmtId="3" fontId="23" fillId="0" borderId="86" xfId="0" applyNumberFormat="1" applyFont="1" applyBorder="1"/>
    <xf numFmtId="3" fontId="23" fillId="0" borderId="94" xfId="0" applyNumberFormat="1" applyFont="1" applyBorder="1"/>
    <xf numFmtId="3" fontId="49" fillId="0" borderId="53" xfId="0" applyNumberFormat="1" applyFont="1" applyBorder="1"/>
    <xf numFmtId="3" fontId="49" fillId="0" borderId="55" xfId="0" applyNumberFormat="1" applyFont="1" applyBorder="1"/>
    <xf numFmtId="0" fontId="5" fillId="0" borderId="78" xfId="0" applyFont="1" applyFill="1" applyBorder="1" applyAlignment="1">
      <alignment horizontal="left"/>
    </xf>
    <xf numFmtId="3" fontId="8" fillId="0" borderId="38" xfId="0" applyNumberFormat="1" applyFont="1" applyFill="1" applyBorder="1" applyAlignment="1">
      <alignment horizontal="right"/>
    </xf>
    <xf numFmtId="0" fontId="50" fillId="0" borderId="89" xfId="0" applyFont="1" applyFill="1" applyBorder="1"/>
    <xf numFmtId="3" fontId="50" fillId="0" borderId="31" xfId="0" applyNumberFormat="1" applyFont="1" applyFill="1" applyBorder="1"/>
    <xf numFmtId="3" fontId="41" fillId="0" borderId="31" xfId="0" applyNumberFormat="1" applyFont="1" applyBorder="1"/>
    <xf numFmtId="3" fontId="41" fillId="0" borderId="33" xfId="0" applyNumberFormat="1" applyFont="1" applyBorder="1"/>
    <xf numFmtId="0" fontId="41" fillId="0" borderId="0" xfId="0" applyFont="1"/>
    <xf numFmtId="3" fontId="41" fillId="0" borderId="0" xfId="0" applyNumberFormat="1" applyFont="1"/>
    <xf numFmtId="0" fontId="51" fillId="0" borderId="89" xfId="0" applyFont="1" applyFill="1" applyBorder="1" applyAlignment="1">
      <alignment horizontal="left"/>
    </xf>
    <xf numFmtId="3" fontId="51" fillId="0" borderId="31" xfId="0" applyNumberFormat="1" applyFont="1" applyFill="1" applyBorder="1"/>
    <xf numFmtId="166" fontId="6" fillId="0" borderId="0" xfId="0" applyNumberFormat="1" applyFont="1" applyFill="1" applyBorder="1" applyAlignment="1">
      <alignment vertical="center" wrapText="1"/>
    </xf>
    <xf numFmtId="0" fontId="2" fillId="0" borderId="83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8" fillId="0" borderId="22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left"/>
    </xf>
    <xf numFmtId="0" fontId="11" fillId="0" borderId="19" xfId="0" applyFont="1" applyFill="1" applyBorder="1" applyAlignment="1">
      <alignment horizontal="left"/>
    </xf>
    <xf numFmtId="0" fontId="2" fillId="0" borderId="90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91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34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left"/>
    </xf>
    <xf numFmtId="0" fontId="5" fillId="0" borderId="45" xfId="0" applyFont="1" applyFill="1" applyBorder="1" applyAlignment="1">
      <alignment horizontal="left"/>
    </xf>
    <xf numFmtId="0" fontId="6" fillId="0" borderId="45" xfId="0" applyFont="1" applyFill="1" applyBorder="1" applyAlignment="1">
      <alignment horizontal="left"/>
    </xf>
    <xf numFmtId="0" fontId="12" fillId="0" borderId="25" xfId="0" applyFont="1" applyFill="1" applyBorder="1"/>
    <xf numFmtId="0" fontId="12" fillId="0" borderId="10" xfId="0" applyFont="1" applyFill="1" applyBorder="1"/>
    <xf numFmtId="0" fontId="6" fillId="0" borderId="11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left"/>
    </xf>
    <xf numFmtId="0" fontId="5" fillId="0" borderId="50" xfId="0" applyFont="1" applyFill="1" applyBorder="1" applyAlignment="1">
      <alignment horizontal="left"/>
    </xf>
    <xf numFmtId="0" fontId="5" fillId="0" borderId="51" xfId="0" applyFont="1" applyFill="1" applyBorder="1" applyAlignment="1">
      <alignment horizontal="left"/>
    </xf>
    <xf numFmtId="0" fontId="5" fillId="0" borderId="52" xfId="0" applyFont="1" applyFill="1" applyBorder="1" applyAlignment="1">
      <alignment horizontal="left"/>
    </xf>
    <xf numFmtId="0" fontId="13" fillId="0" borderId="18" xfId="0" applyFont="1" applyFill="1" applyBorder="1" applyAlignment="1">
      <alignment horizontal="left"/>
    </xf>
    <xf numFmtId="0" fontId="13" fillId="0" borderId="19" xfId="0" applyFont="1" applyFill="1" applyBorder="1" applyAlignment="1">
      <alignment horizontal="left"/>
    </xf>
    <xf numFmtId="0" fontId="8" fillId="0" borderId="46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16" fontId="2" fillId="0" borderId="56" xfId="0" applyNumberFormat="1" applyFont="1" applyFill="1" applyBorder="1" applyAlignment="1">
      <alignment horizontal="center" vertical="center" wrapText="1"/>
    </xf>
    <xf numFmtId="16" fontId="2" fillId="0" borderId="57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left" vertical="center" wrapText="1"/>
    </xf>
    <xf numFmtId="0" fontId="6" fillId="0" borderId="59" xfId="0" applyFont="1" applyFill="1" applyBorder="1" applyAlignment="1">
      <alignment horizontal="left" vertical="center" wrapText="1"/>
    </xf>
    <xf numFmtId="49" fontId="2" fillId="0" borderId="22" xfId="0" applyNumberFormat="1" applyFont="1" applyFill="1" applyBorder="1" applyAlignment="1">
      <alignment horizontal="center"/>
    </xf>
    <xf numFmtId="49" fontId="2" fillId="0" borderId="25" xfId="0" applyNumberFormat="1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49" fontId="6" fillId="0" borderId="22" xfId="0" applyNumberFormat="1" applyFont="1" applyFill="1" applyBorder="1" applyAlignment="1">
      <alignment horizontal="center"/>
    </xf>
    <xf numFmtId="49" fontId="6" fillId="0" borderId="25" xfId="0" applyNumberFormat="1" applyFont="1" applyFill="1" applyBorder="1" applyAlignment="1">
      <alignment horizontal="center"/>
    </xf>
    <xf numFmtId="49" fontId="6" fillId="0" borderId="10" xfId="0" applyNumberFormat="1" applyFont="1" applyFill="1" applyBorder="1" applyAlignment="1">
      <alignment horizontal="center"/>
    </xf>
    <xf numFmtId="0" fontId="10" fillId="0" borderId="45" xfId="0" applyFont="1" applyFill="1" applyBorder="1" applyAlignment="1">
      <alignment horizontal="left"/>
    </xf>
    <xf numFmtId="0" fontId="10" fillId="0" borderId="19" xfId="0" applyFont="1" applyFill="1" applyBorder="1" applyAlignment="1">
      <alignment horizontal="left"/>
    </xf>
    <xf numFmtId="0" fontId="6" fillId="0" borderId="69" xfId="0" applyFont="1" applyFill="1" applyBorder="1" applyAlignment="1">
      <alignment horizontal="left"/>
    </xf>
    <xf numFmtId="49" fontId="6" fillId="0" borderId="69" xfId="0" applyNumberFormat="1" applyFont="1" applyFill="1" applyBorder="1" applyAlignment="1">
      <alignment horizontal="left"/>
    </xf>
    <xf numFmtId="49" fontId="6" fillId="0" borderId="12" xfId="0" applyNumberFormat="1" applyFont="1" applyFill="1" applyBorder="1" applyAlignment="1">
      <alignment horizontal="left"/>
    </xf>
    <xf numFmtId="0" fontId="9" fillId="0" borderId="45" xfId="0" applyNumberFormat="1" applyFont="1" applyFill="1" applyBorder="1" applyAlignment="1">
      <alignment horizontal="left"/>
    </xf>
    <xf numFmtId="0" fontId="9" fillId="0" borderId="19" xfId="0" applyNumberFormat="1" applyFont="1" applyFill="1" applyBorder="1" applyAlignment="1">
      <alignment horizontal="left"/>
    </xf>
    <xf numFmtId="49" fontId="6" fillId="0" borderId="45" xfId="0" applyNumberFormat="1" applyFont="1" applyFill="1" applyBorder="1" applyAlignment="1">
      <alignment horizontal="left"/>
    </xf>
    <xf numFmtId="49" fontId="6" fillId="0" borderId="19" xfId="0" applyNumberFormat="1" applyFont="1" applyFill="1" applyBorder="1" applyAlignment="1">
      <alignment horizontal="left"/>
    </xf>
    <xf numFmtId="0" fontId="6" fillId="0" borderId="25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12" fillId="0" borderId="22" xfId="0" applyFont="1" applyFill="1" applyBorder="1" applyAlignment="1">
      <alignment horizontal="center"/>
    </xf>
    <xf numFmtId="0" fontId="12" fillId="0" borderId="25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2" fillId="0" borderId="45" xfId="0" applyFont="1" applyFill="1" applyBorder="1" applyAlignment="1">
      <alignment horizontal="left"/>
    </xf>
    <xf numFmtId="0" fontId="2" fillId="0" borderId="19" xfId="0" applyFont="1" applyFill="1" applyBorder="1" applyAlignment="1">
      <alignment horizontal="left"/>
    </xf>
    <xf numFmtId="0" fontId="9" fillId="0" borderId="45" xfId="0" applyFont="1" applyFill="1" applyBorder="1" applyAlignment="1">
      <alignment horizontal="left"/>
    </xf>
    <xf numFmtId="0" fontId="9" fillId="0" borderId="19" xfId="0" applyFont="1" applyFill="1" applyBorder="1" applyAlignment="1">
      <alignment horizontal="left"/>
    </xf>
    <xf numFmtId="0" fontId="12" fillId="0" borderId="75" xfId="0" applyFont="1" applyFill="1" applyBorder="1" applyAlignment="1">
      <alignment horizontal="center"/>
    </xf>
    <xf numFmtId="0" fontId="12" fillId="0" borderId="44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16" fontId="6" fillId="0" borderId="22" xfId="0" applyNumberFormat="1" applyFont="1" applyFill="1" applyBorder="1" applyAlignment="1">
      <alignment horizontal="center"/>
    </xf>
    <xf numFmtId="16" fontId="6" fillId="0" borderId="25" xfId="0" applyNumberFormat="1" applyFont="1" applyFill="1" applyBorder="1" applyAlignment="1">
      <alignment horizontal="center"/>
    </xf>
    <xf numFmtId="16" fontId="6" fillId="0" borderId="10" xfId="0" applyNumberFormat="1" applyFont="1" applyFill="1" applyBorder="1" applyAlignment="1">
      <alignment horizontal="center"/>
    </xf>
    <xf numFmtId="0" fontId="3" fillId="0" borderId="83" xfId="0" applyFont="1" applyBorder="1" applyAlignment="1">
      <alignment horizontal="left"/>
    </xf>
    <xf numFmtId="0" fontId="7" fillId="0" borderId="22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6" fillId="0" borderId="69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/>
    </xf>
    <xf numFmtId="0" fontId="16" fillId="0" borderId="2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16" fontId="2" fillId="0" borderId="83" xfId="0" applyNumberFormat="1" applyFont="1" applyFill="1" applyBorder="1" applyAlignment="1">
      <alignment horizontal="left"/>
    </xf>
    <xf numFmtId="0" fontId="6" fillId="0" borderId="34" xfId="0" applyFont="1" applyFill="1" applyBorder="1" applyAlignment="1">
      <alignment horizontal="left"/>
    </xf>
    <xf numFmtId="0" fontId="2" fillId="0" borderId="56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16" fontId="2" fillId="0" borderId="2" xfId="0" applyNumberFormat="1" applyFont="1" applyFill="1" applyBorder="1" applyAlignment="1">
      <alignment horizontal="center" vertical="center" wrapText="1"/>
    </xf>
    <xf numFmtId="16" fontId="2" fillId="0" borderId="6" xfId="0" applyNumberFormat="1" applyFont="1" applyFill="1" applyBorder="1" applyAlignment="1">
      <alignment horizontal="center" vertical="center" wrapText="1"/>
    </xf>
    <xf numFmtId="164" fontId="2" fillId="0" borderId="20" xfId="0" applyNumberFormat="1" applyFont="1" applyFill="1" applyBorder="1" applyAlignment="1">
      <alignment horizontal="center"/>
    </xf>
    <xf numFmtId="164" fontId="2" fillId="0" borderId="34" xfId="0" applyNumberFormat="1" applyFont="1" applyFill="1" applyBorder="1" applyAlignment="1">
      <alignment horizontal="center"/>
    </xf>
    <xf numFmtId="49" fontId="2" fillId="0" borderId="23" xfId="0" applyNumberFormat="1" applyFont="1" applyFill="1" applyBorder="1" applyAlignment="1">
      <alignment horizontal="center"/>
    </xf>
    <xf numFmtId="49" fontId="2" fillId="0" borderId="20" xfId="0" applyNumberFormat="1" applyFont="1" applyFill="1" applyBorder="1" applyAlignment="1">
      <alignment horizontal="center"/>
    </xf>
    <xf numFmtId="49" fontId="2" fillId="0" borderId="34" xfId="0" applyNumberFormat="1" applyFont="1" applyFill="1" applyBorder="1" applyAlignment="1">
      <alignment horizontal="center"/>
    </xf>
    <xf numFmtId="0" fontId="6" fillId="0" borderId="24" xfId="0" applyFont="1" applyFill="1" applyBorder="1" applyAlignment="1">
      <alignment horizontal="left"/>
    </xf>
    <xf numFmtId="0" fontId="6" fillId="0" borderId="23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"/>
    </xf>
    <xf numFmtId="49" fontId="6" fillId="0" borderId="23" xfId="0" applyNumberFormat="1" applyFont="1" applyFill="1" applyBorder="1" applyAlignment="1">
      <alignment horizontal="center"/>
    </xf>
    <xf numFmtId="49" fontId="6" fillId="0" borderId="20" xfId="0" applyNumberFormat="1" applyFont="1" applyFill="1" applyBorder="1" applyAlignment="1">
      <alignment horizontal="center"/>
    </xf>
    <xf numFmtId="49" fontId="6" fillId="0" borderId="34" xfId="0" applyNumberFormat="1" applyFont="1" applyFill="1" applyBorder="1" applyAlignment="1">
      <alignment horizontal="center"/>
    </xf>
    <xf numFmtId="49" fontId="6" fillId="0" borderId="18" xfId="0" applyNumberFormat="1" applyFont="1" applyFill="1" applyBorder="1" applyAlignment="1">
      <alignment horizontal="left"/>
    </xf>
    <xf numFmtId="49" fontId="2" fillId="0" borderId="18" xfId="0" applyNumberFormat="1" applyFont="1" applyFill="1" applyBorder="1" applyAlignment="1">
      <alignment horizontal="left"/>
    </xf>
    <xf numFmtId="49" fontId="2" fillId="0" borderId="19" xfId="0" applyNumberFormat="1" applyFont="1" applyFill="1" applyBorder="1" applyAlignment="1">
      <alignment horizontal="left"/>
    </xf>
    <xf numFmtId="0" fontId="5" fillId="0" borderId="78" xfId="0" applyFont="1" applyFill="1" applyBorder="1" applyAlignment="1">
      <alignment horizontal="left"/>
    </xf>
    <xf numFmtId="0" fontId="5" fillId="0" borderId="53" xfId="0" applyFont="1" applyFill="1" applyBorder="1" applyAlignment="1">
      <alignment horizontal="left"/>
    </xf>
    <xf numFmtId="49" fontId="6" fillId="0" borderId="24" xfId="0" applyNumberFormat="1" applyFont="1" applyFill="1" applyBorder="1" applyAlignment="1">
      <alignment horizontal="left"/>
    </xf>
    <xf numFmtId="0" fontId="2" fillId="0" borderId="50" xfId="0" applyFont="1" applyFill="1" applyBorder="1" applyAlignment="1">
      <alignment horizontal="left"/>
    </xf>
    <xf numFmtId="0" fontId="2" fillId="0" borderId="51" xfId="0" applyFont="1" applyFill="1" applyBorder="1" applyAlignment="1">
      <alignment horizontal="left"/>
    </xf>
    <xf numFmtId="0" fontId="2" fillId="0" borderId="52" xfId="0" applyFont="1" applyFill="1" applyBorder="1" applyAlignment="1">
      <alignment horizontal="left"/>
    </xf>
    <xf numFmtId="0" fontId="0" fillId="0" borderId="85" xfId="0" applyFill="1" applyBorder="1" applyAlignment="1">
      <alignment horizontal="center"/>
    </xf>
    <xf numFmtId="0" fontId="2" fillId="0" borderId="11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18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3" fontId="0" fillId="0" borderId="103" xfId="0" applyNumberFormat="1" applyFill="1" applyBorder="1" applyAlignment="1">
      <alignment horizontal="center"/>
    </xf>
    <xf numFmtId="3" fontId="0" fillId="0" borderId="104" xfId="0" applyNumberFormat="1" applyFill="1" applyBorder="1" applyAlignment="1">
      <alignment horizontal="center"/>
    </xf>
    <xf numFmtId="3" fontId="0" fillId="0" borderId="105" xfId="0" applyNumberFormat="1" applyFill="1" applyBorder="1" applyAlignment="1">
      <alignment horizontal="center"/>
    </xf>
    <xf numFmtId="3" fontId="7" fillId="0" borderId="106" xfId="0" applyNumberFormat="1" applyFont="1" applyFill="1" applyBorder="1" applyAlignment="1">
      <alignment horizontal="center"/>
    </xf>
    <xf numFmtId="3" fontId="7" fillId="0" borderId="107" xfId="0" applyNumberFormat="1" applyFont="1" applyFill="1" applyBorder="1" applyAlignment="1">
      <alignment horizontal="center"/>
    </xf>
    <xf numFmtId="3" fontId="7" fillId="0" borderId="108" xfId="0" applyNumberFormat="1" applyFont="1" applyFill="1" applyBorder="1" applyAlignment="1">
      <alignment horizontal="center"/>
    </xf>
    <xf numFmtId="3" fontId="14" fillId="0" borderId="54" xfId="0" applyNumberFormat="1" applyFont="1" applyFill="1" applyBorder="1" applyAlignment="1">
      <alignment horizontal="center"/>
    </xf>
    <xf numFmtId="3" fontId="14" fillId="0" borderId="51" xfId="0" applyNumberFormat="1" applyFont="1" applyFill="1" applyBorder="1" applyAlignment="1">
      <alignment horizontal="center"/>
    </xf>
    <xf numFmtId="3" fontId="14" fillId="0" borderId="52" xfId="0" applyNumberFormat="1" applyFont="1" applyFill="1" applyBorder="1" applyAlignment="1">
      <alignment horizontal="center"/>
    </xf>
    <xf numFmtId="0" fontId="14" fillId="0" borderId="98" xfId="0" applyFont="1" applyFill="1" applyBorder="1" applyAlignment="1">
      <alignment horizontal="left" vertical="center"/>
    </xf>
    <xf numFmtId="0" fontId="14" fillId="0" borderId="85" xfId="0" applyFont="1" applyFill="1" applyBorder="1" applyAlignment="1">
      <alignment horizontal="left" vertical="center"/>
    </xf>
    <xf numFmtId="0" fontId="14" fillId="0" borderId="99" xfId="0" applyFont="1" applyFill="1" applyBorder="1" applyAlignment="1">
      <alignment horizontal="left" vertical="center"/>
    </xf>
    <xf numFmtId="0" fontId="14" fillId="0" borderId="100" xfId="0" applyFont="1" applyFill="1" applyBorder="1" applyAlignment="1">
      <alignment horizontal="left" vertical="center"/>
    </xf>
    <xf numFmtId="0" fontId="14" fillId="0" borderId="83" xfId="0" applyFont="1" applyFill="1" applyBorder="1" applyAlignment="1">
      <alignment horizontal="left" vertical="center"/>
    </xf>
    <xf numFmtId="0" fontId="14" fillId="0" borderId="101" xfId="0" applyFont="1" applyFill="1" applyBorder="1" applyAlignment="1">
      <alignment horizontal="left" vertical="center"/>
    </xf>
    <xf numFmtId="0" fontId="0" fillId="0" borderId="50" xfId="0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0" fillId="0" borderId="97" xfId="0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2" fillId="0" borderId="20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85" xfId="0" applyFont="1" applyFill="1" applyBorder="1" applyAlignment="1">
      <alignment horizontal="center" vertical="center" wrapText="1"/>
    </xf>
    <xf numFmtId="0" fontId="16" fillId="0" borderId="48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70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3" fontId="7" fillId="0" borderId="106" xfId="0" applyNumberFormat="1" applyFont="1" applyFill="1" applyBorder="1" applyAlignment="1">
      <alignment horizontal="center" vertical="center"/>
    </xf>
    <xf numFmtId="3" fontId="7" fillId="0" borderId="107" xfId="0" applyNumberFormat="1" applyFont="1" applyFill="1" applyBorder="1" applyAlignment="1">
      <alignment horizontal="center" vertical="center"/>
    </xf>
    <xf numFmtId="3" fontId="7" fillId="0" borderId="108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8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/>
    </xf>
    <xf numFmtId="0" fontId="2" fillId="34" borderId="2" xfId="0" applyFont="1" applyFill="1" applyBorder="1" applyAlignment="1">
      <alignment horizontal="center" vertical="center" wrapText="1"/>
    </xf>
    <xf numFmtId="0" fontId="2" fillId="34" borderId="6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center" vertical="center"/>
    </xf>
    <xf numFmtId="0" fontId="2" fillId="34" borderId="6" xfId="0" applyFont="1" applyFill="1" applyBorder="1" applyAlignment="1">
      <alignment horizontal="center" vertical="center"/>
    </xf>
  </cellXfs>
  <cellStyles count="261">
    <cellStyle name="20 % - zvýraznenie1" xfId="18" builtinId="30" customBuiltin="1"/>
    <cellStyle name="20 % - zvýraznenie1 2" xfId="68"/>
    <cellStyle name="20 % - zvýraznenie1 2 2" xfId="201"/>
    <cellStyle name="20 % - zvýraznenie1 2 3" xfId="136"/>
    <cellStyle name="20 % - zvýraznenie1 3" xfId="82"/>
    <cellStyle name="20 % - zvýraznenie1 3 2" xfId="215"/>
    <cellStyle name="20 % - zvýraznenie1 3 3" xfId="150"/>
    <cellStyle name="20 % - zvýraznenie1 4" xfId="168"/>
    <cellStyle name="20 % - zvýraznenie2" xfId="22" builtinId="34" customBuiltin="1"/>
    <cellStyle name="20 % - zvýraznenie2 2" xfId="70"/>
    <cellStyle name="20 % - zvýraznenie2 2 2" xfId="203"/>
    <cellStyle name="20 % - zvýraznenie2 2 3" xfId="138"/>
    <cellStyle name="20 % - zvýraznenie2 3" xfId="84"/>
    <cellStyle name="20 % - zvýraznenie2 3 2" xfId="217"/>
    <cellStyle name="20 % - zvýraznenie2 3 3" xfId="152"/>
    <cellStyle name="20 % - zvýraznenie2 4" xfId="170"/>
    <cellStyle name="20 % - zvýraznenie3" xfId="26" builtinId="38" customBuiltin="1"/>
    <cellStyle name="20 % - zvýraznenie3 2" xfId="72"/>
    <cellStyle name="20 % - zvýraznenie3 2 2" xfId="205"/>
    <cellStyle name="20 % - zvýraznenie3 2 3" xfId="140"/>
    <cellStyle name="20 % - zvýraznenie3 3" xfId="86"/>
    <cellStyle name="20 % - zvýraznenie3 3 2" xfId="219"/>
    <cellStyle name="20 % - zvýraznenie3 3 3" xfId="154"/>
    <cellStyle name="20 % - zvýraznenie3 4" xfId="172"/>
    <cellStyle name="20 % - zvýraznenie4" xfId="30" builtinId="42" customBuiltin="1"/>
    <cellStyle name="20 % - zvýraznenie4 2" xfId="74"/>
    <cellStyle name="20 % - zvýraznenie4 2 2" xfId="207"/>
    <cellStyle name="20 % - zvýraznenie4 2 3" xfId="142"/>
    <cellStyle name="20 % - zvýraznenie4 3" xfId="88"/>
    <cellStyle name="20 % - zvýraznenie4 3 2" xfId="221"/>
    <cellStyle name="20 % - zvýraznenie4 3 3" xfId="156"/>
    <cellStyle name="20 % - zvýraznenie4 4" xfId="174"/>
    <cellStyle name="20 % - zvýraznenie5" xfId="34" builtinId="46" customBuiltin="1"/>
    <cellStyle name="20 % - zvýraznenie5 2" xfId="76"/>
    <cellStyle name="20 % - zvýraznenie5 2 2" xfId="209"/>
    <cellStyle name="20 % - zvýraznenie5 2 3" xfId="144"/>
    <cellStyle name="20 % - zvýraznenie5 3" xfId="90"/>
    <cellStyle name="20 % - zvýraznenie5 3 2" xfId="223"/>
    <cellStyle name="20 % - zvýraznenie5 3 3" xfId="158"/>
    <cellStyle name="20 % - zvýraznenie5 4" xfId="176"/>
    <cellStyle name="20 % - zvýraznenie6" xfId="38" builtinId="50" customBuiltin="1"/>
    <cellStyle name="20 % - zvýraznenie6 2" xfId="78"/>
    <cellStyle name="20 % - zvýraznenie6 2 2" xfId="211"/>
    <cellStyle name="20 % - zvýraznenie6 2 3" xfId="146"/>
    <cellStyle name="20 % - zvýraznenie6 3" xfId="92"/>
    <cellStyle name="20 % - zvýraznenie6 3 2" xfId="225"/>
    <cellStyle name="20 % - zvýraznenie6 3 3" xfId="160"/>
    <cellStyle name="20 % - zvýraznenie6 4" xfId="178"/>
    <cellStyle name="20% - Accent1 2" xfId="107"/>
    <cellStyle name="20% - Accent2 2" xfId="109"/>
    <cellStyle name="20% - Accent3 2" xfId="111"/>
    <cellStyle name="20% - Accent4 2" xfId="113"/>
    <cellStyle name="20% - Accent5 2" xfId="115"/>
    <cellStyle name="20% - Accent6 2" xfId="117"/>
    <cellStyle name="40 % - zvýraznenie1" xfId="19" builtinId="31" customBuiltin="1"/>
    <cellStyle name="40 % - zvýraznenie1 2" xfId="69"/>
    <cellStyle name="40 % - zvýraznenie1 2 2" xfId="202"/>
    <cellStyle name="40 % - zvýraznenie1 2 3" xfId="137"/>
    <cellStyle name="40 % - zvýraznenie1 3" xfId="83"/>
    <cellStyle name="40 % - zvýraznenie1 3 2" xfId="216"/>
    <cellStyle name="40 % - zvýraznenie1 3 3" xfId="151"/>
    <cellStyle name="40 % - zvýraznenie1 4" xfId="169"/>
    <cellStyle name="40 % - zvýraznenie2" xfId="23" builtinId="35" customBuiltin="1"/>
    <cellStyle name="40 % - zvýraznenie2 2" xfId="71"/>
    <cellStyle name="40 % - zvýraznenie2 2 2" xfId="204"/>
    <cellStyle name="40 % - zvýraznenie2 2 3" xfId="139"/>
    <cellStyle name="40 % - zvýraznenie2 3" xfId="85"/>
    <cellStyle name="40 % - zvýraznenie2 3 2" xfId="218"/>
    <cellStyle name="40 % - zvýraznenie2 3 3" xfId="153"/>
    <cellStyle name="40 % - zvýraznenie2 4" xfId="171"/>
    <cellStyle name="40 % - zvýraznenie3" xfId="27" builtinId="39" customBuiltin="1"/>
    <cellStyle name="40 % - zvýraznenie3 2" xfId="73"/>
    <cellStyle name="40 % - zvýraznenie3 2 2" xfId="206"/>
    <cellStyle name="40 % - zvýraznenie3 2 3" xfId="141"/>
    <cellStyle name="40 % - zvýraznenie3 3" xfId="87"/>
    <cellStyle name="40 % - zvýraznenie3 3 2" xfId="220"/>
    <cellStyle name="40 % - zvýraznenie3 3 3" xfId="155"/>
    <cellStyle name="40 % - zvýraznenie3 4" xfId="173"/>
    <cellStyle name="40 % - zvýraznenie4" xfId="31" builtinId="43" customBuiltin="1"/>
    <cellStyle name="40 % - zvýraznenie4 2" xfId="75"/>
    <cellStyle name="40 % - zvýraznenie4 2 2" xfId="208"/>
    <cellStyle name="40 % - zvýraznenie4 2 3" xfId="143"/>
    <cellStyle name="40 % - zvýraznenie4 3" xfId="89"/>
    <cellStyle name="40 % - zvýraznenie4 3 2" xfId="222"/>
    <cellStyle name="40 % - zvýraznenie4 3 3" xfId="157"/>
    <cellStyle name="40 % - zvýraznenie4 4" xfId="175"/>
    <cellStyle name="40 % - zvýraznenie5" xfId="35" builtinId="47" customBuiltin="1"/>
    <cellStyle name="40 % - zvýraznenie5 2" xfId="77"/>
    <cellStyle name="40 % - zvýraznenie5 2 2" xfId="210"/>
    <cellStyle name="40 % - zvýraznenie5 2 3" xfId="145"/>
    <cellStyle name="40 % - zvýraznenie5 3" xfId="91"/>
    <cellStyle name="40 % - zvýraznenie5 3 2" xfId="224"/>
    <cellStyle name="40 % - zvýraznenie5 3 3" xfId="159"/>
    <cellStyle name="40 % - zvýraznenie5 4" xfId="177"/>
    <cellStyle name="40 % - zvýraznenie6" xfId="39" builtinId="51" customBuiltin="1"/>
    <cellStyle name="40 % - zvýraznenie6 2" xfId="79"/>
    <cellStyle name="40 % - zvýraznenie6 2 2" xfId="212"/>
    <cellStyle name="40 % - zvýraznenie6 2 3" xfId="147"/>
    <cellStyle name="40 % - zvýraznenie6 3" xfId="93"/>
    <cellStyle name="40 % - zvýraznenie6 3 2" xfId="226"/>
    <cellStyle name="40 % - zvýraznenie6 3 3" xfId="161"/>
    <cellStyle name="40 % - zvýraznenie6 4" xfId="179"/>
    <cellStyle name="40% - Accent1 2" xfId="108"/>
    <cellStyle name="40% - Accent2 2" xfId="110"/>
    <cellStyle name="40% - Accent3 2" xfId="112"/>
    <cellStyle name="40% - Accent4 2" xfId="114"/>
    <cellStyle name="40% - Accent5 2" xfId="116"/>
    <cellStyle name="40% - Accent6 2" xfId="118"/>
    <cellStyle name="60 % - zvýraznenie1" xfId="20" builtinId="32" customBuiltin="1"/>
    <cellStyle name="60 % - zvýraznenie2" xfId="24" builtinId="36" customBuiltin="1"/>
    <cellStyle name="60 % - zvýraznenie3" xfId="28" builtinId="40" customBuiltin="1"/>
    <cellStyle name="60 % - zvýraznenie4" xfId="32" builtinId="44" customBuiltin="1"/>
    <cellStyle name="60 % - zvýraznenie5" xfId="36" builtinId="48" customBuiltin="1"/>
    <cellStyle name="60 % - zvýraznenie6" xfId="40" builtinId="52" customBuiltin="1"/>
    <cellStyle name="Dobrá" xfId="6" builtinId="26" customBuiltin="1"/>
    <cellStyle name="Excel Built-in Normal" xfId="42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al 2" xfId="103"/>
    <cellStyle name="Normal_2006_vypocet_normativov7" xfId="46"/>
    <cellStyle name="Normálna" xfId="0" builtinId="0"/>
    <cellStyle name="Normálna 10" xfId="80"/>
    <cellStyle name="Normálna 10 2" xfId="96"/>
    <cellStyle name="Normálna 10 2 2" xfId="229"/>
    <cellStyle name="Normálna 10 2 3" xfId="164"/>
    <cellStyle name="Normálna 10 3" xfId="213"/>
    <cellStyle name="Normálna 10 4" xfId="148"/>
    <cellStyle name="Normálna 10 5" xfId="238"/>
    <cellStyle name="Normálna 10 6" xfId="243"/>
    <cellStyle name="Normálna 10 7" xfId="249"/>
    <cellStyle name="Normálna 11" xfId="180"/>
    <cellStyle name="Normálna 12" xfId="166"/>
    <cellStyle name="Normálna 13" xfId="232"/>
    <cellStyle name="Normálna 14" xfId="41"/>
    <cellStyle name="Normálna 2" xfId="43"/>
    <cellStyle name="Normálna 2 2" xfId="233"/>
    <cellStyle name="Normálna 3" xfId="51"/>
    <cellStyle name="Normálna 3 2" xfId="184"/>
    <cellStyle name="Normálna 3 3" xfId="119"/>
    <cellStyle name="Normálna 4" xfId="53"/>
    <cellStyle name="Normálna 4 2" xfId="61"/>
    <cellStyle name="Normálna 4 2 2" xfId="194"/>
    <cellStyle name="Normálna 4 2 3" xfId="129"/>
    <cellStyle name="Normálna 4 3" xfId="186"/>
    <cellStyle name="Normálna 4 4" xfId="121"/>
    <cellStyle name="Normálna 5" xfId="54"/>
    <cellStyle name="Normálna 5 10" xfId="250"/>
    <cellStyle name="Normálna 5 11" xfId="251"/>
    <cellStyle name="Normálna 5 12" xfId="256"/>
    <cellStyle name="Normálna 5 13" xfId="259"/>
    <cellStyle name="Normálna 5 2" xfId="57"/>
    <cellStyle name="Normálna 5 2 2" xfId="99"/>
    <cellStyle name="Normálna 5 2 2 2" xfId="190"/>
    <cellStyle name="Normálna 5 2 3" xfId="125"/>
    <cellStyle name="Normálna 5 3" xfId="58"/>
    <cellStyle name="Normálna 5 3 2" xfId="191"/>
    <cellStyle name="Normálna 5 3 3" xfId="126"/>
    <cellStyle name="Normálna 5 4" xfId="65"/>
    <cellStyle name="Normálna 5 4 2" xfId="198"/>
    <cellStyle name="Normálna 5 4 3" xfId="133"/>
    <cellStyle name="Normálna 5 5" xfId="97"/>
    <cellStyle name="Normálna 5 5 2" xfId="230"/>
    <cellStyle name="Normálna 5 5 3" xfId="165"/>
    <cellStyle name="Normálna 5 6" xfId="187"/>
    <cellStyle name="Normálna 5 7" xfId="122"/>
    <cellStyle name="Normálna 5 8" xfId="239"/>
    <cellStyle name="Normálna 5 9" xfId="244"/>
    <cellStyle name="Normálna 6" xfId="44"/>
    <cellStyle name="Normálna 6 10" xfId="255"/>
    <cellStyle name="Normálna 6 2" xfId="64"/>
    <cellStyle name="Normálna 6 2 2" xfId="197"/>
    <cellStyle name="Normálna 6 2 3" xfId="132"/>
    <cellStyle name="Normálna 6 3" xfId="94"/>
    <cellStyle name="Normálna 6 3 2" xfId="227"/>
    <cellStyle name="Normálna 6 3 3" xfId="162"/>
    <cellStyle name="Normálna 6 4" xfId="100"/>
    <cellStyle name="Normálna 6 4 2" xfId="189"/>
    <cellStyle name="Normálna 6 5" xfId="124"/>
    <cellStyle name="Normálna 6 6" xfId="236"/>
    <cellStyle name="Normálna 6 7" xfId="241"/>
    <cellStyle name="Normálna 6 8" xfId="247"/>
    <cellStyle name="Normálna 6 9" xfId="252"/>
    <cellStyle name="Normálna 7" xfId="59"/>
    <cellStyle name="Normálna 7 2" xfId="192"/>
    <cellStyle name="Normálna 7 3" xfId="127"/>
    <cellStyle name="Normálna 8" xfId="62"/>
    <cellStyle name="Normálna 8 2" xfId="195"/>
    <cellStyle name="Normálna 8 3" xfId="130"/>
    <cellStyle name="Normálna 9" xfId="66"/>
    <cellStyle name="Normálna 9 2" xfId="95"/>
    <cellStyle name="Normálna 9 2 2" xfId="228"/>
    <cellStyle name="Normálna 9 2 3" xfId="163"/>
    <cellStyle name="Normálna 9 3" xfId="199"/>
    <cellStyle name="Normálna 9 4" xfId="134"/>
    <cellStyle name="Normálna 9 5" xfId="237"/>
    <cellStyle name="Normálna 9 6" xfId="242"/>
    <cellStyle name="Normálna 9 7" xfId="248"/>
    <cellStyle name="Normálne 10" xfId="257"/>
    <cellStyle name="Normálne 11" xfId="258"/>
    <cellStyle name="Normálne 12" xfId="260"/>
    <cellStyle name="normálne 2" xfId="49"/>
    <cellStyle name="normálne 2 2" xfId="55"/>
    <cellStyle name="normálne 2 2 2" xfId="60"/>
    <cellStyle name="normálne 2 2 2 2" xfId="193"/>
    <cellStyle name="normálne 2 2 2 3" xfId="128"/>
    <cellStyle name="normálne 2 2 3" xfId="63"/>
    <cellStyle name="normálne 2 2 3 2" xfId="196"/>
    <cellStyle name="normálne 2 2 3 3" xfId="131"/>
    <cellStyle name="normálne 2 2 4" xfId="101"/>
    <cellStyle name="normálne 2 2 4 2" xfId="188"/>
    <cellStyle name="normálne 2 2 5" xfId="123"/>
    <cellStyle name="normálne 2 2 6" xfId="253"/>
    <cellStyle name="normálne 2 3" xfId="182"/>
    <cellStyle name="normálne 2 4" xfId="105"/>
    <cellStyle name="normálne 3" xfId="45"/>
    <cellStyle name="normálne 3 2" xfId="181"/>
    <cellStyle name="normálne 3 3" xfId="104"/>
    <cellStyle name="normálne 3 4" xfId="47"/>
    <cellStyle name="normálne 4" xfId="50"/>
    <cellStyle name="normálne 4 2" xfId="183"/>
    <cellStyle name="normálne 4 3" xfId="106"/>
    <cellStyle name="Normálne 5" xfId="98"/>
    <cellStyle name="Normálne 6" xfId="102"/>
    <cellStyle name="Normálne 7" xfId="235"/>
    <cellStyle name="Normálne 8" xfId="245"/>
    <cellStyle name="Normálne 9" xfId="254"/>
    <cellStyle name="normálne_2005_vypocet_a_data_V9b" xfId="48"/>
    <cellStyle name="normální_Návrh rozpisu rozpočtu na rok 2003" xfId="56"/>
    <cellStyle name="Percentá 2" xfId="240"/>
    <cellStyle name="Percentá 3" xfId="246"/>
    <cellStyle name="Percentá 4" xfId="234"/>
    <cellStyle name="Poznámka 2" xfId="52"/>
    <cellStyle name="Poznámka 2 2" xfId="185"/>
    <cellStyle name="Poznámka 2 3" xfId="120"/>
    <cellStyle name="Poznámka 3" xfId="67"/>
    <cellStyle name="Poznámka 3 2" xfId="200"/>
    <cellStyle name="Poznámka 3 3" xfId="135"/>
    <cellStyle name="Poznámka 4" xfId="81"/>
    <cellStyle name="Poznámka 4 2" xfId="214"/>
    <cellStyle name="Poznámka 4 3" xfId="149"/>
    <cellStyle name="Poznámka 5" xfId="167"/>
    <cellStyle name="Prepojená bunka" xfId="12" builtinId="24" customBuiltin="1"/>
    <cellStyle name="Spolu" xfId="16" builtinId="25" customBuiltin="1"/>
    <cellStyle name="Text upozornenia" xfId="14" builtinId="11" customBuiltin="1"/>
    <cellStyle name="Titul" xfId="1" builtinId="15" customBuiltin="1"/>
    <cellStyle name="Titul 2" xfId="231"/>
    <cellStyle name="Vstup" xfId="9" builtinId="20" customBuiltin="1"/>
    <cellStyle name="Výpočet" xfId="11" builtinId="22" customBuiltin="1"/>
    <cellStyle name="Výstup" xfId="10" builtinId="21" customBuiltin="1"/>
    <cellStyle name="Vysvetľujúci text" xfId="15" builtinId="53" customBuiltin="1"/>
    <cellStyle name="Zlá" xfId="7" builtinId="27" customBuiltin="1"/>
    <cellStyle name="Zvýraznenie1" xfId="17" builtinId="29" customBuiltin="1"/>
    <cellStyle name="Zvýraznenie2" xfId="21" builtinId="33" customBuiltin="1"/>
    <cellStyle name="Zvýraznenie3" xfId="25" builtinId="37" customBuiltin="1"/>
    <cellStyle name="Zvýraznenie4" xfId="29" builtinId="41" customBuiltin="1"/>
    <cellStyle name="Zvýraznenie5" xfId="33" builtinId="45" customBuiltin="1"/>
    <cellStyle name="Zvýraznenie6" xfId="37" builtinId="49" customBuiltin="1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3"/>
  <sheetViews>
    <sheetView zoomScaleNormal="100" workbookViewId="0">
      <selection sqref="A1:C1"/>
    </sheetView>
  </sheetViews>
  <sheetFormatPr defaultRowHeight="12.75" x14ac:dyDescent="0.2"/>
  <cols>
    <col min="1" max="2" width="9.140625" style="1"/>
    <col min="3" max="3" width="32.140625" style="1" customWidth="1"/>
    <col min="4" max="11" width="12.7109375" style="1" hidden="1" customWidth="1"/>
    <col min="12" max="12" width="14.42578125" style="1" hidden="1" customWidth="1"/>
    <col min="13" max="13" width="16" style="1" hidden="1" customWidth="1"/>
    <col min="14" max="14" width="16.140625" style="1" hidden="1" customWidth="1"/>
    <col min="15" max="15" width="17" style="1" hidden="1" customWidth="1"/>
    <col min="16" max="16" width="15.5703125" style="691" customWidth="1"/>
    <col min="17" max="17" width="13.85546875" style="1" customWidth="1"/>
    <col min="18" max="18" width="12.140625" style="1" customWidth="1"/>
    <col min="19" max="19" width="13.5703125" style="1" customWidth="1"/>
    <col min="20" max="254" width="9.140625" style="1"/>
    <col min="255" max="255" width="32.140625" style="1" customWidth="1"/>
    <col min="256" max="267" width="0" style="1" hidden="1" customWidth="1"/>
    <col min="268" max="268" width="13.7109375" style="1" customWidth="1"/>
    <col min="269" max="269" width="14.28515625" style="1" customWidth="1"/>
    <col min="270" max="270" width="8.28515625" style="1" customWidth="1"/>
    <col min="271" max="271" width="13.7109375" style="1" customWidth="1"/>
    <col min="272" max="272" width="13.85546875" style="1" customWidth="1"/>
    <col min="273" max="510" width="9.140625" style="1"/>
    <col min="511" max="511" width="32.140625" style="1" customWidth="1"/>
    <col min="512" max="523" width="0" style="1" hidden="1" customWidth="1"/>
    <col min="524" max="524" width="13.7109375" style="1" customWidth="1"/>
    <col min="525" max="525" width="14.28515625" style="1" customWidth="1"/>
    <col min="526" max="526" width="8.28515625" style="1" customWidth="1"/>
    <col min="527" max="527" width="13.7109375" style="1" customWidth="1"/>
    <col min="528" max="528" width="13.85546875" style="1" customWidth="1"/>
    <col min="529" max="766" width="9.140625" style="1"/>
    <col min="767" max="767" width="32.140625" style="1" customWidth="1"/>
    <col min="768" max="779" width="0" style="1" hidden="1" customWidth="1"/>
    <col min="780" max="780" width="13.7109375" style="1" customWidth="1"/>
    <col min="781" max="781" width="14.28515625" style="1" customWidth="1"/>
    <col min="782" max="782" width="8.28515625" style="1" customWidth="1"/>
    <col min="783" max="783" width="13.7109375" style="1" customWidth="1"/>
    <col min="784" max="784" width="13.85546875" style="1" customWidth="1"/>
    <col min="785" max="1022" width="9.140625" style="1"/>
    <col min="1023" max="1023" width="32.140625" style="1" customWidth="1"/>
    <col min="1024" max="1035" width="0" style="1" hidden="1" customWidth="1"/>
    <col min="1036" max="1036" width="13.7109375" style="1" customWidth="1"/>
    <col min="1037" max="1037" width="14.28515625" style="1" customWidth="1"/>
    <col min="1038" max="1038" width="8.28515625" style="1" customWidth="1"/>
    <col min="1039" max="1039" width="13.7109375" style="1" customWidth="1"/>
    <col min="1040" max="1040" width="13.85546875" style="1" customWidth="1"/>
    <col min="1041" max="1278" width="9.140625" style="1"/>
    <col min="1279" max="1279" width="32.140625" style="1" customWidth="1"/>
    <col min="1280" max="1291" width="0" style="1" hidden="1" customWidth="1"/>
    <col min="1292" max="1292" width="13.7109375" style="1" customWidth="1"/>
    <col min="1293" max="1293" width="14.28515625" style="1" customWidth="1"/>
    <col min="1294" max="1294" width="8.28515625" style="1" customWidth="1"/>
    <col min="1295" max="1295" width="13.7109375" style="1" customWidth="1"/>
    <col min="1296" max="1296" width="13.85546875" style="1" customWidth="1"/>
    <col min="1297" max="1534" width="9.140625" style="1"/>
    <col min="1535" max="1535" width="32.140625" style="1" customWidth="1"/>
    <col min="1536" max="1547" width="0" style="1" hidden="1" customWidth="1"/>
    <col min="1548" max="1548" width="13.7109375" style="1" customWidth="1"/>
    <col min="1549" max="1549" width="14.28515625" style="1" customWidth="1"/>
    <col min="1550" max="1550" width="8.28515625" style="1" customWidth="1"/>
    <col min="1551" max="1551" width="13.7109375" style="1" customWidth="1"/>
    <col min="1552" max="1552" width="13.85546875" style="1" customWidth="1"/>
    <col min="1553" max="1790" width="9.140625" style="1"/>
    <col min="1791" max="1791" width="32.140625" style="1" customWidth="1"/>
    <col min="1792" max="1803" width="0" style="1" hidden="1" customWidth="1"/>
    <col min="1804" max="1804" width="13.7109375" style="1" customWidth="1"/>
    <col min="1805" max="1805" width="14.28515625" style="1" customWidth="1"/>
    <col min="1806" max="1806" width="8.28515625" style="1" customWidth="1"/>
    <col min="1807" max="1807" width="13.7109375" style="1" customWidth="1"/>
    <col min="1808" max="1808" width="13.85546875" style="1" customWidth="1"/>
    <col min="1809" max="2046" width="9.140625" style="1"/>
    <col min="2047" max="2047" width="32.140625" style="1" customWidth="1"/>
    <col min="2048" max="2059" width="0" style="1" hidden="1" customWidth="1"/>
    <col min="2060" max="2060" width="13.7109375" style="1" customWidth="1"/>
    <col min="2061" max="2061" width="14.28515625" style="1" customWidth="1"/>
    <col min="2062" max="2062" width="8.28515625" style="1" customWidth="1"/>
    <col min="2063" max="2063" width="13.7109375" style="1" customWidth="1"/>
    <col min="2064" max="2064" width="13.85546875" style="1" customWidth="1"/>
    <col min="2065" max="2302" width="9.140625" style="1"/>
    <col min="2303" max="2303" width="32.140625" style="1" customWidth="1"/>
    <col min="2304" max="2315" width="0" style="1" hidden="1" customWidth="1"/>
    <col min="2316" max="2316" width="13.7109375" style="1" customWidth="1"/>
    <col min="2317" max="2317" width="14.28515625" style="1" customWidth="1"/>
    <col min="2318" max="2318" width="8.28515625" style="1" customWidth="1"/>
    <col min="2319" max="2319" width="13.7109375" style="1" customWidth="1"/>
    <col min="2320" max="2320" width="13.85546875" style="1" customWidth="1"/>
    <col min="2321" max="2558" width="9.140625" style="1"/>
    <col min="2559" max="2559" width="32.140625" style="1" customWidth="1"/>
    <col min="2560" max="2571" width="0" style="1" hidden="1" customWidth="1"/>
    <col min="2572" max="2572" width="13.7109375" style="1" customWidth="1"/>
    <col min="2573" max="2573" width="14.28515625" style="1" customWidth="1"/>
    <col min="2574" max="2574" width="8.28515625" style="1" customWidth="1"/>
    <col min="2575" max="2575" width="13.7109375" style="1" customWidth="1"/>
    <col min="2576" max="2576" width="13.85546875" style="1" customWidth="1"/>
    <col min="2577" max="2814" width="9.140625" style="1"/>
    <col min="2815" max="2815" width="32.140625" style="1" customWidth="1"/>
    <col min="2816" max="2827" width="0" style="1" hidden="1" customWidth="1"/>
    <col min="2828" max="2828" width="13.7109375" style="1" customWidth="1"/>
    <col min="2829" max="2829" width="14.28515625" style="1" customWidth="1"/>
    <col min="2830" max="2830" width="8.28515625" style="1" customWidth="1"/>
    <col min="2831" max="2831" width="13.7109375" style="1" customWidth="1"/>
    <col min="2832" max="2832" width="13.85546875" style="1" customWidth="1"/>
    <col min="2833" max="3070" width="9.140625" style="1"/>
    <col min="3071" max="3071" width="32.140625" style="1" customWidth="1"/>
    <col min="3072" max="3083" width="0" style="1" hidden="1" customWidth="1"/>
    <col min="3084" max="3084" width="13.7109375" style="1" customWidth="1"/>
    <col min="3085" max="3085" width="14.28515625" style="1" customWidth="1"/>
    <col min="3086" max="3086" width="8.28515625" style="1" customWidth="1"/>
    <col min="3087" max="3087" width="13.7109375" style="1" customWidth="1"/>
    <col min="3088" max="3088" width="13.85546875" style="1" customWidth="1"/>
    <col min="3089" max="3326" width="9.140625" style="1"/>
    <col min="3327" max="3327" width="32.140625" style="1" customWidth="1"/>
    <col min="3328" max="3339" width="0" style="1" hidden="1" customWidth="1"/>
    <col min="3340" max="3340" width="13.7109375" style="1" customWidth="1"/>
    <col min="3341" max="3341" width="14.28515625" style="1" customWidth="1"/>
    <col min="3342" max="3342" width="8.28515625" style="1" customWidth="1"/>
    <col min="3343" max="3343" width="13.7109375" style="1" customWidth="1"/>
    <col min="3344" max="3344" width="13.85546875" style="1" customWidth="1"/>
    <col min="3345" max="3582" width="9.140625" style="1"/>
    <col min="3583" max="3583" width="32.140625" style="1" customWidth="1"/>
    <col min="3584" max="3595" width="0" style="1" hidden="1" customWidth="1"/>
    <col min="3596" max="3596" width="13.7109375" style="1" customWidth="1"/>
    <col min="3597" max="3597" width="14.28515625" style="1" customWidth="1"/>
    <col min="3598" max="3598" width="8.28515625" style="1" customWidth="1"/>
    <col min="3599" max="3599" width="13.7109375" style="1" customWidth="1"/>
    <col min="3600" max="3600" width="13.85546875" style="1" customWidth="1"/>
    <col min="3601" max="3838" width="9.140625" style="1"/>
    <col min="3839" max="3839" width="32.140625" style="1" customWidth="1"/>
    <col min="3840" max="3851" width="0" style="1" hidden="1" customWidth="1"/>
    <col min="3852" max="3852" width="13.7109375" style="1" customWidth="1"/>
    <col min="3853" max="3853" width="14.28515625" style="1" customWidth="1"/>
    <col min="3854" max="3854" width="8.28515625" style="1" customWidth="1"/>
    <col min="3855" max="3855" width="13.7109375" style="1" customWidth="1"/>
    <col min="3856" max="3856" width="13.85546875" style="1" customWidth="1"/>
    <col min="3857" max="4094" width="9.140625" style="1"/>
    <col min="4095" max="4095" width="32.140625" style="1" customWidth="1"/>
    <col min="4096" max="4107" width="0" style="1" hidden="1" customWidth="1"/>
    <col min="4108" max="4108" width="13.7109375" style="1" customWidth="1"/>
    <col min="4109" max="4109" width="14.28515625" style="1" customWidth="1"/>
    <col min="4110" max="4110" width="8.28515625" style="1" customWidth="1"/>
    <col min="4111" max="4111" width="13.7109375" style="1" customWidth="1"/>
    <col min="4112" max="4112" width="13.85546875" style="1" customWidth="1"/>
    <col min="4113" max="4350" width="9.140625" style="1"/>
    <col min="4351" max="4351" width="32.140625" style="1" customWidth="1"/>
    <col min="4352" max="4363" width="0" style="1" hidden="1" customWidth="1"/>
    <col min="4364" max="4364" width="13.7109375" style="1" customWidth="1"/>
    <col min="4365" max="4365" width="14.28515625" style="1" customWidth="1"/>
    <col min="4366" max="4366" width="8.28515625" style="1" customWidth="1"/>
    <col min="4367" max="4367" width="13.7109375" style="1" customWidth="1"/>
    <col min="4368" max="4368" width="13.85546875" style="1" customWidth="1"/>
    <col min="4369" max="4606" width="9.140625" style="1"/>
    <col min="4607" max="4607" width="32.140625" style="1" customWidth="1"/>
    <col min="4608" max="4619" width="0" style="1" hidden="1" customWidth="1"/>
    <col min="4620" max="4620" width="13.7109375" style="1" customWidth="1"/>
    <col min="4621" max="4621" width="14.28515625" style="1" customWidth="1"/>
    <col min="4622" max="4622" width="8.28515625" style="1" customWidth="1"/>
    <col min="4623" max="4623" width="13.7109375" style="1" customWidth="1"/>
    <col min="4624" max="4624" width="13.85546875" style="1" customWidth="1"/>
    <col min="4625" max="4862" width="9.140625" style="1"/>
    <col min="4863" max="4863" width="32.140625" style="1" customWidth="1"/>
    <col min="4864" max="4875" width="0" style="1" hidden="1" customWidth="1"/>
    <col min="4876" max="4876" width="13.7109375" style="1" customWidth="1"/>
    <col min="4877" max="4877" width="14.28515625" style="1" customWidth="1"/>
    <col min="4878" max="4878" width="8.28515625" style="1" customWidth="1"/>
    <col min="4879" max="4879" width="13.7109375" style="1" customWidth="1"/>
    <col min="4880" max="4880" width="13.85546875" style="1" customWidth="1"/>
    <col min="4881" max="5118" width="9.140625" style="1"/>
    <col min="5119" max="5119" width="32.140625" style="1" customWidth="1"/>
    <col min="5120" max="5131" width="0" style="1" hidden="1" customWidth="1"/>
    <col min="5132" max="5132" width="13.7109375" style="1" customWidth="1"/>
    <col min="5133" max="5133" width="14.28515625" style="1" customWidth="1"/>
    <col min="5134" max="5134" width="8.28515625" style="1" customWidth="1"/>
    <col min="5135" max="5135" width="13.7109375" style="1" customWidth="1"/>
    <col min="5136" max="5136" width="13.85546875" style="1" customWidth="1"/>
    <col min="5137" max="5374" width="9.140625" style="1"/>
    <col min="5375" max="5375" width="32.140625" style="1" customWidth="1"/>
    <col min="5376" max="5387" width="0" style="1" hidden="1" customWidth="1"/>
    <col min="5388" max="5388" width="13.7109375" style="1" customWidth="1"/>
    <col min="5389" max="5389" width="14.28515625" style="1" customWidth="1"/>
    <col min="5390" max="5390" width="8.28515625" style="1" customWidth="1"/>
    <col min="5391" max="5391" width="13.7109375" style="1" customWidth="1"/>
    <col min="5392" max="5392" width="13.85546875" style="1" customWidth="1"/>
    <col min="5393" max="5630" width="9.140625" style="1"/>
    <col min="5631" max="5631" width="32.140625" style="1" customWidth="1"/>
    <col min="5632" max="5643" width="0" style="1" hidden="1" customWidth="1"/>
    <col min="5644" max="5644" width="13.7109375" style="1" customWidth="1"/>
    <col min="5645" max="5645" width="14.28515625" style="1" customWidth="1"/>
    <col min="5646" max="5646" width="8.28515625" style="1" customWidth="1"/>
    <col min="5647" max="5647" width="13.7109375" style="1" customWidth="1"/>
    <col min="5648" max="5648" width="13.85546875" style="1" customWidth="1"/>
    <col min="5649" max="5886" width="9.140625" style="1"/>
    <col min="5887" max="5887" width="32.140625" style="1" customWidth="1"/>
    <col min="5888" max="5899" width="0" style="1" hidden="1" customWidth="1"/>
    <col min="5900" max="5900" width="13.7109375" style="1" customWidth="1"/>
    <col min="5901" max="5901" width="14.28515625" style="1" customWidth="1"/>
    <col min="5902" max="5902" width="8.28515625" style="1" customWidth="1"/>
    <col min="5903" max="5903" width="13.7109375" style="1" customWidth="1"/>
    <col min="5904" max="5904" width="13.85546875" style="1" customWidth="1"/>
    <col min="5905" max="6142" width="9.140625" style="1"/>
    <col min="6143" max="6143" width="32.140625" style="1" customWidth="1"/>
    <col min="6144" max="6155" width="0" style="1" hidden="1" customWidth="1"/>
    <col min="6156" max="6156" width="13.7109375" style="1" customWidth="1"/>
    <col min="6157" max="6157" width="14.28515625" style="1" customWidth="1"/>
    <col min="6158" max="6158" width="8.28515625" style="1" customWidth="1"/>
    <col min="6159" max="6159" width="13.7109375" style="1" customWidth="1"/>
    <col min="6160" max="6160" width="13.85546875" style="1" customWidth="1"/>
    <col min="6161" max="6398" width="9.140625" style="1"/>
    <col min="6399" max="6399" width="32.140625" style="1" customWidth="1"/>
    <col min="6400" max="6411" width="0" style="1" hidden="1" customWidth="1"/>
    <col min="6412" max="6412" width="13.7109375" style="1" customWidth="1"/>
    <col min="6413" max="6413" width="14.28515625" style="1" customWidth="1"/>
    <col min="6414" max="6414" width="8.28515625" style="1" customWidth="1"/>
    <col min="6415" max="6415" width="13.7109375" style="1" customWidth="1"/>
    <col min="6416" max="6416" width="13.85546875" style="1" customWidth="1"/>
    <col min="6417" max="6654" width="9.140625" style="1"/>
    <col min="6655" max="6655" width="32.140625" style="1" customWidth="1"/>
    <col min="6656" max="6667" width="0" style="1" hidden="1" customWidth="1"/>
    <col min="6668" max="6668" width="13.7109375" style="1" customWidth="1"/>
    <col min="6669" max="6669" width="14.28515625" style="1" customWidth="1"/>
    <col min="6670" max="6670" width="8.28515625" style="1" customWidth="1"/>
    <col min="6671" max="6671" width="13.7109375" style="1" customWidth="1"/>
    <col min="6672" max="6672" width="13.85546875" style="1" customWidth="1"/>
    <col min="6673" max="6910" width="9.140625" style="1"/>
    <col min="6911" max="6911" width="32.140625" style="1" customWidth="1"/>
    <col min="6912" max="6923" width="0" style="1" hidden="1" customWidth="1"/>
    <col min="6924" max="6924" width="13.7109375" style="1" customWidth="1"/>
    <col min="6925" max="6925" width="14.28515625" style="1" customWidth="1"/>
    <col min="6926" max="6926" width="8.28515625" style="1" customWidth="1"/>
    <col min="6927" max="6927" width="13.7109375" style="1" customWidth="1"/>
    <col min="6928" max="6928" width="13.85546875" style="1" customWidth="1"/>
    <col min="6929" max="7166" width="9.140625" style="1"/>
    <col min="7167" max="7167" width="32.140625" style="1" customWidth="1"/>
    <col min="7168" max="7179" width="0" style="1" hidden="1" customWidth="1"/>
    <col min="7180" max="7180" width="13.7109375" style="1" customWidth="1"/>
    <col min="7181" max="7181" width="14.28515625" style="1" customWidth="1"/>
    <col min="7182" max="7182" width="8.28515625" style="1" customWidth="1"/>
    <col min="7183" max="7183" width="13.7109375" style="1" customWidth="1"/>
    <col min="7184" max="7184" width="13.85546875" style="1" customWidth="1"/>
    <col min="7185" max="7422" width="9.140625" style="1"/>
    <col min="7423" max="7423" width="32.140625" style="1" customWidth="1"/>
    <col min="7424" max="7435" width="0" style="1" hidden="1" customWidth="1"/>
    <col min="7436" max="7436" width="13.7109375" style="1" customWidth="1"/>
    <col min="7437" max="7437" width="14.28515625" style="1" customWidth="1"/>
    <col min="7438" max="7438" width="8.28515625" style="1" customWidth="1"/>
    <col min="7439" max="7439" width="13.7109375" style="1" customWidth="1"/>
    <col min="7440" max="7440" width="13.85546875" style="1" customWidth="1"/>
    <col min="7441" max="7678" width="9.140625" style="1"/>
    <col min="7679" max="7679" width="32.140625" style="1" customWidth="1"/>
    <col min="7680" max="7691" width="0" style="1" hidden="1" customWidth="1"/>
    <col min="7692" max="7692" width="13.7109375" style="1" customWidth="1"/>
    <col min="7693" max="7693" width="14.28515625" style="1" customWidth="1"/>
    <col min="7694" max="7694" width="8.28515625" style="1" customWidth="1"/>
    <col min="7695" max="7695" width="13.7109375" style="1" customWidth="1"/>
    <col min="7696" max="7696" width="13.85546875" style="1" customWidth="1"/>
    <col min="7697" max="7934" width="9.140625" style="1"/>
    <col min="7935" max="7935" width="32.140625" style="1" customWidth="1"/>
    <col min="7936" max="7947" width="0" style="1" hidden="1" customWidth="1"/>
    <col min="7948" max="7948" width="13.7109375" style="1" customWidth="1"/>
    <col min="7949" max="7949" width="14.28515625" style="1" customWidth="1"/>
    <col min="7950" max="7950" width="8.28515625" style="1" customWidth="1"/>
    <col min="7951" max="7951" width="13.7109375" style="1" customWidth="1"/>
    <col min="7952" max="7952" width="13.85546875" style="1" customWidth="1"/>
    <col min="7953" max="8190" width="9.140625" style="1"/>
    <col min="8191" max="8191" width="32.140625" style="1" customWidth="1"/>
    <col min="8192" max="8203" width="0" style="1" hidden="1" customWidth="1"/>
    <col min="8204" max="8204" width="13.7109375" style="1" customWidth="1"/>
    <col min="8205" max="8205" width="14.28515625" style="1" customWidth="1"/>
    <col min="8206" max="8206" width="8.28515625" style="1" customWidth="1"/>
    <col min="8207" max="8207" width="13.7109375" style="1" customWidth="1"/>
    <col min="8208" max="8208" width="13.85546875" style="1" customWidth="1"/>
    <col min="8209" max="8446" width="9.140625" style="1"/>
    <col min="8447" max="8447" width="32.140625" style="1" customWidth="1"/>
    <col min="8448" max="8459" width="0" style="1" hidden="1" customWidth="1"/>
    <col min="8460" max="8460" width="13.7109375" style="1" customWidth="1"/>
    <col min="8461" max="8461" width="14.28515625" style="1" customWidth="1"/>
    <col min="8462" max="8462" width="8.28515625" style="1" customWidth="1"/>
    <col min="8463" max="8463" width="13.7109375" style="1" customWidth="1"/>
    <col min="8464" max="8464" width="13.85546875" style="1" customWidth="1"/>
    <col min="8465" max="8702" width="9.140625" style="1"/>
    <col min="8703" max="8703" width="32.140625" style="1" customWidth="1"/>
    <col min="8704" max="8715" width="0" style="1" hidden="1" customWidth="1"/>
    <col min="8716" max="8716" width="13.7109375" style="1" customWidth="1"/>
    <col min="8717" max="8717" width="14.28515625" style="1" customWidth="1"/>
    <col min="8718" max="8718" width="8.28515625" style="1" customWidth="1"/>
    <col min="8719" max="8719" width="13.7109375" style="1" customWidth="1"/>
    <col min="8720" max="8720" width="13.85546875" style="1" customWidth="1"/>
    <col min="8721" max="8958" width="9.140625" style="1"/>
    <col min="8959" max="8959" width="32.140625" style="1" customWidth="1"/>
    <col min="8960" max="8971" width="0" style="1" hidden="1" customWidth="1"/>
    <col min="8972" max="8972" width="13.7109375" style="1" customWidth="1"/>
    <col min="8973" max="8973" width="14.28515625" style="1" customWidth="1"/>
    <col min="8974" max="8974" width="8.28515625" style="1" customWidth="1"/>
    <col min="8975" max="8975" width="13.7109375" style="1" customWidth="1"/>
    <col min="8976" max="8976" width="13.85546875" style="1" customWidth="1"/>
    <col min="8977" max="9214" width="9.140625" style="1"/>
    <col min="9215" max="9215" width="32.140625" style="1" customWidth="1"/>
    <col min="9216" max="9227" width="0" style="1" hidden="1" customWidth="1"/>
    <col min="9228" max="9228" width="13.7109375" style="1" customWidth="1"/>
    <col min="9229" max="9229" width="14.28515625" style="1" customWidth="1"/>
    <col min="9230" max="9230" width="8.28515625" style="1" customWidth="1"/>
    <col min="9231" max="9231" width="13.7109375" style="1" customWidth="1"/>
    <col min="9232" max="9232" width="13.85546875" style="1" customWidth="1"/>
    <col min="9233" max="9470" width="9.140625" style="1"/>
    <col min="9471" max="9471" width="32.140625" style="1" customWidth="1"/>
    <col min="9472" max="9483" width="0" style="1" hidden="1" customWidth="1"/>
    <col min="9484" max="9484" width="13.7109375" style="1" customWidth="1"/>
    <col min="9485" max="9485" width="14.28515625" style="1" customWidth="1"/>
    <col min="9486" max="9486" width="8.28515625" style="1" customWidth="1"/>
    <col min="9487" max="9487" width="13.7109375" style="1" customWidth="1"/>
    <col min="9488" max="9488" width="13.85546875" style="1" customWidth="1"/>
    <col min="9489" max="9726" width="9.140625" style="1"/>
    <col min="9727" max="9727" width="32.140625" style="1" customWidth="1"/>
    <col min="9728" max="9739" width="0" style="1" hidden="1" customWidth="1"/>
    <col min="9740" max="9740" width="13.7109375" style="1" customWidth="1"/>
    <col min="9741" max="9741" width="14.28515625" style="1" customWidth="1"/>
    <col min="9742" max="9742" width="8.28515625" style="1" customWidth="1"/>
    <col min="9743" max="9743" width="13.7109375" style="1" customWidth="1"/>
    <col min="9744" max="9744" width="13.85546875" style="1" customWidth="1"/>
    <col min="9745" max="9982" width="9.140625" style="1"/>
    <col min="9983" max="9983" width="32.140625" style="1" customWidth="1"/>
    <col min="9984" max="9995" width="0" style="1" hidden="1" customWidth="1"/>
    <col min="9996" max="9996" width="13.7109375" style="1" customWidth="1"/>
    <col min="9997" max="9997" width="14.28515625" style="1" customWidth="1"/>
    <col min="9998" max="9998" width="8.28515625" style="1" customWidth="1"/>
    <col min="9999" max="9999" width="13.7109375" style="1" customWidth="1"/>
    <col min="10000" max="10000" width="13.85546875" style="1" customWidth="1"/>
    <col min="10001" max="10238" width="9.140625" style="1"/>
    <col min="10239" max="10239" width="32.140625" style="1" customWidth="1"/>
    <col min="10240" max="10251" width="0" style="1" hidden="1" customWidth="1"/>
    <col min="10252" max="10252" width="13.7109375" style="1" customWidth="1"/>
    <col min="10253" max="10253" width="14.28515625" style="1" customWidth="1"/>
    <col min="10254" max="10254" width="8.28515625" style="1" customWidth="1"/>
    <col min="10255" max="10255" width="13.7109375" style="1" customWidth="1"/>
    <col min="10256" max="10256" width="13.85546875" style="1" customWidth="1"/>
    <col min="10257" max="10494" width="9.140625" style="1"/>
    <col min="10495" max="10495" width="32.140625" style="1" customWidth="1"/>
    <col min="10496" max="10507" width="0" style="1" hidden="1" customWidth="1"/>
    <col min="10508" max="10508" width="13.7109375" style="1" customWidth="1"/>
    <col min="10509" max="10509" width="14.28515625" style="1" customWidth="1"/>
    <col min="10510" max="10510" width="8.28515625" style="1" customWidth="1"/>
    <col min="10511" max="10511" width="13.7109375" style="1" customWidth="1"/>
    <col min="10512" max="10512" width="13.85546875" style="1" customWidth="1"/>
    <col min="10513" max="10750" width="9.140625" style="1"/>
    <col min="10751" max="10751" width="32.140625" style="1" customWidth="1"/>
    <col min="10752" max="10763" width="0" style="1" hidden="1" customWidth="1"/>
    <col min="10764" max="10764" width="13.7109375" style="1" customWidth="1"/>
    <col min="10765" max="10765" width="14.28515625" style="1" customWidth="1"/>
    <col min="10766" max="10766" width="8.28515625" style="1" customWidth="1"/>
    <col min="10767" max="10767" width="13.7109375" style="1" customWidth="1"/>
    <col min="10768" max="10768" width="13.85546875" style="1" customWidth="1"/>
    <col min="10769" max="11006" width="9.140625" style="1"/>
    <col min="11007" max="11007" width="32.140625" style="1" customWidth="1"/>
    <col min="11008" max="11019" width="0" style="1" hidden="1" customWidth="1"/>
    <col min="11020" max="11020" width="13.7109375" style="1" customWidth="1"/>
    <col min="11021" max="11021" width="14.28515625" style="1" customWidth="1"/>
    <col min="11022" max="11022" width="8.28515625" style="1" customWidth="1"/>
    <col min="11023" max="11023" width="13.7109375" style="1" customWidth="1"/>
    <col min="11024" max="11024" width="13.85546875" style="1" customWidth="1"/>
    <col min="11025" max="11262" width="9.140625" style="1"/>
    <col min="11263" max="11263" width="32.140625" style="1" customWidth="1"/>
    <col min="11264" max="11275" width="0" style="1" hidden="1" customWidth="1"/>
    <col min="11276" max="11276" width="13.7109375" style="1" customWidth="1"/>
    <col min="11277" max="11277" width="14.28515625" style="1" customWidth="1"/>
    <col min="11278" max="11278" width="8.28515625" style="1" customWidth="1"/>
    <col min="11279" max="11279" width="13.7109375" style="1" customWidth="1"/>
    <col min="11280" max="11280" width="13.85546875" style="1" customWidth="1"/>
    <col min="11281" max="11518" width="9.140625" style="1"/>
    <col min="11519" max="11519" width="32.140625" style="1" customWidth="1"/>
    <col min="11520" max="11531" width="0" style="1" hidden="1" customWidth="1"/>
    <col min="11532" max="11532" width="13.7109375" style="1" customWidth="1"/>
    <col min="11533" max="11533" width="14.28515625" style="1" customWidth="1"/>
    <col min="11534" max="11534" width="8.28515625" style="1" customWidth="1"/>
    <col min="11535" max="11535" width="13.7109375" style="1" customWidth="1"/>
    <col min="11536" max="11536" width="13.85546875" style="1" customWidth="1"/>
    <col min="11537" max="11774" width="9.140625" style="1"/>
    <col min="11775" max="11775" width="32.140625" style="1" customWidth="1"/>
    <col min="11776" max="11787" width="0" style="1" hidden="1" customWidth="1"/>
    <col min="11788" max="11788" width="13.7109375" style="1" customWidth="1"/>
    <col min="11789" max="11789" width="14.28515625" style="1" customWidth="1"/>
    <col min="11790" max="11790" width="8.28515625" style="1" customWidth="1"/>
    <col min="11791" max="11791" width="13.7109375" style="1" customWidth="1"/>
    <col min="11792" max="11792" width="13.85546875" style="1" customWidth="1"/>
    <col min="11793" max="12030" width="9.140625" style="1"/>
    <col min="12031" max="12031" width="32.140625" style="1" customWidth="1"/>
    <col min="12032" max="12043" width="0" style="1" hidden="1" customWidth="1"/>
    <col min="12044" max="12044" width="13.7109375" style="1" customWidth="1"/>
    <col min="12045" max="12045" width="14.28515625" style="1" customWidth="1"/>
    <col min="12046" max="12046" width="8.28515625" style="1" customWidth="1"/>
    <col min="12047" max="12047" width="13.7109375" style="1" customWidth="1"/>
    <col min="12048" max="12048" width="13.85546875" style="1" customWidth="1"/>
    <col min="12049" max="12286" width="9.140625" style="1"/>
    <col min="12287" max="12287" width="32.140625" style="1" customWidth="1"/>
    <col min="12288" max="12299" width="0" style="1" hidden="1" customWidth="1"/>
    <col min="12300" max="12300" width="13.7109375" style="1" customWidth="1"/>
    <col min="12301" max="12301" width="14.28515625" style="1" customWidth="1"/>
    <col min="12302" max="12302" width="8.28515625" style="1" customWidth="1"/>
    <col min="12303" max="12303" width="13.7109375" style="1" customWidth="1"/>
    <col min="12304" max="12304" width="13.85546875" style="1" customWidth="1"/>
    <col min="12305" max="12542" width="9.140625" style="1"/>
    <col min="12543" max="12543" width="32.140625" style="1" customWidth="1"/>
    <col min="12544" max="12555" width="0" style="1" hidden="1" customWidth="1"/>
    <col min="12556" max="12556" width="13.7109375" style="1" customWidth="1"/>
    <col min="12557" max="12557" width="14.28515625" style="1" customWidth="1"/>
    <col min="12558" max="12558" width="8.28515625" style="1" customWidth="1"/>
    <col min="12559" max="12559" width="13.7109375" style="1" customWidth="1"/>
    <col min="12560" max="12560" width="13.85546875" style="1" customWidth="1"/>
    <col min="12561" max="12798" width="9.140625" style="1"/>
    <col min="12799" max="12799" width="32.140625" style="1" customWidth="1"/>
    <col min="12800" max="12811" width="0" style="1" hidden="1" customWidth="1"/>
    <col min="12812" max="12812" width="13.7109375" style="1" customWidth="1"/>
    <col min="12813" max="12813" width="14.28515625" style="1" customWidth="1"/>
    <col min="12814" max="12814" width="8.28515625" style="1" customWidth="1"/>
    <col min="12815" max="12815" width="13.7109375" style="1" customWidth="1"/>
    <col min="12816" max="12816" width="13.85546875" style="1" customWidth="1"/>
    <col min="12817" max="13054" width="9.140625" style="1"/>
    <col min="13055" max="13055" width="32.140625" style="1" customWidth="1"/>
    <col min="13056" max="13067" width="0" style="1" hidden="1" customWidth="1"/>
    <col min="13068" max="13068" width="13.7109375" style="1" customWidth="1"/>
    <col min="13069" max="13069" width="14.28515625" style="1" customWidth="1"/>
    <col min="13070" max="13070" width="8.28515625" style="1" customWidth="1"/>
    <col min="13071" max="13071" width="13.7109375" style="1" customWidth="1"/>
    <col min="13072" max="13072" width="13.85546875" style="1" customWidth="1"/>
    <col min="13073" max="13310" width="9.140625" style="1"/>
    <col min="13311" max="13311" width="32.140625" style="1" customWidth="1"/>
    <col min="13312" max="13323" width="0" style="1" hidden="1" customWidth="1"/>
    <col min="13324" max="13324" width="13.7109375" style="1" customWidth="1"/>
    <col min="13325" max="13325" width="14.28515625" style="1" customWidth="1"/>
    <col min="13326" max="13326" width="8.28515625" style="1" customWidth="1"/>
    <col min="13327" max="13327" width="13.7109375" style="1" customWidth="1"/>
    <col min="13328" max="13328" width="13.85546875" style="1" customWidth="1"/>
    <col min="13329" max="13566" width="9.140625" style="1"/>
    <col min="13567" max="13567" width="32.140625" style="1" customWidth="1"/>
    <col min="13568" max="13579" width="0" style="1" hidden="1" customWidth="1"/>
    <col min="13580" max="13580" width="13.7109375" style="1" customWidth="1"/>
    <col min="13581" max="13581" width="14.28515625" style="1" customWidth="1"/>
    <col min="13582" max="13582" width="8.28515625" style="1" customWidth="1"/>
    <col min="13583" max="13583" width="13.7109375" style="1" customWidth="1"/>
    <col min="13584" max="13584" width="13.85546875" style="1" customWidth="1"/>
    <col min="13585" max="13822" width="9.140625" style="1"/>
    <col min="13823" max="13823" width="32.140625" style="1" customWidth="1"/>
    <col min="13824" max="13835" width="0" style="1" hidden="1" customWidth="1"/>
    <col min="13836" max="13836" width="13.7109375" style="1" customWidth="1"/>
    <col min="13837" max="13837" width="14.28515625" style="1" customWidth="1"/>
    <col min="13838" max="13838" width="8.28515625" style="1" customWidth="1"/>
    <col min="13839" max="13839" width="13.7109375" style="1" customWidth="1"/>
    <col min="13840" max="13840" width="13.85546875" style="1" customWidth="1"/>
    <col min="13841" max="14078" width="9.140625" style="1"/>
    <col min="14079" max="14079" width="32.140625" style="1" customWidth="1"/>
    <col min="14080" max="14091" width="0" style="1" hidden="1" customWidth="1"/>
    <col min="14092" max="14092" width="13.7109375" style="1" customWidth="1"/>
    <col min="14093" max="14093" width="14.28515625" style="1" customWidth="1"/>
    <col min="14094" max="14094" width="8.28515625" style="1" customWidth="1"/>
    <col min="14095" max="14095" width="13.7109375" style="1" customWidth="1"/>
    <col min="14096" max="14096" width="13.85546875" style="1" customWidth="1"/>
    <col min="14097" max="14334" width="9.140625" style="1"/>
    <col min="14335" max="14335" width="32.140625" style="1" customWidth="1"/>
    <col min="14336" max="14347" width="0" style="1" hidden="1" customWidth="1"/>
    <col min="14348" max="14348" width="13.7109375" style="1" customWidth="1"/>
    <col min="14349" max="14349" width="14.28515625" style="1" customWidth="1"/>
    <col min="14350" max="14350" width="8.28515625" style="1" customWidth="1"/>
    <col min="14351" max="14351" width="13.7109375" style="1" customWidth="1"/>
    <col min="14352" max="14352" width="13.85546875" style="1" customWidth="1"/>
    <col min="14353" max="14590" width="9.140625" style="1"/>
    <col min="14591" max="14591" width="32.140625" style="1" customWidth="1"/>
    <col min="14592" max="14603" width="0" style="1" hidden="1" customWidth="1"/>
    <col min="14604" max="14604" width="13.7109375" style="1" customWidth="1"/>
    <col min="14605" max="14605" width="14.28515625" style="1" customWidth="1"/>
    <col min="14606" max="14606" width="8.28515625" style="1" customWidth="1"/>
    <col min="14607" max="14607" width="13.7109375" style="1" customWidth="1"/>
    <col min="14608" max="14608" width="13.85546875" style="1" customWidth="1"/>
    <col min="14609" max="14846" width="9.140625" style="1"/>
    <col min="14847" max="14847" width="32.140625" style="1" customWidth="1"/>
    <col min="14848" max="14859" width="0" style="1" hidden="1" customWidth="1"/>
    <col min="14860" max="14860" width="13.7109375" style="1" customWidth="1"/>
    <col min="14861" max="14861" width="14.28515625" style="1" customWidth="1"/>
    <col min="14862" max="14862" width="8.28515625" style="1" customWidth="1"/>
    <col min="14863" max="14863" width="13.7109375" style="1" customWidth="1"/>
    <col min="14864" max="14864" width="13.85546875" style="1" customWidth="1"/>
    <col min="14865" max="15102" width="9.140625" style="1"/>
    <col min="15103" max="15103" width="32.140625" style="1" customWidth="1"/>
    <col min="15104" max="15115" width="0" style="1" hidden="1" customWidth="1"/>
    <col min="15116" max="15116" width="13.7109375" style="1" customWidth="1"/>
    <col min="15117" max="15117" width="14.28515625" style="1" customWidth="1"/>
    <col min="15118" max="15118" width="8.28515625" style="1" customWidth="1"/>
    <col min="15119" max="15119" width="13.7109375" style="1" customWidth="1"/>
    <col min="15120" max="15120" width="13.85546875" style="1" customWidth="1"/>
    <col min="15121" max="15358" width="9.140625" style="1"/>
    <col min="15359" max="15359" width="32.140625" style="1" customWidth="1"/>
    <col min="15360" max="15371" width="0" style="1" hidden="1" customWidth="1"/>
    <col min="15372" max="15372" width="13.7109375" style="1" customWidth="1"/>
    <col min="15373" max="15373" width="14.28515625" style="1" customWidth="1"/>
    <col min="15374" max="15374" width="8.28515625" style="1" customWidth="1"/>
    <col min="15375" max="15375" width="13.7109375" style="1" customWidth="1"/>
    <col min="15376" max="15376" width="13.85546875" style="1" customWidth="1"/>
    <col min="15377" max="15614" width="9.140625" style="1"/>
    <col min="15615" max="15615" width="32.140625" style="1" customWidth="1"/>
    <col min="15616" max="15627" width="0" style="1" hidden="1" customWidth="1"/>
    <col min="15628" max="15628" width="13.7109375" style="1" customWidth="1"/>
    <col min="15629" max="15629" width="14.28515625" style="1" customWidth="1"/>
    <col min="15630" max="15630" width="8.28515625" style="1" customWidth="1"/>
    <col min="15631" max="15631" width="13.7109375" style="1" customWidth="1"/>
    <col min="15632" max="15632" width="13.85546875" style="1" customWidth="1"/>
    <col min="15633" max="15870" width="9.140625" style="1"/>
    <col min="15871" max="15871" width="32.140625" style="1" customWidth="1"/>
    <col min="15872" max="15883" width="0" style="1" hidden="1" customWidth="1"/>
    <col min="15884" max="15884" width="13.7109375" style="1" customWidth="1"/>
    <col min="15885" max="15885" width="14.28515625" style="1" customWidth="1"/>
    <col min="15886" max="15886" width="8.28515625" style="1" customWidth="1"/>
    <col min="15887" max="15887" width="13.7109375" style="1" customWidth="1"/>
    <col min="15888" max="15888" width="13.85546875" style="1" customWidth="1"/>
    <col min="15889" max="16126" width="9.140625" style="1"/>
    <col min="16127" max="16127" width="32.140625" style="1" customWidth="1"/>
    <col min="16128" max="16139" width="0" style="1" hidden="1" customWidth="1"/>
    <col min="16140" max="16140" width="13.7109375" style="1" customWidth="1"/>
    <col min="16141" max="16141" width="14.28515625" style="1" customWidth="1"/>
    <col min="16142" max="16142" width="8.28515625" style="1" customWidth="1"/>
    <col min="16143" max="16143" width="13.7109375" style="1" customWidth="1"/>
    <col min="16144" max="16144" width="13.85546875" style="1" customWidth="1"/>
    <col min="16145" max="16384" width="9.140625" style="1"/>
  </cols>
  <sheetData>
    <row r="1" spans="1:32" ht="14.25" customHeight="1" x14ac:dyDescent="0.2">
      <c r="A1" s="716" t="s">
        <v>398</v>
      </c>
      <c r="B1" s="716"/>
      <c r="C1" s="716"/>
      <c r="D1" s="664"/>
      <c r="E1" s="664"/>
      <c r="F1" s="664"/>
      <c r="G1" s="664"/>
      <c r="H1" s="664"/>
      <c r="I1" s="664"/>
      <c r="J1" s="664"/>
      <c r="K1" s="664"/>
      <c r="L1" s="664"/>
      <c r="M1" s="664"/>
      <c r="N1" s="664"/>
      <c r="O1" s="664"/>
      <c r="P1" s="688"/>
      <c r="Q1" s="664"/>
      <c r="R1" s="664"/>
      <c r="S1" s="664"/>
    </row>
    <row r="2" spans="1:32" ht="15.75" customHeight="1" thickBot="1" x14ac:dyDescent="0.25">
      <c r="A2" s="715" t="s">
        <v>399</v>
      </c>
      <c r="B2" s="715"/>
      <c r="C2" s="715"/>
      <c r="D2" s="632"/>
      <c r="E2" s="632"/>
      <c r="F2" s="632"/>
      <c r="G2" s="632"/>
      <c r="H2" s="632"/>
      <c r="I2" s="632"/>
      <c r="J2" s="632"/>
      <c r="K2" s="632"/>
      <c r="L2" s="632"/>
      <c r="M2" s="632"/>
      <c r="N2" s="632"/>
      <c r="O2" s="632"/>
      <c r="P2" s="689"/>
      <c r="Q2" s="632"/>
      <c r="R2" s="632"/>
      <c r="S2" s="632"/>
    </row>
    <row r="3" spans="1:32" ht="16.5" customHeight="1" thickTop="1" x14ac:dyDescent="0.2">
      <c r="A3" s="719" t="s">
        <v>0</v>
      </c>
      <c r="B3" s="721" t="s">
        <v>1</v>
      </c>
      <c r="C3" s="717" t="s">
        <v>2</v>
      </c>
      <c r="D3" s="717" t="s">
        <v>3</v>
      </c>
      <c r="E3" s="717" t="s">
        <v>4</v>
      </c>
      <c r="F3" s="717" t="s">
        <v>5</v>
      </c>
      <c r="G3" s="717" t="s">
        <v>6</v>
      </c>
      <c r="H3" s="717" t="s">
        <v>7</v>
      </c>
      <c r="I3" s="717" t="s">
        <v>8</v>
      </c>
      <c r="J3" s="717" t="s">
        <v>9</v>
      </c>
      <c r="K3" s="717" t="s">
        <v>10</v>
      </c>
      <c r="L3" s="717" t="s">
        <v>11</v>
      </c>
      <c r="M3" s="717" t="s">
        <v>12</v>
      </c>
      <c r="N3" s="717" t="s">
        <v>13</v>
      </c>
      <c r="O3" s="717" t="s">
        <v>14</v>
      </c>
      <c r="P3" s="735" t="s">
        <v>459</v>
      </c>
      <c r="Q3" s="737" t="s">
        <v>440</v>
      </c>
      <c r="R3" s="637" t="s">
        <v>482</v>
      </c>
      <c r="S3" s="723" t="s">
        <v>406</v>
      </c>
      <c r="U3" s="665"/>
      <c r="V3" s="665"/>
      <c r="W3" s="665"/>
      <c r="X3" s="665"/>
      <c r="Y3" s="665"/>
      <c r="Z3" s="665"/>
      <c r="AA3" s="665"/>
      <c r="AB3" s="665"/>
      <c r="AC3" s="665"/>
      <c r="AD3" s="665"/>
      <c r="AE3" s="665"/>
      <c r="AF3" s="665"/>
    </row>
    <row r="4" spans="1:32" ht="26.25" customHeight="1" thickBot="1" x14ac:dyDescent="0.25">
      <c r="A4" s="720"/>
      <c r="B4" s="722"/>
      <c r="C4" s="718"/>
      <c r="D4" s="718"/>
      <c r="E4" s="718"/>
      <c r="F4" s="718"/>
      <c r="G4" s="718"/>
      <c r="H4" s="718"/>
      <c r="I4" s="718"/>
      <c r="J4" s="718"/>
      <c r="K4" s="718"/>
      <c r="L4" s="718"/>
      <c r="M4" s="718"/>
      <c r="N4" s="718"/>
      <c r="O4" s="718"/>
      <c r="P4" s="736"/>
      <c r="Q4" s="738"/>
      <c r="R4" s="635" t="s">
        <v>19</v>
      </c>
      <c r="S4" s="724"/>
      <c r="U4" s="665"/>
      <c r="V4" s="665"/>
      <c r="W4" s="665"/>
      <c r="X4" s="665"/>
      <c r="Y4" s="665"/>
      <c r="Z4" s="665"/>
      <c r="AA4" s="665"/>
      <c r="AB4" s="665"/>
      <c r="AC4" s="665"/>
      <c r="AD4" s="665"/>
      <c r="AE4" s="665"/>
      <c r="AF4" s="665"/>
    </row>
    <row r="5" spans="1:32" ht="17.25" thickTop="1" thickBot="1" x14ac:dyDescent="0.3">
      <c r="A5" s="603">
        <v>100</v>
      </c>
      <c r="B5" s="725" t="s">
        <v>15</v>
      </c>
      <c r="C5" s="726"/>
      <c r="D5" s="2">
        <f t="shared" ref="D5:M5" si="0">D6+D12+D17</f>
        <v>4005975</v>
      </c>
      <c r="E5" s="2">
        <f t="shared" si="0"/>
        <v>4409049</v>
      </c>
      <c r="F5" s="2">
        <f t="shared" si="0"/>
        <v>5183529</v>
      </c>
      <c r="G5" s="2">
        <f t="shared" si="0"/>
        <v>5169506</v>
      </c>
      <c r="H5" s="2">
        <f t="shared" si="0"/>
        <v>4342169</v>
      </c>
      <c r="I5" s="2">
        <f t="shared" si="0"/>
        <v>4854565</v>
      </c>
      <c r="J5" s="2">
        <f t="shared" si="0"/>
        <v>5209041</v>
      </c>
      <c r="K5" s="2">
        <f t="shared" si="0"/>
        <v>4997011</v>
      </c>
      <c r="L5" s="2">
        <f t="shared" si="0"/>
        <v>5140983.68</v>
      </c>
      <c r="M5" s="3">
        <f t="shared" si="0"/>
        <v>5807550.21</v>
      </c>
      <c r="N5" s="2">
        <f>N6+N12+N17</f>
        <v>6453363.5500000007</v>
      </c>
      <c r="O5" s="3">
        <f>O6+O12+O17</f>
        <v>6809462.0100000007</v>
      </c>
      <c r="P5" s="3">
        <v>7281076.1700000009</v>
      </c>
      <c r="Q5" s="4">
        <f>Q6+Q12+Q17</f>
        <v>7946223</v>
      </c>
      <c r="R5" s="4">
        <f>R6+R12+R17</f>
        <v>7040</v>
      </c>
      <c r="S5" s="5">
        <f>S6+S12+S17</f>
        <v>7953263</v>
      </c>
    </row>
    <row r="6" spans="1:32" ht="15.75" thickBot="1" x14ac:dyDescent="0.3">
      <c r="A6" s="604">
        <v>110</v>
      </c>
      <c r="B6" s="727" t="s">
        <v>16</v>
      </c>
      <c r="C6" s="728"/>
      <c r="D6" s="7">
        <f>D7</f>
        <v>3340935</v>
      </c>
      <c r="E6" s="7">
        <f>E7</f>
        <v>3718815</v>
      </c>
      <c r="F6" s="7">
        <f>F7</f>
        <v>4552845</v>
      </c>
      <c r="G6" s="7">
        <f>G7</f>
        <v>4537123</v>
      </c>
      <c r="H6" s="7">
        <f>H7</f>
        <v>3726916</v>
      </c>
      <c r="I6" s="7">
        <f t="shared" ref="I6:O6" si="1">I7</f>
        <v>4195159</v>
      </c>
      <c r="J6" s="7">
        <f t="shared" si="1"/>
        <v>4432132</v>
      </c>
      <c r="K6" s="7">
        <f t="shared" si="1"/>
        <v>4175784</v>
      </c>
      <c r="L6" s="7">
        <f t="shared" si="1"/>
        <v>4401458.42</v>
      </c>
      <c r="M6" s="8">
        <f t="shared" si="1"/>
        <v>5016805.0999999996</v>
      </c>
      <c r="N6" s="7">
        <f t="shared" si="1"/>
        <v>5542925.6600000001</v>
      </c>
      <c r="O6" s="8">
        <f t="shared" si="1"/>
        <v>5877883.0300000003</v>
      </c>
      <c r="P6" s="8">
        <v>6368965.2300000004</v>
      </c>
      <c r="Q6" s="9">
        <f>Q7</f>
        <v>7054773</v>
      </c>
      <c r="R6" s="9">
        <f>R7</f>
        <v>0</v>
      </c>
      <c r="S6" s="638">
        <f>S7</f>
        <v>7054773</v>
      </c>
    </row>
    <row r="7" spans="1:32" ht="15.75" thickBot="1" x14ac:dyDescent="0.3">
      <c r="A7" s="729"/>
      <c r="B7" s="732"/>
      <c r="C7" s="11" t="s">
        <v>17</v>
      </c>
      <c r="D7" s="12">
        <v>3340935</v>
      </c>
      <c r="E7" s="12">
        <v>3718815</v>
      </c>
      <c r="F7" s="12">
        <v>4552845</v>
      </c>
      <c r="G7" s="12">
        <v>4537123</v>
      </c>
      <c r="H7" s="12">
        <v>3726916</v>
      </c>
      <c r="I7" s="13">
        <v>4195159</v>
      </c>
      <c r="J7" s="13">
        <v>4432132</v>
      </c>
      <c r="K7" s="14">
        <v>4175784</v>
      </c>
      <c r="L7" s="14">
        <v>4401458.42</v>
      </c>
      <c r="M7" s="15">
        <v>5016805.0999999996</v>
      </c>
      <c r="N7" s="16">
        <v>5542925.6600000001</v>
      </c>
      <c r="O7" s="15">
        <v>5877883.0300000003</v>
      </c>
      <c r="P7" s="15">
        <v>6368965.2300000004</v>
      </c>
      <c r="Q7" s="16">
        <v>7054773</v>
      </c>
      <c r="R7" s="17"/>
      <c r="S7" s="18">
        <f>Q7+R7</f>
        <v>7054773</v>
      </c>
      <c r="U7" s="6"/>
      <c r="X7" s="6"/>
    </row>
    <row r="8" spans="1:32" ht="13.5" hidden="1" customHeight="1" thickBot="1" x14ac:dyDescent="0.25">
      <c r="A8" s="730"/>
      <c r="B8" s="733"/>
      <c r="C8" s="19" t="s">
        <v>18</v>
      </c>
      <c r="D8" s="19"/>
      <c r="E8" s="19"/>
      <c r="F8" s="19"/>
      <c r="G8" s="19"/>
      <c r="H8" s="19"/>
      <c r="I8" s="20"/>
      <c r="J8" s="20"/>
      <c r="K8" s="21"/>
      <c r="L8" s="21"/>
      <c r="M8" s="22"/>
      <c r="N8" s="23"/>
      <c r="O8" s="23"/>
      <c r="P8" s="22"/>
      <c r="Q8" s="23"/>
      <c r="R8" s="24"/>
      <c r="S8" s="25"/>
    </row>
    <row r="9" spans="1:32" ht="13.5" hidden="1" customHeight="1" thickBot="1" x14ac:dyDescent="0.25">
      <c r="A9" s="730"/>
      <c r="B9" s="733"/>
      <c r="C9" s="26" t="s">
        <v>19</v>
      </c>
      <c r="D9" s="26"/>
      <c r="E9" s="26"/>
      <c r="F9" s="26"/>
      <c r="G9" s="26"/>
      <c r="H9" s="26"/>
      <c r="I9" s="27"/>
      <c r="J9" s="27"/>
      <c r="K9" s="28"/>
      <c r="L9" s="28"/>
      <c r="M9" s="29"/>
      <c r="N9" s="30"/>
      <c r="O9" s="30"/>
      <c r="P9" s="29"/>
      <c r="Q9" s="30"/>
      <c r="R9" s="31"/>
      <c r="S9" s="32"/>
      <c r="T9" s="6"/>
    </row>
    <row r="10" spans="1:32" ht="13.5" hidden="1" customHeight="1" thickBot="1" x14ac:dyDescent="0.25">
      <c r="A10" s="730"/>
      <c r="B10" s="733"/>
      <c r="C10" s="26" t="s">
        <v>20</v>
      </c>
      <c r="D10" s="26"/>
      <c r="E10" s="26"/>
      <c r="F10" s="26"/>
      <c r="G10" s="26"/>
      <c r="H10" s="26"/>
      <c r="I10" s="27"/>
      <c r="J10" s="27"/>
      <c r="K10" s="28"/>
      <c r="L10" s="28"/>
      <c r="M10" s="29"/>
      <c r="N10" s="30"/>
      <c r="O10" s="30"/>
      <c r="P10" s="29"/>
      <c r="Q10" s="30"/>
      <c r="R10" s="31"/>
      <c r="S10" s="32"/>
    </row>
    <row r="11" spans="1:32" ht="13.5" hidden="1" customHeight="1" thickBot="1" x14ac:dyDescent="0.25">
      <c r="A11" s="731"/>
      <c r="B11" s="734"/>
      <c r="C11" s="33" t="s">
        <v>21</v>
      </c>
      <c r="D11" s="33"/>
      <c r="E11" s="33"/>
      <c r="F11" s="33"/>
      <c r="G11" s="33"/>
      <c r="H11" s="33"/>
      <c r="I11" s="34"/>
      <c r="J11" s="34"/>
      <c r="K11" s="35"/>
      <c r="L11" s="35"/>
      <c r="M11" s="36"/>
      <c r="N11" s="37"/>
      <c r="O11" s="37"/>
      <c r="P11" s="36"/>
      <c r="Q11" s="37"/>
      <c r="R11" s="38"/>
      <c r="S11" s="39"/>
    </row>
    <row r="12" spans="1:32" ht="15.75" thickBot="1" x14ac:dyDescent="0.3">
      <c r="A12" s="605">
        <v>120</v>
      </c>
      <c r="B12" s="739" t="s">
        <v>22</v>
      </c>
      <c r="C12" s="740"/>
      <c r="D12" s="40">
        <f>D13</f>
        <v>295824</v>
      </c>
      <c r="E12" s="40">
        <f>E13</f>
        <v>311093</v>
      </c>
      <c r="F12" s="40">
        <f>F13</f>
        <v>361216</v>
      </c>
      <c r="G12" s="40">
        <f>G13</f>
        <v>341843</v>
      </c>
      <c r="H12" s="40">
        <v>316587</v>
      </c>
      <c r="I12" s="40">
        <f t="shared" ref="I12:O12" si="2">I13</f>
        <v>360438</v>
      </c>
      <c r="J12" s="40">
        <f t="shared" si="2"/>
        <v>460690</v>
      </c>
      <c r="K12" s="40">
        <f t="shared" si="2"/>
        <v>388905</v>
      </c>
      <c r="L12" s="40">
        <f t="shared" si="2"/>
        <v>335641.24</v>
      </c>
      <c r="M12" s="41">
        <f t="shared" si="2"/>
        <v>396789.44</v>
      </c>
      <c r="N12" s="40">
        <f t="shared" si="2"/>
        <v>470206.4</v>
      </c>
      <c r="O12" s="41">
        <f t="shared" si="2"/>
        <v>490398.24</v>
      </c>
      <c r="P12" s="575">
        <v>477910.94</v>
      </c>
      <c r="Q12" s="42">
        <f>Q13</f>
        <v>468000</v>
      </c>
      <c r="R12" s="42">
        <f>R13</f>
        <v>0</v>
      </c>
      <c r="S12" s="43">
        <f>S13</f>
        <v>468000</v>
      </c>
    </row>
    <row r="13" spans="1:32" ht="13.5" thickBot="1" x14ac:dyDescent="0.25">
      <c r="A13" s="741"/>
      <c r="B13" s="44">
        <v>121</v>
      </c>
      <c r="C13" s="45" t="s">
        <v>23</v>
      </c>
      <c r="D13" s="45">
        <v>295824</v>
      </c>
      <c r="E13" s="45">
        <v>311093</v>
      </c>
      <c r="F13" s="45">
        <v>361216</v>
      </c>
      <c r="G13" s="45">
        <v>341843</v>
      </c>
      <c r="H13" s="45">
        <v>316587</v>
      </c>
      <c r="I13" s="46">
        <f t="shared" ref="I13:O13" si="3">SUM(I14:I16)</f>
        <v>360438</v>
      </c>
      <c r="J13" s="46">
        <f t="shared" si="3"/>
        <v>460690</v>
      </c>
      <c r="K13" s="46">
        <f t="shared" si="3"/>
        <v>388905</v>
      </c>
      <c r="L13" s="46">
        <f t="shared" si="3"/>
        <v>335641.24</v>
      </c>
      <c r="M13" s="47">
        <f t="shared" si="3"/>
        <v>396789.44</v>
      </c>
      <c r="N13" s="46">
        <f t="shared" si="3"/>
        <v>470206.4</v>
      </c>
      <c r="O13" s="47">
        <f t="shared" si="3"/>
        <v>490398.24</v>
      </c>
      <c r="P13" s="148">
        <v>477910.94</v>
      </c>
      <c r="Q13" s="48">
        <f>SUM(Q14:Q16)</f>
        <v>468000</v>
      </c>
      <c r="R13" s="48">
        <f>SUM(R14:R16)</f>
        <v>0</v>
      </c>
      <c r="S13" s="49">
        <f>SUM(S14:S16)</f>
        <v>468000</v>
      </c>
    </row>
    <row r="14" spans="1:32" x14ac:dyDescent="0.2">
      <c r="A14" s="742"/>
      <c r="B14" s="744"/>
      <c r="C14" s="50" t="s">
        <v>24</v>
      </c>
      <c r="D14" s="51"/>
      <c r="E14" s="51"/>
      <c r="F14" s="51"/>
      <c r="G14" s="51"/>
      <c r="H14" s="51">
        <v>51780</v>
      </c>
      <c r="I14" s="51">
        <v>67186</v>
      </c>
      <c r="J14" s="52">
        <v>71840</v>
      </c>
      <c r="K14" s="52">
        <v>90890</v>
      </c>
      <c r="L14" s="52">
        <v>64647.11</v>
      </c>
      <c r="M14" s="53">
        <v>92446.080000000002</v>
      </c>
      <c r="N14" s="54">
        <v>110741.25</v>
      </c>
      <c r="O14" s="53">
        <v>490398.24</v>
      </c>
      <c r="P14" s="53">
        <v>113964.55</v>
      </c>
      <c r="Q14" s="54">
        <v>110000</v>
      </c>
      <c r="R14" s="24"/>
      <c r="S14" s="25">
        <f>Q14+R14</f>
        <v>110000</v>
      </c>
    </row>
    <row r="15" spans="1:32" x14ac:dyDescent="0.2">
      <c r="A15" s="742"/>
      <c r="B15" s="745"/>
      <c r="C15" s="26" t="s">
        <v>25</v>
      </c>
      <c r="D15" s="26"/>
      <c r="E15" s="26"/>
      <c r="F15" s="26"/>
      <c r="G15" s="26"/>
      <c r="H15" s="26">
        <v>234536</v>
      </c>
      <c r="I15" s="26">
        <v>264067</v>
      </c>
      <c r="J15" s="28">
        <v>359760</v>
      </c>
      <c r="K15" s="28">
        <v>267120</v>
      </c>
      <c r="L15" s="28">
        <v>239509.09</v>
      </c>
      <c r="M15" s="29">
        <v>271513.31</v>
      </c>
      <c r="N15" s="30">
        <v>321276.38</v>
      </c>
      <c r="O15" s="30"/>
      <c r="P15" s="29">
        <v>324799.75</v>
      </c>
      <c r="Q15" s="30">
        <v>320000</v>
      </c>
      <c r="R15" s="31"/>
      <c r="S15" s="32">
        <f>Q15+R15</f>
        <v>320000</v>
      </c>
    </row>
    <row r="16" spans="1:32" ht="13.5" thickBot="1" x14ac:dyDescent="0.25">
      <c r="A16" s="743"/>
      <c r="B16" s="746"/>
      <c r="C16" s="33" t="s">
        <v>26</v>
      </c>
      <c r="D16" s="33"/>
      <c r="E16" s="33"/>
      <c r="F16" s="33"/>
      <c r="G16" s="33"/>
      <c r="H16" s="33">
        <v>30271</v>
      </c>
      <c r="I16" s="33">
        <v>29185</v>
      </c>
      <c r="J16" s="55">
        <v>29090</v>
      </c>
      <c r="K16" s="55">
        <v>30895</v>
      </c>
      <c r="L16" s="55">
        <v>31485.040000000001</v>
      </c>
      <c r="M16" s="56">
        <v>32830.050000000003</v>
      </c>
      <c r="N16" s="57">
        <v>38188.769999999997</v>
      </c>
      <c r="O16" s="57"/>
      <c r="P16" s="56">
        <v>39146.639999999999</v>
      </c>
      <c r="Q16" s="57">
        <v>38000</v>
      </c>
      <c r="R16" s="38"/>
      <c r="S16" s="39">
        <f>Q16+R16</f>
        <v>38000</v>
      </c>
    </row>
    <row r="17" spans="1:20" ht="15.75" thickBot="1" x14ac:dyDescent="0.3">
      <c r="A17" s="605">
        <v>130</v>
      </c>
      <c r="B17" s="739" t="s">
        <v>27</v>
      </c>
      <c r="C17" s="740"/>
      <c r="D17" s="40">
        <f>D18</f>
        <v>369216</v>
      </c>
      <c r="E17" s="40">
        <f>E18</f>
        <v>379141</v>
      </c>
      <c r="F17" s="40">
        <f>F18</f>
        <v>269468</v>
      </c>
      <c r="G17" s="40">
        <f>G18</f>
        <v>290540</v>
      </c>
      <c r="H17" s="40">
        <f>H18</f>
        <v>298666</v>
      </c>
      <c r="I17" s="40">
        <f t="shared" ref="I17:O17" si="4">I18</f>
        <v>298968</v>
      </c>
      <c r="J17" s="40">
        <f t="shared" si="4"/>
        <v>316219</v>
      </c>
      <c r="K17" s="40">
        <f t="shared" si="4"/>
        <v>432322</v>
      </c>
      <c r="L17" s="40">
        <f t="shared" si="4"/>
        <v>403884.02</v>
      </c>
      <c r="M17" s="41">
        <f t="shared" si="4"/>
        <v>393955.67</v>
      </c>
      <c r="N17" s="40">
        <f t="shared" si="4"/>
        <v>440231.49</v>
      </c>
      <c r="O17" s="41">
        <f t="shared" si="4"/>
        <v>441180.74</v>
      </c>
      <c r="P17" s="575">
        <v>434200</v>
      </c>
      <c r="Q17" s="42">
        <f>Q18</f>
        <v>423450</v>
      </c>
      <c r="R17" s="42">
        <f>R18</f>
        <v>7040</v>
      </c>
      <c r="S17" s="43">
        <f>S18</f>
        <v>430490</v>
      </c>
    </row>
    <row r="18" spans="1:20" ht="13.5" thickBot="1" x14ac:dyDescent="0.25">
      <c r="A18" s="747"/>
      <c r="B18" s="58">
        <v>133</v>
      </c>
      <c r="C18" s="59" t="s">
        <v>28</v>
      </c>
      <c r="D18" s="60">
        <v>369216</v>
      </c>
      <c r="E18" s="60">
        <v>379141</v>
      </c>
      <c r="F18" s="60">
        <v>269468</v>
      </c>
      <c r="G18" s="60">
        <v>290540</v>
      </c>
      <c r="H18" s="61">
        <f t="shared" ref="H18:M18" si="5">SUM(H19:H25)</f>
        <v>298666</v>
      </c>
      <c r="I18" s="61">
        <f t="shared" si="5"/>
        <v>298968</v>
      </c>
      <c r="J18" s="62">
        <f t="shared" si="5"/>
        <v>316219</v>
      </c>
      <c r="K18" s="62">
        <f t="shared" si="5"/>
        <v>432322</v>
      </c>
      <c r="L18" s="62">
        <f>SUM(L19:L25)</f>
        <v>403884.02</v>
      </c>
      <c r="M18" s="63">
        <f t="shared" si="5"/>
        <v>393955.67</v>
      </c>
      <c r="N18" s="62">
        <f>SUM(N19:N25)</f>
        <v>440231.49</v>
      </c>
      <c r="O18" s="63">
        <f>SUM(O19:O25)</f>
        <v>441180.74</v>
      </c>
      <c r="P18" s="149">
        <v>434200</v>
      </c>
      <c r="Q18" s="64">
        <f>SUM(Q19:Q25)</f>
        <v>423450</v>
      </c>
      <c r="R18" s="64">
        <f>SUM(R19:R25)</f>
        <v>7040</v>
      </c>
      <c r="S18" s="65">
        <f>SUM(S19:S25)</f>
        <v>430490</v>
      </c>
    </row>
    <row r="19" spans="1:20" x14ac:dyDescent="0.2">
      <c r="A19" s="748"/>
      <c r="B19" s="750"/>
      <c r="C19" s="66" t="s">
        <v>29</v>
      </c>
      <c r="D19" s="66"/>
      <c r="E19" s="66"/>
      <c r="F19" s="66"/>
      <c r="G19" s="66"/>
      <c r="H19" s="66">
        <v>7752</v>
      </c>
      <c r="I19" s="67">
        <v>7713</v>
      </c>
      <c r="J19" s="54">
        <v>7990</v>
      </c>
      <c r="K19" s="54">
        <v>9276</v>
      </c>
      <c r="L19" s="54">
        <v>9178.11</v>
      </c>
      <c r="M19" s="53">
        <v>9228.06</v>
      </c>
      <c r="N19" s="54">
        <v>12166.42</v>
      </c>
      <c r="O19" s="53">
        <v>11448.4</v>
      </c>
      <c r="P19" s="53">
        <v>11685.91</v>
      </c>
      <c r="Q19" s="54">
        <v>11000</v>
      </c>
      <c r="R19" s="24"/>
      <c r="S19" s="25">
        <f t="shared" ref="S19:S25" si="6">Q19+R19</f>
        <v>11000</v>
      </c>
      <c r="T19" s="6"/>
    </row>
    <row r="20" spans="1:20" x14ac:dyDescent="0.2">
      <c r="A20" s="748"/>
      <c r="B20" s="751"/>
      <c r="C20" s="68" t="s">
        <v>30</v>
      </c>
      <c r="D20" s="68"/>
      <c r="E20" s="68"/>
      <c r="F20" s="68"/>
      <c r="G20" s="68"/>
      <c r="H20" s="68">
        <v>532</v>
      </c>
      <c r="I20" s="69">
        <v>732</v>
      </c>
      <c r="J20" s="30">
        <v>732</v>
      </c>
      <c r="K20" s="30">
        <v>749</v>
      </c>
      <c r="L20" s="30">
        <v>300</v>
      </c>
      <c r="M20" s="29">
        <v>300</v>
      </c>
      <c r="N20" s="30">
        <v>632</v>
      </c>
      <c r="O20" s="29">
        <v>398.66</v>
      </c>
      <c r="P20" s="29">
        <v>332</v>
      </c>
      <c r="Q20" s="30">
        <v>300</v>
      </c>
      <c r="R20" s="31"/>
      <c r="S20" s="32">
        <f t="shared" si="6"/>
        <v>300</v>
      </c>
    </row>
    <row r="21" spans="1:20" x14ac:dyDescent="0.2">
      <c r="A21" s="748"/>
      <c r="B21" s="751"/>
      <c r="C21" s="68" t="s">
        <v>31</v>
      </c>
      <c r="D21" s="68"/>
      <c r="E21" s="68"/>
      <c r="F21" s="68"/>
      <c r="G21" s="68"/>
      <c r="H21" s="68">
        <v>700</v>
      </c>
      <c r="I21" s="69">
        <v>750</v>
      </c>
      <c r="J21" s="30">
        <v>750</v>
      </c>
      <c r="K21" s="30">
        <v>725</v>
      </c>
      <c r="L21" s="30">
        <v>650</v>
      </c>
      <c r="M21" s="29">
        <v>679.15</v>
      </c>
      <c r="N21" s="30">
        <v>691.66</v>
      </c>
      <c r="O21" s="29">
        <v>875</v>
      </c>
      <c r="P21" s="29">
        <v>1190</v>
      </c>
      <c r="Q21" s="30">
        <v>650</v>
      </c>
      <c r="R21" s="31"/>
      <c r="S21" s="32">
        <f t="shared" si="6"/>
        <v>650</v>
      </c>
    </row>
    <row r="22" spans="1:20" x14ac:dyDescent="0.2">
      <c r="A22" s="748"/>
      <c r="B22" s="751"/>
      <c r="C22" s="68" t="s">
        <v>32</v>
      </c>
      <c r="D22" s="68"/>
      <c r="E22" s="68"/>
      <c r="F22" s="68"/>
      <c r="G22" s="68"/>
      <c r="H22" s="68">
        <v>12441</v>
      </c>
      <c r="I22" s="69">
        <v>12101</v>
      </c>
      <c r="J22" s="30">
        <v>14430</v>
      </c>
      <c r="K22" s="30">
        <v>12793</v>
      </c>
      <c r="L22" s="30">
        <v>13503.5</v>
      </c>
      <c r="M22" s="29">
        <v>13052</v>
      </c>
      <c r="N22" s="30">
        <v>12555.5</v>
      </c>
      <c r="O22" s="29">
        <v>12857.5</v>
      </c>
      <c r="P22" s="29">
        <v>13737</v>
      </c>
      <c r="Q22" s="30">
        <v>12500</v>
      </c>
      <c r="R22" s="31"/>
      <c r="S22" s="32">
        <f t="shared" si="6"/>
        <v>12500</v>
      </c>
    </row>
    <row r="23" spans="1:20" x14ac:dyDescent="0.2">
      <c r="A23" s="748"/>
      <c r="B23" s="751"/>
      <c r="C23" s="68" t="s">
        <v>33</v>
      </c>
      <c r="D23" s="68"/>
      <c r="E23" s="68"/>
      <c r="F23" s="68"/>
      <c r="G23" s="68"/>
      <c r="H23" s="68">
        <v>28263</v>
      </c>
      <c r="I23" s="69">
        <v>29878</v>
      </c>
      <c r="J23" s="30">
        <v>31474</v>
      </c>
      <c r="K23" s="30">
        <v>37978</v>
      </c>
      <c r="L23" s="30">
        <v>32751.27</v>
      </c>
      <c r="M23" s="29">
        <v>29179.68</v>
      </c>
      <c r="N23" s="30">
        <v>32177.919999999998</v>
      </c>
      <c r="O23" s="29">
        <v>25859.559999999998</v>
      </c>
      <c r="P23" s="29">
        <v>30880.28</v>
      </c>
      <c r="Q23" s="30">
        <v>24000</v>
      </c>
      <c r="R23" s="31">
        <v>7040</v>
      </c>
      <c r="S23" s="32">
        <f t="shared" si="6"/>
        <v>31040</v>
      </c>
    </row>
    <row r="24" spans="1:20" x14ac:dyDescent="0.2">
      <c r="A24" s="748"/>
      <c r="B24" s="751"/>
      <c r="C24" s="68" t="s">
        <v>34</v>
      </c>
      <c r="D24" s="68"/>
      <c r="E24" s="68"/>
      <c r="F24" s="68"/>
      <c r="G24" s="68"/>
      <c r="H24" s="68">
        <v>162034</v>
      </c>
      <c r="I24" s="69">
        <f>159378+2395</f>
        <v>161773</v>
      </c>
      <c r="J24" s="30">
        <v>174176</v>
      </c>
      <c r="K24" s="30">
        <f>265321+3376</f>
        <v>268697</v>
      </c>
      <c r="L24" s="30">
        <v>243006.26</v>
      </c>
      <c r="M24" s="29">
        <v>240323.78</v>
      </c>
      <c r="N24" s="30">
        <v>255051.03999999998</v>
      </c>
      <c r="O24" s="29">
        <v>252038.01</v>
      </c>
      <c r="P24" s="29">
        <v>235688.58</v>
      </c>
      <c r="Q24" s="30">
        <v>250000</v>
      </c>
      <c r="R24" s="31"/>
      <c r="S24" s="32">
        <f t="shared" si="6"/>
        <v>250000</v>
      </c>
    </row>
    <row r="25" spans="1:20" ht="13.5" thickBot="1" x14ac:dyDescent="0.25">
      <c r="A25" s="749"/>
      <c r="B25" s="752"/>
      <c r="C25" s="70" t="s">
        <v>35</v>
      </c>
      <c r="D25" s="71"/>
      <c r="E25" s="71"/>
      <c r="F25" s="71"/>
      <c r="G25" s="71"/>
      <c r="H25" s="71">
        <v>86944</v>
      </c>
      <c r="I25" s="69">
        <v>86021</v>
      </c>
      <c r="J25" s="37">
        <v>86667</v>
      </c>
      <c r="K25" s="37">
        <v>102104</v>
      </c>
      <c r="L25" s="37">
        <v>104494.88</v>
      </c>
      <c r="M25" s="36">
        <v>101193</v>
      </c>
      <c r="N25" s="37">
        <v>126956.95</v>
      </c>
      <c r="O25" s="36">
        <v>137703.60999999999</v>
      </c>
      <c r="P25" s="36">
        <v>140686.23000000001</v>
      </c>
      <c r="Q25" s="37">
        <v>125000</v>
      </c>
      <c r="R25" s="38"/>
      <c r="S25" s="39">
        <f t="shared" si="6"/>
        <v>125000</v>
      </c>
    </row>
    <row r="26" spans="1:20" ht="16.5" thickBot="1" x14ac:dyDescent="0.3">
      <c r="A26" s="606">
        <v>200</v>
      </c>
      <c r="B26" s="753" t="s">
        <v>36</v>
      </c>
      <c r="C26" s="754"/>
      <c r="D26" s="72">
        <f>D27+D40+D60+D62</f>
        <v>1277767</v>
      </c>
      <c r="E26" s="72">
        <f>E27+E40+E60+E62</f>
        <v>1153090</v>
      </c>
      <c r="F26" s="72">
        <f>F27+F40+F60+F62</f>
        <v>1821583</v>
      </c>
      <c r="G26" s="72">
        <f>G27+G40+G60+G62</f>
        <v>1266222</v>
      </c>
      <c r="H26" s="72">
        <v>1215651</v>
      </c>
      <c r="I26" s="72">
        <f t="shared" ref="I26:O26" si="7">I27+I40+I60+I62</f>
        <v>1492638</v>
      </c>
      <c r="J26" s="72">
        <f t="shared" si="7"/>
        <v>1090799</v>
      </c>
      <c r="K26" s="72">
        <f t="shared" si="7"/>
        <v>1258962</v>
      </c>
      <c r="L26" s="72">
        <f t="shared" si="7"/>
        <v>1049268.01</v>
      </c>
      <c r="M26" s="73">
        <f t="shared" si="7"/>
        <v>1119583.28</v>
      </c>
      <c r="N26" s="72">
        <f t="shared" si="7"/>
        <v>1113252.3600000001</v>
      </c>
      <c r="O26" s="72">
        <f t="shared" si="7"/>
        <v>1054445.69</v>
      </c>
      <c r="P26" s="687">
        <v>1433521.3099999998</v>
      </c>
      <c r="Q26" s="74">
        <f>Q27+Q40+Q62</f>
        <v>1455793</v>
      </c>
      <c r="R26" s="74">
        <f>R27+R40+R62</f>
        <v>0</v>
      </c>
      <c r="S26" s="75">
        <f>S27+S40+S62</f>
        <v>1455793</v>
      </c>
    </row>
    <row r="27" spans="1:20" ht="15.75" thickBot="1" x14ac:dyDescent="0.3">
      <c r="A27" s="600">
        <v>210</v>
      </c>
      <c r="B27" s="727" t="s">
        <v>37</v>
      </c>
      <c r="C27" s="755"/>
      <c r="D27" s="76">
        <f>D28+D32</f>
        <v>873233</v>
      </c>
      <c r="E27" s="76">
        <f>E28+E32</f>
        <v>794430</v>
      </c>
      <c r="F27" s="76">
        <f>F28+F32</f>
        <v>1059517</v>
      </c>
      <c r="G27" s="76">
        <f>G28+G32</f>
        <v>810580</v>
      </c>
      <c r="H27" s="76">
        <v>598394</v>
      </c>
      <c r="I27" s="76">
        <f t="shared" ref="I27:O27" si="8">I28+I32</f>
        <v>741364</v>
      </c>
      <c r="J27" s="76">
        <f t="shared" si="8"/>
        <v>560834</v>
      </c>
      <c r="K27" s="76">
        <f t="shared" si="8"/>
        <v>650004</v>
      </c>
      <c r="L27" s="76">
        <f t="shared" si="8"/>
        <v>379467.55</v>
      </c>
      <c r="M27" s="77">
        <f t="shared" si="8"/>
        <v>418308.61</v>
      </c>
      <c r="N27" s="76">
        <f t="shared" si="8"/>
        <v>461210.13</v>
      </c>
      <c r="O27" s="77">
        <f t="shared" si="8"/>
        <v>442510.63</v>
      </c>
      <c r="P27" s="77">
        <v>507429.88</v>
      </c>
      <c r="Q27" s="78">
        <f>Q28+Q32</f>
        <v>574463</v>
      </c>
      <c r="R27" s="78">
        <f>R28+R32</f>
        <v>0</v>
      </c>
      <c r="S27" s="79">
        <f>S28+S32</f>
        <v>574463</v>
      </c>
    </row>
    <row r="28" spans="1:20" ht="13.5" thickBot="1" x14ac:dyDescent="0.25">
      <c r="A28" s="747" t="s">
        <v>38</v>
      </c>
      <c r="B28" s="44">
        <v>211</v>
      </c>
      <c r="C28" s="80" t="s">
        <v>37</v>
      </c>
      <c r="D28" s="44">
        <v>93242</v>
      </c>
      <c r="E28" s="44">
        <v>23701</v>
      </c>
      <c r="F28" s="44">
        <v>51351</v>
      </c>
      <c r="G28" s="44">
        <v>38822</v>
      </c>
      <c r="H28" s="44">
        <v>66052</v>
      </c>
      <c r="I28" s="62">
        <f t="shared" ref="I28:N28" si="9">SUM(I29:I31)</f>
        <v>29084</v>
      </c>
      <c r="J28" s="62">
        <f t="shared" si="9"/>
        <v>47000</v>
      </c>
      <c r="K28" s="62">
        <f t="shared" si="9"/>
        <v>58181</v>
      </c>
      <c r="L28" s="62">
        <f>SUM(L29:L31)</f>
        <v>20000</v>
      </c>
      <c r="M28" s="62">
        <f t="shared" si="9"/>
        <v>15000</v>
      </c>
      <c r="N28" s="62">
        <f t="shared" si="9"/>
        <v>24000</v>
      </c>
      <c r="O28" s="63">
        <f>SUM(O29:O31)</f>
        <v>11000</v>
      </c>
      <c r="P28" s="63">
        <v>12500</v>
      </c>
      <c r="Q28" s="64">
        <f>Q31</f>
        <v>15000</v>
      </c>
      <c r="R28" s="64">
        <f>R31</f>
        <v>0</v>
      </c>
      <c r="S28" s="65">
        <f>S31</f>
        <v>15000</v>
      </c>
    </row>
    <row r="29" spans="1:20" ht="12.75" hidden="1" customHeight="1" x14ac:dyDescent="0.2">
      <c r="A29" s="748"/>
      <c r="B29" s="744"/>
      <c r="C29" s="81" t="s">
        <v>39</v>
      </c>
      <c r="D29" s="82"/>
      <c r="E29" s="82"/>
      <c r="F29" s="82"/>
      <c r="G29" s="82"/>
      <c r="H29" s="82"/>
      <c r="I29" s="82"/>
      <c r="J29" s="82"/>
      <c r="K29" s="83"/>
      <c r="L29" s="54"/>
      <c r="M29" s="54"/>
      <c r="N29" s="54"/>
      <c r="O29" s="53"/>
      <c r="P29" s="53"/>
      <c r="Q29" s="54"/>
      <c r="R29" s="84"/>
      <c r="S29" s="85"/>
    </row>
    <row r="30" spans="1:20" ht="12.75" hidden="1" customHeight="1" x14ac:dyDescent="0.2">
      <c r="A30" s="748"/>
      <c r="B30" s="745"/>
      <c r="C30" s="86" t="s">
        <v>40</v>
      </c>
      <c r="D30" s="86"/>
      <c r="E30" s="86"/>
      <c r="F30" s="86"/>
      <c r="G30" s="86"/>
      <c r="H30" s="86"/>
      <c r="I30" s="86"/>
      <c r="J30" s="86"/>
      <c r="K30" s="69"/>
      <c r="L30" s="30"/>
      <c r="M30" s="30"/>
      <c r="N30" s="30"/>
      <c r="O30" s="29"/>
      <c r="P30" s="29"/>
      <c r="Q30" s="30"/>
      <c r="R30" s="87"/>
      <c r="S30" s="88"/>
    </row>
    <row r="31" spans="1:20" ht="13.5" thickBot="1" x14ac:dyDescent="0.25">
      <c r="A31" s="748"/>
      <c r="B31" s="746"/>
      <c r="C31" s="89" t="s">
        <v>41</v>
      </c>
      <c r="D31" s="89"/>
      <c r="E31" s="89"/>
      <c r="F31" s="89"/>
      <c r="G31" s="89"/>
      <c r="H31" s="89"/>
      <c r="I31" s="89">
        <v>29084</v>
      </c>
      <c r="J31" s="89">
        <v>47000</v>
      </c>
      <c r="K31" s="90">
        <v>58181</v>
      </c>
      <c r="L31" s="57">
        <v>20000</v>
      </c>
      <c r="M31" s="57">
        <v>15000</v>
      </c>
      <c r="N31" s="57">
        <v>24000</v>
      </c>
      <c r="O31" s="56">
        <v>11000</v>
      </c>
      <c r="P31" s="56">
        <v>12500</v>
      </c>
      <c r="Q31" s="57">
        <v>15000</v>
      </c>
      <c r="R31" s="38"/>
      <c r="S31" s="39">
        <f>Q31+R31</f>
        <v>15000</v>
      </c>
    </row>
    <row r="32" spans="1:20" ht="13.5" thickBot="1" x14ac:dyDescent="0.25">
      <c r="A32" s="748"/>
      <c r="B32" s="91">
        <v>212</v>
      </c>
      <c r="C32" s="92" t="s">
        <v>42</v>
      </c>
      <c r="D32" s="93">
        <f>SUM(D33:D39)</f>
        <v>779991</v>
      </c>
      <c r="E32" s="93">
        <f>SUM(E33:E39)</f>
        <v>770729</v>
      </c>
      <c r="F32" s="93">
        <f>SUM(F33:F39)</f>
        <v>1008166</v>
      </c>
      <c r="G32" s="93">
        <f>SUM(G33:G39)</f>
        <v>771758</v>
      </c>
      <c r="H32" s="93">
        <v>532342</v>
      </c>
      <c r="I32" s="93">
        <f t="shared" ref="I32:O32" si="10">SUM(I33:I39)</f>
        <v>712280</v>
      </c>
      <c r="J32" s="93">
        <f t="shared" si="10"/>
        <v>513834</v>
      </c>
      <c r="K32" s="94">
        <f t="shared" si="10"/>
        <v>591823</v>
      </c>
      <c r="L32" s="94">
        <f t="shared" si="10"/>
        <v>359467.55</v>
      </c>
      <c r="M32" s="95">
        <f t="shared" si="10"/>
        <v>403308.61</v>
      </c>
      <c r="N32" s="94">
        <f t="shared" si="10"/>
        <v>437210.13</v>
      </c>
      <c r="O32" s="95">
        <f t="shared" si="10"/>
        <v>431510.63</v>
      </c>
      <c r="P32" s="95">
        <v>494929.88</v>
      </c>
      <c r="Q32" s="96">
        <f>SUM(Q33:Q39)</f>
        <v>559463</v>
      </c>
      <c r="R32" s="96">
        <f>SUM(R33:R39)</f>
        <v>0</v>
      </c>
      <c r="S32" s="97">
        <f>SUM(S33:S39)</f>
        <v>559463</v>
      </c>
    </row>
    <row r="33" spans="1:23" x14ac:dyDescent="0.2">
      <c r="A33" s="748"/>
      <c r="B33" s="750"/>
      <c r="C33" s="81" t="s">
        <v>43</v>
      </c>
      <c r="D33" s="81">
        <v>751610</v>
      </c>
      <c r="E33" s="81">
        <v>750249</v>
      </c>
      <c r="F33" s="81">
        <v>649539</v>
      </c>
      <c r="G33" s="81">
        <v>427233</v>
      </c>
      <c r="H33" s="81">
        <v>348791</v>
      </c>
      <c r="I33" s="81">
        <v>510884</v>
      </c>
      <c r="J33" s="81">
        <v>324320</v>
      </c>
      <c r="K33" s="54">
        <v>401050</v>
      </c>
      <c r="L33" s="54">
        <v>135673.06</v>
      </c>
      <c r="M33" s="53">
        <v>134183.87</v>
      </c>
      <c r="N33" s="54">
        <v>87968.33</v>
      </c>
      <c r="O33" s="53">
        <v>71077.13</v>
      </c>
      <c r="P33" s="53">
        <v>118150.37</v>
      </c>
      <c r="Q33" s="54">
        <v>140926</v>
      </c>
      <c r="R33" s="54"/>
      <c r="S33" s="98">
        <f t="shared" ref="S33:S39" si="11">Q33+R33</f>
        <v>140926</v>
      </c>
    </row>
    <row r="34" spans="1:23" x14ac:dyDescent="0.2">
      <c r="A34" s="748"/>
      <c r="B34" s="751"/>
      <c r="C34" s="86" t="s">
        <v>44</v>
      </c>
      <c r="D34" s="86">
        <v>6108</v>
      </c>
      <c r="E34" s="86">
        <v>5709</v>
      </c>
      <c r="F34" s="86">
        <v>5809</v>
      </c>
      <c r="G34" s="86">
        <v>7235</v>
      </c>
      <c r="H34" s="86">
        <v>7034</v>
      </c>
      <c r="I34" s="86">
        <v>6012</v>
      </c>
      <c r="J34" s="86">
        <v>5150</v>
      </c>
      <c r="K34" s="30">
        <v>5043</v>
      </c>
      <c r="L34" s="30">
        <v>6242.35</v>
      </c>
      <c r="M34" s="29">
        <v>8075.84</v>
      </c>
      <c r="N34" s="30">
        <v>8856.86</v>
      </c>
      <c r="O34" s="29">
        <v>10889.6</v>
      </c>
      <c r="P34" s="29">
        <v>15581.52</v>
      </c>
      <c r="Q34" s="30">
        <v>11000</v>
      </c>
      <c r="R34" s="30"/>
      <c r="S34" s="99">
        <f t="shared" si="11"/>
        <v>11000</v>
      </c>
    </row>
    <row r="35" spans="1:23" x14ac:dyDescent="0.2">
      <c r="A35" s="748"/>
      <c r="B35" s="751"/>
      <c r="C35" s="100" t="s">
        <v>45</v>
      </c>
      <c r="D35" s="100"/>
      <c r="E35" s="100"/>
      <c r="F35" s="100"/>
      <c r="G35" s="100"/>
      <c r="H35" s="100"/>
      <c r="I35" s="100"/>
      <c r="J35" s="100"/>
      <c r="K35" s="57">
        <v>0</v>
      </c>
      <c r="L35" s="57">
        <v>41494.18</v>
      </c>
      <c r="M35" s="56">
        <v>46671.58</v>
      </c>
      <c r="N35" s="57">
        <v>82406.399999999994</v>
      </c>
      <c r="O35" s="56">
        <v>98976.09</v>
      </c>
      <c r="P35" s="56">
        <v>127041.24</v>
      </c>
      <c r="Q35" s="57">
        <v>156198</v>
      </c>
      <c r="R35" s="57"/>
      <c r="S35" s="101">
        <f t="shared" si="11"/>
        <v>156198</v>
      </c>
    </row>
    <row r="36" spans="1:23" x14ac:dyDescent="0.2">
      <c r="A36" s="748"/>
      <c r="B36" s="751"/>
      <c r="C36" s="100" t="s">
        <v>46</v>
      </c>
      <c r="D36" s="100"/>
      <c r="E36" s="100"/>
      <c r="F36" s="100"/>
      <c r="G36" s="100"/>
      <c r="H36" s="100"/>
      <c r="I36" s="100"/>
      <c r="J36" s="100"/>
      <c r="K36" s="57"/>
      <c r="L36" s="57"/>
      <c r="M36" s="56"/>
      <c r="N36" s="57">
        <v>19383.830000000002</v>
      </c>
      <c r="O36" s="56">
        <v>32459.84</v>
      </c>
      <c r="P36" s="56">
        <v>37761.699999999997</v>
      </c>
      <c r="Q36" s="57">
        <v>19039</v>
      </c>
      <c r="R36" s="57"/>
      <c r="S36" s="101">
        <f t="shared" si="11"/>
        <v>19039</v>
      </c>
    </row>
    <row r="37" spans="1:23" ht="12.75" hidden="1" customHeight="1" x14ac:dyDescent="0.2">
      <c r="A37" s="748"/>
      <c r="B37" s="751"/>
      <c r="C37" s="100"/>
      <c r="D37" s="100"/>
      <c r="E37" s="100"/>
      <c r="F37" s="100"/>
      <c r="G37" s="100"/>
      <c r="H37" s="100"/>
      <c r="I37" s="100"/>
      <c r="J37" s="100"/>
      <c r="K37" s="57"/>
      <c r="L37" s="57"/>
      <c r="M37" s="56"/>
      <c r="N37" s="57">
        <v>10094.75</v>
      </c>
      <c r="O37" s="56">
        <v>3927.1</v>
      </c>
      <c r="P37" s="56"/>
      <c r="Q37" s="57"/>
      <c r="R37" s="57"/>
      <c r="S37" s="101">
        <f t="shared" si="11"/>
        <v>0</v>
      </c>
    </row>
    <row r="38" spans="1:23" x14ac:dyDescent="0.2">
      <c r="A38" s="748"/>
      <c r="B38" s="751"/>
      <c r="C38" s="100" t="s">
        <v>47</v>
      </c>
      <c r="D38" s="100"/>
      <c r="E38" s="100">
        <v>0</v>
      </c>
      <c r="F38" s="100">
        <v>339806</v>
      </c>
      <c r="G38" s="100">
        <v>322656</v>
      </c>
      <c r="H38" s="100">
        <v>92953</v>
      </c>
      <c r="I38" s="100">
        <v>100909</v>
      </c>
      <c r="J38" s="100">
        <v>83511</v>
      </c>
      <c r="K38" s="57">
        <f>77287+178+128</f>
        <v>77593</v>
      </c>
      <c r="L38" s="57">
        <v>80654.7</v>
      </c>
      <c r="M38" s="56">
        <v>77194.39</v>
      </c>
      <c r="N38" s="57">
        <v>75486.59</v>
      </c>
      <c r="O38" s="56">
        <v>75089.34</v>
      </c>
      <c r="P38" s="56">
        <v>58412.39</v>
      </c>
      <c r="Q38" s="57">
        <v>76958</v>
      </c>
      <c r="R38" s="57"/>
      <c r="S38" s="101">
        <f t="shared" si="11"/>
        <v>76958</v>
      </c>
    </row>
    <row r="39" spans="1:23" ht="13.5" thickBot="1" x14ac:dyDescent="0.25">
      <c r="A39" s="749"/>
      <c r="B39" s="752"/>
      <c r="C39" s="89" t="s">
        <v>48</v>
      </c>
      <c r="D39" s="89">
        <v>22273</v>
      </c>
      <c r="E39" s="89">
        <v>14771</v>
      </c>
      <c r="F39" s="89">
        <v>13012</v>
      </c>
      <c r="G39" s="89">
        <v>14634</v>
      </c>
      <c r="H39" s="89">
        <v>83564</v>
      </c>
      <c r="I39" s="89">
        <v>94475</v>
      </c>
      <c r="J39" s="89">
        <v>100853</v>
      </c>
      <c r="K39" s="57">
        <v>108137</v>
      </c>
      <c r="L39" s="57">
        <v>95403.26</v>
      </c>
      <c r="M39" s="56">
        <v>137182.93</v>
      </c>
      <c r="N39" s="57">
        <v>153013.37000000002</v>
      </c>
      <c r="O39" s="56">
        <v>139091.53</v>
      </c>
      <c r="P39" s="56">
        <v>137982.66</v>
      </c>
      <c r="Q39" s="57">
        <v>155342</v>
      </c>
      <c r="R39" s="57"/>
      <c r="S39" s="101">
        <f t="shared" si="11"/>
        <v>155342</v>
      </c>
    </row>
    <row r="40" spans="1:23" ht="15.75" thickBot="1" x14ac:dyDescent="0.3">
      <c r="A40" s="605">
        <v>220</v>
      </c>
      <c r="B40" s="727" t="s">
        <v>49</v>
      </c>
      <c r="C40" s="755"/>
      <c r="D40" s="102">
        <f t="shared" ref="D40:O40" si="12">D41+D45+D58</f>
        <v>320786</v>
      </c>
      <c r="E40" s="102">
        <f t="shared" si="12"/>
        <v>327192</v>
      </c>
      <c r="F40" s="102">
        <f t="shared" si="12"/>
        <v>429297</v>
      </c>
      <c r="G40" s="102">
        <f t="shared" si="12"/>
        <v>326610</v>
      </c>
      <c r="H40" s="102">
        <f t="shared" si="12"/>
        <v>550895</v>
      </c>
      <c r="I40" s="102">
        <f t="shared" si="12"/>
        <v>581281</v>
      </c>
      <c r="J40" s="102">
        <f t="shared" si="12"/>
        <v>471458</v>
      </c>
      <c r="K40" s="102">
        <f t="shared" si="12"/>
        <v>514547</v>
      </c>
      <c r="L40" s="102">
        <f t="shared" si="12"/>
        <v>595361.41999999993</v>
      </c>
      <c r="M40" s="103">
        <f t="shared" si="12"/>
        <v>603358.30999999994</v>
      </c>
      <c r="N40" s="104">
        <f t="shared" si="12"/>
        <v>575655.29</v>
      </c>
      <c r="O40" s="104">
        <f t="shared" si="12"/>
        <v>565224.04999999993</v>
      </c>
      <c r="P40" s="238">
        <v>868065.2699999999</v>
      </c>
      <c r="Q40" s="104">
        <f>Q41+Q45+Q58</f>
        <v>854330</v>
      </c>
      <c r="R40" s="104">
        <f>R41+R45+R58</f>
        <v>0</v>
      </c>
      <c r="S40" s="105">
        <f>S41+S45+S58</f>
        <v>854330</v>
      </c>
    </row>
    <row r="41" spans="1:23" ht="13.5" thickBot="1" x14ac:dyDescent="0.25">
      <c r="A41" s="747"/>
      <c r="B41" s="91">
        <v>221</v>
      </c>
      <c r="C41" s="92" t="s">
        <v>50</v>
      </c>
      <c r="D41" s="94">
        <f t="shared" ref="D41:M41" si="13">SUM(D42:D44)</f>
        <v>108312</v>
      </c>
      <c r="E41" s="94">
        <f t="shared" si="13"/>
        <v>99747</v>
      </c>
      <c r="F41" s="94">
        <f t="shared" si="13"/>
        <v>156211</v>
      </c>
      <c r="G41" s="94">
        <f t="shared" si="13"/>
        <v>110441</v>
      </c>
      <c r="H41" s="94">
        <f t="shared" si="13"/>
        <v>116883</v>
      </c>
      <c r="I41" s="94">
        <f t="shared" si="13"/>
        <v>93914</v>
      </c>
      <c r="J41" s="94">
        <f t="shared" si="13"/>
        <v>69092</v>
      </c>
      <c r="K41" s="94">
        <f t="shared" si="13"/>
        <v>77127</v>
      </c>
      <c r="L41" s="94">
        <f>SUM(L42:L44)</f>
        <v>85540.68</v>
      </c>
      <c r="M41" s="95">
        <f t="shared" si="13"/>
        <v>81456.3</v>
      </c>
      <c r="N41" s="96">
        <f>SUM(N42:N44)</f>
        <v>65885.95</v>
      </c>
      <c r="O41" s="106">
        <f>SUM(O42:O44)</f>
        <v>60850.59</v>
      </c>
      <c r="P41" s="106">
        <v>136156.94</v>
      </c>
      <c r="Q41" s="96">
        <f>SUM(Q42:Q44)</f>
        <v>129700</v>
      </c>
      <c r="R41" s="96">
        <f>SUM(R42:R44)</f>
        <v>0</v>
      </c>
      <c r="S41" s="97">
        <f>SUM(S42:S44)</f>
        <v>129700</v>
      </c>
    </row>
    <row r="42" spans="1:23" x14ac:dyDescent="0.2">
      <c r="A42" s="756"/>
      <c r="B42" s="750"/>
      <c r="C42" s="66" t="s">
        <v>51</v>
      </c>
      <c r="D42" s="81">
        <v>103532</v>
      </c>
      <c r="E42" s="81">
        <v>91482</v>
      </c>
      <c r="F42" s="81">
        <v>143896</v>
      </c>
      <c r="G42" s="81">
        <v>103964</v>
      </c>
      <c r="H42" s="81">
        <v>97289</v>
      </c>
      <c r="I42" s="81">
        <v>69567</v>
      </c>
      <c r="J42" s="81">
        <v>48641</v>
      </c>
      <c r="K42" s="30">
        <v>58713</v>
      </c>
      <c r="L42" s="30">
        <v>65956.11</v>
      </c>
      <c r="M42" s="53">
        <v>53025.13</v>
      </c>
      <c r="N42" s="54">
        <v>35320.42</v>
      </c>
      <c r="O42" s="53">
        <v>33711.949999999997</v>
      </c>
      <c r="P42" s="53">
        <v>102428.79</v>
      </c>
      <c r="Q42" s="54">
        <v>101000</v>
      </c>
      <c r="R42" s="54"/>
      <c r="S42" s="98">
        <f>Q42+R42</f>
        <v>101000</v>
      </c>
    </row>
    <row r="43" spans="1:23" x14ac:dyDescent="0.2">
      <c r="A43" s="756"/>
      <c r="B43" s="751"/>
      <c r="C43" s="82" t="s">
        <v>52</v>
      </c>
      <c r="D43" s="107"/>
      <c r="E43" s="107"/>
      <c r="F43" s="107"/>
      <c r="G43" s="107"/>
      <c r="H43" s="107"/>
      <c r="I43" s="107"/>
      <c r="J43" s="107"/>
      <c r="K43" s="30"/>
      <c r="L43" s="30">
        <v>768.56</v>
      </c>
      <c r="M43" s="108">
        <v>1339.48</v>
      </c>
      <c r="N43" s="109">
        <v>1870.76</v>
      </c>
      <c r="O43" s="108"/>
      <c r="P43" s="108">
        <v>1404.5</v>
      </c>
      <c r="Q43" s="109">
        <v>700</v>
      </c>
      <c r="R43" s="109"/>
      <c r="S43" s="110">
        <f>Q43+R43</f>
        <v>700</v>
      </c>
    </row>
    <row r="44" spans="1:23" ht="13.5" thickBot="1" x14ac:dyDescent="0.25">
      <c r="A44" s="756"/>
      <c r="B44" s="752"/>
      <c r="C44" s="89" t="s">
        <v>53</v>
      </c>
      <c r="D44" s="89">
        <v>4780</v>
      </c>
      <c r="E44" s="89">
        <v>8265</v>
      </c>
      <c r="F44" s="89">
        <v>12315</v>
      </c>
      <c r="G44" s="89">
        <v>6477</v>
      </c>
      <c r="H44" s="89">
        <v>19594</v>
      </c>
      <c r="I44" s="89">
        <v>24347</v>
      </c>
      <c r="J44" s="89">
        <v>20451</v>
      </c>
      <c r="K44" s="30">
        <v>18414</v>
      </c>
      <c r="L44" s="30">
        <v>18816.009999999998</v>
      </c>
      <c r="M44" s="56">
        <v>27091.69</v>
      </c>
      <c r="N44" s="57">
        <v>28694.77</v>
      </c>
      <c r="O44" s="56">
        <v>27138.639999999999</v>
      </c>
      <c r="P44" s="56">
        <v>32323.65</v>
      </c>
      <c r="Q44" s="57">
        <v>28000</v>
      </c>
      <c r="R44" s="57"/>
      <c r="S44" s="101">
        <f>Q44+R44</f>
        <v>28000</v>
      </c>
    </row>
    <row r="45" spans="1:23" ht="15.75" thickBot="1" x14ac:dyDescent="0.3">
      <c r="A45" s="756"/>
      <c r="B45" s="91">
        <v>223</v>
      </c>
      <c r="C45" s="91" t="s">
        <v>54</v>
      </c>
      <c r="D45" s="91">
        <v>209420</v>
      </c>
      <c r="E45" s="91">
        <v>224723</v>
      </c>
      <c r="F45" s="91">
        <v>270165</v>
      </c>
      <c r="G45" s="91">
        <v>213694</v>
      </c>
      <c r="H45" s="91">
        <v>431444</v>
      </c>
      <c r="I45" s="94">
        <f t="shared" ref="I45:O45" si="14">SUM(I46:I57)</f>
        <v>484992</v>
      </c>
      <c r="J45" s="94">
        <f t="shared" si="14"/>
        <v>400298</v>
      </c>
      <c r="K45" s="94">
        <f t="shared" si="14"/>
        <v>434944</v>
      </c>
      <c r="L45" s="94">
        <f t="shared" si="14"/>
        <v>507780.69999999995</v>
      </c>
      <c r="M45" s="95">
        <f t="shared" si="14"/>
        <v>519757.41999999993</v>
      </c>
      <c r="N45" s="96">
        <f t="shared" si="14"/>
        <v>507767.17</v>
      </c>
      <c r="O45" s="106">
        <f t="shared" si="14"/>
        <v>502305.62</v>
      </c>
      <c r="P45" s="106">
        <v>661777</v>
      </c>
      <c r="Q45" s="96">
        <f>SUM(Q46:Q57)</f>
        <v>722830</v>
      </c>
      <c r="R45" s="96">
        <f>SUM(R46:R57)</f>
        <v>0</v>
      </c>
      <c r="S45" s="97">
        <f>SUM(S46:S57)</f>
        <v>722830</v>
      </c>
      <c r="U45" s="10"/>
    </row>
    <row r="46" spans="1:23" x14ac:dyDescent="0.2">
      <c r="A46" s="756"/>
      <c r="B46" s="750"/>
      <c r="C46" s="81" t="s">
        <v>55</v>
      </c>
      <c r="D46" s="81"/>
      <c r="E46" s="81"/>
      <c r="F46" s="81"/>
      <c r="G46" s="81"/>
      <c r="H46" s="81"/>
      <c r="I46" s="81">
        <v>19602</v>
      </c>
      <c r="J46" s="81">
        <v>19573</v>
      </c>
      <c r="K46" s="30">
        <v>20641</v>
      </c>
      <c r="L46" s="30">
        <v>20552.5</v>
      </c>
      <c r="M46" s="53">
        <v>20532.330000000002</v>
      </c>
      <c r="N46" s="54">
        <v>37975.43</v>
      </c>
      <c r="O46" s="53">
        <v>42651.54</v>
      </c>
      <c r="P46" s="53">
        <v>57271.199999999997</v>
      </c>
      <c r="Q46" s="54">
        <v>50000</v>
      </c>
      <c r="R46" s="54"/>
      <c r="S46" s="98">
        <f t="shared" ref="S46:S57" si="15">Q46+R46</f>
        <v>50000</v>
      </c>
    </row>
    <row r="47" spans="1:23" ht="15" x14ac:dyDescent="0.25">
      <c r="A47" s="756"/>
      <c r="B47" s="751"/>
      <c r="C47" s="82" t="s">
        <v>56</v>
      </c>
      <c r="D47" s="82"/>
      <c r="E47" s="82"/>
      <c r="F47" s="82"/>
      <c r="G47" s="82"/>
      <c r="H47" s="82"/>
      <c r="I47" s="82">
        <v>20170</v>
      </c>
      <c r="J47" s="82">
        <v>3900</v>
      </c>
      <c r="K47" s="30">
        <v>8400</v>
      </c>
      <c r="L47" s="30">
        <v>4100</v>
      </c>
      <c r="M47" s="53">
        <v>15650</v>
      </c>
      <c r="N47" s="54">
        <v>19753</v>
      </c>
      <c r="O47" s="53">
        <v>8510</v>
      </c>
      <c r="P47" s="53">
        <v>8950</v>
      </c>
      <c r="Q47" s="54"/>
      <c r="R47" s="54"/>
      <c r="S47" s="98">
        <f t="shared" si="15"/>
        <v>0</v>
      </c>
      <c r="W47" s="10"/>
    </row>
    <row r="48" spans="1:23" ht="12.75" hidden="1" customHeight="1" x14ac:dyDescent="0.2">
      <c r="A48" s="756"/>
      <c r="B48" s="751"/>
      <c r="C48" s="82" t="s">
        <v>57</v>
      </c>
      <c r="D48" s="82"/>
      <c r="E48" s="82"/>
      <c r="F48" s="82"/>
      <c r="G48" s="82"/>
      <c r="H48" s="82"/>
      <c r="I48" s="111">
        <v>1309</v>
      </c>
      <c r="J48" s="112"/>
      <c r="K48" s="30"/>
      <c r="L48" s="30"/>
      <c r="M48" s="53"/>
      <c r="N48" s="54"/>
      <c r="O48" s="53"/>
      <c r="P48" s="53"/>
      <c r="Q48" s="54">
        <v>16000</v>
      </c>
      <c r="R48" s="54"/>
      <c r="S48" s="98">
        <f t="shared" si="15"/>
        <v>16000</v>
      </c>
    </row>
    <row r="49" spans="1:23" ht="15" x14ac:dyDescent="0.25">
      <c r="A49" s="756"/>
      <c r="B49" s="751"/>
      <c r="C49" s="86" t="s">
        <v>58</v>
      </c>
      <c r="D49" s="86"/>
      <c r="E49" s="86"/>
      <c r="F49" s="86"/>
      <c r="G49" s="86"/>
      <c r="H49" s="86"/>
      <c r="I49" s="69">
        <v>23291</v>
      </c>
      <c r="J49" s="69">
        <v>27058</v>
      </c>
      <c r="K49" s="30">
        <f>18432+1749</f>
        <v>20181</v>
      </c>
      <c r="L49" s="30">
        <v>31759</v>
      </c>
      <c r="M49" s="29">
        <v>31403.35</v>
      </c>
      <c r="N49" s="30">
        <v>35343</v>
      </c>
      <c r="O49" s="29">
        <v>34322.050000000003</v>
      </c>
      <c r="P49" s="29">
        <v>45533.120000000003</v>
      </c>
      <c r="Q49" s="30">
        <v>33000</v>
      </c>
      <c r="R49" s="30"/>
      <c r="S49" s="99">
        <f t="shared" si="15"/>
        <v>33000</v>
      </c>
      <c r="W49" s="10"/>
    </row>
    <row r="50" spans="1:23" ht="15" x14ac:dyDescent="0.25">
      <c r="A50" s="756"/>
      <c r="B50" s="751"/>
      <c r="C50" s="86" t="s">
        <v>59</v>
      </c>
      <c r="D50" s="86"/>
      <c r="E50" s="86"/>
      <c r="F50" s="86"/>
      <c r="G50" s="86"/>
      <c r="H50" s="86"/>
      <c r="I50" s="69"/>
      <c r="J50" s="69"/>
      <c r="K50" s="30"/>
      <c r="L50" s="30"/>
      <c r="M50" s="29"/>
      <c r="N50" s="30"/>
      <c r="O50" s="29"/>
      <c r="P50" s="29">
        <v>34986.25</v>
      </c>
      <c r="Q50" s="30">
        <v>32000</v>
      </c>
      <c r="R50" s="30"/>
      <c r="S50" s="99">
        <f t="shared" si="15"/>
        <v>32000</v>
      </c>
      <c r="W50" s="10"/>
    </row>
    <row r="51" spans="1:23" ht="15" x14ac:dyDescent="0.25">
      <c r="A51" s="756"/>
      <c r="B51" s="751"/>
      <c r="C51" s="86" t="s">
        <v>60</v>
      </c>
      <c r="D51" s="86"/>
      <c r="E51" s="86"/>
      <c r="F51" s="86"/>
      <c r="G51" s="86"/>
      <c r="H51" s="86"/>
      <c r="I51" s="69"/>
      <c r="J51" s="69"/>
      <c r="K51" s="30"/>
      <c r="L51" s="30"/>
      <c r="M51" s="29"/>
      <c r="N51" s="30"/>
      <c r="O51" s="29">
        <v>2410.4</v>
      </c>
      <c r="P51" s="29"/>
      <c r="Q51" s="30">
        <v>202930</v>
      </c>
      <c r="R51" s="30"/>
      <c r="S51" s="99">
        <f t="shared" si="15"/>
        <v>202930</v>
      </c>
      <c r="W51" s="10"/>
    </row>
    <row r="52" spans="1:23" ht="15" hidden="1" x14ac:dyDescent="0.25">
      <c r="A52" s="756"/>
      <c r="B52" s="751"/>
      <c r="C52" s="86" t="s">
        <v>61</v>
      </c>
      <c r="D52" s="86"/>
      <c r="E52" s="86"/>
      <c r="F52" s="86"/>
      <c r="G52" s="86"/>
      <c r="H52" s="86"/>
      <c r="I52" s="69">
        <f>25266+1975-2735</f>
        <v>24506</v>
      </c>
      <c r="J52" s="69">
        <v>29035</v>
      </c>
      <c r="K52" s="30">
        <v>28418</v>
      </c>
      <c r="L52" s="30">
        <v>20267.02</v>
      </c>
      <c r="M52" s="29">
        <v>19677.18</v>
      </c>
      <c r="N52" s="30">
        <v>14953.06</v>
      </c>
      <c r="O52" s="29">
        <v>28154.6</v>
      </c>
      <c r="P52" s="29"/>
      <c r="Q52" s="30"/>
      <c r="R52" s="30"/>
      <c r="S52" s="99">
        <f t="shared" si="15"/>
        <v>0</v>
      </c>
      <c r="W52" s="10"/>
    </row>
    <row r="53" spans="1:23" x14ac:dyDescent="0.2">
      <c r="A53" s="756"/>
      <c r="B53" s="751"/>
      <c r="C53" s="86" t="s">
        <v>62</v>
      </c>
      <c r="D53" s="86"/>
      <c r="E53" s="86"/>
      <c r="F53" s="86"/>
      <c r="G53" s="86"/>
      <c r="H53" s="86"/>
      <c r="I53" s="69">
        <f>19469+134+18</f>
        <v>19621</v>
      </c>
      <c r="J53" s="69">
        <v>15462</v>
      </c>
      <c r="K53" s="30">
        <v>15205</v>
      </c>
      <c r="L53" s="30">
        <v>17827.7</v>
      </c>
      <c r="M53" s="29">
        <v>16873.900000000001</v>
      </c>
      <c r="N53" s="30">
        <v>18524.400000000001</v>
      </c>
      <c r="O53" s="29">
        <v>107327.38</v>
      </c>
      <c r="P53" s="29">
        <v>20421</v>
      </c>
      <c r="Q53" s="30">
        <v>16000</v>
      </c>
      <c r="R53" s="30"/>
      <c r="S53" s="99">
        <f t="shared" si="15"/>
        <v>16000</v>
      </c>
    </row>
    <row r="54" spans="1:23" x14ac:dyDescent="0.2">
      <c r="A54" s="756"/>
      <c r="B54" s="751"/>
      <c r="C54" s="100" t="s">
        <v>63</v>
      </c>
      <c r="D54" s="100"/>
      <c r="E54" s="100"/>
      <c r="F54" s="100"/>
      <c r="G54" s="100"/>
      <c r="H54" s="100"/>
      <c r="I54" s="113">
        <v>136368</v>
      </c>
      <c r="J54" s="69">
        <v>127040</v>
      </c>
      <c r="K54" s="30">
        <f>149434+40</f>
        <v>149474</v>
      </c>
      <c r="L54" s="30">
        <v>154903.56</v>
      </c>
      <c r="M54" s="56">
        <v>163189.57</v>
      </c>
      <c r="N54" s="57">
        <v>121087.25</v>
      </c>
      <c r="O54" s="56">
        <v>49349.66</v>
      </c>
      <c r="P54" s="56">
        <v>100448.22</v>
      </c>
      <c r="Q54" s="57">
        <v>121000</v>
      </c>
      <c r="R54" s="57"/>
      <c r="S54" s="101">
        <f t="shared" si="15"/>
        <v>121000</v>
      </c>
    </row>
    <row r="55" spans="1:23" x14ac:dyDescent="0.2">
      <c r="A55" s="756"/>
      <c r="B55" s="751"/>
      <c r="C55" s="100" t="s">
        <v>64</v>
      </c>
      <c r="D55" s="100"/>
      <c r="E55" s="100"/>
      <c r="F55" s="100"/>
      <c r="G55" s="100"/>
      <c r="H55" s="100"/>
      <c r="I55" s="113">
        <v>60412</v>
      </c>
      <c r="J55" s="69">
        <v>44729</v>
      </c>
      <c r="K55" s="30">
        <v>51770</v>
      </c>
      <c r="L55" s="30">
        <v>49600.39</v>
      </c>
      <c r="M55" s="56">
        <v>49002.82</v>
      </c>
      <c r="N55" s="57">
        <v>48758.66</v>
      </c>
      <c r="O55" s="56">
        <v>11897.8</v>
      </c>
      <c r="P55" s="56">
        <v>48198.720000000001</v>
      </c>
      <c r="Q55" s="57">
        <v>63000</v>
      </c>
      <c r="R55" s="57"/>
      <c r="S55" s="101">
        <f t="shared" si="15"/>
        <v>63000</v>
      </c>
    </row>
    <row r="56" spans="1:23" x14ac:dyDescent="0.2">
      <c r="A56" s="756"/>
      <c r="B56" s="751"/>
      <c r="C56" s="100" t="s">
        <v>65</v>
      </c>
      <c r="D56" s="100"/>
      <c r="E56" s="100"/>
      <c r="F56" s="100"/>
      <c r="G56" s="100"/>
      <c r="H56" s="100"/>
      <c r="I56" s="113"/>
      <c r="J56" s="69"/>
      <c r="K56" s="30"/>
      <c r="L56" s="30">
        <v>760.76</v>
      </c>
      <c r="M56" s="56"/>
      <c r="N56" s="57">
        <v>3813</v>
      </c>
      <c r="O56" s="56">
        <v>6856.9</v>
      </c>
      <c r="P56" s="56">
        <v>669.90000000000009</v>
      </c>
      <c r="Q56" s="57">
        <v>30000</v>
      </c>
      <c r="R56" s="57"/>
      <c r="S56" s="101">
        <f t="shared" si="15"/>
        <v>30000</v>
      </c>
    </row>
    <row r="57" spans="1:23" ht="13.5" thickBot="1" x14ac:dyDescent="0.25">
      <c r="A57" s="756"/>
      <c r="B57" s="751"/>
      <c r="C57" s="100" t="s">
        <v>66</v>
      </c>
      <c r="D57" s="100"/>
      <c r="E57" s="100"/>
      <c r="F57" s="100"/>
      <c r="G57" s="100"/>
      <c r="H57" s="100"/>
      <c r="I57" s="113">
        <f>111+179602</f>
        <v>179713</v>
      </c>
      <c r="J57" s="69">
        <f>91+133410</f>
        <v>133501</v>
      </c>
      <c r="K57" s="30">
        <f>60+137299+3496</f>
        <v>140855</v>
      </c>
      <c r="L57" s="30">
        <v>208009.77</v>
      </c>
      <c r="M57" s="56">
        <v>203428.27</v>
      </c>
      <c r="N57" s="57">
        <v>207559.37</v>
      </c>
      <c r="O57" s="56">
        <v>210825.28999999998</v>
      </c>
      <c r="P57" s="56">
        <v>413807.08</v>
      </c>
      <c r="Q57" s="57">
        <v>158900</v>
      </c>
      <c r="R57" s="57"/>
      <c r="S57" s="101">
        <f t="shared" si="15"/>
        <v>158900</v>
      </c>
      <c r="U57" s="6"/>
    </row>
    <row r="58" spans="1:23" ht="13.5" thickBot="1" x14ac:dyDescent="0.25">
      <c r="A58" s="756"/>
      <c r="B58" s="91">
        <v>229</v>
      </c>
      <c r="C58" s="91" t="s">
        <v>67</v>
      </c>
      <c r="D58" s="93">
        <f>D59</f>
        <v>3054</v>
      </c>
      <c r="E58" s="93">
        <f>E59</f>
        <v>2722</v>
      </c>
      <c r="F58" s="93">
        <f>F59</f>
        <v>2921</v>
      </c>
      <c r="G58" s="93">
        <f>G59</f>
        <v>2475</v>
      </c>
      <c r="H58" s="93">
        <f>H59</f>
        <v>2568</v>
      </c>
      <c r="I58" s="93">
        <f t="shared" ref="I58:O58" si="16">I59</f>
        <v>2375</v>
      </c>
      <c r="J58" s="93">
        <f t="shared" si="16"/>
        <v>2068</v>
      </c>
      <c r="K58" s="94">
        <f t="shared" si="16"/>
        <v>2476</v>
      </c>
      <c r="L58" s="94">
        <f t="shared" si="16"/>
        <v>2040.04</v>
      </c>
      <c r="M58" s="94">
        <f t="shared" si="16"/>
        <v>2144.59</v>
      </c>
      <c r="N58" s="96">
        <f t="shared" si="16"/>
        <v>2002.17</v>
      </c>
      <c r="O58" s="96">
        <f t="shared" si="16"/>
        <v>2067.84</v>
      </c>
      <c r="P58" s="106">
        <v>1622.84</v>
      </c>
      <c r="Q58" s="96">
        <f>Q59</f>
        <v>1800</v>
      </c>
      <c r="R58" s="96">
        <f>R59</f>
        <v>0</v>
      </c>
      <c r="S58" s="97">
        <v>1800</v>
      </c>
    </row>
    <row r="59" spans="1:23" ht="13.5" thickBot="1" x14ac:dyDescent="0.25">
      <c r="A59" s="757"/>
      <c r="B59" s="114"/>
      <c r="C59" s="114" t="s">
        <v>68</v>
      </c>
      <c r="D59" s="114">
        <v>3054</v>
      </c>
      <c r="E59" s="114">
        <v>2722</v>
      </c>
      <c r="F59" s="114">
        <v>2921</v>
      </c>
      <c r="G59" s="114">
        <v>2475</v>
      </c>
      <c r="H59" s="114">
        <v>2568</v>
      </c>
      <c r="I59" s="114">
        <v>2375</v>
      </c>
      <c r="J59" s="114">
        <v>2068</v>
      </c>
      <c r="K59" s="115">
        <v>2476</v>
      </c>
      <c r="L59" s="115">
        <v>2040.04</v>
      </c>
      <c r="M59" s="116">
        <v>2144.59</v>
      </c>
      <c r="N59" s="117">
        <v>2002.17</v>
      </c>
      <c r="O59" s="116">
        <v>2067.84</v>
      </c>
      <c r="P59" s="116">
        <v>1622.84</v>
      </c>
      <c r="Q59" s="117">
        <v>1800</v>
      </c>
      <c r="R59" s="117"/>
      <c r="S59" s="118">
        <f>Q59+R59</f>
        <v>1800</v>
      </c>
    </row>
    <row r="60" spans="1:23" ht="15.75" thickBot="1" x14ac:dyDescent="0.3">
      <c r="A60" s="607">
        <v>240</v>
      </c>
      <c r="B60" s="758" t="s">
        <v>69</v>
      </c>
      <c r="C60" s="759"/>
      <c r="D60" s="119">
        <f t="shared" ref="D60:O60" si="17">SUM(D61:D61)</f>
        <v>27352</v>
      </c>
      <c r="E60" s="119">
        <f t="shared" si="17"/>
        <v>10390</v>
      </c>
      <c r="F60" s="119">
        <f t="shared" si="17"/>
        <v>16730</v>
      </c>
      <c r="G60" s="119">
        <f t="shared" si="17"/>
        <v>5867</v>
      </c>
      <c r="H60" s="119">
        <f t="shared" si="17"/>
        <v>6403</v>
      </c>
      <c r="I60" s="119">
        <f t="shared" si="17"/>
        <v>3943</v>
      </c>
      <c r="J60" s="119">
        <f t="shared" si="17"/>
        <v>3352</v>
      </c>
      <c r="K60" s="119">
        <f t="shared" si="17"/>
        <v>1988</v>
      </c>
      <c r="L60" s="120">
        <f t="shared" si="17"/>
        <v>1226.92</v>
      </c>
      <c r="M60" s="119">
        <f t="shared" si="17"/>
        <v>445.87</v>
      </c>
      <c r="N60" s="121">
        <f t="shared" si="17"/>
        <v>2584.38</v>
      </c>
      <c r="O60" s="121">
        <f t="shared" si="17"/>
        <v>1160.94</v>
      </c>
      <c r="P60" s="476">
        <v>0</v>
      </c>
      <c r="Q60" s="121">
        <f>Q61</f>
        <v>0</v>
      </c>
      <c r="R60" s="121">
        <f>R61</f>
        <v>0</v>
      </c>
      <c r="S60" s="692">
        <v>0</v>
      </c>
    </row>
    <row r="61" spans="1:23" ht="15.75" thickBot="1" x14ac:dyDescent="0.3">
      <c r="A61" s="600"/>
      <c r="B61" s="601"/>
      <c r="C61" s="124" t="s">
        <v>70</v>
      </c>
      <c r="D61" s="124">
        <v>27352</v>
      </c>
      <c r="E61" s="124">
        <v>10390</v>
      </c>
      <c r="F61" s="124">
        <v>16730</v>
      </c>
      <c r="G61" s="124">
        <v>5867</v>
      </c>
      <c r="H61" s="124">
        <v>6403</v>
      </c>
      <c r="I61" s="124">
        <v>3943</v>
      </c>
      <c r="J61" s="124">
        <v>3352</v>
      </c>
      <c r="K61" s="125">
        <v>1988</v>
      </c>
      <c r="L61" s="125">
        <v>1226.92</v>
      </c>
      <c r="M61" s="126">
        <v>445.87</v>
      </c>
      <c r="N61" s="127">
        <v>2584.38</v>
      </c>
      <c r="O61" s="126">
        <v>1160.94</v>
      </c>
      <c r="P61" s="126">
        <v>1818.95</v>
      </c>
      <c r="Q61" s="127"/>
      <c r="R61" s="122"/>
      <c r="S61" s="123"/>
    </row>
    <row r="62" spans="1:23" ht="15.75" thickBot="1" x14ac:dyDescent="0.3">
      <c r="A62" s="607">
        <v>290</v>
      </c>
      <c r="B62" s="739" t="s">
        <v>71</v>
      </c>
      <c r="C62" s="740"/>
      <c r="D62" s="128">
        <f>D63</f>
        <v>56396</v>
      </c>
      <c r="E62" s="128">
        <f>E63</f>
        <v>21078</v>
      </c>
      <c r="F62" s="128">
        <f>F63</f>
        <v>316039</v>
      </c>
      <c r="G62" s="128">
        <f>G63</f>
        <v>123165</v>
      </c>
      <c r="H62" s="128">
        <v>59959</v>
      </c>
      <c r="I62" s="128">
        <f t="shared" ref="I62:O62" si="18">I63</f>
        <v>166050</v>
      </c>
      <c r="J62" s="128">
        <f t="shared" si="18"/>
        <v>55155</v>
      </c>
      <c r="K62" s="128">
        <f t="shared" si="18"/>
        <v>92423</v>
      </c>
      <c r="L62" s="128">
        <f t="shared" si="18"/>
        <v>73212.12000000001</v>
      </c>
      <c r="M62" s="129">
        <f t="shared" si="18"/>
        <v>97470.49</v>
      </c>
      <c r="N62" s="130">
        <f t="shared" si="18"/>
        <v>73802.559999999983</v>
      </c>
      <c r="O62" s="131">
        <f t="shared" si="18"/>
        <v>45550.070000000007</v>
      </c>
      <c r="P62" s="131">
        <v>56207.21</v>
      </c>
      <c r="Q62" s="130">
        <f>Q63</f>
        <v>27000</v>
      </c>
      <c r="R62" s="130">
        <f>R63</f>
        <v>0</v>
      </c>
      <c r="S62" s="132">
        <v>27000</v>
      </c>
    </row>
    <row r="63" spans="1:23" ht="13.5" thickBot="1" x14ac:dyDescent="0.25">
      <c r="A63" s="747"/>
      <c r="B63" s="92">
        <v>292</v>
      </c>
      <c r="C63" s="92" t="s">
        <v>71</v>
      </c>
      <c r="D63" s="92">
        <v>56396</v>
      </c>
      <c r="E63" s="92">
        <v>21078</v>
      </c>
      <c r="F63" s="92">
        <v>316039</v>
      </c>
      <c r="G63" s="92">
        <v>123165</v>
      </c>
      <c r="H63" s="92">
        <v>59959</v>
      </c>
      <c r="I63" s="94">
        <f t="shared" ref="I63:O63" si="19">SUM(I64:I68)</f>
        <v>166050</v>
      </c>
      <c r="J63" s="94">
        <f t="shared" si="19"/>
        <v>55155</v>
      </c>
      <c r="K63" s="94">
        <f t="shared" si="19"/>
        <v>92423</v>
      </c>
      <c r="L63" s="94">
        <f t="shared" si="19"/>
        <v>73212.12000000001</v>
      </c>
      <c r="M63" s="95">
        <f t="shared" si="19"/>
        <v>97470.49</v>
      </c>
      <c r="N63" s="96">
        <f t="shared" si="19"/>
        <v>73802.559999999983</v>
      </c>
      <c r="O63" s="106">
        <f t="shared" si="19"/>
        <v>45550.070000000007</v>
      </c>
      <c r="P63" s="106">
        <v>56207.21</v>
      </c>
      <c r="Q63" s="96">
        <f>SUM(Q64:Q67)</f>
        <v>27000</v>
      </c>
      <c r="R63" s="96">
        <f>SUM(R64:R67)</f>
        <v>0</v>
      </c>
      <c r="S63" s="97">
        <f>SUM(S64:S67)</f>
        <v>27000</v>
      </c>
    </row>
    <row r="64" spans="1:23" x14ac:dyDescent="0.2">
      <c r="A64" s="748"/>
      <c r="B64" s="744"/>
      <c r="C64" s="133" t="s">
        <v>72</v>
      </c>
      <c r="D64" s="133"/>
      <c r="E64" s="133"/>
      <c r="F64" s="133"/>
      <c r="G64" s="133"/>
      <c r="H64" s="133"/>
      <c r="I64" s="20">
        <v>19700</v>
      </c>
      <c r="J64" s="20">
        <v>19300</v>
      </c>
      <c r="K64" s="30">
        <v>29700</v>
      </c>
      <c r="L64" s="30">
        <v>27700</v>
      </c>
      <c r="M64" s="53">
        <v>46500</v>
      </c>
      <c r="N64" s="54">
        <v>35700</v>
      </c>
      <c r="O64" s="53">
        <v>7205</v>
      </c>
      <c r="P64" s="53"/>
      <c r="Q64" s="54">
        <v>0</v>
      </c>
      <c r="R64" s="54"/>
      <c r="S64" s="98">
        <f>Q64+R64</f>
        <v>0</v>
      </c>
    </row>
    <row r="65" spans="1:22" x14ac:dyDescent="0.2">
      <c r="A65" s="748"/>
      <c r="B65" s="745"/>
      <c r="C65" s="134" t="s">
        <v>73</v>
      </c>
      <c r="D65" s="134"/>
      <c r="E65" s="134"/>
      <c r="F65" s="134"/>
      <c r="G65" s="134"/>
      <c r="H65" s="134"/>
      <c r="I65" s="135">
        <v>37534</v>
      </c>
      <c r="J65" s="135">
        <v>14000</v>
      </c>
      <c r="K65" s="30">
        <v>2888</v>
      </c>
      <c r="L65" s="30">
        <v>313.32</v>
      </c>
      <c r="M65" s="53">
        <v>6641.91</v>
      </c>
      <c r="N65" s="54">
        <v>434.45</v>
      </c>
      <c r="O65" s="53">
        <v>5635.97</v>
      </c>
      <c r="P65" s="53"/>
      <c r="Q65" s="54">
        <v>0</v>
      </c>
      <c r="R65" s="54"/>
      <c r="S65" s="98">
        <f>Q65+R65</f>
        <v>0</v>
      </c>
    </row>
    <row r="66" spans="1:22" x14ac:dyDescent="0.2">
      <c r="A66" s="748"/>
      <c r="B66" s="745"/>
      <c r="C66" s="134" t="s">
        <v>71</v>
      </c>
      <c r="D66" s="134"/>
      <c r="E66" s="134"/>
      <c r="F66" s="134"/>
      <c r="G66" s="134"/>
      <c r="H66" s="134"/>
      <c r="I66" s="135">
        <v>106407</v>
      </c>
      <c r="J66" s="135">
        <v>19147</v>
      </c>
      <c r="K66" s="30">
        <f>16091+34106+2444+185+641+2733+114-32+43+286+668</f>
        <v>57279</v>
      </c>
      <c r="L66" s="30">
        <v>42730.559999999998</v>
      </c>
      <c r="M66" s="53">
        <v>42300.639999999999</v>
      </c>
      <c r="N66" s="54">
        <v>35668.57</v>
      </c>
      <c r="O66" s="53">
        <v>30698.190000000002</v>
      </c>
      <c r="P66" s="53">
        <v>54103.22</v>
      </c>
      <c r="Q66" s="54">
        <v>25000</v>
      </c>
      <c r="R66" s="54"/>
      <c r="S66" s="98">
        <f>Q66+R66</f>
        <v>25000</v>
      </c>
    </row>
    <row r="67" spans="1:22" ht="13.5" thickBot="1" x14ac:dyDescent="0.25">
      <c r="A67" s="748"/>
      <c r="B67" s="745"/>
      <c r="C67" s="136" t="s">
        <v>74</v>
      </c>
      <c r="D67" s="136"/>
      <c r="E67" s="136"/>
      <c r="F67" s="136"/>
      <c r="G67" s="136"/>
      <c r="H67" s="136"/>
      <c r="I67" s="27">
        <v>2409</v>
      </c>
      <c r="J67" s="27">
        <v>2708</v>
      </c>
      <c r="K67" s="30">
        <v>2556</v>
      </c>
      <c r="L67" s="30">
        <v>2468.2399999999998</v>
      </c>
      <c r="M67" s="137">
        <v>2027.94</v>
      </c>
      <c r="N67" s="28">
        <v>1999.54</v>
      </c>
      <c r="O67" s="137">
        <v>2010.91</v>
      </c>
      <c r="P67" s="137">
        <v>2103.9899999999998</v>
      </c>
      <c r="Q67" s="28">
        <v>2000</v>
      </c>
      <c r="R67" s="28"/>
      <c r="S67" s="138">
        <f>Q67+R67</f>
        <v>2000</v>
      </c>
    </row>
    <row r="68" spans="1:22" ht="13.5" hidden="1" customHeight="1" thickBot="1" x14ac:dyDescent="0.25">
      <c r="A68" s="749"/>
      <c r="B68" s="746"/>
      <c r="C68" s="139" t="s">
        <v>75</v>
      </c>
      <c r="D68" s="139"/>
      <c r="E68" s="139"/>
      <c r="F68" s="139"/>
      <c r="G68" s="139"/>
      <c r="H68" s="139"/>
      <c r="I68" s="139"/>
      <c r="J68" s="139"/>
      <c r="K68" s="34"/>
      <c r="L68" s="35"/>
      <c r="M68" s="35"/>
      <c r="N68" s="35"/>
      <c r="O68" s="35"/>
      <c r="P68" s="236"/>
      <c r="Q68" s="35"/>
      <c r="R68" s="140"/>
      <c r="S68" s="141"/>
    </row>
    <row r="69" spans="1:22" ht="16.5" thickBot="1" x14ac:dyDescent="0.3">
      <c r="A69" s="606">
        <v>300</v>
      </c>
      <c r="B69" s="763" t="s">
        <v>76</v>
      </c>
      <c r="C69" s="764"/>
      <c r="D69" s="142">
        <f t="shared" ref="D69:O69" si="20">D70+D107</f>
        <v>1842129</v>
      </c>
      <c r="E69" s="142">
        <f t="shared" si="20"/>
        <v>1999701</v>
      </c>
      <c r="F69" s="142">
        <f t="shared" si="20"/>
        <v>2077242</v>
      </c>
      <c r="G69" s="142">
        <f t="shared" si="20"/>
        <v>2645110</v>
      </c>
      <c r="H69" s="142">
        <f t="shared" si="20"/>
        <v>2979865</v>
      </c>
      <c r="I69" s="142">
        <f t="shared" si="20"/>
        <v>2749519</v>
      </c>
      <c r="J69" s="142">
        <f t="shared" si="20"/>
        <v>2901991</v>
      </c>
      <c r="K69" s="142">
        <f t="shared" si="20"/>
        <v>3466649</v>
      </c>
      <c r="L69" s="142">
        <f>L70+L107</f>
        <v>3450076.55</v>
      </c>
      <c r="M69" s="143">
        <f t="shared" si="20"/>
        <v>3251492.52</v>
      </c>
      <c r="N69" s="144">
        <f t="shared" si="20"/>
        <v>3217895.6500000008</v>
      </c>
      <c r="O69" s="144">
        <f t="shared" si="20"/>
        <v>3083446.5600000005</v>
      </c>
      <c r="P69" s="690">
        <v>3121193.3499999996</v>
      </c>
      <c r="Q69" s="144">
        <f>Q71+Q73</f>
        <v>3291115</v>
      </c>
      <c r="R69" s="144">
        <f>R71+R73</f>
        <v>17500</v>
      </c>
      <c r="S69" s="145">
        <f>S71+S73</f>
        <v>3308615</v>
      </c>
    </row>
    <row r="70" spans="1:22" ht="15.75" thickBot="1" x14ac:dyDescent="0.3">
      <c r="A70" s="605">
        <v>310</v>
      </c>
      <c r="B70" s="727" t="s">
        <v>77</v>
      </c>
      <c r="C70" s="728"/>
      <c r="D70" s="102">
        <f t="shared" ref="D70:M70" si="21">D71+D73</f>
        <v>1842129</v>
      </c>
      <c r="E70" s="102">
        <f t="shared" si="21"/>
        <v>1999701</v>
      </c>
      <c r="F70" s="102">
        <f t="shared" si="21"/>
        <v>2077242</v>
      </c>
      <c r="G70" s="102">
        <f t="shared" si="21"/>
        <v>2645110</v>
      </c>
      <c r="H70" s="102">
        <f t="shared" si="21"/>
        <v>2958818</v>
      </c>
      <c r="I70" s="102">
        <f t="shared" si="21"/>
        <v>2721164</v>
      </c>
      <c r="J70" s="102">
        <f t="shared" si="21"/>
        <v>2862933</v>
      </c>
      <c r="K70" s="102">
        <f t="shared" si="21"/>
        <v>3457133</v>
      </c>
      <c r="L70" s="102">
        <f>L71+L73</f>
        <v>3450076.55</v>
      </c>
      <c r="M70" s="103">
        <f t="shared" si="21"/>
        <v>3251492.52</v>
      </c>
      <c r="N70" s="104">
        <f>N71+N73</f>
        <v>3217895.6500000008</v>
      </c>
      <c r="O70" s="104">
        <f>O71+O73</f>
        <v>3083446.5600000005</v>
      </c>
      <c r="P70" s="238">
        <v>3121193.3499999996</v>
      </c>
      <c r="Q70" s="104">
        <f>Q71+Q73</f>
        <v>3291115</v>
      </c>
      <c r="R70" s="104">
        <f>R71+R73</f>
        <v>17500</v>
      </c>
      <c r="S70" s="105">
        <f>S71+S73</f>
        <v>3308615</v>
      </c>
      <c r="V70" s="6"/>
    </row>
    <row r="71" spans="1:22" ht="13.5" thickBot="1" x14ac:dyDescent="0.25">
      <c r="A71" s="747"/>
      <c r="B71" s="146">
        <v>311</v>
      </c>
      <c r="C71" s="91" t="s">
        <v>78</v>
      </c>
      <c r="D71" s="147">
        <f t="shared" ref="D71:M71" si="22">SUM(D72:D72)</f>
        <v>0</v>
      </c>
      <c r="E71" s="147">
        <f t="shared" si="22"/>
        <v>23003</v>
      </c>
      <c r="F71" s="147">
        <f t="shared" si="22"/>
        <v>14107</v>
      </c>
      <c r="G71" s="147">
        <f t="shared" si="22"/>
        <v>9307</v>
      </c>
      <c r="H71" s="147">
        <f t="shared" si="22"/>
        <v>19495</v>
      </c>
      <c r="I71" s="147">
        <f t="shared" si="22"/>
        <v>11396</v>
      </c>
      <c r="J71" s="147">
        <f t="shared" si="22"/>
        <v>19287</v>
      </c>
      <c r="K71" s="94">
        <f t="shared" si="22"/>
        <v>18260</v>
      </c>
      <c r="L71" s="94">
        <f t="shared" si="22"/>
        <v>700</v>
      </c>
      <c r="M71" s="95">
        <f t="shared" si="22"/>
        <v>4100</v>
      </c>
      <c r="N71" s="48">
        <f>N72</f>
        <v>4000</v>
      </c>
      <c r="O71" s="148">
        <f>O72</f>
        <v>3010</v>
      </c>
      <c r="P71" s="148">
        <v>8900</v>
      </c>
      <c r="Q71" s="48">
        <f>Q72</f>
        <v>0</v>
      </c>
      <c r="R71" s="48">
        <f>R72</f>
        <v>0</v>
      </c>
      <c r="S71" s="49">
        <f>S72</f>
        <v>0</v>
      </c>
    </row>
    <row r="72" spans="1:22" ht="13.5" thickBot="1" x14ac:dyDescent="0.25">
      <c r="A72" s="748"/>
      <c r="B72" s="597"/>
      <c r="C72" s="66" t="s">
        <v>79</v>
      </c>
      <c r="D72" s="66">
        <v>0</v>
      </c>
      <c r="E72" s="66">
        <v>23003</v>
      </c>
      <c r="F72" s="66">
        <v>14107</v>
      </c>
      <c r="G72" s="66">
        <v>9307</v>
      </c>
      <c r="H72" s="66">
        <v>19495</v>
      </c>
      <c r="I72" s="66">
        <v>11396</v>
      </c>
      <c r="J72" s="66">
        <v>19287</v>
      </c>
      <c r="K72" s="82">
        <v>18260</v>
      </c>
      <c r="L72" s="107">
        <v>700</v>
      </c>
      <c r="M72" s="53">
        <v>4100</v>
      </c>
      <c r="N72" s="54">
        <v>4000</v>
      </c>
      <c r="O72" s="53">
        <v>3010</v>
      </c>
      <c r="P72" s="53">
        <v>5900</v>
      </c>
      <c r="Q72" s="54"/>
      <c r="R72" s="54"/>
      <c r="S72" s="98">
        <f>Q72+R72</f>
        <v>0</v>
      </c>
    </row>
    <row r="73" spans="1:22" ht="13.5" thickBot="1" x14ac:dyDescent="0.25">
      <c r="A73" s="748"/>
      <c r="B73" s="44">
        <v>312</v>
      </c>
      <c r="C73" s="44" t="s">
        <v>80</v>
      </c>
      <c r="D73" s="44">
        <v>1842129</v>
      </c>
      <c r="E73" s="44">
        <v>1976698</v>
      </c>
      <c r="F73" s="44">
        <v>2063135</v>
      </c>
      <c r="G73" s="44">
        <v>2635803</v>
      </c>
      <c r="H73" s="44">
        <v>2939323</v>
      </c>
      <c r="I73" s="62">
        <f>SUM(I74:I106)</f>
        <v>2709768</v>
      </c>
      <c r="J73" s="62">
        <f>SUM(J74:J106)</f>
        <v>2843646</v>
      </c>
      <c r="K73" s="62">
        <f>SUM(K74:K106)</f>
        <v>3438873</v>
      </c>
      <c r="L73" s="62">
        <v>3449376.55</v>
      </c>
      <c r="M73" s="63">
        <f>SUM(M74:M106)</f>
        <v>3247392.52</v>
      </c>
      <c r="N73" s="64">
        <f>SUM(N74:N106)</f>
        <v>3213895.6500000008</v>
      </c>
      <c r="O73" s="149">
        <f>SUM(O74:O106)</f>
        <v>3080436.5600000005</v>
      </c>
      <c r="P73" s="149">
        <v>3056611</v>
      </c>
      <c r="Q73" s="64">
        <f>SUM(Q74:Q106)</f>
        <v>3291115</v>
      </c>
      <c r="R73" s="64">
        <f>SUM(R74:R106)</f>
        <v>17500</v>
      </c>
      <c r="S73" s="65">
        <f>SUM(S74:S106)</f>
        <v>3308615</v>
      </c>
    </row>
    <row r="74" spans="1:22" x14ac:dyDescent="0.2">
      <c r="A74" s="748"/>
      <c r="B74" s="765"/>
      <c r="C74" s="66" t="s">
        <v>81</v>
      </c>
      <c r="D74" s="66"/>
      <c r="E74" s="66"/>
      <c r="F74" s="66"/>
      <c r="G74" s="66"/>
      <c r="H74" s="66"/>
      <c r="I74" s="66">
        <v>23695</v>
      </c>
      <c r="J74" s="66">
        <v>17245</v>
      </c>
      <c r="K74" s="30">
        <v>10901</v>
      </c>
      <c r="L74" s="54">
        <v>11158.85</v>
      </c>
      <c r="M74" s="150">
        <v>11477.1</v>
      </c>
      <c r="N74" s="23">
        <v>11818.38</v>
      </c>
      <c r="O74" s="22">
        <v>12154.95</v>
      </c>
      <c r="P74" s="22">
        <v>13029.32</v>
      </c>
      <c r="Q74" s="23">
        <v>12155</v>
      </c>
      <c r="R74" s="24"/>
      <c r="S74" s="25">
        <f t="shared" ref="S74:S106" si="23">Q74+R74</f>
        <v>12155</v>
      </c>
    </row>
    <row r="75" spans="1:22" x14ac:dyDescent="0.2">
      <c r="A75" s="748"/>
      <c r="B75" s="766"/>
      <c r="C75" s="68" t="s">
        <v>82</v>
      </c>
      <c r="D75" s="68"/>
      <c r="E75" s="68"/>
      <c r="F75" s="68"/>
      <c r="G75" s="68"/>
      <c r="H75" s="68"/>
      <c r="I75" s="68">
        <v>2039732</v>
      </c>
      <c r="J75" s="68">
        <v>2219230</v>
      </c>
      <c r="K75" s="30">
        <v>2305975</v>
      </c>
      <c r="L75" s="30">
        <v>2374727</v>
      </c>
      <c r="M75" s="151">
        <v>2385302.7000000002</v>
      </c>
      <c r="N75" s="30">
        <v>2378880.87</v>
      </c>
      <c r="O75" s="29">
        <v>2380478.2000000002</v>
      </c>
      <c r="P75" s="29">
        <v>2366109.5</v>
      </c>
      <c r="Q75" s="30">
        <v>2539197</v>
      </c>
      <c r="R75" s="24"/>
      <c r="S75" s="25">
        <f t="shared" si="23"/>
        <v>2539197</v>
      </c>
    </row>
    <row r="76" spans="1:22" x14ac:dyDescent="0.2">
      <c r="A76" s="748"/>
      <c r="B76" s="766"/>
      <c r="C76" s="68" t="s">
        <v>83</v>
      </c>
      <c r="D76" s="68"/>
      <c r="E76" s="68"/>
      <c r="F76" s="68"/>
      <c r="G76" s="68"/>
      <c r="H76" s="68"/>
      <c r="I76" s="68">
        <v>18027</v>
      </c>
      <c r="J76" s="68">
        <v>18084</v>
      </c>
      <c r="K76" s="30">
        <v>17994</v>
      </c>
      <c r="L76" s="30">
        <v>18008.52</v>
      </c>
      <c r="M76" s="151">
        <v>18041.07</v>
      </c>
      <c r="N76" s="30">
        <v>17962.95</v>
      </c>
      <c r="O76" s="29">
        <v>17965.740000000002</v>
      </c>
      <c r="P76" s="29">
        <v>21444.09</v>
      </c>
      <c r="Q76" s="30">
        <v>21444</v>
      </c>
      <c r="R76" s="24"/>
      <c r="S76" s="25">
        <f t="shared" si="23"/>
        <v>21444</v>
      </c>
    </row>
    <row r="77" spans="1:22" x14ac:dyDescent="0.2">
      <c r="A77" s="748"/>
      <c r="B77" s="766"/>
      <c r="C77" s="68" t="s">
        <v>84</v>
      </c>
      <c r="D77" s="68"/>
      <c r="E77" s="68"/>
      <c r="F77" s="68"/>
      <c r="G77" s="68"/>
      <c r="H77" s="68"/>
      <c r="I77" s="68">
        <v>24577</v>
      </c>
      <c r="J77" s="68">
        <v>25124</v>
      </c>
      <c r="K77" s="30">
        <v>25564</v>
      </c>
      <c r="L77" s="30">
        <v>26022</v>
      </c>
      <c r="M77" s="151">
        <v>26310</v>
      </c>
      <c r="N77" s="30">
        <v>27303</v>
      </c>
      <c r="O77" s="29">
        <v>28388</v>
      </c>
      <c r="P77" s="29">
        <v>29368</v>
      </c>
      <c r="Q77" s="30">
        <v>32000</v>
      </c>
      <c r="R77" s="24"/>
      <c r="S77" s="25">
        <f t="shared" si="23"/>
        <v>32000</v>
      </c>
    </row>
    <row r="78" spans="1:22" x14ac:dyDescent="0.2">
      <c r="A78" s="748"/>
      <c r="B78" s="766"/>
      <c r="C78" s="68" t="s">
        <v>85</v>
      </c>
      <c r="D78" s="68"/>
      <c r="E78" s="68"/>
      <c r="F78" s="68"/>
      <c r="G78" s="68"/>
      <c r="H78" s="68"/>
      <c r="I78" s="68">
        <v>7039</v>
      </c>
      <c r="J78" s="68">
        <v>7075</v>
      </c>
      <c r="K78" s="30">
        <v>7128</v>
      </c>
      <c r="L78" s="30">
        <v>7141.61</v>
      </c>
      <c r="M78" s="151">
        <v>7157.02</v>
      </c>
      <c r="N78" s="30">
        <v>7145.67</v>
      </c>
      <c r="O78" s="29">
        <v>7146.74</v>
      </c>
      <c r="P78" s="29">
        <v>7180.34</v>
      </c>
      <c r="Q78" s="30">
        <v>7147</v>
      </c>
      <c r="R78" s="24"/>
      <c r="S78" s="25">
        <f t="shared" si="23"/>
        <v>7147</v>
      </c>
    </row>
    <row r="79" spans="1:22" x14ac:dyDescent="0.2">
      <c r="A79" s="748"/>
      <c r="B79" s="766"/>
      <c r="C79" s="68" t="s">
        <v>86</v>
      </c>
      <c r="D79" s="68"/>
      <c r="E79" s="68"/>
      <c r="F79" s="68"/>
      <c r="G79" s="68"/>
      <c r="H79" s="68"/>
      <c r="I79" s="68">
        <v>10058</v>
      </c>
      <c r="J79" s="68">
        <v>10551</v>
      </c>
      <c r="K79" s="30">
        <v>6336</v>
      </c>
      <c r="L79" s="30">
        <v>5427.66</v>
      </c>
      <c r="M79" s="151">
        <v>4327.68</v>
      </c>
      <c r="N79" s="30">
        <v>3104.64</v>
      </c>
      <c r="O79" s="29">
        <v>3575.04</v>
      </c>
      <c r="P79" s="29">
        <v>3928.96</v>
      </c>
      <c r="Q79" s="30">
        <v>7000</v>
      </c>
      <c r="R79" s="24"/>
      <c r="S79" s="25">
        <f t="shared" si="23"/>
        <v>7000</v>
      </c>
    </row>
    <row r="80" spans="1:22" x14ac:dyDescent="0.2">
      <c r="A80" s="748"/>
      <c r="B80" s="766"/>
      <c r="C80" s="68" t="s">
        <v>87</v>
      </c>
      <c r="D80" s="68"/>
      <c r="E80" s="68"/>
      <c r="F80" s="68"/>
      <c r="G80" s="68"/>
      <c r="H80" s="68"/>
      <c r="I80" s="68">
        <v>83191</v>
      </c>
      <c r="J80" s="68">
        <v>97555</v>
      </c>
      <c r="K80" s="30">
        <v>85709</v>
      </c>
      <c r="L80" s="30">
        <v>73418.710000000006</v>
      </c>
      <c r="M80" s="151">
        <v>58497.09</v>
      </c>
      <c r="N80" s="30">
        <v>43283.74</v>
      </c>
      <c r="O80" s="29">
        <v>37015.03</v>
      </c>
      <c r="P80" s="29">
        <v>30847.5</v>
      </c>
      <c r="Q80" s="30">
        <v>55224</v>
      </c>
      <c r="R80" s="24"/>
      <c r="S80" s="25">
        <f t="shared" si="23"/>
        <v>55224</v>
      </c>
    </row>
    <row r="81" spans="1:22" x14ac:dyDescent="0.2">
      <c r="A81" s="748"/>
      <c r="B81" s="766"/>
      <c r="C81" s="68" t="s">
        <v>88</v>
      </c>
      <c r="D81" s="68"/>
      <c r="E81" s="68"/>
      <c r="F81" s="68"/>
      <c r="G81" s="68"/>
      <c r="H81" s="68"/>
      <c r="I81" s="68">
        <v>25474</v>
      </c>
      <c r="J81" s="68">
        <v>22043</v>
      </c>
      <c r="K81" s="30">
        <f>1699+18018</f>
        <v>19717</v>
      </c>
      <c r="L81" s="30">
        <v>29033.54</v>
      </c>
      <c r="M81" s="151">
        <v>25989.77</v>
      </c>
      <c r="N81" s="30">
        <v>45874.890000000007</v>
      </c>
      <c r="O81" s="29">
        <v>32060.63</v>
      </c>
      <c r="P81" s="29">
        <v>23435.9</v>
      </c>
      <c r="Q81" s="30">
        <v>50000</v>
      </c>
      <c r="R81" s="24"/>
      <c r="S81" s="25">
        <f t="shared" si="23"/>
        <v>50000</v>
      </c>
    </row>
    <row r="82" spans="1:22" x14ac:dyDescent="0.2">
      <c r="A82" s="748"/>
      <c r="B82" s="766"/>
      <c r="C82" s="68" t="s">
        <v>89</v>
      </c>
      <c r="D82" s="68"/>
      <c r="E82" s="68"/>
      <c r="F82" s="68"/>
      <c r="G82" s="68"/>
      <c r="H82" s="68"/>
      <c r="I82" s="68">
        <v>1008</v>
      </c>
      <c r="J82" s="68">
        <v>1008</v>
      </c>
      <c r="K82" s="30">
        <v>995</v>
      </c>
      <c r="L82" s="30">
        <v>836.54</v>
      </c>
      <c r="M82" s="151">
        <v>838.04</v>
      </c>
      <c r="N82" s="30">
        <v>834.41</v>
      </c>
      <c r="O82" s="29">
        <v>834.53</v>
      </c>
      <c r="P82" s="29">
        <v>834.58</v>
      </c>
      <c r="Q82" s="30">
        <v>1474</v>
      </c>
      <c r="R82" s="24"/>
      <c r="S82" s="25">
        <f t="shared" si="23"/>
        <v>1474</v>
      </c>
    </row>
    <row r="83" spans="1:22" x14ac:dyDescent="0.2">
      <c r="A83" s="748"/>
      <c r="B83" s="766"/>
      <c r="C83" s="68" t="s">
        <v>90</v>
      </c>
      <c r="D83" s="68"/>
      <c r="E83" s="68"/>
      <c r="F83" s="68"/>
      <c r="G83" s="68"/>
      <c r="H83" s="68"/>
      <c r="I83" s="68">
        <v>1487</v>
      </c>
      <c r="J83" s="68">
        <v>1415</v>
      </c>
      <c r="K83" s="30">
        <v>1362</v>
      </c>
      <c r="L83" s="30">
        <v>1386.9</v>
      </c>
      <c r="M83" s="151">
        <v>1388.19</v>
      </c>
      <c r="N83" s="30">
        <v>1382.72</v>
      </c>
      <c r="O83" s="29">
        <v>1384.09</v>
      </c>
      <c r="P83" s="29">
        <v>1383.83</v>
      </c>
      <c r="Q83" s="30">
        <v>1384</v>
      </c>
      <c r="R83" s="24"/>
      <c r="S83" s="25">
        <f t="shared" si="23"/>
        <v>1384</v>
      </c>
    </row>
    <row r="84" spans="1:22" x14ac:dyDescent="0.2">
      <c r="A84" s="748"/>
      <c r="B84" s="766"/>
      <c r="C84" s="68" t="s">
        <v>91</v>
      </c>
      <c r="D84" s="68"/>
      <c r="E84" s="68"/>
      <c r="F84" s="68"/>
      <c r="G84" s="68"/>
      <c r="H84" s="68"/>
      <c r="I84" s="68">
        <v>46640</v>
      </c>
      <c r="J84" s="68">
        <v>26998</v>
      </c>
      <c r="K84" s="30">
        <v>72974</v>
      </c>
      <c r="L84" s="30">
        <v>59711.85</v>
      </c>
      <c r="M84" s="151">
        <v>88644.08</v>
      </c>
      <c r="N84" s="30"/>
      <c r="O84" s="29">
        <v>5319.72</v>
      </c>
      <c r="P84" s="29">
        <v>79960.38</v>
      </c>
      <c r="Q84" s="30">
        <v>108000</v>
      </c>
      <c r="R84" s="24"/>
      <c r="S84" s="25">
        <f t="shared" si="23"/>
        <v>108000</v>
      </c>
    </row>
    <row r="85" spans="1:22" x14ac:dyDescent="0.2">
      <c r="A85" s="748"/>
      <c r="B85" s="766"/>
      <c r="C85" s="68" t="s">
        <v>92</v>
      </c>
      <c r="D85" s="68"/>
      <c r="E85" s="68"/>
      <c r="F85" s="68"/>
      <c r="G85" s="68"/>
      <c r="H85" s="68"/>
      <c r="I85" s="68">
        <v>4903</v>
      </c>
      <c r="J85" s="68">
        <v>4921</v>
      </c>
      <c r="K85" s="30">
        <v>4883</v>
      </c>
      <c r="L85" s="30">
        <v>4883.67</v>
      </c>
      <c r="M85" s="151">
        <v>4892.91</v>
      </c>
      <c r="N85" s="30">
        <v>4949.79</v>
      </c>
      <c r="O85" s="29">
        <v>5150.43</v>
      </c>
      <c r="P85" s="29">
        <v>5039.6000000000004</v>
      </c>
      <c r="Q85" s="30">
        <v>5150</v>
      </c>
      <c r="R85" s="24"/>
      <c r="S85" s="25">
        <f t="shared" si="23"/>
        <v>5150</v>
      </c>
    </row>
    <row r="86" spans="1:22" x14ac:dyDescent="0.2">
      <c r="A86" s="748"/>
      <c r="B86" s="766"/>
      <c r="C86" s="68" t="s">
        <v>93</v>
      </c>
      <c r="D86" s="68"/>
      <c r="E86" s="68"/>
      <c r="F86" s="68"/>
      <c r="G86" s="68"/>
      <c r="H86" s="68"/>
      <c r="I86" s="68"/>
      <c r="J86" s="68"/>
      <c r="K86" s="30"/>
      <c r="L86" s="30"/>
      <c r="M86" s="151"/>
      <c r="N86" s="30">
        <v>5331.12</v>
      </c>
      <c r="O86" s="29">
        <v>5725</v>
      </c>
      <c r="P86" s="29">
        <v>6318.1100000000006</v>
      </c>
      <c r="Q86" s="30">
        <v>15040</v>
      </c>
      <c r="R86" s="24"/>
      <c r="S86" s="25">
        <f t="shared" si="23"/>
        <v>15040</v>
      </c>
      <c r="V86" s="6"/>
    </row>
    <row r="87" spans="1:22" x14ac:dyDescent="0.2">
      <c r="A87" s="748"/>
      <c r="B87" s="766"/>
      <c r="C87" s="68" t="s">
        <v>93</v>
      </c>
      <c r="D87" s="68"/>
      <c r="E87" s="68"/>
      <c r="F87" s="68"/>
      <c r="G87" s="68"/>
      <c r="H87" s="68"/>
      <c r="I87" s="68">
        <v>4172</v>
      </c>
      <c r="J87" s="68">
        <v>4305</v>
      </c>
      <c r="K87" s="30">
        <v>4445</v>
      </c>
      <c r="L87" s="30">
        <v>4634.95</v>
      </c>
      <c r="M87" s="151">
        <v>5001.3599999999997</v>
      </c>
      <c r="N87" s="30">
        <v>4700</v>
      </c>
      <c r="O87" s="29">
        <v>4000</v>
      </c>
      <c r="P87" s="29">
        <v>6500</v>
      </c>
      <c r="Q87" s="30"/>
      <c r="R87" s="24"/>
      <c r="S87" s="25">
        <f t="shared" si="23"/>
        <v>0</v>
      </c>
    </row>
    <row r="88" spans="1:22" x14ac:dyDescent="0.2">
      <c r="A88" s="748"/>
      <c r="B88" s="766"/>
      <c r="C88" s="68" t="s">
        <v>94</v>
      </c>
      <c r="D88" s="68"/>
      <c r="E88" s="68"/>
      <c r="F88" s="68"/>
      <c r="G88" s="68"/>
      <c r="H88" s="68"/>
      <c r="I88" s="68">
        <v>13965</v>
      </c>
      <c r="J88" s="68">
        <v>20215</v>
      </c>
      <c r="K88" s="30">
        <f>2614+9370+2952+12392</f>
        <v>27328</v>
      </c>
      <c r="L88" s="30">
        <v>18845.330000000002</v>
      </c>
      <c r="M88" s="151">
        <v>25120.019999999997</v>
      </c>
      <c r="N88" s="30">
        <v>34933.57</v>
      </c>
      <c r="O88" s="29">
        <v>37751.54</v>
      </c>
      <c r="P88" s="29">
        <v>40983.99</v>
      </c>
      <c r="Q88" s="30">
        <v>45000</v>
      </c>
      <c r="R88" s="24"/>
      <c r="S88" s="25">
        <f t="shared" si="23"/>
        <v>45000</v>
      </c>
    </row>
    <row r="89" spans="1:22" x14ac:dyDescent="0.2">
      <c r="A89" s="748"/>
      <c r="B89" s="766"/>
      <c r="C89" s="68" t="s">
        <v>95</v>
      </c>
      <c r="D89" s="68"/>
      <c r="E89" s="68"/>
      <c r="F89" s="68"/>
      <c r="G89" s="68"/>
      <c r="H89" s="68"/>
      <c r="I89" s="68"/>
      <c r="J89" s="68"/>
      <c r="K89" s="30"/>
      <c r="L89" s="30"/>
      <c r="M89" s="29"/>
      <c r="N89" s="30">
        <v>37805</v>
      </c>
      <c r="O89" s="30"/>
      <c r="P89" s="29"/>
      <c r="Q89" s="30"/>
      <c r="R89" s="31"/>
      <c r="S89" s="32">
        <f t="shared" si="23"/>
        <v>0</v>
      </c>
    </row>
    <row r="90" spans="1:22" ht="12.75" hidden="1" customHeight="1" x14ac:dyDescent="0.2">
      <c r="A90" s="748"/>
      <c r="B90" s="766"/>
      <c r="C90" s="68" t="s">
        <v>96</v>
      </c>
      <c r="D90" s="68"/>
      <c r="E90" s="68"/>
      <c r="F90" s="68"/>
      <c r="G90" s="68"/>
      <c r="H90" s="68"/>
      <c r="I90" s="68"/>
      <c r="J90" s="68">
        <v>100000</v>
      </c>
      <c r="K90" s="30"/>
      <c r="L90" s="30"/>
      <c r="M90" s="29">
        <v>59979.789999999994</v>
      </c>
      <c r="N90" s="30">
        <v>37805</v>
      </c>
      <c r="O90" s="30">
        <v>0</v>
      </c>
      <c r="P90" s="29"/>
      <c r="Q90" s="30">
        <v>0</v>
      </c>
      <c r="R90" s="31"/>
      <c r="S90" s="32">
        <f t="shared" si="23"/>
        <v>0</v>
      </c>
    </row>
    <row r="91" spans="1:22" ht="12.75" hidden="1" customHeight="1" x14ac:dyDescent="0.2">
      <c r="A91" s="748"/>
      <c r="B91" s="766"/>
      <c r="C91" s="86" t="s">
        <v>97</v>
      </c>
      <c r="D91" s="86"/>
      <c r="E91" s="86"/>
      <c r="F91" s="86"/>
      <c r="G91" s="86"/>
      <c r="H91" s="86"/>
      <c r="I91" s="86"/>
      <c r="J91" s="86"/>
      <c r="K91" s="30">
        <v>11061</v>
      </c>
      <c r="L91" s="30"/>
      <c r="M91" s="29">
        <v>105208.79999999999</v>
      </c>
      <c r="N91" s="30"/>
      <c r="O91" s="30"/>
      <c r="P91" s="29"/>
      <c r="Q91" s="30"/>
      <c r="R91" s="31"/>
      <c r="S91" s="32">
        <f t="shared" si="23"/>
        <v>0</v>
      </c>
    </row>
    <row r="92" spans="1:22" x14ac:dyDescent="0.2">
      <c r="A92" s="748"/>
      <c r="B92" s="766"/>
      <c r="C92" s="68" t="s">
        <v>98</v>
      </c>
      <c r="D92" s="86"/>
      <c r="E92" s="86"/>
      <c r="F92" s="86"/>
      <c r="G92" s="86"/>
      <c r="H92" s="86"/>
      <c r="I92" s="86"/>
      <c r="J92" s="86"/>
      <c r="K92" s="30"/>
      <c r="L92" s="30">
        <v>35000</v>
      </c>
      <c r="M92" s="29"/>
      <c r="N92" s="30"/>
      <c r="O92" s="30"/>
      <c r="P92" s="29"/>
      <c r="Q92" s="30"/>
      <c r="R92" s="31"/>
      <c r="S92" s="32">
        <f t="shared" si="23"/>
        <v>0</v>
      </c>
    </row>
    <row r="93" spans="1:22" x14ac:dyDescent="0.2">
      <c r="A93" s="748"/>
      <c r="B93" s="766"/>
      <c r="C93" s="86" t="s">
        <v>461</v>
      </c>
      <c r="D93" s="86"/>
      <c r="E93" s="86"/>
      <c r="F93" s="86"/>
      <c r="G93" s="86"/>
      <c r="H93" s="86"/>
      <c r="I93" s="86"/>
      <c r="J93" s="86"/>
      <c r="K93" s="30"/>
      <c r="L93" s="30">
        <v>149100</v>
      </c>
      <c r="M93" s="29"/>
      <c r="N93" s="30"/>
      <c r="O93" s="30">
        <v>15864.95</v>
      </c>
      <c r="P93" s="29"/>
      <c r="Q93" s="30">
        <v>34500</v>
      </c>
      <c r="R93" s="31"/>
      <c r="S93" s="32">
        <f t="shared" si="23"/>
        <v>34500</v>
      </c>
    </row>
    <row r="94" spans="1:22" hidden="1" x14ac:dyDescent="0.2">
      <c r="A94" s="748"/>
      <c r="B94" s="766"/>
      <c r="C94" s="68" t="s">
        <v>96</v>
      </c>
      <c r="D94" s="68"/>
      <c r="E94" s="68"/>
      <c r="F94" s="68"/>
      <c r="G94" s="68"/>
      <c r="H94" s="68"/>
      <c r="I94" s="68">
        <v>119232</v>
      </c>
      <c r="J94" s="68">
        <f>30008+30023</f>
        <v>60031</v>
      </c>
      <c r="K94" s="30"/>
      <c r="L94" s="30"/>
      <c r="M94" s="29">
        <v>108000</v>
      </c>
      <c r="N94" s="30"/>
      <c r="O94" s="30">
        <v>66101.8</v>
      </c>
      <c r="P94" s="29"/>
      <c r="Q94" s="30"/>
      <c r="R94" s="31"/>
      <c r="S94" s="32">
        <f t="shared" si="23"/>
        <v>0</v>
      </c>
    </row>
    <row r="95" spans="1:22" ht="12.75" hidden="1" customHeight="1" x14ac:dyDescent="0.2">
      <c r="A95" s="748"/>
      <c r="B95" s="766"/>
      <c r="C95" s="68" t="s">
        <v>100</v>
      </c>
      <c r="D95" s="68"/>
      <c r="E95" s="68"/>
      <c r="F95" s="68"/>
      <c r="G95" s="68"/>
      <c r="H95" s="68"/>
      <c r="I95" s="68"/>
      <c r="J95" s="68">
        <v>40000</v>
      </c>
      <c r="K95" s="30"/>
      <c r="L95" s="30"/>
      <c r="M95" s="30">
        <v>298131.34999999998</v>
      </c>
      <c r="N95" s="30"/>
      <c r="O95" s="30"/>
      <c r="P95" s="29"/>
      <c r="Q95" s="30"/>
      <c r="R95" s="31"/>
      <c r="S95" s="32">
        <f t="shared" si="23"/>
        <v>0</v>
      </c>
    </row>
    <row r="96" spans="1:22" x14ac:dyDescent="0.2">
      <c r="A96" s="748"/>
      <c r="B96" s="766"/>
      <c r="C96" s="68" t="s">
        <v>101</v>
      </c>
      <c r="D96" s="68"/>
      <c r="E96" s="68"/>
      <c r="F96" s="68"/>
      <c r="G96" s="68"/>
      <c r="H96" s="68"/>
      <c r="I96" s="68"/>
      <c r="J96" s="68">
        <v>85385</v>
      </c>
      <c r="K96" s="30">
        <v>389162</v>
      </c>
      <c r="L96" s="30"/>
      <c r="M96" s="69"/>
      <c r="N96" s="30">
        <v>274838.90000000002</v>
      </c>
      <c r="O96" s="29">
        <v>190966.83</v>
      </c>
      <c r="P96" s="29">
        <v>164272.02000000002</v>
      </c>
      <c r="Q96" s="30">
        <v>192900</v>
      </c>
      <c r="R96" s="31"/>
      <c r="S96" s="32">
        <f t="shared" si="23"/>
        <v>192900</v>
      </c>
    </row>
    <row r="97" spans="1:19" ht="12.75" customHeight="1" x14ac:dyDescent="0.2">
      <c r="A97" s="748"/>
      <c r="B97" s="766"/>
      <c r="C97" s="68" t="s">
        <v>102</v>
      </c>
      <c r="D97" s="68"/>
      <c r="E97" s="68"/>
      <c r="F97" s="68"/>
      <c r="G97" s="68"/>
      <c r="H97" s="68"/>
      <c r="I97" s="68"/>
      <c r="J97" s="68"/>
      <c r="K97" s="30">
        <v>6226</v>
      </c>
      <c r="L97" s="30"/>
      <c r="M97" s="30"/>
      <c r="N97" s="30"/>
      <c r="O97" s="30"/>
      <c r="P97" s="29">
        <v>2738.17</v>
      </c>
      <c r="Q97" s="30"/>
      <c r="R97" s="31"/>
      <c r="S97" s="88">
        <f t="shared" si="23"/>
        <v>0</v>
      </c>
    </row>
    <row r="98" spans="1:19" ht="12.75" customHeight="1" x14ac:dyDescent="0.2">
      <c r="A98" s="748"/>
      <c r="B98" s="766"/>
      <c r="C98" s="68" t="s">
        <v>470</v>
      </c>
      <c r="D98" s="68"/>
      <c r="E98" s="68"/>
      <c r="F98" s="68"/>
      <c r="G98" s="68"/>
      <c r="H98" s="68"/>
      <c r="I98" s="68">
        <v>3534</v>
      </c>
      <c r="J98" s="68">
        <v>4595</v>
      </c>
      <c r="K98" s="30">
        <v>1120</v>
      </c>
      <c r="L98" s="30"/>
      <c r="M98" s="30"/>
      <c r="N98" s="30"/>
      <c r="O98" s="30"/>
      <c r="P98" s="29"/>
      <c r="Q98" s="30"/>
      <c r="R98" s="31">
        <v>5500</v>
      </c>
      <c r="S98" s="88">
        <f t="shared" si="23"/>
        <v>5500</v>
      </c>
    </row>
    <row r="99" spans="1:19" ht="12.75" customHeight="1" x14ac:dyDescent="0.2">
      <c r="A99" s="748"/>
      <c r="B99" s="766"/>
      <c r="C99" s="68" t="s">
        <v>471</v>
      </c>
      <c r="D99" s="68"/>
      <c r="E99" s="68"/>
      <c r="F99" s="68"/>
      <c r="G99" s="68"/>
      <c r="H99" s="68"/>
      <c r="I99" s="68"/>
      <c r="J99" s="68"/>
      <c r="K99" s="30">
        <v>73802</v>
      </c>
      <c r="L99" s="30"/>
      <c r="M99" s="30"/>
      <c r="N99" s="30"/>
      <c r="O99" s="30"/>
      <c r="P99" s="29"/>
      <c r="Q99" s="30"/>
      <c r="R99" s="31">
        <v>12000</v>
      </c>
      <c r="S99" s="88">
        <f t="shared" si="23"/>
        <v>12000</v>
      </c>
    </row>
    <row r="100" spans="1:19" ht="12.75" customHeight="1" x14ac:dyDescent="0.2">
      <c r="A100" s="748"/>
      <c r="B100" s="766"/>
      <c r="C100" s="68" t="s">
        <v>104</v>
      </c>
      <c r="D100" s="68"/>
      <c r="E100" s="68"/>
      <c r="F100" s="68"/>
      <c r="G100" s="68"/>
      <c r="H100" s="68"/>
      <c r="I100" s="68"/>
      <c r="J100" s="68">
        <v>18000</v>
      </c>
      <c r="K100" s="30"/>
      <c r="L100" s="30"/>
      <c r="M100" s="30"/>
      <c r="N100" s="30"/>
      <c r="O100" s="30"/>
      <c r="P100" s="29"/>
      <c r="Q100" s="30"/>
      <c r="R100" s="31"/>
      <c r="S100" s="88">
        <f t="shared" si="23"/>
        <v>0</v>
      </c>
    </row>
    <row r="101" spans="1:19" ht="12.75" customHeight="1" x14ac:dyDescent="0.2">
      <c r="A101" s="748"/>
      <c r="B101" s="766"/>
      <c r="C101" s="68" t="s">
        <v>105</v>
      </c>
      <c r="D101" s="68"/>
      <c r="E101" s="68"/>
      <c r="F101" s="68"/>
      <c r="G101" s="68"/>
      <c r="H101" s="68"/>
      <c r="I101" s="68"/>
      <c r="J101" s="68"/>
      <c r="K101" s="30"/>
      <c r="L101" s="30"/>
      <c r="M101" s="152"/>
      <c r="N101" s="153"/>
      <c r="O101" s="153"/>
      <c r="P101" s="302"/>
      <c r="Q101" s="153"/>
      <c r="R101" s="31"/>
      <c r="S101" s="88">
        <f t="shared" si="23"/>
        <v>0</v>
      </c>
    </row>
    <row r="102" spans="1:19" ht="12.75" customHeight="1" x14ac:dyDescent="0.2">
      <c r="A102" s="748"/>
      <c r="B102" s="766"/>
      <c r="C102" s="68" t="s">
        <v>106</v>
      </c>
      <c r="D102" s="68"/>
      <c r="E102" s="68"/>
      <c r="F102" s="68"/>
      <c r="G102" s="68"/>
      <c r="H102" s="68"/>
      <c r="I102" s="68"/>
      <c r="J102" s="68"/>
      <c r="K102" s="30"/>
      <c r="L102" s="30"/>
      <c r="M102" s="153"/>
      <c r="N102" s="153"/>
      <c r="O102" s="153"/>
      <c r="P102" s="302"/>
      <c r="Q102" s="153"/>
      <c r="R102" s="31"/>
      <c r="S102" s="88">
        <f t="shared" si="23"/>
        <v>0</v>
      </c>
    </row>
    <row r="103" spans="1:19" ht="12.75" customHeight="1" x14ac:dyDescent="0.2">
      <c r="A103" s="748"/>
      <c r="B103" s="766"/>
      <c r="C103" s="68" t="s">
        <v>107</v>
      </c>
      <c r="D103" s="68"/>
      <c r="E103" s="68"/>
      <c r="F103" s="68"/>
      <c r="G103" s="68"/>
      <c r="H103" s="68"/>
      <c r="I103" s="68"/>
      <c r="J103" s="68"/>
      <c r="K103" s="30"/>
      <c r="L103" s="30"/>
      <c r="M103" s="30"/>
      <c r="N103" s="30"/>
      <c r="O103" s="30"/>
      <c r="P103" s="29"/>
      <c r="Q103" s="30"/>
      <c r="R103" s="31"/>
      <c r="S103" s="88">
        <f t="shared" si="23"/>
        <v>0</v>
      </c>
    </row>
    <row r="104" spans="1:19" ht="12.75" customHeight="1" x14ac:dyDescent="0.2">
      <c r="A104" s="748"/>
      <c r="B104" s="766"/>
      <c r="C104" s="68" t="s">
        <v>458</v>
      </c>
      <c r="D104" s="68"/>
      <c r="E104" s="68"/>
      <c r="F104" s="68"/>
      <c r="G104" s="68"/>
      <c r="H104" s="68"/>
      <c r="I104" s="68">
        <v>165906</v>
      </c>
      <c r="J104" s="68"/>
      <c r="K104" s="30">
        <v>0</v>
      </c>
      <c r="L104" s="30"/>
      <c r="M104" s="30"/>
      <c r="N104" s="30"/>
      <c r="O104" s="30"/>
      <c r="P104" s="29">
        <v>238911.06000000006</v>
      </c>
      <c r="Q104" s="30"/>
      <c r="R104" s="31"/>
      <c r="S104" s="88">
        <f t="shared" si="23"/>
        <v>0</v>
      </c>
    </row>
    <row r="105" spans="1:19" x14ac:dyDescent="0.2">
      <c r="A105" s="748"/>
      <c r="B105" s="766"/>
      <c r="C105" s="51" t="s">
        <v>108</v>
      </c>
      <c r="D105" s="71"/>
      <c r="E105" s="71"/>
      <c r="F105" s="71"/>
      <c r="G105" s="71"/>
      <c r="H105" s="71"/>
      <c r="I105" s="71"/>
      <c r="J105" s="71"/>
      <c r="K105" s="30"/>
      <c r="L105" s="30"/>
      <c r="M105" s="30"/>
      <c r="N105" s="30"/>
      <c r="O105" s="30">
        <v>146016</v>
      </c>
      <c r="P105" s="29">
        <v>73008</v>
      </c>
      <c r="Q105" s="30">
        <v>130000</v>
      </c>
      <c r="R105" s="31"/>
      <c r="S105" s="88">
        <f t="shared" si="23"/>
        <v>130000</v>
      </c>
    </row>
    <row r="106" spans="1:19" ht="13.5" thickBot="1" x14ac:dyDescent="0.25">
      <c r="A106" s="748"/>
      <c r="B106" s="766"/>
      <c r="C106" s="70" t="s">
        <v>450</v>
      </c>
      <c r="D106" s="71"/>
      <c r="E106" s="71"/>
      <c r="F106" s="71"/>
      <c r="G106" s="71"/>
      <c r="H106" s="71"/>
      <c r="I106" s="71">
        <v>117128</v>
      </c>
      <c r="J106" s="71">
        <v>59866</v>
      </c>
      <c r="K106" s="30">
        <v>366191</v>
      </c>
      <c r="L106" s="30"/>
      <c r="M106" s="154">
        <v>13085.550000000001</v>
      </c>
      <c r="N106" s="30">
        <f>206825+69116</f>
        <v>275941</v>
      </c>
      <c r="O106" s="29">
        <f>82173.59+363.75</f>
        <v>82537.34</v>
      </c>
      <c r="P106" s="29"/>
      <c r="Q106" s="30">
        <v>33500</v>
      </c>
      <c r="R106" s="38"/>
      <c r="S106" s="155">
        <f t="shared" si="23"/>
        <v>33500</v>
      </c>
    </row>
    <row r="107" spans="1:19" ht="15.75" hidden="1" customHeight="1" thickBot="1" x14ac:dyDescent="0.3">
      <c r="A107" s="605">
        <v>330</v>
      </c>
      <c r="B107" s="727" t="s">
        <v>109</v>
      </c>
      <c r="C107" s="728"/>
      <c r="D107" s="102">
        <f t="shared" ref="D107:L107" si="24">D108</f>
        <v>0</v>
      </c>
      <c r="E107" s="102">
        <f t="shared" si="24"/>
        <v>0</v>
      </c>
      <c r="F107" s="102">
        <f t="shared" si="24"/>
        <v>0</v>
      </c>
      <c r="G107" s="102">
        <f t="shared" si="24"/>
        <v>0</v>
      </c>
      <c r="H107" s="102">
        <f t="shared" si="24"/>
        <v>21047</v>
      </c>
      <c r="I107" s="102">
        <f t="shared" si="24"/>
        <v>28355</v>
      </c>
      <c r="J107" s="102">
        <f t="shared" si="24"/>
        <v>39058</v>
      </c>
      <c r="K107" s="102">
        <f t="shared" si="24"/>
        <v>9516</v>
      </c>
      <c r="L107" s="102">
        <f t="shared" si="24"/>
        <v>0</v>
      </c>
      <c r="M107" s="102"/>
      <c r="N107" s="104"/>
      <c r="O107" s="104"/>
      <c r="P107" s="238"/>
      <c r="Q107" s="104">
        <v>0</v>
      </c>
      <c r="R107" s="122"/>
      <c r="S107" s="123"/>
    </row>
    <row r="108" spans="1:19" ht="13.5" hidden="1" customHeight="1" thickBot="1" x14ac:dyDescent="0.25">
      <c r="A108" s="747"/>
      <c r="B108" s="91">
        <v>331</v>
      </c>
      <c r="C108" s="92" t="s">
        <v>110</v>
      </c>
      <c r="D108" s="92"/>
      <c r="E108" s="92">
        <v>0</v>
      </c>
      <c r="F108" s="92">
        <v>0</v>
      </c>
      <c r="G108" s="92">
        <v>0</v>
      </c>
      <c r="H108" s="92">
        <v>21047</v>
      </c>
      <c r="I108" s="94">
        <f>I109</f>
        <v>28355</v>
      </c>
      <c r="J108" s="94">
        <f>J109</f>
        <v>39058</v>
      </c>
      <c r="K108" s="94">
        <f>K109</f>
        <v>9516</v>
      </c>
      <c r="L108" s="96"/>
      <c r="M108" s="96"/>
      <c r="N108" s="96"/>
      <c r="O108" s="96"/>
      <c r="P108" s="106"/>
      <c r="Q108" s="96"/>
      <c r="R108" s="122"/>
      <c r="S108" s="123"/>
    </row>
    <row r="109" spans="1:19" ht="13.5" hidden="1" customHeight="1" thickBot="1" x14ac:dyDescent="0.25">
      <c r="A109" s="748"/>
      <c r="B109" s="597"/>
      <c r="C109" s="156" t="s">
        <v>103</v>
      </c>
      <c r="D109" s="156"/>
      <c r="E109" s="156"/>
      <c r="F109" s="156"/>
      <c r="G109" s="156"/>
      <c r="H109" s="156">
        <v>21047</v>
      </c>
      <c r="I109" s="156">
        <v>28355</v>
      </c>
      <c r="J109" s="156">
        <v>39058</v>
      </c>
      <c r="K109" s="157">
        <v>9516</v>
      </c>
      <c r="L109" s="109"/>
      <c r="M109" s="109"/>
      <c r="N109" s="109"/>
      <c r="O109" s="109"/>
      <c r="P109" s="108"/>
      <c r="Q109" s="109"/>
      <c r="R109" s="158"/>
      <c r="S109" s="159"/>
    </row>
    <row r="110" spans="1:19" ht="17.25" thickTop="1" thickBot="1" x14ac:dyDescent="0.3">
      <c r="A110" s="760" t="s">
        <v>111</v>
      </c>
      <c r="B110" s="761"/>
      <c r="C110" s="762"/>
      <c r="D110" s="160">
        <f t="shared" ref="D110:O110" si="25">D5+D26+D69</f>
        <v>7125871</v>
      </c>
      <c r="E110" s="160">
        <f t="shared" si="25"/>
        <v>7561840</v>
      </c>
      <c r="F110" s="160">
        <f t="shared" si="25"/>
        <v>9082354</v>
      </c>
      <c r="G110" s="160">
        <f t="shared" si="25"/>
        <v>9080838</v>
      </c>
      <c r="H110" s="160">
        <f t="shared" si="25"/>
        <v>8537685</v>
      </c>
      <c r="I110" s="160">
        <f t="shared" si="25"/>
        <v>9096722</v>
      </c>
      <c r="J110" s="160">
        <f t="shared" si="25"/>
        <v>9201831</v>
      </c>
      <c r="K110" s="160">
        <f t="shared" si="25"/>
        <v>9722622</v>
      </c>
      <c r="L110" s="160">
        <f t="shared" si="25"/>
        <v>9640328.2399999984</v>
      </c>
      <c r="M110" s="161">
        <f t="shared" si="25"/>
        <v>10178626.01</v>
      </c>
      <c r="N110" s="160">
        <f t="shared" si="25"/>
        <v>10784511.560000002</v>
      </c>
      <c r="O110" s="161">
        <f t="shared" si="25"/>
        <v>10947354.260000002</v>
      </c>
      <c r="P110" s="618">
        <f>P69+P26+P5</f>
        <v>11835790.83</v>
      </c>
      <c r="Q110" s="608">
        <f>Q69+Q26+Q5</f>
        <v>12693131</v>
      </c>
      <c r="R110" s="608">
        <f>R69+R26+R5</f>
        <v>24540</v>
      </c>
      <c r="S110" s="383">
        <f>S69+S26+S5</f>
        <v>12717671</v>
      </c>
    </row>
    <row r="111" spans="1:19" ht="13.5" thickTop="1" x14ac:dyDescent="0.2"/>
    <row r="112" spans="1:19" x14ac:dyDescent="0.2">
      <c r="S112" s="6"/>
    </row>
    <row r="113" spans="15:19" x14ac:dyDescent="0.2">
      <c r="O113" s="6"/>
      <c r="Q113" s="6"/>
      <c r="S113" s="6"/>
    </row>
  </sheetData>
  <mergeCells count="50">
    <mergeCell ref="A110:C110"/>
    <mergeCell ref="B69:C69"/>
    <mergeCell ref="B70:C70"/>
    <mergeCell ref="A71:A106"/>
    <mergeCell ref="B74:B106"/>
    <mergeCell ref="B107:C107"/>
    <mergeCell ref="A108:A109"/>
    <mergeCell ref="A63:A68"/>
    <mergeCell ref="B64:B68"/>
    <mergeCell ref="B26:C26"/>
    <mergeCell ref="B27:C27"/>
    <mergeCell ref="A28:A39"/>
    <mergeCell ref="B29:B31"/>
    <mergeCell ref="B33:B39"/>
    <mergeCell ref="B62:C62"/>
    <mergeCell ref="B40:C40"/>
    <mergeCell ref="A41:A59"/>
    <mergeCell ref="B42:B44"/>
    <mergeCell ref="B46:B57"/>
    <mergeCell ref="B60:C60"/>
    <mergeCell ref="B12:C12"/>
    <mergeCell ref="A13:A16"/>
    <mergeCell ref="B14:B16"/>
    <mergeCell ref="B17:C17"/>
    <mergeCell ref="A18:A25"/>
    <mergeCell ref="B19:B25"/>
    <mergeCell ref="S3:S4"/>
    <mergeCell ref="B5:C5"/>
    <mergeCell ref="B6:C6"/>
    <mergeCell ref="A7:A11"/>
    <mergeCell ref="B7:B11"/>
    <mergeCell ref="M3:M4"/>
    <mergeCell ref="N3:N4"/>
    <mergeCell ref="O3:O4"/>
    <mergeCell ref="P3:P4"/>
    <mergeCell ref="Q3:Q4"/>
    <mergeCell ref="G3:G4"/>
    <mergeCell ref="H3:H4"/>
    <mergeCell ref="I3:I4"/>
    <mergeCell ref="J3:J4"/>
    <mergeCell ref="K3:K4"/>
    <mergeCell ref="L3:L4"/>
    <mergeCell ref="A2:C2"/>
    <mergeCell ref="A1:C1"/>
    <mergeCell ref="F3:F4"/>
    <mergeCell ref="A3:A4"/>
    <mergeCell ref="B3:B4"/>
    <mergeCell ref="C3:C4"/>
    <mergeCell ref="D3:D4"/>
    <mergeCell ref="E3:E4"/>
  </mergeCells>
  <pageMargins left="3.937007874015748E-2" right="3.937007874015748E-2" top="3.937007874015748E-2" bottom="3.937007874015748E-2" header="0" footer="0"/>
  <pageSetup paperSize="9" scale="87" orientation="portrait" r:id="rId1"/>
  <rowBreaks count="1" manualBreakCount="1">
    <brk id="67" max="16383" man="1"/>
  </rowBreaks>
  <ignoredErrors>
    <ignoredError sqref="S3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3"/>
  <sheetViews>
    <sheetView zoomScaleNormal="100" workbookViewId="0">
      <selection sqref="A1:T1"/>
    </sheetView>
  </sheetViews>
  <sheetFormatPr defaultRowHeight="15" x14ac:dyDescent="0.25"/>
  <cols>
    <col min="1" max="1" width="11.5703125" customWidth="1"/>
    <col min="3" max="3" width="29.28515625" customWidth="1"/>
    <col min="4" max="12" width="14.28515625" hidden="1" customWidth="1"/>
    <col min="13" max="13" width="16.42578125" hidden="1" customWidth="1"/>
    <col min="14" max="14" width="15.140625" hidden="1" customWidth="1"/>
    <col min="15" max="15" width="16" hidden="1" customWidth="1"/>
    <col min="16" max="16" width="14" customWidth="1"/>
    <col min="17" max="17" width="13.140625" customWidth="1"/>
    <col min="18" max="18" width="12.42578125" customWidth="1"/>
    <col min="19" max="20" width="12.42578125" style="10" customWidth="1"/>
    <col min="237" max="237" width="11.5703125" customWidth="1"/>
    <col min="239" max="239" width="23.42578125" customWidth="1"/>
    <col min="240" max="251" width="0" hidden="1" customWidth="1"/>
    <col min="252" max="252" width="13.28515625" customWidth="1"/>
    <col min="253" max="253" width="12.5703125" customWidth="1"/>
    <col min="254" max="254" width="8.28515625" customWidth="1"/>
    <col min="255" max="256" width="12.42578125" customWidth="1"/>
    <col min="259" max="259" width="9.5703125" bestFit="1" customWidth="1"/>
    <col min="493" max="493" width="11.5703125" customWidth="1"/>
    <col min="495" max="495" width="23.42578125" customWidth="1"/>
    <col min="496" max="507" width="0" hidden="1" customWidth="1"/>
    <col min="508" max="508" width="13.28515625" customWidth="1"/>
    <col min="509" max="509" width="12.5703125" customWidth="1"/>
    <col min="510" max="510" width="8.28515625" customWidth="1"/>
    <col min="511" max="512" width="12.42578125" customWidth="1"/>
    <col min="515" max="515" width="9.5703125" bestFit="1" customWidth="1"/>
    <col min="749" max="749" width="11.5703125" customWidth="1"/>
    <col min="751" max="751" width="23.42578125" customWidth="1"/>
    <col min="752" max="763" width="0" hidden="1" customWidth="1"/>
    <col min="764" max="764" width="13.28515625" customWidth="1"/>
    <col min="765" max="765" width="12.5703125" customWidth="1"/>
    <col min="766" max="766" width="8.28515625" customWidth="1"/>
    <col min="767" max="768" width="12.42578125" customWidth="1"/>
    <col min="771" max="771" width="9.5703125" bestFit="1" customWidth="1"/>
    <col min="1005" max="1005" width="11.5703125" customWidth="1"/>
    <col min="1007" max="1007" width="23.42578125" customWidth="1"/>
    <col min="1008" max="1019" width="0" hidden="1" customWidth="1"/>
    <col min="1020" max="1020" width="13.28515625" customWidth="1"/>
    <col min="1021" max="1021" width="12.5703125" customWidth="1"/>
    <col min="1022" max="1022" width="8.28515625" customWidth="1"/>
    <col min="1023" max="1024" width="12.42578125" customWidth="1"/>
    <col min="1027" max="1027" width="9.5703125" bestFit="1" customWidth="1"/>
    <col min="1261" max="1261" width="11.5703125" customWidth="1"/>
    <col min="1263" max="1263" width="23.42578125" customWidth="1"/>
    <col min="1264" max="1275" width="0" hidden="1" customWidth="1"/>
    <col min="1276" max="1276" width="13.28515625" customWidth="1"/>
    <col min="1277" max="1277" width="12.5703125" customWidth="1"/>
    <col min="1278" max="1278" width="8.28515625" customWidth="1"/>
    <col min="1279" max="1280" width="12.42578125" customWidth="1"/>
    <col min="1283" max="1283" width="9.5703125" bestFit="1" customWidth="1"/>
    <col min="1517" max="1517" width="11.5703125" customWidth="1"/>
    <col min="1519" max="1519" width="23.42578125" customWidth="1"/>
    <col min="1520" max="1531" width="0" hidden="1" customWidth="1"/>
    <col min="1532" max="1532" width="13.28515625" customWidth="1"/>
    <col min="1533" max="1533" width="12.5703125" customWidth="1"/>
    <col min="1534" max="1534" width="8.28515625" customWidth="1"/>
    <col min="1535" max="1536" width="12.42578125" customWidth="1"/>
    <col min="1539" max="1539" width="9.5703125" bestFit="1" customWidth="1"/>
    <col min="1773" max="1773" width="11.5703125" customWidth="1"/>
    <col min="1775" max="1775" width="23.42578125" customWidth="1"/>
    <col min="1776" max="1787" width="0" hidden="1" customWidth="1"/>
    <col min="1788" max="1788" width="13.28515625" customWidth="1"/>
    <col min="1789" max="1789" width="12.5703125" customWidth="1"/>
    <col min="1790" max="1790" width="8.28515625" customWidth="1"/>
    <col min="1791" max="1792" width="12.42578125" customWidth="1"/>
    <col min="1795" max="1795" width="9.5703125" bestFit="1" customWidth="1"/>
    <col min="2029" max="2029" width="11.5703125" customWidth="1"/>
    <col min="2031" max="2031" width="23.42578125" customWidth="1"/>
    <col min="2032" max="2043" width="0" hidden="1" customWidth="1"/>
    <col min="2044" max="2044" width="13.28515625" customWidth="1"/>
    <col min="2045" max="2045" width="12.5703125" customWidth="1"/>
    <col min="2046" max="2046" width="8.28515625" customWidth="1"/>
    <col min="2047" max="2048" width="12.42578125" customWidth="1"/>
    <col min="2051" max="2051" width="9.5703125" bestFit="1" customWidth="1"/>
    <col min="2285" max="2285" width="11.5703125" customWidth="1"/>
    <col min="2287" max="2287" width="23.42578125" customWidth="1"/>
    <col min="2288" max="2299" width="0" hidden="1" customWidth="1"/>
    <col min="2300" max="2300" width="13.28515625" customWidth="1"/>
    <col min="2301" max="2301" width="12.5703125" customWidth="1"/>
    <col min="2302" max="2302" width="8.28515625" customWidth="1"/>
    <col min="2303" max="2304" width="12.42578125" customWidth="1"/>
    <col min="2307" max="2307" width="9.5703125" bestFit="1" customWidth="1"/>
    <col min="2541" max="2541" width="11.5703125" customWidth="1"/>
    <col min="2543" max="2543" width="23.42578125" customWidth="1"/>
    <col min="2544" max="2555" width="0" hidden="1" customWidth="1"/>
    <col min="2556" max="2556" width="13.28515625" customWidth="1"/>
    <col min="2557" max="2557" width="12.5703125" customWidth="1"/>
    <col min="2558" max="2558" width="8.28515625" customWidth="1"/>
    <col min="2559" max="2560" width="12.42578125" customWidth="1"/>
    <col min="2563" max="2563" width="9.5703125" bestFit="1" customWidth="1"/>
    <col min="2797" max="2797" width="11.5703125" customWidth="1"/>
    <col min="2799" max="2799" width="23.42578125" customWidth="1"/>
    <col min="2800" max="2811" width="0" hidden="1" customWidth="1"/>
    <col min="2812" max="2812" width="13.28515625" customWidth="1"/>
    <col min="2813" max="2813" width="12.5703125" customWidth="1"/>
    <col min="2814" max="2814" width="8.28515625" customWidth="1"/>
    <col min="2815" max="2816" width="12.42578125" customWidth="1"/>
    <col min="2819" max="2819" width="9.5703125" bestFit="1" customWidth="1"/>
    <col min="3053" max="3053" width="11.5703125" customWidth="1"/>
    <col min="3055" max="3055" width="23.42578125" customWidth="1"/>
    <col min="3056" max="3067" width="0" hidden="1" customWidth="1"/>
    <col min="3068" max="3068" width="13.28515625" customWidth="1"/>
    <col min="3069" max="3069" width="12.5703125" customWidth="1"/>
    <col min="3070" max="3070" width="8.28515625" customWidth="1"/>
    <col min="3071" max="3072" width="12.42578125" customWidth="1"/>
    <col min="3075" max="3075" width="9.5703125" bestFit="1" customWidth="1"/>
    <col min="3309" max="3309" width="11.5703125" customWidth="1"/>
    <col min="3311" max="3311" width="23.42578125" customWidth="1"/>
    <col min="3312" max="3323" width="0" hidden="1" customWidth="1"/>
    <col min="3324" max="3324" width="13.28515625" customWidth="1"/>
    <col min="3325" max="3325" width="12.5703125" customWidth="1"/>
    <col min="3326" max="3326" width="8.28515625" customWidth="1"/>
    <col min="3327" max="3328" width="12.42578125" customWidth="1"/>
    <col min="3331" max="3331" width="9.5703125" bestFit="1" customWidth="1"/>
    <col min="3565" max="3565" width="11.5703125" customWidth="1"/>
    <col min="3567" max="3567" width="23.42578125" customWidth="1"/>
    <col min="3568" max="3579" width="0" hidden="1" customWidth="1"/>
    <col min="3580" max="3580" width="13.28515625" customWidth="1"/>
    <col min="3581" max="3581" width="12.5703125" customWidth="1"/>
    <col min="3582" max="3582" width="8.28515625" customWidth="1"/>
    <col min="3583" max="3584" width="12.42578125" customWidth="1"/>
    <col min="3587" max="3587" width="9.5703125" bestFit="1" customWidth="1"/>
    <col min="3821" max="3821" width="11.5703125" customWidth="1"/>
    <col min="3823" max="3823" width="23.42578125" customWidth="1"/>
    <col min="3824" max="3835" width="0" hidden="1" customWidth="1"/>
    <col min="3836" max="3836" width="13.28515625" customWidth="1"/>
    <col min="3837" max="3837" width="12.5703125" customWidth="1"/>
    <col min="3838" max="3838" width="8.28515625" customWidth="1"/>
    <col min="3839" max="3840" width="12.42578125" customWidth="1"/>
    <col min="3843" max="3843" width="9.5703125" bestFit="1" customWidth="1"/>
    <col min="4077" max="4077" width="11.5703125" customWidth="1"/>
    <col min="4079" max="4079" width="23.42578125" customWidth="1"/>
    <col min="4080" max="4091" width="0" hidden="1" customWidth="1"/>
    <col min="4092" max="4092" width="13.28515625" customWidth="1"/>
    <col min="4093" max="4093" width="12.5703125" customWidth="1"/>
    <col min="4094" max="4094" width="8.28515625" customWidth="1"/>
    <col min="4095" max="4096" width="12.42578125" customWidth="1"/>
    <col min="4099" max="4099" width="9.5703125" bestFit="1" customWidth="1"/>
    <col min="4333" max="4333" width="11.5703125" customWidth="1"/>
    <col min="4335" max="4335" width="23.42578125" customWidth="1"/>
    <col min="4336" max="4347" width="0" hidden="1" customWidth="1"/>
    <col min="4348" max="4348" width="13.28515625" customWidth="1"/>
    <col min="4349" max="4349" width="12.5703125" customWidth="1"/>
    <col min="4350" max="4350" width="8.28515625" customWidth="1"/>
    <col min="4351" max="4352" width="12.42578125" customWidth="1"/>
    <col min="4355" max="4355" width="9.5703125" bestFit="1" customWidth="1"/>
    <col min="4589" max="4589" width="11.5703125" customWidth="1"/>
    <col min="4591" max="4591" width="23.42578125" customWidth="1"/>
    <col min="4592" max="4603" width="0" hidden="1" customWidth="1"/>
    <col min="4604" max="4604" width="13.28515625" customWidth="1"/>
    <col min="4605" max="4605" width="12.5703125" customWidth="1"/>
    <col min="4606" max="4606" width="8.28515625" customWidth="1"/>
    <col min="4607" max="4608" width="12.42578125" customWidth="1"/>
    <col min="4611" max="4611" width="9.5703125" bestFit="1" customWidth="1"/>
    <col min="4845" max="4845" width="11.5703125" customWidth="1"/>
    <col min="4847" max="4847" width="23.42578125" customWidth="1"/>
    <col min="4848" max="4859" width="0" hidden="1" customWidth="1"/>
    <col min="4860" max="4860" width="13.28515625" customWidth="1"/>
    <col min="4861" max="4861" width="12.5703125" customWidth="1"/>
    <col min="4862" max="4862" width="8.28515625" customWidth="1"/>
    <col min="4863" max="4864" width="12.42578125" customWidth="1"/>
    <col min="4867" max="4867" width="9.5703125" bestFit="1" customWidth="1"/>
    <col min="5101" max="5101" width="11.5703125" customWidth="1"/>
    <col min="5103" max="5103" width="23.42578125" customWidth="1"/>
    <col min="5104" max="5115" width="0" hidden="1" customWidth="1"/>
    <col min="5116" max="5116" width="13.28515625" customWidth="1"/>
    <col min="5117" max="5117" width="12.5703125" customWidth="1"/>
    <col min="5118" max="5118" width="8.28515625" customWidth="1"/>
    <col min="5119" max="5120" width="12.42578125" customWidth="1"/>
    <col min="5123" max="5123" width="9.5703125" bestFit="1" customWidth="1"/>
    <col min="5357" max="5357" width="11.5703125" customWidth="1"/>
    <col min="5359" max="5359" width="23.42578125" customWidth="1"/>
    <col min="5360" max="5371" width="0" hidden="1" customWidth="1"/>
    <col min="5372" max="5372" width="13.28515625" customWidth="1"/>
    <col min="5373" max="5373" width="12.5703125" customWidth="1"/>
    <col min="5374" max="5374" width="8.28515625" customWidth="1"/>
    <col min="5375" max="5376" width="12.42578125" customWidth="1"/>
    <col min="5379" max="5379" width="9.5703125" bestFit="1" customWidth="1"/>
    <col min="5613" max="5613" width="11.5703125" customWidth="1"/>
    <col min="5615" max="5615" width="23.42578125" customWidth="1"/>
    <col min="5616" max="5627" width="0" hidden="1" customWidth="1"/>
    <col min="5628" max="5628" width="13.28515625" customWidth="1"/>
    <col min="5629" max="5629" width="12.5703125" customWidth="1"/>
    <col min="5630" max="5630" width="8.28515625" customWidth="1"/>
    <col min="5631" max="5632" width="12.42578125" customWidth="1"/>
    <col min="5635" max="5635" width="9.5703125" bestFit="1" customWidth="1"/>
    <col min="5869" max="5869" width="11.5703125" customWidth="1"/>
    <col min="5871" max="5871" width="23.42578125" customWidth="1"/>
    <col min="5872" max="5883" width="0" hidden="1" customWidth="1"/>
    <col min="5884" max="5884" width="13.28515625" customWidth="1"/>
    <col min="5885" max="5885" width="12.5703125" customWidth="1"/>
    <col min="5886" max="5886" width="8.28515625" customWidth="1"/>
    <col min="5887" max="5888" width="12.42578125" customWidth="1"/>
    <col min="5891" max="5891" width="9.5703125" bestFit="1" customWidth="1"/>
    <col min="6125" max="6125" width="11.5703125" customWidth="1"/>
    <col min="6127" max="6127" width="23.42578125" customWidth="1"/>
    <col min="6128" max="6139" width="0" hidden="1" customWidth="1"/>
    <col min="6140" max="6140" width="13.28515625" customWidth="1"/>
    <col min="6141" max="6141" width="12.5703125" customWidth="1"/>
    <col min="6142" max="6142" width="8.28515625" customWidth="1"/>
    <col min="6143" max="6144" width="12.42578125" customWidth="1"/>
    <col min="6147" max="6147" width="9.5703125" bestFit="1" customWidth="1"/>
    <col min="6381" max="6381" width="11.5703125" customWidth="1"/>
    <col min="6383" max="6383" width="23.42578125" customWidth="1"/>
    <col min="6384" max="6395" width="0" hidden="1" customWidth="1"/>
    <col min="6396" max="6396" width="13.28515625" customWidth="1"/>
    <col min="6397" max="6397" width="12.5703125" customWidth="1"/>
    <col min="6398" max="6398" width="8.28515625" customWidth="1"/>
    <col min="6399" max="6400" width="12.42578125" customWidth="1"/>
    <col min="6403" max="6403" width="9.5703125" bestFit="1" customWidth="1"/>
    <col min="6637" max="6637" width="11.5703125" customWidth="1"/>
    <col min="6639" max="6639" width="23.42578125" customWidth="1"/>
    <col min="6640" max="6651" width="0" hidden="1" customWidth="1"/>
    <col min="6652" max="6652" width="13.28515625" customWidth="1"/>
    <col min="6653" max="6653" width="12.5703125" customWidth="1"/>
    <col min="6654" max="6654" width="8.28515625" customWidth="1"/>
    <col min="6655" max="6656" width="12.42578125" customWidth="1"/>
    <col min="6659" max="6659" width="9.5703125" bestFit="1" customWidth="1"/>
    <col min="6893" max="6893" width="11.5703125" customWidth="1"/>
    <col min="6895" max="6895" width="23.42578125" customWidth="1"/>
    <col min="6896" max="6907" width="0" hidden="1" customWidth="1"/>
    <col min="6908" max="6908" width="13.28515625" customWidth="1"/>
    <col min="6909" max="6909" width="12.5703125" customWidth="1"/>
    <col min="6910" max="6910" width="8.28515625" customWidth="1"/>
    <col min="6911" max="6912" width="12.42578125" customWidth="1"/>
    <col min="6915" max="6915" width="9.5703125" bestFit="1" customWidth="1"/>
    <col min="7149" max="7149" width="11.5703125" customWidth="1"/>
    <col min="7151" max="7151" width="23.42578125" customWidth="1"/>
    <col min="7152" max="7163" width="0" hidden="1" customWidth="1"/>
    <col min="7164" max="7164" width="13.28515625" customWidth="1"/>
    <col min="7165" max="7165" width="12.5703125" customWidth="1"/>
    <col min="7166" max="7166" width="8.28515625" customWidth="1"/>
    <col min="7167" max="7168" width="12.42578125" customWidth="1"/>
    <col min="7171" max="7171" width="9.5703125" bestFit="1" customWidth="1"/>
    <col min="7405" max="7405" width="11.5703125" customWidth="1"/>
    <col min="7407" max="7407" width="23.42578125" customWidth="1"/>
    <col min="7408" max="7419" width="0" hidden="1" customWidth="1"/>
    <col min="7420" max="7420" width="13.28515625" customWidth="1"/>
    <col min="7421" max="7421" width="12.5703125" customWidth="1"/>
    <col min="7422" max="7422" width="8.28515625" customWidth="1"/>
    <col min="7423" max="7424" width="12.42578125" customWidth="1"/>
    <col min="7427" max="7427" width="9.5703125" bestFit="1" customWidth="1"/>
    <col min="7661" max="7661" width="11.5703125" customWidth="1"/>
    <col min="7663" max="7663" width="23.42578125" customWidth="1"/>
    <col min="7664" max="7675" width="0" hidden="1" customWidth="1"/>
    <col min="7676" max="7676" width="13.28515625" customWidth="1"/>
    <col min="7677" max="7677" width="12.5703125" customWidth="1"/>
    <col min="7678" max="7678" width="8.28515625" customWidth="1"/>
    <col min="7679" max="7680" width="12.42578125" customWidth="1"/>
    <col min="7683" max="7683" width="9.5703125" bestFit="1" customWidth="1"/>
    <col min="7917" max="7917" width="11.5703125" customWidth="1"/>
    <col min="7919" max="7919" width="23.42578125" customWidth="1"/>
    <col min="7920" max="7931" width="0" hidden="1" customWidth="1"/>
    <col min="7932" max="7932" width="13.28515625" customWidth="1"/>
    <col min="7933" max="7933" width="12.5703125" customWidth="1"/>
    <col min="7934" max="7934" width="8.28515625" customWidth="1"/>
    <col min="7935" max="7936" width="12.42578125" customWidth="1"/>
    <col min="7939" max="7939" width="9.5703125" bestFit="1" customWidth="1"/>
    <col min="8173" max="8173" width="11.5703125" customWidth="1"/>
    <col min="8175" max="8175" width="23.42578125" customWidth="1"/>
    <col min="8176" max="8187" width="0" hidden="1" customWidth="1"/>
    <col min="8188" max="8188" width="13.28515625" customWidth="1"/>
    <col min="8189" max="8189" width="12.5703125" customWidth="1"/>
    <col min="8190" max="8190" width="8.28515625" customWidth="1"/>
    <col min="8191" max="8192" width="12.42578125" customWidth="1"/>
    <col min="8195" max="8195" width="9.5703125" bestFit="1" customWidth="1"/>
    <col min="8429" max="8429" width="11.5703125" customWidth="1"/>
    <col min="8431" max="8431" width="23.42578125" customWidth="1"/>
    <col min="8432" max="8443" width="0" hidden="1" customWidth="1"/>
    <col min="8444" max="8444" width="13.28515625" customWidth="1"/>
    <col min="8445" max="8445" width="12.5703125" customWidth="1"/>
    <col min="8446" max="8446" width="8.28515625" customWidth="1"/>
    <col min="8447" max="8448" width="12.42578125" customWidth="1"/>
    <col min="8451" max="8451" width="9.5703125" bestFit="1" customWidth="1"/>
    <col min="8685" max="8685" width="11.5703125" customWidth="1"/>
    <col min="8687" max="8687" width="23.42578125" customWidth="1"/>
    <col min="8688" max="8699" width="0" hidden="1" customWidth="1"/>
    <col min="8700" max="8700" width="13.28515625" customWidth="1"/>
    <col min="8701" max="8701" width="12.5703125" customWidth="1"/>
    <col min="8702" max="8702" width="8.28515625" customWidth="1"/>
    <col min="8703" max="8704" width="12.42578125" customWidth="1"/>
    <col min="8707" max="8707" width="9.5703125" bestFit="1" customWidth="1"/>
    <col min="8941" max="8941" width="11.5703125" customWidth="1"/>
    <col min="8943" max="8943" width="23.42578125" customWidth="1"/>
    <col min="8944" max="8955" width="0" hidden="1" customWidth="1"/>
    <col min="8956" max="8956" width="13.28515625" customWidth="1"/>
    <col min="8957" max="8957" width="12.5703125" customWidth="1"/>
    <col min="8958" max="8958" width="8.28515625" customWidth="1"/>
    <col min="8959" max="8960" width="12.42578125" customWidth="1"/>
    <col min="8963" max="8963" width="9.5703125" bestFit="1" customWidth="1"/>
    <col min="9197" max="9197" width="11.5703125" customWidth="1"/>
    <col min="9199" max="9199" width="23.42578125" customWidth="1"/>
    <col min="9200" max="9211" width="0" hidden="1" customWidth="1"/>
    <col min="9212" max="9212" width="13.28515625" customWidth="1"/>
    <col min="9213" max="9213" width="12.5703125" customWidth="1"/>
    <col min="9214" max="9214" width="8.28515625" customWidth="1"/>
    <col min="9215" max="9216" width="12.42578125" customWidth="1"/>
    <col min="9219" max="9219" width="9.5703125" bestFit="1" customWidth="1"/>
    <col min="9453" max="9453" width="11.5703125" customWidth="1"/>
    <col min="9455" max="9455" width="23.42578125" customWidth="1"/>
    <col min="9456" max="9467" width="0" hidden="1" customWidth="1"/>
    <col min="9468" max="9468" width="13.28515625" customWidth="1"/>
    <col min="9469" max="9469" width="12.5703125" customWidth="1"/>
    <col min="9470" max="9470" width="8.28515625" customWidth="1"/>
    <col min="9471" max="9472" width="12.42578125" customWidth="1"/>
    <col min="9475" max="9475" width="9.5703125" bestFit="1" customWidth="1"/>
    <col min="9709" max="9709" width="11.5703125" customWidth="1"/>
    <col min="9711" max="9711" width="23.42578125" customWidth="1"/>
    <col min="9712" max="9723" width="0" hidden="1" customWidth="1"/>
    <col min="9724" max="9724" width="13.28515625" customWidth="1"/>
    <col min="9725" max="9725" width="12.5703125" customWidth="1"/>
    <col min="9726" max="9726" width="8.28515625" customWidth="1"/>
    <col min="9727" max="9728" width="12.42578125" customWidth="1"/>
    <col min="9731" max="9731" width="9.5703125" bestFit="1" customWidth="1"/>
    <col min="9965" max="9965" width="11.5703125" customWidth="1"/>
    <col min="9967" max="9967" width="23.42578125" customWidth="1"/>
    <col min="9968" max="9979" width="0" hidden="1" customWidth="1"/>
    <col min="9980" max="9980" width="13.28515625" customWidth="1"/>
    <col min="9981" max="9981" width="12.5703125" customWidth="1"/>
    <col min="9982" max="9982" width="8.28515625" customWidth="1"/>
    <col min="9983" max="9984" width="12.42578125" customWidth="1"/>
    <col min="9987" max="9987" width="9.5703125" bestFit="1" customWidth="1"/>
    <col min="10221" max="10221" width="11.5703125" customWidth="1"/>
    <col min="10223" max="10223" width="23.42578125" customWidth="1"/>
    <col min="10224" max="10235" width="0" hidden="1" customWidth="1"/>
    <col min="10236" max="10236" width="13.28515625" customWidth="1"/>
    <col min="10237" max="10237" width="12.5703125" customWidth="1"/>
    <col min="10238" max="10238" width="8.28515625" customWidth="1"/>
    <col min="10239" max="10240" width="12.42578125" customWidth="1"/>
    <col min="10243" max="10243" width="9.5703125" bestFit="1" customWidth="1"/>
    <col min="10477" max="10477" width="11.5703125" customWidth="1"/>
    <col min="10479" max="10479" width="23.42578125" customWidth="1"/>
    <col min="10480" max="10491" width="0" hidden="1" customWidth="1"/>
    <col min="10492" max="10492" width="13.28515625" customWidth="1"/>
    <col min="10493" max="10493" width="12.5703125" customWidth="1"/>
    <col min="10494" max="10494" width="8.28515625" customWidth="1"/>
    <col min="10495" max="10496" width="12.42578125" customWidth="1"/>
    <col min="10499" max="10499" width="9.5703125" bestFit="1" customWidth="1"/>
    <col min="10733" max="10733" width="11.5703125" customWidth="1"/>
    <col min="10735" max="10735" width="23.42578125" customWidth="1"/>
    <col min="10736" max="10747" width="0" hidden="1" customWidth="1"/>
    <col min="10748" max="10748" width="13.28515625" customWidth="1"/>
    <col min="10749" max="10749" width="12.5703125" customWidth="1"/>
    <col min="10750" max="10750" width="8.28515625" customWidth="1"/>
    <col min="10751" max="10752" width="12.42578125" customWidth="1"/>
    <col min="10755" max="10755" width="9.5703125" bestFit="1" customWidth="1"/>
    <col min="10989" max="10989" width="11.5703125" customWidth="1"/>
    <col min="10991" max="10991" width="23.42578125" customWidth="1"/>
    <col min="10992" max="11003" width="0" hidden="1" customWidth="1"/>
    <col min="11004" max="11004" width="13.28515625" customWidth="1"/>
    <col min="11005" max="11005" width="12.5703125" customWidth="1"/>
    <col min="11006" max="11006" width="8.28515625" customWidth="1"/>
    <col min="11007" max="11008" width="12.42578125" customWidth="1"/>
    <col min="11011" max="11011" width="9.5703125" bestFit="1" customWidth="1"/>
    <col min="11245" max="11245" width="11.5703125" customWidth="1"/>
    <col min="11247" max="11247" width="23.42578125" customWidth="1"/>
    <col min="11248" max="11259" width="0" hidden="1" customWidth="1"/>
    <col min="11260" max="11260" width="13.28515625" customWidth="1"/>
    <col min="11261" max="11261" width="12.5703125" customWidth="1"/>
    <col min="11262" max="11262" width="8.28515625" customWidth="1"/>
    <col min="11263" max="11264" width="12.42578125" customWidth="1"/>
    <col min="11267" max="11267" width="9.5703125" bestFit="1" customWidth="1"/>
    <col min="11501" max="11501" width="11.5703125" customWidth="1"/>
    <col min="11503" max="11503" width="23.42578125" customWidth="1"/>
    <col min="11504" max="11515" width="0" hidden="1" customWidth="1"/>
    <col min="11516" max="11516" width="13.28515625" customWidth="1"/>
    <col min="11517" max="11517" width="12.5703125" customWidth="1"/>
    <col min="11518" max="11518" width="8.28515625" customWidth="1"/>
    <col min="11519" max="11520" width="12.42578125" customWidth="1"/>
    <col min="11523" max="11523" width="9.5703125" bestFit="1" customWidth="1"/>
    <col min="11757" max="11757" width="11.5703125" customWidth="1"/>
    <col min="11759" max="11759" width="23.42578125" customWidth="1"/>
    <col min="11760" max="11771" width="0" hidden="1" customWidth="1"/>
    <col min="11772" max="11772" width="13.28515625" customWidth="1"/>
    <col min="11773" max="11773" width="12.5703125" customWidth="1"/>
    <col min="11774" max="11774" width="8.28515625" customWidth="1"/>
    <col min="11775" max="11776" width="12.42578125" customWidth="1"/>
    <col min="11779" max="11779" width="9.5703125" bestFit="1" customWidth="1"/>
    <col min="12013" max="12013" width="11.5703125" customWidth="1"/>
    <col min="12015" max="12015" width="23.42578125" customWidth="1"/>
    <col min="12016" max="12027" width="0" hidden="1" customWidth="1"/>
    <col min="12028" max="12028" width="13.28515625" customWidth="1"/>
    <col min="12029" max="12029" width="12.5703125" customWidth="1"/>
    <col min="12030" max="12030" width="8.28515625" customWidth="1"/>
    <col min="12031" max="12032" width="12.42578125" customWidth="1"/>
    <col min="12035" max="12035" width="9.5703125" bestFit="1" customWidth="1"/>
    <col min="12269" max="12269" width="11.5703125" customWidth="1"/>
    <col min="12271" max="12271" width="23.42578125" customWidth="1"/>
    <col min="12272" max="12283" width="0" hidden="1" customWidth="1"/>
    <col min="12284" max="12284" width="13.28515625" customWidth="1"/>
    <col min="12285" max="12285" width="12.5703125" customWidth="1"/>
    <col min="12286" max="12286" width="8.28515625" customWidth="1"/>
    <col min="12287" max="12288" width="12.42578125" customWidth="1"/>
    <col min="12291" max="12291" width="9.5703125" bestFit="1" customWidth="1"/>
    <col min="12525" max="12525" width="11.5703125" customWidth="1"/>
    <col min="12527" max="12527" width="23.42578125" customWidth="1"/>
    <col min="12528" max="12539" width="0" hidden="1" customWidth="1"/>
    <col min="12540" max="12540" width="13.28515625" customWidth="1"/>
    <col min="12541" max="12541" width="12.5703125" customWidth="1"/>
    <col min="12542" max="12542" width="8.28515625" customWidth="1"/>
    <col min="12543" max="12544" width="12.42578125" customWidth="1"/>
    <col min="12547" max="12547" width="9.5703125" bestFit="1" customWidth="1"/>
    <col min="12781" max="12781" width="11.5703125" customWidth="1"/>
    <col min="12783" max="12783" width="23.42578125" customWidth="1"/>
    <col min="12784" max="12795" width="0" hidden="1" customWidth="1"/>
    <col min="12796" max="12796" width="13.28515625" customWidth="1"/>
    <col min="12797" max="12797" width="12.5703125" customWidth="1"/>
    <col min="12798" max="12798" width="8.28515625" customWidth="1"/>
    <col min="12799" max="12800" width="12.42578125" customWidth="1"/>
    <col min="12803" max="12803" width="9.5703125" bestFit="1" customWidth="1"/>
    <col min="13037" max="13037" width="11.5703125" customWidth="1"/>
    <col min="13039" max="13039" width="23.42578125" customWidth="1"/>
    <col min="13040" max="13051" width="0" hidden="1" customWidth="1"/>
    <col min="13052" max="13052" width="13.28515625" customWidth="1"/>
    <col min="13053" max="13053" width="12.5703125" customWidth="1"/>
    <col min="13054" max="13054" width="8.28515625" customWidth="1"/>
    <col min="13055" max="13056" width="12.42578125" customWidth="1"/>
    <col min="13059" max="13059" width="9.5703125" bestFit="1" customWidth="1"/>
    <col min="13293" max="13293" width="11.5703125" customWidth="1"/>
    <col min="13295" max="13295" width="23.42578125" customWidth="1"/>
    <col min="13296" max="13307" width="0" hidden="1" customWidth="1"/>
    <col min="13308" max="13308" width="13.28515625" customWidth="1"/>
    <col min="13309" max="13309" width="12.5703125" customWidth="1"/>
    <col min="13310" max="13310" width="8.28515625" customWidth="1"/>
    <col min="13311" max="13312" width="12.42578125" customWidth="1"/>
    <col min="13315" max="13315" width="9.5703125" bestFit="1" customWidth="1"/>
    <col min="13549" max="13549" width="11.5703125" customWidth="1"/>
    <col min="13551" max="13551" width="23.42578125" customWidth="1"/>
    <col min="13552" max="13563" width="0" hidden="1" customWidth="1"/>
    <col min="13564" max="13564" width="13.28515625" customWidth="1"/>
    <col min="13565" max="13565" width="12.5703125" customWidth="1"/>
    <col min="13566" max="13566" width="8.28515625" customWidth="1"/>
    <col min="13567" max="13568" width="12.42578125" customWidth="1"/>
    <col min="13571" max="13571" width="9.5703125" bestFit="1" customWidth="1"/>
    <col min="13805" max="13805" width="11.5703125" customWidth="1"/>
    <col min="13807" max="13807" width="23.42578125" customWidth="1"/>
    <col min="13808" max="13819" width="0" hidden="1" customWidth="1"/>
    <col min="13820" max="13820" width="13.28515625" customWidth="1"/>
    <col min="13821" max="13821" width="12.5703125" customWidth="1"/>
    <col min="13822" max="13822" width="8.28515625" customWidth="1"/>
    <col min="13823" max="13824" width="12.42578125" customWidth="1"/>
    <col min="13827" max="13827" width="9.5703125" bestFit="1" customWidth="1"/>
    <col min="14061" max="14061" width="11.5703125" customWidth="1"/>
    <col min="14063" max="14063" width="23.42578125" customWidth="1"/>
    <col min="14064" max="14075" width="0" hidden="1" customWidth="1"/>
    <col min="14076" max="14076" width="13.28515625" customWidth="1"/>
    <col min="14077" max="14077" width="12.5703125" customWidth="1"/>
    <col min="14078" max="14078" width="8.28515625" customWidth="1"/>
    <col min="14079" max="14080" width="12.42578125" customWidth="1"/>
    <col min="14083" max="14083" width="9.5703125" bestFit="1" customWidth="1"/>
    <col min="14317" max="14317" width="11.5703125" customWidth="1"/>
    <col min="14319" max="14319" width="23.42578125" customWidth="1"/>
    <col min="14320" max="14331" width="0" hidden="1" customWidth="1"/>
    <col min="14332" max="14332" width="13.28515625" customWidth="1"/>
    <col min="14333" max="14333" width="12.5703125" customWidth="1"/>
    <col min="14334" max="14334" width="8.28515625" customWidth="1"/>
    <col min="14335" max="14336" width="12.42578125" customWidth="1"/>
    <col min="14339" max="14339" width="9.5703125" bestFit="1" customWidth="1"/>
    <col min="14573" max="14573" width="11.5703125" customWidth="1"/>
    <col min="14575" max="14575" width="23.42578125" customWidth="1"/>
    <col min="14576" max="14587" width="0" hidden="1" customWidth="1"/>
    <col min="14588" max="14588" width="13.28515625" customWidth="1"/>
    <col min="14589" max="14589" width="12.5703125" customWidth="1"/>
    <col min="14590" max="14590" width="8.28515625" customWidth="1"/>
    <col min="14591" max="14592" width="12.42578125" customWidth="1"/>
    <col min="14595" max="14595" width="9.5703125" bestFit="1" customWidth="1"/>
    <col min="14829" max="14829" width="11.5703125" customWidth="1"/>
    <col min="14831" max="14831" width="23.42578125" customWidth="1"/>
    <col min="14832" max="14843" width="0" hidden="1" customWidth="1"/>
    <col min="14844" max="14844" width="13.28515625" customWidth="1"/>
    <col min="14845" max="14845" width="12.5703125" customWidth="1"/>
    <col min="14846" max="14846" width="8.28515625" customWidth="1"/>
    <col min="14847" max="14848" width="12.42578125" customWidth="1"/>
    <col min="14851" max="14851" width="9.5703125" bestFit="1" customWidth="1"/>
    <col min="15085" max="15085" width="11.5703125" customWidth="1"/>
    <col min="15087" max="15087" width="23.42578125" customWidth="1"/>
    <col min="15088" max="15099" width="0" hidden="1" customWidth="1"/>
    <col min="15100" max="15100" width="13.28515625" customWidth="1"/>
    <col min="15101" max="15101" width="12.5703125" customWidth="1"/>
    <col min="15102" max="15102" width="8.28515625" customWidth="1"/>
    <col min="15103" max="15104" width="12.42578125" customWidth="1"/>
    <col min="15107" max="15107" width="9.5703125" bestFit="1" customWidth="1"/>
    <col min="15341" max="15341" width="11.5703125" customWidth="1"/>
    <col min="15343" max="15343" width="23.42578125" customWidth="1"/>
    <col min="15344" max="15355" width="0" hidden="1" customWidth="1"/>
    <col min="15356" max="15356" width="13.28515625" customWidth="1"/>
    <col min="15357" max="15357" width="12.5703125" customWidth="1"/>
    <col min="15358" max="15358" width="8.28515625" customWidth="1"/>
    <col min="15359" max="15360" width="12.42578125" customWidth="1"/>
    <col min="15363" max="15363" width="9.5703125" bestFit="1" customWidth="1"/>
    <col min="15597" max="15597" width="11.5703125" customWidth="1"/>
    <col min="15599" max="15599" width="23.42578125" customWidth="1"/>
    <col min="15600" max="15611" width="0" hidden="1" customWidth="1"/>
    <col min="15612" max="15612" width="13.28515625" customWidth="1"/>
    <col min="15613" max="15613" width="12.5703125" customWidth="1"/>
    <col min="15614" max="15614" width="8.28515625" customWidth="1"/>
    <col min="15615" max="15616" width="12.42578125" customWidth="1"/>
    <col min="15619" max="15619" width="9.5703125" bestFit="1" customWidth="1"/>
    <col min="15853" max="15853" width="11.5703125" customWidth="1"/>
    <col min="15855" max="15855" width="23.42578125" customWidth="1"/>
    <col min="15856" max="15867" width="0" hidden="1" customWidth="1"/>
    <col min="15868" max="15868" width="13.28515625" customWidth="1"/>
    <col min="15869" max="15869" width="12.5703125" customWidth="1"/>
    <col min="15870" max="15870" width="8.28515625" customWidth="1"/>
    <col min="15871" max="15872" width="12.42578125" customWidth="1"/>
    <col min="15875" max="15875" width="9.5703125" bestFit="1" customWidth="1"/>
    <col min="16109" max="16109" width="11.5703125" customWidth="1"/>
    <col min="16111" max="16111" width="23.42578125" customWidth="1"/>
    <col min="16112" max="16123" width="0" hidden="1" customWidth="1"/>
    <col min="16124" max="16124" width="13.28515625" customWidth="1"/>
    <col min="16125" max="16125" width="12.5703125" customWidth="1"/>
    <col min="16126" max="16126" width="8.28515625" customWidth="1"/>
    <col min="16127" max="16128" width="12.42578125" customWidth="1"/>
    <col min="16131" max="16131" width="9.5703125" bestFit="1" customWidth="1"/>
  </cols>
  <sheetData>
    <row r="1" spans="1:22" ht="15.75" thickBot="1" x14ac:dyDescent="0.3">
      <c r="A1" s="808" t="s">
        <v>400</v>
      </c>
      <c r="B1" s="808"/>
      <c r="C1" s="808"/>
      <c r="D1" s="808"/>
      <c r="E1" s="808"/>
      <c r="F1" s="808"/>
      <c r="G1" s="808"/>
      <c r="H1" s="808"/>
      <c r="I1" s="808"/>
      <c r="J1" s="808"/>
      <c r="K1" s="808"/>
      <c r="L1" s="808"/>
      <c r="M1" s="808"/>
      <c r="N1" s="808"/>
      <c r="O1" s="808"/>
      <c r="P1" s="808"/>
      <c r="Q1" s="808"/>
      <c r="R1" s="808"/>
      <c r="S1" s="808"/>
      <c r="T1" s="808"/>
    </row>
    <row r="2" spans="1:22" ht="14.25" customHeight="1" thickTop="1" thickBot="1" x14ac:dyDescent="0.3">
      <c r="A2" s="769" t="s">
        <v>112</v>
      </c>
      <c r="B2" s="771" t="s">
        <v>1</v>
      </c>
      <c r="C2" s="773" t="s">
        <v>113</v>
      </c>
      <c r="D2" s="717" t="s">
        <v>114</v>
      </c>
      <c r="E2" s="717" t="s">
        <v>115</v>
      </c>
      <c r="F2" s="717" t="s">
        <v>116</v>
      </c>
      <c r="G2" s="717" t="s">
        <v>117</v>
      </c>
      <c r="H2" s="717" t="s">
        <v>118</v>
      </c>
      <c r="I2" s="717" t="s">
        <v>8</v>
      </c>
      <c r="J2" s="717" t="s">
        <v>9</v>
      </c>
      <c r="K2" s="717" t="s">
        <v>10</v>
      </c>
      <c r="L2" s="717" t="s">
        <v>11</v>
      </c>
      <c r="M2" s="717" t="s">
        <v>12</v>
      </c>
      <c r="N2" s="717" t="s">
        <v>13</v>
      </c>
      <c r="O2" s="717" t="s">
        <v>14</v>
      </c>
      <c r="P2" s="717" t="s">
        <v>459</v>
      </c>
      <c r="Q2" s="737" t="s">
        <v>440</v>
      </c>
      <c r="R2" s="767" t="s">
        <v>482</v>
      </c>
      <c r="S2" s="768"/>
      <c r="T2" s="723" t="s">
        <v>406</v>
      </c>
    </row>
    <row r="3" spans="1:22" ht="33.75" customHeight="1" thickBot="1" x14ac:dyDescent="0.3">
      <c r="A3" s="770"/>
      <c r="B3" s="772"/>
      <c r="C3" s="774"/>
      <c r="D3" s="718"/>
      <c r="E3" s="718"/>
      <c r="F3" s="718"/>
      <c r="G3" s="718"/>
      <c r="H3" s="718"/>
      <c r="I3" s="718"/>
      <c r="J3" s="718"/>
      <c r="K3" s="718"/>
      <c r="L3" s="718"/>
      <c r="M3" s="718"/>
      <c r="N3" s="718"/>
      <c r="O3" s="718"/>
      <c r="P3" s="718"/>
      <c r="Q3" s="738"/>
      <c r="R3" s="639" t="s">
        <v>18</v>
      </c>
      <c r="S3" s="640" t="s">
        <v>20</v>
      </c>
      <c r="T3" s="724"/>
    </row>
    <row r="4" spans="1:22" ht="33" customHeight="1" thickTop="1" thickBot="1" x14ac:dyDescent="0.3">
      <c r="A4" s="609" t="s">
        <v>120</v>
      </c>
      <c r="B4" s="775" t="s">
        <v>121</v>
      </c>
      <c r="C4" s="776"/>
      <c r="D4" s="162">
        <f>SUM(D5:D8)</f>
        <v>778928</v>
      </c>
      <c r="E4" s="162">
        <f>SUM(E5:E9)</f>
        <v>871108</v>
      </c>
      <c r="F4" s="162">
        <f>SUM(F5:F9)</f>
        <v>1155712</v>
      </c>
      <c r="G4" s="162">
        <f>SUM(G5:G9)</f>
        <v>1166481</v>
      </c>
      <c r="H4" s="162">
        <f t="shared" ref="H4:O4" si="0">SUM(H5:H8)</f>
        <v>1147628</v>
      </c>
      <c r="I4" s="162">
        <f t="shared" si="0"/>
        <v>985015</v>
      </c>
      <c r="J4" s="162">
        <f t="shared" si="0"/>
        <v>971730</v>
      </c>
      <c r="K4" s="162">
        <f t="shared" si="0"/>
        <v>883614</v>
      </c>
      <c r="L4" s="163">
        <f t="shared" si="0"/>
        <v>976223.29</v>
      </c>
      <c r="M4" s="163">
        <f t="shared" si="0"/>
        <v>957107.49</v>
      </c>
      <c r="N4" s="560">
        <f t="shared" si="0"/>
        <v>918554.61999999988</v>
      </c>
      <c r="O4" s="561">
        <f t="shared" si="0"/>
        <v>1019134.8</v>
      </c>
      <c r="P4" s="560">
        <v>1045488.5499999999</v>
      </c>
      <c r="Q4" s="560">
        <f>SUM(Q5:Q9)</f>
        <v>1236714</v>
      </c>
      <c r="R4" s="560">
        <f>SUM(R5:R9)</f>
        <v>70152</v>
      </c>
      <c r="S4" s="560">
        <f>SUM(S5:S9)</f>
        <v>0</v>
      </c>
      <c r="T4" s="641">
        <f>SUM(T5:T9)</f>
        <v>1306866</v>
      </c>
      <c r="V4" s="714"/>
    </row>
    <row r="5" spans="1:22" ht="15.75" customHeight="1" x14ac:dyDescent="0.25">
      <c r="A5" s="729"/>
      <c r="B5" s="164">
        <v>610</v>
      </c>
      <c r="C5" s="66" t="s">
        <v>122</v>
      </c>
      <c r="D5" s="67">
        <v>363938</v>
      </c>
      <c r="E5" s="67">
        <v>383290</v>
      </c>
      <c r="F5" s="67">
        <v>452765</v>
      </c>
      <c r="G5" s="67">
        <v>532728</v>
      </c>
      <c r="H5" s="67">
        <v>538578</v>
      </c>
      <c r="I5" s="66">
        <v>504967</v>
      </c>
      <c r="J5" s="67">
        <v>465252</v>
      </c>
      <c r="K5" s="67">
        <v>431649</v>
      </c>
      <c r="L5" s="150">
        <v>437364.06</v>
      </c>
      <c r="M5" s="150">
        <v>454979.56</v>
      </c>
      <c r="N5" s="23">
        <v>470394.73</v>
      </c>
      <c r="O5" s="22">
        <v>508902.26</v>
      </c>
      <c r="P5" s="23">
        <v>540360.73</v>
      </c>
      <c r="Q5" s="23">
        <v>685915</v>
      </c>
      <c r="R5" s="577">
        <v>25000</v>
      </c>
      <c r="S5" s="577"/>
      <c r="T5" s="578">
        <f>Q5+R5+S5</f>
        <v>710915</v>
      </c>
      <c r="V5" s="165"/>
    </row>
    <row r="6" spans="1:22" ht="15" customHeight="1" x14ac:dyDescent="0.25">
      <c r="A6" s="730"/>
      <c r="B6" s="166">
        <v>620</v>
      </c>
      <c r="C6" s="68" t="s">
        <v>123</v>
      </c>
      <c r="D6" s="69">
        <v>111465</v>
      </c>
      <c r="E6" s="69">
        <v>132411</v>
      </c>
      <c r="F6" s="69">
        <v>158202</v>
      </c>
      <c r="G6" s="69">
        <v>187864</v>
      </c>
      <c r="H6" s="69">
        <v>188430</v>
      </c>
      <c r="I6" s="68">
        <v>189093</v>
      </c>
      <c r="J6" s="69">
        <v>179953</v>
      </c>
      <c r="K6" s="69">
        <v>175243</v>
      </c>
      <c r="L6" s="151">
        <v>178000.1</v>
      </c>
      <c r="M6" s="151">
        <v>174131.76</v>
      </c>
      <c r="N6" s="30">
        <v>179809.87</v>
      </c>
      <c r="O6" s="29">
        <v>197673.12</v>
      </c>
      <c r="P6" s="30">
        <v>207010.55</v>
      </c>
      <c r="Q6" s="30">
        <v>253569</v>
      </c>
      <c r="R6" s="562">
        <v>8737</v>
      </c>
      <c r="S6" s="564"/>
      <c r="T6" s="565">
        <f>Q6+R6+S6</f>
        <v>262306</v>
      </c>
      <c r="V6" s="165"/>
    </row>
    <row r="7" spans="1:22" x14ac:dyDescent="0.25">
      <c r="A7" s="730"/>
      <c r="B7" s="166">
        <v>630</v>
      </c>
      <c r="C7" s="68" t="s">
        <v>124</v>
      </c>
      <c r="D7" s="69">
        <v>303525</v>
      </c>
      <c r="E7" s="69">
        <v>353781</v>
      </c>
      <c r="F7" s="69">
        <v>543916</v>
      </c>
      <c r="G7" s="69">
        <v>395781</v>
      </c>
      <c r="H7" s="69">
        <v>413206</v>
      </c>
      <c r="I7" s="68">
        <v>272860</v>
      </c>
      <c r="J7" s="69">
        <v>302729</v>
      </c>
      <c r="K7" s="69">
        <v>273797</v>
      </c>
      <c r="L7" s="151">
        <v>356359.19</v>
      </c>
      <c r="M7" s="151">
        <v>297179.95</v>
      </c>
      <c r="N7" s="30">
        <v>260734.03999999998</v>
      </c>
      <c r="O7" s="29">
        <v>294411.15000000002</v>
      </c>
      <c r="P7" s="30">
        <v>296326.19</v>
      </c>
      <c r="Q7" s="30">
        <v>262730</v>
      </c>
      <c r="R7" s="562">
        <f>29791+6748-124</f>
        <v>36415</v>
      </c>
      <c r="S7" s="564"/>
      <c r="T7" s="565">
        <f>Q7+R7+S7</f>
        <v>299145</v>
      </c>
    </row>
    <row r="8" spans="1:22" x14ac:dyDescent="0.25">
      <c r="A8" s="730"/>
      <c r="B8" s="166">
        <v>640</v>
      </c>
      <c r="C8" s="68" t="s">
        <v>125</v>
      </c>
      <c r="D8" s="69"/>
      <c r="E8" s="69">
        <v>564</v>
      </c>
      <c r="F8" s="69">
        <v>232</v>
      </c>
      <c r="G8" s="69">
        <v>49367</v>
      </c>
      <c r="H8" s="69">
        <v>7414</v>
      </c>
      <c r="I8" s="68">
        <v>18095</v>
      </c>
      <c r="J8" s="167">
        <v>23796</v>
      </c>
      <c r="K8" s="167">
        <v>2925</v>
      </c>
      <c r="L8" s="168">
        <v>4499.9399999999996</v>
      </c>
      <c r="M8" s="151">
        <v>30816.22</v>
      </c>
      <c r="N8" s="30">
        <v>7615.98</v>
      </c>
      <c r="O8" s="29">
        <v>18148.27</v>
      </c>
      <c r="P8" s="30">
        <v>1791.08</v>
      </c>
      <c r="Q8" s="30"/>
      <c r="R8" s="564"/>
      <c r="S8" s="566"/>
      <c r="T8" s="565">
        <f>Q8+R8+S8</f>
        <v>0</v>
      </c>
    </row>
    <row r="9" spans="1:22" ht="15.75" customHeight="1" thickBot="1" x14ac:dyDescent="0.3">
      <c r="A9" s="731"/>
      <c r="B9" s="166">
        <v>630</v>
      </c>
      <c r="C9" s="68" t="s">
        <v>461</v>
      </c>
      <c r="D9" s="69"/>
      <c r="E9" s="69">
        <v>1062</v>
      </c>
      <c r="F9" s="69">
        <v>597</v>
      </c>
      <c r="G9" s="69">
        <v>741</v>
      </c>
      <c r="H9" s="69"/>
      <c r="I9" s="169"/>
      <c r="J9" s="169"/>
      <c r="K9" s="169"/>
      <c r="L9" s="170"/>
      <c r="M9" s="171"/>
      <c r="N9" s="117"/>
      <c r="O9" s="117"/>
      <c r="P9" s="117"/>
      <c r="Q9" s="117">
        <v>34500</v>
      </c>
      <c r="R9" s="579"/>
      <c r="S9" s="579"/>
      <c r="T9" s="580">
        <f>Q9+R9+S9</f>
        <v>34500</v>
      </c>
    </row>
    <row r="10" spans="1:22" ht="15.75" thickBot="1" x14ac:dyDescent="0.3">
      <c r="A10" s="172" t="s">
        <v>126</v>
      </c>
      <c r="B10" s="755" t="s">
        <v>127</v>
      </c>
      <c r="C10" s="728"/>
      <c r="D10" s="173">
        <v>7269</v>
      </c>
      <c r="E10" s="173">
        <v>6772</v>
      </c>
      <c r="F10" s="173">
        <v>8265</v>
      </c>
      <c r="G10" s="173">
        <v>13828</v>
      </c>
      <c r="H10" s="102">
        <f t="shared" ref="H10:M10" si="1">SUM(H11:H13)</f>
        <v>14882</v>
      </c>
      <c r="I10" s="102">
        <f t="shared" si="1"/>
        <v>14051</v>
      </c>
      <c r="J10" s="102">
        <f t="shared" si="1"/>
        <v>82274</v>
      </c>
      <c r="K10" s="102">
        <f t="shared" si="1"/>
        <v>22548</v>
      </c>
      <c r="L10" s="103">
        <f t="shared" si="1"/>
        <v>18623.79</v>
      </c>
      <c r="M10" s="103">
        <f t="shared" si="1"/>
        <v>22356.78</v>
      </c>
      <c r="N10" s="104">
        <f>SUM(N11:N13)</f>
        <v>18604.68</v>
      </c>
      <c r="O10" s="238">
        <f>SUM(O11:O13)</f>
        <v>11492.61</v>
      </c>
      <c r="P10" s="104">
        <v>22020.720000000001</v>
      </c>
      <c r="Q10" s="104">
        <f>SUM(Q11:Q13)</f>
        <v>16500</v>
      </c>
      <c r="R10" s="104">
        <f>SUM(R11:R13)</f>
        <v>0</v>
      </c>
      <c r="S10" s="104">
        <f>SUM(S11:S13)</f>
        <v>0</v>
      </c>
      <c r="T10" s="105">
        <f>SUM(T11:T13)</f>
        <v>16500</v>
      </c>
    </row>
    <row r="11" spans="1:22" x14ac:dyDescent="0.25">
      <c r="A11" s="777"/>
      <c r="B11" s="175">
        <v>630</v>
      </c>
      <c r="C11" s="19" t="s">
        <v>128</v>
      </c>
      <c r="D11" s="176"/>
      <c r="E11" s="176"/>
      <c r="F11" s="176"/>
      <c r="G11" s="176"/>
      <c r="H11" s="176">
        <v>2345</v>
      </c>
      <c r="I11" s="19">
        <v>2324</v>
      </c>
      <c r="J11" s="67">
        <v>1162</v>
      </c>
      <c r="K11" s="67">
        <v>2324</v>
      </c>
      <c r="L11" s="150">
        <v>3486</v>
      </c>
      <c r="M11" s="177">
        <v>2324</v>
      </c>
      <c r="N11" s="21">
        <v>2324</v>
      </c>
      <c r="O11" s="178">
        <v>1162</v>
      </c>
      <c r="P11" s="21">
        <v>2324</v>
      </c>
      <c r="Q11" s="21">
        <v>3500</v>
      </c>
      <c r="R11" s="562"/>
      <c r="S11" s="21"/>
      <c r="T11" s="563">
        <f>Q11+R11+S11</f>
        <v>3500</v>
      </c>
    </row>
    <row r="12" spans="1:22" x14ac:dyDescent="0.25">
      <c r="A12" s="778"/>
      <c r="B12" s="179">
        <v>630</v>
      </c>
      <c r="C12" s="26" t="s">
        <v>129</v>
      </c>
      <c r="D12" s="180"/>
      <c r="E12" s="180"/>
      <c r="F12" s="180"/>
      <c r="G12" s="180"/>
      <c r="H12" s="180">
        <v>12537</v>
      </c>
      <c r="I12" s="26">
        <v>11727</v>
      </c>
      <c r="J12" s="69">
        <v>13096</v>
      </c>
      <c r="K12" s="69">
        <v>9612</v>
      </c>
      <c r="L12" s="151">
        <v>14911.65</v>
      </c>
      <c r="M12" s="181">
        <v>19064.189999999999</v>
      </c>
      <c r="N12" s="28">
        <v>8451.5499999999993</v>
      </c>
      <c r="O12" s="137">
        <v>6786.26</v>
      </c>
      <c r="P12" s="28">
        <v>16482.330000000002</v>
      </c>
      <c r="Q12" s="28">
        <v>13000</v>
      </c>
      <c r="R12" s="564"/>
      <c r="S12" s="28"/>
      <c r="T12" s="565">
        <f>Q12+R12+S12</f>
        <v>13000</v>
      </c>
    </row>
    <row r="13" spans="1:22" ht="15.75" thickBot="1" x14ac:dyDescent="0.3">
      <c r="A13" s="779"/>
      <c r="B13" s="182">
        <v>630</v>
      </c>
      <c r="C13" s="183" t="s">
        <v>130</v>
      </c>
      <c r="D13" s="184"/>
      <c r="E13" s="184"/>
      <c r="F13" s="184"/>
      <c r="G13" s="184"/>
      <c r="H13" s="184"/>
      <c r="I13" s="183"/>
      <c r="J13" s="69">
        <v>68016</v>
      </c>
      <c r="K13" s="69">
        <v>10612</v>
      </c>
      <c r="L13" s="56">
        <v>226.14</v>
      </c>
      <c r="M13" s="185">
        <v>968.59</v>
      </c>
      <c r="N13" s="55">
        <v>7829.13</v>
      </c>
      <c r="O13" s="185">
        <v>3544.35</v>
      </c>
      <c r="P13" s="55">
        <v>3214.39</v>
      </c>
      <c r="Q13" s="55"/>
      <c r="R13" s="576"/>
      <c r="S13" s="568"/>
      <c r="T13" s="570">
        <f>Q13+R13+S13</f>
        <v>0</v>
      </c>
    </row>
    <row r="14" spans="1:22" ht="15.75" thickBot="1" x14ac:dyDescent="0.3">
      <c r="A14" s="172" t="s">
        <v>131</v>
      </c>
      <c r="B14" s="755" t="s">
        <v>132</v>
      </c>
      <c r="C14" s="728"/>
      <c r="D14" s="173">
        <v>20846</v>
      </c>
      <c r="E14" s="173">
        <v>22240</v>
      </c>
      <c r="F14" s="173">
        <v>25427</v>
      </c>
      <c r="G14" s="173">
        <v>26903</v>
      </c>
      <c r="H14" s="102">
        <f>SUM(H15:H17)</f>
        <v>29798</v>
      </c>
      <c r="I14" s="102">
        <f>SUM(I15:I17)</f>
        <v>28936</v>
      </c>
      <c r="J14" s="102">
        <f>SUM(J15:J17)</f>
        <v>27963</v>
      </c>
      <c r="K14" s="102">
        <f>SUM(K15:K18)</f>
        <v>24050</v>
      </c>
      <c r="L14" s="103">
        <f>SUM(L15:L18)</f>
        <v>25050.219999999998</v>
      </c>
      <c r="M14" s="103">
        <f>SUM(M15:M18)</f>
        <v>28488.050000000003</v>
      </c>
      <c r="N14" s="104">
        <f>SUM(N15:N18)</f>
        <v>30083.289999999997</v>
      </c>
      <c r="O14" s="238">
        <f>SUM(O15:O18)</f>
        <v>33186.080000000002</v>
      </c>
      <c r="P14" s="104">
        <v>29084.07</v>
      </c>
      <c r="Q14" s="104">
        <f>SUM(Q15:Q18)</f>
        <v>43675</v>
      </c>
      <c r="R14" s="104">
        <f>SUM(R15:R18)</f>
        <v>0</v>
      </c>
      <c r="S14" s="104">
        <f>SUM(S15:S18)</f>
        <v>0</v>
      </c>
      <c r="T14" s="105">
        <f>SUM(T15:T18)</f>
        <v>43675</v>
      </c>
    </row>
    <row r="15" spans="1:22" x14ac:dyDescent="0.25">
      <c r="A15" s="777"/>
      <c r="B15" s="164">
        <v>610</v>
      </c>
      <c r="C15" s="186" t="s">
        <v>122</v>
      </c>
      <c r="D15" s="187"/>
      <c r="E15" s="187">
        <v>13875</v>
      </c>
      <c r="F15" s="187">
        <v>15734</v>
      </c>
      <c r="G15" s="187">
        <v>16231</v>
      </c>
      <c r="H15" s="187">
        <v>16787</v>
      </c>
      <c r="I15" s="66">
        <v>17943</v>
      </c>
      <c r="J15" s="67">
        <v>18167</v>
      </c>
      <c r="K15" s="67">
        <v>15592</v>
      </c>
      <c r="L15" s="22">
        <v>15883.66</v>
      </c>
      <c r="M15" s="22">
        <v>19536.88</v>
      </c>
      <c r="N15" s="23">
        <v>20405.939999999999</v>
      </c>
      <c r="O15" s="22">
        <v>22741.57</v>
      </c>
      <c r="P15" s="23">
        <v>20172.560000000001</v>
      </c>
      <c r="Q15" s="23">
        <v>29937</v>
      </c>
      <c r="R15" s="562"/>
      <c r="S15" s="562"/>
      <c r="T15" s="563">
        <f>Q15+R15+S15</f>
        <v>29937</v>
      </c>
    </row>
    <row r="16" spans="1:22" x14ac:dyDescent="0.25">
      <c r="A16" s="778"/>
      <c r="B16" s="166">
        <v>620</v>
      </c>
      <c r="C16" s="188" t="s">
        <v>123</v>
      </c>
      <c r="D16" s="189"/>
      <c r="E16" s="189">
        <v>4647</v>
      </c>
      <c r="F16" s="189">
        <v>5411</v>
      </c>
      <c r="G16" s="189">
        <v>5677</v>
      </c>
      <c r="H16" s="189">
        <v>6011</v>
      </c>
      <c r="I16" s="68">
        <v>6464</v>
      </c>
      <c r="J16" s="69">
        <v>6580</v>
      </c>
      <c r="K16" s="69">
        <v>5691</v>
      </c>
      <c r="L16" s="29">
        <v>6220</v>
      </c>
      <c r="M16" s="29">
        <v>6654.3</v>
      </c>
      <c r="N16" s="30">
        <v>7320.69</v>
      </c>
      <c r="O16" s="29">
        <v>8093.18</v>
      </c>
      <c r="P16" s="30">
        <v>6866.62</v>
      </c>
      <c r="Q16" s="30">
        <v>11038</v>
      </c>
      <c r="R16" s="564"/>
      <c r="S16" s="564"/>
      <c r="T16" s="565">
        <f>Q16+R16+S16</f>
        <v>11038</v>
      </c>
    </row>
    <row r="17" spans="1:20" x14ac:dyDescent="0.25">
      <c r="A17" s="778"/>
      <c r="B17" s="166">
        <v>630</v>
      </c>
      <c r="C17" s="188" t="s">
        <v>124</v>
      </c>
      <c r="D17" s="189"/>
      <c r="E17" s="189">
        <v>3718</v>
      </c>
      <c r="F17" s="189">
        <v>4282</v>
      </c>
      <c r="G17" s="189">
        <v>4995</v>
      </c>
      <c r="H17" s="189">
        <v>7000</v>
      </c>
      <c r="I17" s="68">
        <v>4529</v>
      </c>
      <c r="J17" s="69">
        <v>3216</v>
      </c>
      <c r="K17" s="69">
        <v>2533</v>
      </c>
      <c r="L17" s="29">
        <v>2610.08</v>
      </c>
      <c r="M17" s="29">
        <v>2181.04</v>
      </c>
      <c r="N17" s="30">
        <v>2356.66</v>
      </c>
      <c r="O17" s="29">
        <v>2351.33</v>
      </c>
      <c r="P17" s="30">
        <v>1891.13</v>
      </c>
      <c r="Q17" s="30">
        <v>2700</v>
      </c>
      <c r="R17" s="564"/>
      <c r="S17" s="564"/>
      <c r="T17" s="565">
        <f>Q17+R17+S17</f>
        <v>2700</v>
      </c>
    </row>
    <row r="18" spans="1:20" ht="15.75" thickBot="1" x14ac:dyDescent="0.3">
      <c r="A18" s="779"/>
      <c r="B18" s="598"/>
      <c r="C18" s="169"/>
      <c r="D18" s="190"/>
      <c r="E18" s="190"/>
      <c r="F18" s="190"/>
      <c r="G18" s="190"/>
      <c r="H18" s="190"/>
      <c r="I18" s="191"/>
      <c r="J18" s="69"/>
      <c r="K18" s="69">
        <v>234</v>
      </c>
      <c r="L18" s="108">
        <v>336.48</v>
      </c>
      <c r="M18" s="108">
        <v>115.83</v>
      </c>
      <c r="N18" s="109"/>
      <c r="O18" s="109"/>
      <c r="P18" s="109">
        <v>153.76</v>
      </c>
      <c r="Q18" s="109"/>
      <c r="R18" s="576"/>
      <c r="S18" s="568"/>
      <c r="T18" s="569">
        <f>Q18+R18+S18</f>
        <v>0</v>
      </c>
    </row>
    <row r="19" spans="1:20" ht="15.75" thickBot="1" x14ac:dyDescent="0.3">
      <c r="A19" s="172" t="s">
        <v>133</v>
      </c>
      <c r="B19" s="755" t="s">
        <v>134</v>
      </c>
      <c r="C19" s="728"/>
      <c r="D19" s="173">
        <v>13145</v>
      </c>
      <c r="E19" s="173">
        <v>10057</v>
      </c>
      <c r="F19" s="173">
        <v>8498</v>
      </c>
      <c r="G19" s="173">
        <v>54518</v>
      </c>
      <c r="H19" s="102">
        <f t="shared" ref="H19:O19" si="2">H22+H20+H21+H23+H24</f>
        <v>31457</v>
      </c>
      <c r="I19" s="102">
        <f t="shared" si="2"/>
        <v>31963</v>
      </c>
      <c r="J19" s="102">
        <f t="shared" si="2"/>
        <v>33449</v>
      </c>
      <c r="K19" s="102">
        <f t="shared" si="2"/>
        <v>18092</v>
      </c>
      <c r="L19" s="103">
        <f t="shared" si="2"/>
        <v>54586.799999999996</v>
      </c>
      <c r="M19" s="103">
        <f t="shared" si="2"/>
        <v>16584.939999999999</v>
      </c>
      <c r="N19" s="102">
        <f t="shared" si="2"/>
        <v>25483.510000000002</v>
      </c>
      <c r="O19" s="103">
        <f t="shared" si="2"/>
        <v>21980.289999999997</v>
      </c>
      <c r="P19" s="102">
        <v>22643.670000000002</v>
      </c>
      <c r="Q19" s="104">
        <f>SUM(Q20:Q24)</f>
        <v>17467</v>
      </c>
      <c r="R19" s="104">
        <f>SUM(R20:R24)</f>
        <v>0</v>
      </c>
      <c r="S19" s="104">
        <f>SUM(S20:S24)</f>
        <v>0</v>
      </c>
      <c r="T19" s="105">
        <f>SUM(T20:T24)</f>
        <v>17467</v>
      </c>
    </row>
    <row r="20" spans="1:20" x14ac:dyDescent="0.25">
      <c r="A20" s="780"/>
      <c r="B20" s="192">
        <v>610</v>
      </c>
      <c r="C20" s="186" t="s">
        <v>122</v>
      </c>
      <c r="D20" s="187"/>
      <c r="E20" s="187">
        <v>0</v>
      </c>
      <c r="F20" s="187">
        <v>4482</v>
      </c>
      <c r="G20" s="187">
        <v>7787</v>
      </c>
      <c r="H20" s="187">
        <v>7509</v>
      </c>
      <c r="I20" s="186">
        <v>7692</v>
      </c>
      <c r="J20" s="67">
        <v>7969</v>
      </c>
      <c r="K20" s="67">
        <v>7777</v>
      </c>
      <c r="L20" s="22">
        <v>7662.08</v>
      </c>
      <c r="M20" s="22">
        <v>8679.9500000000007</v>
      </c>
      <c r="N20" s="23">
        <v>9877.67</v>
      </c>
      <c r="O20" s="22">
        <v>9786.5300000000007</v>
      </c>
      <c r="P20" s="23">
        <v>11379.37</v>
      </c>
      <c r="Q20" s="23">
        <v>12349</v>
      </c>
      <c r="R20" s="562"/>
      <c r="S20" s="562"/>
      <c r="T20" s="563">
        <f>Q20+R20+S20</f>
        <v>12349</v>
      </c>
    </row>
    <row r="21" spans="1:20" x14ac:dyDescent="0.25">
      <c r="A21" s="781"/>
      <c r="B21" s="193">
        <v>620</v>
      </c>
      <c r="C21" s="188" t="s">
        <v>123</v>
      </c>
      <c r="D21" s="167"/>
      <c r="E21" s="167">
        <v>0</v>
      </c>
      <c r="F21" s="167">
        <v>2058</v>
      </c>
      <c r="G21" s="167">
        <v>3864</v>
      </c>
      <c r="H21" s="167">
        <v>2426</v>
      </c>
      <c r="I21" s="188">
        <v>2683</v>
      </c>
      <c r="J21" s="69">
        <v>3469</v>
      </c>
      <c r="K21" s="69">
        <v>3267</v>
      </c>
      <c r="L21" s="29">
        <v>3320.66</v>
      </c>
      <c r="M21" s="29">
        <v>3113.97</v>
      </c>
      <c r="N21" s="30">
        <v>3720.13</v>
      </c>
      <c r="O21" s="29">
        <v>3643.9399999999996</v>
      </c>
      <c r="P21" s="30">
        <v>4236.46</v>
      </c>
      <c r="Q21" s="30">
        <v>4568</v>
      </c>
      <c r="R21" s="564"/>
      <c r="S21" s="564"/>
      <c r="T21" s="565">
        <f>Q21+R21+S21</f>
        <v>4568</v>
      </c>
    </row>
    <row r="22" spans="1:20" x14ac:dyDescent="0.25">
      <c r="A22" s="781"/>
      <c r="B22" s="193">
        <v>630</v>
      </c>
      <c r="C22" s="188" t="s">
        <v>124</v>
      </c>
      <c r="D22" s="167"/>
      <c r="E22" s="167">
        <v>0</v>
      </c>
      <c r="F22" s="167">
        <v>1958</v>
      </c>
      <c r="G22" s="167">
        <v>42867</v>
      </c>
      <c r="H22" s="167">
        <v>1012</v>
      </c>
      <c r="I22" s="188">
        <v>989</v>
      </c>
      <c r="J22" s="69">
        <v>1227</v>
      </c>
      <c r="K22" s="69">
        <v>947</v>
      </c>
      <c r="L22" s="29">
        <v>588.04</v>
      </c>
      <c r="M22" s="29">
        <v>634.67999999999995</v>
      </c>
      <c r="N22" s="30">
        <v>827.63</v>
      </c>
      <c r="O22" s="29">
        <v>828.40000000000055</v>
      </c>
      <c r="P22" s="30">
        <v>675.31999999999971</v>
      </c>
      <c r="Q22" s="30">
        <v>550</v>
      </c>
      <c r="R22" s="564"/>
      <c r="S22" s="564"/>
      <c r="T22" s="565">
        <f>Q22+R22+S22</f>
        <v>550</v>
      </c>
    </row>
    <row r="23" spans="1:20" x14ac:dyDescent="0.25">
      <c r="A23" s="781"/>
      <c r="B23" s="193">
        <v>640</v>
      </c>
      <c r="C23" s="68" t="s">
        <v>125</v>
      </c>
      <c r="D23" s="69"/>
      <c r="E23" s="69"/>
      <c r="F23" s="69"/>
      <c r="G23" s="69"/>
      <c r="H23" s="69"/>
      <c r="I23" s="68"/>
      <c r="J23" s="69">
        <v>3100</v>
      </c>
      <c r="K23" s="69"/>
      <c r="L23" s="30"/>
      <c r="M23" s="29">
        <v>113.93</v>
      </c>
      <c r="N23" s="30"/>
      <c r="O23" s="29">
        <v>124.72</v>
      </c>
      <c r="P23" s="30"/>
      <c r="Q23" s="30"/>
      <c r="R23" s="564"/>
      <c r="S23" s="564"/>
      <c r="T23" s="565">
        <f>Q23+R23+S23</f>
        <v>0</v>
      </c>
    </row>
    <row r="24" spans="1:20" ht="15.75" thickBot="1" x14ac:dyDescent="0.3">
      <c r="A24" s="782"/>
      <c r="B24" s="194">
        <v>600</v>
      </c>
      <c r="C24" s="169" t="s">
        <v>135</v>
      </c>
      <c r="D24" s="195"/>
      <c r="E24" s="195"/>
      <c r="F24" s="195"/>
      <c r="G24" s="195"/>
      <c r="H24" s="69">
        <v>20510</v>
      </c>
      <c r="I24" s="169">
        <v>20599</v>
      </c>
      <c r="J24" s="69">
        <v>17684</v>
      </c>
      <c r="K24" s="69">
        <v>6101</v>
      </c>
      <c r="L24" s="108">
        <v>43016.02</v>
      </c>
      <c r="M24" s="108">
        <v>4042.409999999998</v>
      </c>
      <c r="N24" s="109">
        <v>11058.08</v>
      </c>
      <c r="O24" s="108">
        <v>7596.7</v>
      </c>
      <c r="P24" s="109">
        <v>6352.52</v>
      </c>
      <c r="Q24" s="109"/>
      <c r="R24" s="576"/>
      <c r="S24" s="568"/>
      <c r="T24" s="569">
        <f>Q24+R24+S24</f>
        <v>0</v>
      </c>
    </row>
    <row r="25" spans="1:20" ht="15.75" thickBot="1" x14ac:dyDescent="0.3">
      <c r="A25" s="172" t="s">
        <v>136</v>
      </c>
      <c r="B25" s="755" t="s">
        <v>137</v>
      </c>
      <c r="C25" s="728"/>
      <c r="D25" s="196">
        <f>D26</f>
        <v>86802</v>
      </c>
      <c r="E25" s="196">
        <f>E26</f>
        <v>77342</v>
      </c>
      <c r="F25" s="196">
        <f>F26</f>
        <v>79566</v>
      </c>
      <c r="G25" s="196">
        <f>G26</f>
        <v>75201</v>
      </c>
      <c r="H25" s="196">
        <f>H26</f>
        <v>66074</v>
      </c>
      <c r="I25" s="102">
        <f t="shared" ref="I25:O25" si="3">I26</f>
        <v>84841</v>
      </c>
      <c r="J25" s="102">
        <f t="shared" si="3"/>
        <v>92558</v>
      </c>
      <c r="K25" s="102">
        <f t="shared" si="3"/>
        <v>89614</v>
      </c>
      <c r="L25" s="103">
        <f>L26</f>
        <v>87966.26</v>
      </c>
      <c r="M25" s="103">
        <f t="shared" si="3"/>
        <v>89070.75</v>
      </c>
      <c r="N25" s="104">
        <f t="shared" si="3"/>
        <v>84152.6</v>
      </c>
      <c r="O25" s="238">
        <f t="shared" si="3"/>
        <v>63074.71</v>
      </c>
      <c r="P25" s="104">
        <v>62531</v>
      </c>
      <c r="Q25" s="104">
        <f>Q26</f>
        <v>70000</v>
      </c>
      <c r="R25" s="104">
        <f>R26</f>
        <v>0</v>
      </c>
      <c r="S25" s="104">
        <f>S26</f>
        <v>0</v>
      </c>
      <c r="T25" s="105">
        <f>T26</f>
        <v>70000</v>
      </c>
    </row>
    <row r="26" spans="1:20" ht="15.75" thickBot="1" x14ac:dyDescent="0.3">
      <c r="A26" s="610"/>
      <c r="B26" s="197">
        <v>630</v>
      </c>
      <c r="C26" s="198" t="s">
        <v>138</v>
      </c>
      <c r="D26" s="199">
        <v>86802</v>
      </c>
      <c r="E26" s="199">
        <v>77342</v>
      </c>
      <c r="F26" s="199">
        <v>79566</v>
      </c>
      <c r="G26" s="199">
        <v>75201</v>
      </c>
      <c r="H26" s="199">
        <v>66074</v>
      </c>
      <c r="I26" s="191">
        <v>84841</v>
      </c>
      <c r="J26" s="191">
        <v>92558</v>
      </c>
      <c r="K26" s="125">
        <v>89614</v>
      </c>
      <c r="L26" s="108">
        <v>87966.26</v>
      </c>
      <c r="M26" s="108">
        <v>89070.75</v>
      </c>
      <c r="N26" s="109">
        <v>84152.6</v>
      </c>
      <c r="O26" s="108">
        <v>63074.71</v>
      </c>
      <c r="P26" s="109">
        <v>62531</v>
      </c>
      <c r="Q26" s="109">
        <v>70000</v>
      </c>
      <c r="R26" s="571"/>
      <c r="S26" s="571"/>
      <c r="T26" s="572">
        <f>Q26+R26+S26</f>
        <v>70000</v>
      </c>
    </row>
    <row r="27" spans="1:20" ht="15.75" thickBot="1" x14ac:dyDescent="0.3">
      <c r="A27" s="172" t="s">
        <v>139</v>
      </c>
      <c r="B27" s="755" t="s">
        <v>140</v>
      </c>
      <c r="C27" s="728"/>
      <c r="D27" s="196">
        <f>D28</f>
        <v>0</v>
      </c>
      <c r="E27" s="196">
        <f>E28</f>
        <v>1826</v>
      </c>
      <c r="F27" s="196">
        <f>F28</f>
        <v>66</v>
      </c>
      <c r="G27" s="196">
        <f>G28</f>
        <v>770</v>
      </c>
      <c r="H27" s="196">
        <f>H28</f>
        <v>2589</v>
      </c>
      <c r="I27" s="102">
        <f t="shared" ref="I27:O27" si="4">I28</f>
        <v>366</v>
      </c>
      <c r="J27" s="102">
        <f t="shared" si="4"/>
        <v>274</v>
      </c>
      <c r="K27" s="102">
        <f t="shared" si="4"/>
        <v>464</v>
      </c>
      <c r="L27" s="102">
        <f t="shared" si="4"/>
        <v>276.29000000000002</v>
      </c>
      <c r="M27" s="103">
        <f t="shared" si="4"/>
        <v>34.4</v>
      </c>
      <c r="N27" s="104">
        <f t="shared" si="4"/>
        <v>81.5</v>
      </c>
      <c r="O27" s="238">
        <f t="shared" si="4"/>
        <v>1.5</v>
      </c>
      <c r="P27" s="104">
        <v>1.5</v>
      </c>
      <c r="Q27" s="104">
        <f>Q28</f>
        <v>500</v>
      </c>
      <c r="R27" s="104">
        <f>R28</f>
        <v>0</v>
      </c>
      <c r="S27" s="104">
        <f>S28</f>
        <v>0</v>
      </c>
      <c r="T27" s="105">
        <f>T28</f>
        <v>500</v>
      </c>
    </row>
    <row r="28" spans="1:20" ht="15.75" thickBot="1" x14ac:dyDescent="0.3">
      <c r="A28" s="611"/>
      <c r="B28" s="200"/>
      <c r="C28" s="198" t="s">
        <v>141</v>
      </c>
      <c r="D28" s="199">
        <v>0</v>
      </c>
      <c r="E28" s="199">
        <v>1826</v>
      </c>
      <c r="F28" s="199">
        <v>66</v>
      </c>
      <c r="G28" s="199">
        <v>770</v>
      </c>
      <c r="H28" s="199">
        <v>2589</v>
      </c>
      <c r="I28" s="191">
        <v>366</v>
      </c>
      <c r="J28" s="191">
        <v>274</v>
      </c>
      <c r="K28" s="125">
        <v>464</v>
      </c>
      <c r="L28" s="108">
        <v>276.29000000000002</v>
      </c>
      <c r="M28" s="108">
        <v>34.4</v>
      </c>
      <c r="N28" s="109">
        <v>81.5</v>
      </c>
      <c r="O28" s="108">
        <v>1.5</v>
      </c>
      <c r="P28" s="109">
        <v>1.5</v>
      </c>
      <c r="Q28" s="109">
        <v>500</v>
      </c>
      <c r="R28" s="573"/>
      <c r="S28" s="573"/>
      <c r="T28" s="574">
        <f>Q28+R28+S28</f>
        <v>500</v>
      </c>
    </row>
    <row r="29" spans="1:20" ht="15.75" thickBot="1" x14ac:dyDescent="0.3">
      <c r="A29" s="172" t="s">
        <v>142</v>
      </c>
      <c r="B29" s="755" t="s">
        <v>143</v>
      </c>
      <c r="C29" s="728"/>
      <c r="D29" s="173">
        <v>80362</v>
      </c>
      <c r="E29" s="173">
        <v>93674</v>
      </c>
      <c r="F29" s="173">
        <v>104461</v>
      </c>
      <c r="G29" s="173">
        <v>126342</v>
      </c>
      <c r="H29" s="102">
        <f>SUM(H30:H32)</f>
        <v>137485</v>
      </c>
      <c r="I29" s="102">
        <f>SUM(I30:I32)</f>
        <v>141454</v>
      </c>
      <c r="J29" s="102">
        <f>SUM(J30:J32)</f>
        <v>150296</v>
      </c>
      <c r="K29" s="102">
        <f>SUM(K30:K32)</f>
        <v>153336</v>
      </c>
      <c r="L29" s="103">
        <f>SUM(L30:L33)</f>
        <v>153063.15</v>
      </c>
      <c r="M29" s="103">
        <f>SUM(M30:M33)</f>
        <v>160199.88999999998</v>
      </c>
      <c r="N29" s="104">
        <f>SUM(N30:N33)</f>
        <v>160815.16</v>
      </c>
      <c r="O29" s="238">
        <f>SUM(O30:O33)</f>
        <v>182466.47</v>
      </c>
      <c r="P29" s="104">
        <v>205874.57</v>
      </c>
      <c r="Q29" s="104">
        <f>SUM(Q30:Q33)</f>
        <v>240314</v>
      </c>
      <c r="R29" s="104">
        <f>SUM(R30:R33)</f>
        <v>-6750</v>
      </c>
      <c r="S29" s="104">
        <f>SUM(S30:S33)</f>
        <v>0</v>
      </c>
      <c r="T29" s="105">
        <f>SUM(T30:T33)</f>
        <v>233564</v>
      </c>
    </row>
    <row r="30" spans="1:20" x14ac:dyDescent="0.25">
      <c r="A30" s="729"/>
      <c r="B30" s="192">
        <v>610</v>
      </c>
      <c r="C30" s="66" t="s">
        <v>122</v>
      </c>
      <c r="D30" s="201"/>
      <c r="E30" s="201">
        <v>56762</v>
      </c>
      <c r="F30" s="201">
        <v>60944</v>
      </c>
      <c r="G30" s="201">
        <v>75340</v>
      </c>
      <c r="H30" s="201">
        <v>84414</v>
      </c>
      <c r="I30" s="66">
        <v>89012</v>
      </c>
      <c r="J30" s="67">
        <v>92984</v>
      </c>
      <c r="K30" s="67">
        <v>93001</v>
      </c>
      <c r="L30" s="150">
        <v>93672.78</v>
      </c>
      <c r="M30" s="150">
        <v>102320.64</v>
      </c>
      <c r="N30" s="23">
        <v>102319.48</v>
      </c>
      <c r="O30" s="22">
        <v>109786.57</v>
      </c>
      <c r="P30" s="23">
        <v>123486.16</v>
      </c>
      <c r="Q30" s="23">
        <v>137658</v>
      </c>
      <c r="R30" s="562">
        <v>-5000</v>
      </c>
      <c r="S30" s="562"/>
      <c r="T30" s="563">
        <f>Q30+R30+S30</f>
        <v>132658</v>
      </c>
    </row>
    <row r="31" spans="1:20" x14ac:dyDescent="0.25">
      <c r="A31" s="730"/>
      <c r="B31" s="193">
        <v>620</v>
      </c>
      <c r="C31" s="68" t="s">
        <v>123</v>
      </c>
      <c r="D31" s="202"/>
      <c r="E31" s="202">
        <v>20315</v>
      </c>
      <c r="F31" s="202">
        <v>21709</v>
      </c>
      <c r="G31" s="202">
        <v>27650</v>
      </c>
      <c r="H31" s="202">
        <v>30919</v>
      </c>
      <c r="I31" s="68">
        <v>32877</v>
      </c>
      <c r="J31" s="69">
        <v>34488</v>
      </c>
      <c r="K31" s="69">
        <v>34548</v>
      </c>
      <c r="L31" s="151">
        <v>37213.83</v>
      </c>
      <c r="M31" s="151">
        <v>35543.370000000003</v>
      </c>
      <c r="N31" s="30">
        <v>37856.519999999997</v>
      </c>
      <c r="O31" s="29">
        <v>40417.53</v>
      </c>
      <c r="P31" s="30">
        <v>45335.28</v>
      </c>
      <c r="Q31" s="30">
        <v>50156</v>
      </c>
      <c r="R31" s="564">
        <v>-1750</v>
      </c>
      <c r="S31" s="564"/>
      <c r="T31" s="565">
        <f>Q31+R31+S31</f>
        <v>48406</v>
      </c>
    </row>
    <row r="32" spans="1:20" x14ac:dyDescent="0.25">
      <c r="A32" s="730"/>
      <c r="B32" s="193">
        <v>630</v>
      </c>
      <c r="C32" s="68" t="s">
        <v>124</v>
      </c>
      <c r="D32" s="202"/>
      <c r="E32" s="202">
        <v>16597</v>
      </c>
      <c r="F32" s="202">
        <v>21078</v>
      </c>
      <c r="G32" s="202">
        <v>23021</v>
      </c>
      <c r="H32" s="202">
        <f>22134+18</f>
        <v>22152</v>
      </c>
      <c r="I32" s="68">
        <v>19565</v>
      </c>
      <c r="J32" s="69">
        <v>22824</v>
      </c>
      <c r="K32" s="69">
        <v>25787</v>
      </c>
      <c r="L32" s="151">
        <v>22014.74</v>
      </c>
      <c r="M32" s="151">
        <v>22171.17</v>
      </c>
      <c r="N32" s="30">
        <v>20256.810000000001</v>
      </c>
      <c r="O32" s="29">
        <v>29552.34</v>
      </c>
      <c r="P32" s="30">
        <v>36953.129999999997</v>
      </c>
      <c r="Q32" s="30">
        <v>19000</v>
      </c>
      <c r="R32" s="564"/>
      <c r="S32" s="564"/>
      <c r="T32" s="565">
        <f>Q32+R32+S32</f>
        <v>19000</v>
      </c>
    </row>
    <row r="33" spans="1:23" ht="15.75" thickBot="1" x14ac:dyDescent="0.3">
      <c r="A33" s="731"/>
      <c r="B33" s="193">
        <v>600</v>
      </c>
      <c r="C33" s="68" t="s">
        <v>450</v>
      </c>
      <c r="D33" s="199"/>
      <c r="E33" s="199"/>
      <c r="F33" s="199"/>
      <c r="G33" s="199"/>
      <c r="H33" s="199"/>
      <c r="I33" s="191"/>
      <c r="J33" s="191"/>
      <c r="K33" s="203"/>
      <c r="L33" s="108">
        <v>161.80000000000001</v>
      </c>
      <c r="M33" s="108">
        <v>164.71</v>
      </c>
      <c r="N33" s="109">
        <v>382.35</v>
      </c>
      <c r="O33" s="108">
        <v>2710.03</v>
      </c>
      <c r="P33" s="109">
        <v>100</v>
      </c>
      <c r="Q33" s="109">
        <v>33500</v>
      </c>
      <c r="R33" s="576"/>
      <c r="S33" s="576"/>
      <c r="T33" s="570">
        <f>Q33+R33+S33</f>
        <v>33500</v>
      </c>
    </row>
    <row r="34" spans="1:23" ht="15.75" thickBot="1" x14ac:dyDescent="0.3">
      <c r="A34" s="172" t="s">
        <v>144</v>
      </c>
      <c r="B34" s="755" t="s">
        <v>145</v>
      </c>
      <c r="C34" s="728"/>
      <c r="D34" s="196">
        <f>D35</f>
        <v>1328</v>
      </c>
      <c r="E34" s="196">
        <f>E35</f>
        <v>332</v>
      </c>
      <c r="F34" s="196">
        <f>F35</f>
        <v>797</v>
      </c>
      <c r="G34" s="196">
        <f>G35</f>
        <v>3524</v>
      </c>
      <c r="H34" s="196">
        <f>H35</f>
        <v>112</v>
      </c>
      <c r="I34" s="102">
        <f t="shared" ref="I34:O34" si="5">I35</f>
        <v>600</v>
      </c>
      <c r="J34" s="102">
        <f t="shared" si="5"/>
        <v>1028</v>
      </c>
      <c r="K34" s="102">
        <f t="shared" si="5"/>
        <v>1230</v>
      </c>
      <c r="L34" s="103">
        <f t="shared" si="5"/>
        <v>600</v>
      </c>
      <c r="M34" s="103">
        <f t="shared" si="5"/>
        <v>1048.67</v>
      </c>
      <c r="N34" s="104">
        <f t="shared" si="5"/>
        <v>1510.99</v>
      </c>
      <c r="O34" s="238">
        <f t="shared" si="5"/>
        <v>1870</v>
      </c>
      <c r="P34" s="104">
        <v>2000</v>
      </c>
      <c r="Q34" s="104">
        <f>Q35</f>
        <v>2000</v>
      </c>
      <c r="R34" s="104">
        <f>R35</f>
        <v>0</v>
      </c>
      <c r="S34" s="104">
        <f>S35</f>
        <v>0</v>
      </c>
      <c r="T34" s="105">
        <f>T35</f>
        <v>2000</v>
      </c>
    </row>
    <row r="35" spans="1:23" ht="15.75" thickBot="1" x14ac:dyDescent="0.3">
      <c r="A35" s="611"/>
      <c r="B35" s="204"/>
      <c r="C35" s="205" t="s">
        <v>146</v>
      </c>
      <c r="D35" s="206">
        <v>1328</v>
      </c>
      <c r="E35" s="206">
        <v>332</v>
      </c>
      <c r="F35" s="206">
        <v>797</v>
      </c>
      <c r="G35" s="206">
        <v>3524</v>
      </c>
      <c r="H35" s="206">
        <v>112</v>
      </c>
      <c r="I35" s="207">
        <v>600</v>
      </c>
      <c r="J35" s="207">
        <v>1028</v>
      </c>
      <c r="K35" s="125">
        <v>1230</v>
      </c>
      <c r="L35" s="208">
        <v>600</v>
      </c>
      <c r="M35" s="208">
        <v>1048.67</v>
      </c>
      <c r="N35" s="16">
        <v>1510.99</v>
      </c>
      <c r="O35" s="15">
        <v>1870</v>
      </c>
      <c r="P35" s="16">
        <v>2000</v>
      </c>
      <c r="Q35" s="16">
        <v>2000</v>
      </c>
      <c r="R35" s="573"/>
      <c r="S35" s="573"/>
      <c r="T35" s="574">
        <f>Q35+R35+S35</f>
        <v>2000</v>
      </c>
    </row>
    <row r="36" spans="1:23" ht="15.75" thickBot="1" x14ac:dyDescent="0.3">
      <c r="A36" s="612" t="s">
        <v>147</v>
      </c>
      <c r="B36" s="755" t="s">
        <v>148</v>
      </c>
      <c r="C36" s="728"/>
      <c r="D36" s="173">
        <v>64894</v>
      </c>
      <c r="E36" s="173">
        <v>59384</v>
      </c>
      <c r="F36" s="173">
        <v>62471</v>
      </c>
      <c r="G36" s="173">
        <v>47851</v>
      </c>
      <c r="H36" s="40">
        <f>SUM(H37:H39)</f>
        <v>43042</v>
      </c>
      <c r="I36" s="40">
        <f>SUM(I37:I39)</f>
        <v>42993</v>
      </c>
      <c r="J36" s="40">
        <f>SUM(J37:J39)</f>
        <v>45897</v>
      </c>
      <c r="K36" s="40">
        <f>SUM(K37:K40)</f>
        <v>45604</v>
      </c>
      <c r="L36" s="41">
        <f>SUM(L37:L40)</f>
        <v>70768.37</v>
      </c>
      <c r="M36" s="41">
        <f>SUM(M37:M40)</f>
        <v>57765.42</v>
      </c>
      <c r="N36" s="42">
        <f>SUM(N37:N40)</f>
        <v>67218.58</v>
      </c>
      <c r="O36" s="575">
        <f>SUM(O37:O40)</f>
        <v>62580.25</v>
      </c>
      <c r="P36" s="42">
        <v>56922.689999999995</v>
      </c>
      <c r="Q36" s="42">
        <f>SUM(Q37:Q40)</f>
        <v>70030</v>
      </c>
      <c r="R36" s="42">
        <f>SUM(R37:R40)</f>
        <v>0</v>
      </c>
      <c r="S36" s="42">
        <f>SUM(S37:S40)</f>
        <v>0</v>
      </c>
      <c r="T36" s="43">
        <f>SUM(T37:T40)</f>
        <v>70030</v>
      </c>
    </row>
    <row r="37" spans="1:23" x14ac:dyDescent="0.25">
      <c r="A37" s="729"/>
      <c r="B37" s="192">
        <v>610</v>
      </c>
      <c r="C37" s="66" t="s">
        <v>122</v>
      </c>
      <c r="D37" s="201"/>
      <c r="E37" s="201"/>
      <c r="F37" s="201"/>
      <c r="G37" s="201"/>
      <c r="H37" s="201">
        <v>19662</v>
      </c>
      <c r="I37" s="66">
        <v>20165</v>
      </c>
      <c r="J37" s="67">
        <v>21683</v>
      </c>
      <c r="K37" s="67">
        <v>23558</v>
      </c>
      <c r="L37" s="22">
        <v>34957.480000000003</v>
      </c>
      <c r="M37" s="22">
        <v>28518.63</v>
      </c>
      <c r="N37" s="23">
        <v>34041.99</v>
      </c>
      <c r="O37" s="22">
        <v>33212</v>
      </c>
      <c r="P37" s="23">
        <v>33912.11</v>
      </c>
      <c r="Q37" s="23">
        <v>36914</v>
      </c>
      <c r="R37" s="562"/>
      <c r="S37" s="562"/>
      <c r="T37" s="563">
        <f>Q37+R37+S37</f>
        <v>36914</v>
      </c>
    </row>
    <row r="38" spans="1:23" x14ac:dyDescent="0.25">
      <c r="A38" s="730"/>
      <c r="B38" s="193">
        <v>620</v>
      </c>
      <c r="C38" s="68" t="s">
        <v>123</v>
      </c>
      <c r="D38" s="202"/>
      <c r="E38" s="202"/>
      <c r="F38" s="202"/>
      <c r="G38" s="202"/>
      <c r="H38" s="202">
        <v>6810</v>
      </c>
      <c r="I38" s="68">
        <v>7285</v>
      </c>
      <c r="J38" s="69">
        <v>7713</v>
      </c>
      <c r="K38" s="69">
        <v>8188</v>
      </c>
      <c r="L38" s="29">
        <v>13167.56</v>
      </c>
      <c r="M38" s="29">
        <v>9242.2099999999991</v>
      </c>
      <c r="N38" s="30">
        <v>11670.69</v>
      </c>
      <c r="O38" s="29">
        <v>11626.24</v>
      </c>
      <c r="P38" s="30">
        <v>11789.54</v>
      </c>
      <c r="Q38" s="30">
        <v>13116</v>
      </c>
      <c r="R38" s="564"/>
      <c r="S38" s="564"/>
      <c r="T38" s="565">
        <f>Q38+R38+S38</f>
        <v>13116</v>
      </c>
    </row>
    <row r="39" spans="1:23" x14ac:dyDescent="0.25">
      <c r="A39" s="730"/>
      <c r="B39" s="193">
        <v>630</v>
      </c>
      <c r="C39" s="68" t="s">
        <v>124</v>
      </c>
      <c r="D39" s="202"/>
      <c r="E39" s="202"/>
      <c r="F39" s="202"/>
      <c r="G39" s="202"/>
      <c r="H39" s="202">
        <v>16570</v>
      </c>
      <c r="I39" s="68">
        <v>15543</v>
      </c>
      <c r="J39" s="69">
        <v>16501</v>
      </c>
      <c r="K39" s="69">
        <v>13727</v>
      </c>
      <c r="L39" s="29">
        <v>20379.169999999998</v>
      </c>
      <c r="M39" s="29">
        <v>19888.419999999998</v>
      </c>
      <c r="N39" s="30">
        <v>21248.55</v>
      </c>
      <c r="O39" s="29">
        <v>16832.53</v>
      </c>
      <c r="P39" s="30">
        <v>11149.41</v>
      </c>
      <c r="Q39" s="30">
        <v>20000</v>
      </c>
      <c r="R39" s="564"/>
      <c r="S39" s="564"/>
      <c r="T39" s="565">
        <f>Q39+R39+S39</f>
        <v>20000</v>
      </c>
    </row>
    <row r="40" spans="1:23" ht="15.75" thickBot="1" x14ac:dyDescent="0.3">
      <c r="A40" s="731"/>
      <c r="B40" s="193">
        <v>640</v>
      </c>
      <c r="C40" s="169"/>
      <c r="D40" s="190"/>
      <c r="E40" s="190"/>
      <c r="F40" s="190"/>
      <c r="G40" s="190"/>
      <c r="H40" s="190"/>
      <c r="I40" s="191"/>
      <c r="J40" s="69"/>
      <c r="K40" s="69">
        <v>131</v>
      </c>
      <c r="L40" s="108">
        <v>2264.16</v>
      </c>
      <c r="M40" s="108">
        <v>116.16</v>
      </c>
      <c r="N40" s="109">
        <v>257.35000000000002</v>
      </c>
      <c r="O40" s="108">
        <v>909.48</v>
      </c>
      <c r="P40" s="109">
        <v>71.63</v>
      </c>
      <c r="Q40" s="109"/>
      <c r="R40" s="576"/>
      <c r="S40" s="576"/>
      <c r="T40" s="570">
        <f>Q40+R40+S40</f>
        <v>0</v>
      </c>
    </row>
    <row r="41" spans="1:23" ht="15.75" thickBot="1" x14ac:dyDescent="0.3">
      <c r="A41" s="172" t="s">
        <v>149</v>
      </c>
      <c r="B41" s="755" t="s">
        <v>150</v>
      </c>
      <c r="C41" s="728"/>
      <c r="D41" s="196">
        <f>D42</f>
        <v>0</v>
      </c>
      <c r="E41" s="196">
        <f>E42</f>
        <v>0</v>
      </c>
      <c r="F41" s="196">
        <f>F42</f>
        <v>0</v>
      </c>
      <c r="G41" s="196">
        <f>G42</f>
        <v>66</v>
      </c>
      <c r="H41" s="196">
        <f>H42</f>
        <v>175</v>
      </c>
      <c r="I41" s="102">
        <f t="shared" ref="I41:O41" si="6">I42</f>
        <v>269</v>
      </c>
      <c r="J41" s="102">
        <f t="shared" si="6"/>
        <v>182</v>
      </c>
      <c r="K41" s="102">
        <f t="shared" si="6"/>
        <v>104</v>
      </c>
      <c r="L41" s="103">
        <f t="shared" si="6"/>
        <v>169.4</v>
      </c>
      <c r="M41" s="103">
        <f t="shared" si="6"/>
        <v>87.6</v>
      </c>
      <c r="N41" s="104">
        <f t="shared" si="6"/>
        <v>40.1</v>
      </c>
      <c r="O41" s="104">
        <f t="shared" si="6"/>
        <v>0</v>
      </c>
      <c r="P41" s="104">
        <v>69.25</v>
      </c>
      <c r="Q41" s="104">
        <f>Q42</f>
        <v>200</v>
      </c>
      <c r="R41" s="104">
        <f>R42</f>
        <v>0</v>
      </c>
      <c r="S41" s="104">
        <f>S42</f>
        <v>0</v>
      </c>
      <c r="T41" s="105">
        <f>T42</f>
        <v>200</v>
      </c>
    </row>
    <row r="42" spans="1:23" ht="15.75" thickBot="1" x14ac:dyDescent="0.3">
      <c r="A42" s="209"/>
      <c r="B42" s="210">
        <v>640</v>
      </c>
      <c r="C42" s="191" t="s">
        <v>151</v>
      </c>
      <c r="D42" s="199"/>
      <c r="E42" s="199"/>
      <c r="F42" s="199"/>
      <c r="G42" s="199">
        <v>66</v>
      </c>
      <c r="H42" s="199">
        <v>175</v>
      </c>
      <c r="I42" s="191">
        <v>269</v>
      </c>
      <c r="J42" s="191">
        <v>182</v>
      </c>
      <c r="K42" s="191">
        <v>104</v>
      </c>
      <c r="L42" s="211">
        <v>169.4</v>
      </c>
      <c r="M42" s="208">
        <v>87.6</v>
      </c>
      <c r="N42" s="16">
        <v>40.1</v>
      </c>
      <c r="O42" s="16"/>
      <c r="P42" s="16">
        <v>69.25</v>
      </c>
      <c r="Q42" s="16">
        <v>200</v>
      </c>
      <c r="R42" s="573"/>
      <c r="S42" s="573">
        <v>0</v>
      </c>
      <c r="T42" s="574">
        <f t="shared" ref="T42:T49" si="7">Q42+R42+S42</f>
        <v>200</v>
      </c>
    </row>
    <row r="43" spans="1:23" ht="15.75" thickBot="1" x14ac:dyDescent="0.3">
      <c r="A43" s="172" t="s">
        <v>152</v>
      </c>
      <c r="B43" s="755" t="s">
        <v>153</v>
      </c>
      <c r="C43" s="728"/>
      <c r="D43" s="173">
        <v>29310</v>
      </c>
      <c r="E43" s="173">
        <v>30173</v>
      </c>
      <c r="F43" s="173">
        <v>33061</v>
      </c>
      <c r="G43" s="173">
        <v>31215</v>
      </c>
      <c r="H43" s="40">
        <f t="shared" ref="H43:M43" si="8">SUM(H44:H46)</f>
        <v>30188</v>
      </c>
      <c r="I43" s="40">
        <f t="shared" si="8"/>
        <v>30251</v>
      </c>
      <c r="J43" s="40">
        <f t="shared" si="8"/>
        <v>29902</v>
      </c>
      <c r="K43" s="40">
        <f t="shared" si="8"/>
        <v>27922</v>
      </c>
      <c r="L43" s="40">
        <f t="shared" si="8"/>
        <v>26736.059999999998</v>
      </c>
      <c r="M43" s="41">
        <f t="shared" si="8"/>
        <v>31580.040000000005</v>
      </c>
      <c r="N43" s="42">
        <f>SUM(N44:N46)</f>
        <v>36470.850000000006</v>
      </c>
      <c r="O43" s="575">
        <f>SUM(O44:O49)</f>
        <v>54203.55</v>
      </c>
      <c r="P43" s="42">
        <v>87006.54</v>
      </c>
      <c r="Q43" s="42">
        <f>SUM(Q44:Q49)</f>
        <v>47530</v>
      </c>
      <c r="R43" s="42">
        <f>SUM(R44:R49)</f>
        <v>30995</v>
      </c>
      <c r="S43" s="42">
        <f>SUM(S44:S49)</f>
        <v>0</v>
      </c>
      <c r="T43" s="43">
        <f>SUM(T44:T49)</f>
        <v>78525</v>
      </c>
    </row>
    <row r="44" spans="1:23" x14ac:dyDescent="0.25">
      <c r="A44" s="729"/>
      <c r="B44" s="164">
        <v>610</v>
      </c>
      <c r="C44" s="66" t="s">
        <v>122</v>
      </c>
      <c r="D44" s="201"/>
      <c r="E44" s="201">
        <v>17128</v>
      </c>
      <c r="F44" s="201">
        <v>19186</v>
      </c>
      <c r="G44" s="201">
        <v>18647</v>
      </c>
      <c r="H44" s="201">
        <v>19330</v>
      </c>
      <c r="I44" s="66">
        <v>19430</v>
      </c>
      <c r="J44" s="67">
        <v>19249</v>
      </c>
      <c r="K44" s="67">
        <v>18860</v>
      </c>
      <c r="L44" s="150">
        <v>17749.95</v>
      </c>
      <c r="M44" s="150">
        <v>21482.58</v>
      </c>
      <c r="N44" s="23">
        <v>23137.49</v>
      </c>
      <c r="O44" s="22">
        <v>24187.48</v>
      </c>
      <c r="P44" s="23">
        <v>31091.66</v>
      </c>
      <c r="Q44" s="23">
        <v>33013</v>
      </c>
      <c r="R44" s="577"/>
      <c r="S44" s="577"/>
      <c r="T44" s="578">
        <f t="shared" si="7"/>
        <v>33013</v>
      </c>
    </row>
    <row r="45" spans="1:23" x14ac:dyDescent="0.25">
      <c r="A45" s="730"/>
      <c r="B45" s="166">
        <v>620</v>
      </c>
      <c r="C45" s="68" t="s">
        <v>123</v>
      </c>
      <c r="D45" s="202"/>
      <c r="E45" s="202">
        <v>6174</v>
      </c>
      <c r="F45" s="202">
        <v>6440</v>
      </c>
      <c r="G45" s="202">
        <v>6250</v>
      </c>
      <c r="H45" s="202">
        <v>6780</v>
      </c>
      <c r="I45" s="68">
        <v>6793</v>
      </c>
      <c r="J45" s="69">
        <v>6741</v>
      </c>
      <c r="K45" s="69">
        <v>6528</v>
      </c>
      <c r="L45" s="151">
        <v>6227.83</v>
      </c>
      <c r="M45" s="151">
        <v>7544.26</v>
      </c>
      <c r="N45" s="30">
        <v>8118.17</v>
      </c>
      <c r="O45" s="29">
        <v>8499.7000000000007</v>
      </c>
      <c r="P45" s="30">
        <v>10918.71</v>
      </c>
      <c r="Q45" s="30">
        <v>11717</v>
      </c>
      <c r="R45" s="564"/>
      <c r="S45" s="564"/>
      <c r="T45" s="565">
        <f t="shared" si="7"/>
        <v>11717</v>
      </c>
    </row>
    <row r="46" spans="1:23" x14ac:dyDescent="0.25">
      <c r="A46" s="730"/>
      <c r="B46" s="166">
        <v>630</v>
      </c>
      <c r="C46" s="68" t="s">
        <v>124</v>
      </c>
      <c r="D46" s="202"/>
      <c r="E46" s="202">
        <v>6871</v>
      </c>
      <c r="F46" s="202">
        <v>7435</v>
      </c>
      <c r="G46" s="202">
        <v>6318</v>
      </c>
      <c r="H46" s="202">
        <v>4078</v>
      </c>
      <c r="I46" s="68">
        <v>4028</v>
      </c>
      <c r="J46" s="69">
        <v>3912</v>
      </c>
      <c r="K46" s="69">
        <f>27588-25054</f>
        <v>2534</v>
      </c>
      <c r="L46" s="151">
        <v>2758.28</v>
      </c>
      <c r="M46" s="151">
        <v>2553.1999999999998</v>
      </c>
      <c r="N46" s="30">
        <v>5215.1899999999996</v>
      </c>
      <c r="O46" s="29">
        <v>7214.1500000000005</v>
      </c>
      <c r="P46" s="30">
        <v>3273.6100000000006</v>
      </c>
      <c r="Q46" s="30">
        <v>2800</v>
      </c>
      <c r="R46" s="564"/>
      <c r="S46" s="564"/>
      <c r="T46" s="565">
        <f t="shared" si="7"/>
        <v>2800</v>
      </c>
    </row>
    <row r="47" spans="1:23" x14ac:dyDescent="0.25">
      <c r="A47" s="730"/>
      <c r="B47" s="166">
        <v>630</v>
      </c>
      <c r="C47" s="71" t="s">
        <v>470</v>
      </c>
      <c r="D47" s="705"/>
      <c r="E47" s="705"/>
      <c r="F47" s="705"/>
      <c r="G47" s="705"/>
      <c r="H47" s="705"/>
      <c r="I47" s="71"/>
      <c r="J47" s="113"/>
      <c r="K47" s="113"/>
      <c r="L47" s="280"/>
      <c r="M47" s="280"/>
      <c r="N47" s="57"/>
      <c r="O47" s="56"/>
      <c r="P47" s="57"/>
      <c r="Q47" s="57"/>
      <c r="R47" s="576">
        <v>8639</v>
      </c>
      <c r="S47" s="576"/>
      <c r="T47" s="565">
        <f t="shared" si="7"/>
        <v>8639</v>
      </c>
      <c r="W47" s="165"/>
    </row>
    <row r="48" spans="1:23" x14ac:dyDescent="0.25">
      <c r="A48" s="730"/>
      <c r="B48" s="166">
        <v>630</v>
      </c>
      <c r="C48" s="71" t="s">
        <v>471</v>
      </c>
      <c r="D48" s="705"/>
      <c r="E48" s="705"/>
      <c r="F48" s="705"/>
      <c r="G48" s="705"/>
      <c r="H48" s="705"/>
      <c r="I48" s="71"/>
      <c r="J48" s="113"/>
      <c r="K48" s="113"/>
      <c r="L48" s="280"/>
      <c r="M48" s="280"/>
      <c r="N48" s="57"/>
      <c r="O48" s="56"/>
      <c r="P48" s="57"/>
      <c r="Q48" s="57"/>
      <c r="R48" s="576">
        <v>22356</v>
      </c>
      <c r="S48" s="576"/>
      <c r="T48" s="565">
        <f t="shared" si="7"/>
        <v>22356</v>
      </c>
      <c r="V48" s="165"/>
      <c r="W48" s="165"/>
    </row>
    <row r="49" spans="1:23" ht="15.75" customHeight="1" thickBot="1" x14ac:dyDescent="0.3">
      <c r="A49" s="731"/>
      <c r="B49" s="212">
        <v>630</v>
      </c>
      <c r="C49" s="70" t="s">
        <v>460</v>
      </c>
      <c r="D49" s="213"/>
      <c r="E49" s="213"/>
      <c r="F49" s="213"/>
      <c r="G49" s="213"/>
      <c r="H49" s="213"/>
      <c r="I49" s="70"/>
      <c r="J49" s="90"/>
      <c r="K49" s="90"/>
      <c r="L49" s="214"/>
      <c r="M49" s="214"/>
      <c r="N49" s="37"/>
      <c r="O49" s="36">
        <v>14302.22</v>
      </c>
      <c r="P49" s="37">
        <v>41722.559999999998</v>
      </c>
      <c r="Q49" s="37"/>
      <c r="R49" s="579"/>
      <c r="S49" s="579"/>
      <c r="T49" s="565">
        <f t="shared" si="7"/>
        <v>0</v>
      </c>
    </row>
    <row r="50" spans="1:23" ht="15.75" thickBot="1" x14ac:dyDescent="0.3">
      <c r="A50" s="172" t="s">
        <v>155</v>
      </c>
      <c r="B50" s="755" t="s">
        <v>156</v>
      </c>
      <c r="C50" s="728"/>
      <c r="D50" s="196">
        <v>13278</v>
      </c>
      <c r="E50" s="196">
        <v>366029</v>
      </c>
      <c r="F50" s="196">
        <v>277733</v>
      </c>
      <c r="G50" s="196">
        <v>398013</v>
      </c>
      <c r="H50" s="196">
        <v>368170</v>
      </c>
      <c r="I50" s="102">
        <f t="shared" ref="I50:O50" si="9">SUM(I51:I55)</f>
        <v>294633</v>
      </c>
      <c r="J50" s="102">
        <f t="shared" si="9"/>
        <v>216960</v>
      </c>
      <c r="K50" s="102">
        <f t="shared" si="9"/>
        <v>236599</v>
      </c>
      <c r="L50" s="103">
        <f t="shared" si="9"/>
        <v>216987.18</v>
      </c>
      <c r="M50" s="103">
        <f t="shared" si="9"/>
        <v>226497.02000000002</v>
      </c>
      <c r="N50" s="104">
        <f t="shared" si="9"/>
        <v>249510.29</v>
      </c>
      <c r="O50" s="238">
        <f t="shared" si="9"/>
        <v>263692.45</v>
      </c>
      <c r="P50" s="104">
        <v>362393.4</v>
      </c>
      <c r="Q50" s="104">
        <f>SUM(Q51:Q55)</f>
        <v>459287</v>
      </c>
      <c r="R50" s="104">
        <f>SUM(R51:R55)</f>
        <v>0</v>
      </c>
      <c r="S50" s="104">
        <f>SUM(S51:S55)</f>
        <v>0</v>
      </c>
      <c r="T50" s="105">
        <f>SUM(T51:T55)</f>
        <v>459287</v>
      </c>
    </row>
    <row r="51" spans="1:23" ht="16.5" customHeight="1" x14ac:dyDescent="0.25">
      <c r="A51" s="780"/>
      <c r="B51" s="215">
        <v>640</v>
      </c>
      <c r="C51" s="216" t="s">
        <v>157</v>
      </c>
      <c r="D51" s="217"/>
      <c r="E51" s="217"/>
      <c r="F51" s="217"/>
      <c r="G51" s="217"/>
      <c r="H51" s="217">
        <v>307476</v>
      </c>
      <c r="I51" s="218">
        <v>234550</v>
      </c>
      <c r="J51" s="67">
        <v>150070</v>
      </c>
      <c r="K51" s="67">
        <v>167336</v>
      </c>
      <c r="L51" s="22">
        <v>148104</v>
      </c>
      <c r="M51" s="178">
        <v>157211</v>
      </c>
      <c r="N51" s="21">
        <v>183945</v>
      </c>
      <c r="O51" s="178">
        <v>167281</v>
      </c>
      <c r="P51" s="21">
        <v>263000</v>
      </c>
      <c r="Q51" s="21">
        <v>362287</v>
      </c>
      <c r="R51" s="562"/>
      <c r="S51" s="562"/>
      <c r="T51" s="563">
        <f>Q51+R51+S51</f>
        <v>362287</v>
      </c>
      <c r="V51" s="165"/>
    </row>
    <row r="52" spans="1:23" ht="15" customHeight="1" x14ac:dyDescent="0.25">
      <c r="A52" s="781"/>
      <c r="B52" s="215">
        <v>640</v>
      </c>
      <c r="C52" s="219" t="s">
        <v>158</v>
      </c>
      <c r="D52" s="220"/>
      <c r="E52" s="220"/>
      <c r="F52" s="220"/>
      <c r="G52" s="220"/>
      <c r="H52" s="220"/>
      <c r="I52" s="221"/>
      <c r="J52" s="83"/>
      <c r="K52" s="83"/>
      <c r="L52" s="53"/>
      <c r="M52" s="222"/>
      <c r="N52" s="52"/>
      <c r="O52" s="222">
        <v>28183</v>
      </c>
      <c r="P52" s="52"/>
      <c r="Q52" s="52">
        <v>0</v>
      </c>
      <c r="R52" s="562"/>
      <c r="S52" s="562"/>
      <c r="T52" s="563">
        <f>Q52+R52+S52</f>
        <v>0</v>
      </c>
    </row>
    <row r="53" spans="1:23" ht="15.75" customHeight="1" x14ac:dyDescent="0.25">
      <c r="A53" s="781"/>
      <c r="B53" s="215">
        <v>630</v>
      </c>
      <c r="C53" s="219" t="s">
        <v>159</v>
      </c>
      <c r="D53" s="220"/>
      <c r="E53" s="220"/>
      <c r="F53" s="220"/>
      <c r="G53" s="220"/>
      <c r="H53" s="220">
        <v>9596</v>
      </c>
      <c r="I53" s="221">
        <v>3094</v>
      </c>
      <c r="J53" s="69">
        <v>2060</v>
      </c>
      <c r="K53" s="69">
        <v>1011</v>
      </c>
      <c r="L53" s="53">
        <v>1770</v>
      </c>
      <c r="M53" s="222">
        <v>1790</v>
      </c>
      <c r="N53" s="52">
        <v>1340</v>
      </c>
      <c r="O53" s="222">
        <v>3846.12</v>
      </c>
      <c r="P53" s="52">
        <v>1800</v>
      </c>
      <c r="Q53" s="52">
        <v>2000</v>
      </c>
      <c r="R53" s="564"/>
      <c r="S53" s="564"/>
      <c r="T53" s="565">
        <f>Q53+R53+S53</f>
        <v>2000</v>
      </c>
    </row>
    <row r="54" spans="1:23" x14ac:dyDescent="0.25">
      <c r="A54" s="781"/>
      <c r="B54" s="215">
        <v>630</v>
      </c>
      <c r="C54" s="219" t="s">
        <v>160</v>
      </c>
      <c r="D54" s="220"/>
      <c r="E54" s="220"/>
      <c r="F54" s="220"/>
      <c r="G54" s="220"/>
      <c r="H54" s="220"/>
      <c r="I54" s="221"/>
      <c r="J54" s="69"/>
      <c r="K54" s="69"/>
      <c r="L54" s="53"/>
      <c r="M54" s="222"/>
      <c r="N54" s="52">
        <v>0</v>
      </c>
      <c r="O54" s="222"/>
      <c r="P54" s="52">
        <v>27926.51</v>
      </c>
      <c r="Q54" s="52">
        <v>30000</v>
      </c>
      <c r="R54" s="564"/>
      <c r="S54" s="564"/>
      <c r="T54" s="565">
        <f>Q54+R54+S54</f>
        <v>30000</v>
      </c>
    </row>
    <row r="55" spans="1:23" ht="15.75" thickBot="1" x14ac:dyDescent="0.3">
      <c r="A55" s="782"/>
      <c r="B55" s="194">
        <v>640</v>
      </c>
      <c r="C55" s="223" t="s">
        <v>161</v>
      </c>
      <c r="D55" s="224"/>
      <c r="E55" s="224"/>
      <c r="F55" s="224"/>
      <c r="G55" s="224"/>
      <c r="H55" s="224">
        <v>49953</v>
      </c>
      <c r="I55" s="225">
        <v>56989</v>
      </c>
      <c r="J55" s="90">
        <v>64830</v>
      </c>
      <c r="K55" s="90">
        <v>68252</v>
      </c>
      <c r="L55" s="116">
        <v>67113.179999999993</v>
      </c>
      <c r="M55" s="126">
        <v>67496.02</v>
      </c>
      <c r="N55" s="127">
        <v>64225.29</v>
      </c>
      <c r="O55" s="126">
        <v>64382.33</v>
      </c>
      <c r="P55" s="127">
        <v>69666.89</v>
      </c>
      <c r="Q55" s="127">
        <v>65000</v>
      </c>
      <c r="R55" s="576"/>
      <c r="S55" s="576"/>
      <c r="T55" s="570">
        <f>Q55+R55+S55</f>
        <v>65000</v>
      </c>
      <c r="W55" s="165"/>
    </row>
    <row r="56" spans="1:23" ht="15.75" thickBot="1" x14ac:dyDescent="0.3">
      <c r="A56" s="226" t="s">
        <v>162</v>
      </c>
      <c r="B56" s="785" t="s">
        <v>163</v>
      </c>
      <c r="C56" s="759"/>
      <c r="D56" s="227">
        <v>33426</v>
      </c>
      <c r="E56" s="227">
        <v>39800</v>
      </c>
      <c r="F56" s="227">
        <v>42953</v>
      </c>
      <c r="G56" s="227">
        <v>66506</v>
      </c>
      <c r="H56" s="227">
        <v>76065</v>
      </c>
      <c r="I56" s="119">
        <f>SUM(I61:I68)+I57</f>
        <v>59613</v>
      </c>
      <c r="J56" s="119">
        <f>SUM(J61:J68)+J57</f>
        <v>58168</v>
      </c>
      <c r="K56" s="119">
        <f>SUM(K61:K68)+K57</f>
        <v>57293</v>
      </c>
      <c r="L56" s="119">
        <f>SUM(L61:L69)+L57</f>
        <v>53359.31</v>
      </c>
      <c r="M56" s="120">
        <f>SUM(M61:M69)+M57</f>
        <v>49261.270000000004</v>
      </c>
      <c r="N56" s="121">
        <f>SUM(N61:N69)+N57</f>
        <v>69492.78</v>
      </c>
      <c r="O56" s="476">
        <f>SUM(O61:O69)+O57</f>
        <v>86003.890000000014</v>
      </c>
      <c r="P56" s="121">
        <v>106730.37000000001</v>
      </c>
      <c r="Q56" s="121">
        <f>Q57+Q61+Q62+Q63+Q64+Q65+Q66</f>
        <v>101804</v>
      </c>
      <c r="R56" s="104">
        <f>R57+R61+R62+R63+R64+R65+R66</f>
        <v>0</v>
      </c>
      <c r="S56" s="104">
        <f>S57+S61+S62+S63+S64+S65+S66</f>
        <v>0</v>
      </c>
      <c r="T56" s="105">
        <f>T57+T61+T62+T63+T64+T65+T66</f>
        <v>101804</v>
      </c>
    </row>
    <row r="57" spans="1:23" ht="15.75" thickBot="1" x14ac:dyDescent="0.3">
      <c r="A57" s="777"/>
      <c r="B57" s="783" t="s">
        <v>164</v>
      </c>
      <c r="C57" s="784"/>
      <c r="D57" s="228">
        <v>0</v>
      </c>
      <c r="E57" s="228">
        <v>13477</v>
      </c>
      <c r="F57" s="228">
        <v>15800</v>
      </c>
      <c r="G57" s="228">
        <v>26596</v>
      </c>
      <c r="H57" s="228">
        <v>25323</v>
      </c>
      <c r="I57" s="13">
        <f t="shared" ref="I57:O57" si="10">SUM(I58:I60)</f>
        <v>25388</v>
      </c>
      <c r="J57" s="13">
        <f t="shared" si="10"/>
        <v>23577</v>
      </c>
      <c r="K57" s="13">
        <f t="shared" si="10"/>
        <v>25508</v>
      </c>
      <c r="L57" s="13">
        <f t="shared" si="10"/>
        <v>26966.809999999998</v>
      </c>
      <c r="M57" s="229">
        <f t="shared" si="10"/>
        <v>26493.65</v>
      </c>
      <c r="N57" s="16">
        <f t="shared" si="10"/>
        <v>11116.460000000001</v>
      </c>
      <c r="O57" s="15">
        <f t="shared" si="10"/>
        <v>18582.04</v>
      </c>
      <c r="P57" s="16">
        <v>14813.99</v>
      </c>
      <c r="Q57" s="16">
        <f>SUM(Q58:Q60)</f>
        <v>26304</v>
      </c>
      <c r="R57" s="16">
        <f>SUM(R58:R60)</f>
        <v>0</v>
      </c>
      <c r="S57" s="16">
        <f>SUM(S58:S60)</f>
        <v>0</v>
      </c>
      <c r="T57" s="642">
        <f>SUM(T58:T60)</f>
        <v>26304</v>
      </c>
    </row>
    <row r="58" spans="1:23" x14ac:dyDescent="0.25">
      <c r="A58" s="778"/>
      <c r="B58" s="230">
        <v>610</v>
      </c>
      <c r="C58" s="51" t="s">
        <v>122</v>
      </c>
      <c r="D58" s="135"/>
      <c r="E58" s="135"/>
      <c r="F58" s="135"/>
      <c r="G58" s="135"/>
      <c r="H58" s="135">
        <v>16865</v>
      </c>
      <c r="I58" s="51">
        <v>17260</v>
      </c>
      <c r="J58" s="67">
        <v>15432</v>
      </c>
      <c r="K58" s="67">
        <v>15427</v>
      </c>
      <c r="L58" s="54">
        <v>14767.98</v>
      </c>
      <c r="M58" s="222">
        <v>15800.44</v>
      </c>
      <c r="N58" s="52">
        <v>9158.7800000000007</v>
      </c>
      <c r="O58" s="222">
        <v>10007.84</v>
      </c>
      <c r="P58" s="52">
        <v>10778.65</v>
      </c>
      <c r="Q58" s="54">
        <v>13720</v>
      </c>
      <c r="R58" s="562"/>
      <c r="S58" s="562"/>
      <c r="T58" s="563">
        <f t="shared" ref="T58:T66" si="11">Q58+R58+S58</f>
        <v>13720</v>
      </c>
    </row>
    <row r="59" spans="1:23" x14ac:dyDescent="0.25">
      <c r="A59" s="778"/>
      <c r="B59" s="230">
        <v>620</v>
      </c>
      <c r="C59" s="51" t="s">
        <v>123</v>
      </c>
      <c r="D59" s="135"/>
      <c r="E59" s="135"/>
      <c r="F59" s="135"/>
      <c r="G59" s="135"/>
      <c r="H59" s="135">
        <v>6017</v>
      </c>
      <c r="I59" s="51">
        <v>6225</v>
      </c>
      <c r="J59" s="69">
        <v>5547</v>
      </c>
      <c r="K59" s="69">
        <v>5746</v>
      </c>
      <c r="L59" s="54">
        <v>5836.68</v>
      </c>
      <c r="M59" s="222">
        <v>5402.44</v>
      </c>
      <c r="N59" s="52">
        <v>1957.68</v>
      </c>
      <c r="O59" s="222">
        <v>3763.52</v>
      </c>
      <c r="P59" s="52">
        <v>4035.34</v>
      </c>
      <c r="Q59" s="54">
        <v>5084</v>
      </c>
      <c r="R59" s="564"/>
      <c r="S59" s="564"/>
      <c r="T59" s="565">
        <f t="shared" si="11"/>
        <v>5084</v>
      </c>
    </row>
    <row r="60" spans="1:23" ht="15.75" thickBot="1" x14ac:dyDescent="0.3">
      <c r="A60" s="778"/>
      <c r="B60" s="231">
        <v>630</v>
      </c>
      <c r="C60" s="124" t="s">
        <v>124</v>
      </c>
      <c r="D60" s="232"/>
      <c r="E60" s="232"/>
      <c r="F60" s="232"/>
      <c r="G60" s="232"/>
      <c r="H60" s="232">
        <v>2441</v>
      </c>
      <c r="I60" s="124">
        <v>1903</v>
      </c>
      <c r="J60" s="90">
        <v>2598</v>
      </c>
      <c r="K60" s="90">
        <v>4335</v>
      </c>
      <c r="L60" s="117">
        <v>6362.15</v>
      </c>
      <c r="M60" s="126">
        <v>5290.77</v>
      </c>
      <c r="N60" s="127"/>
      <c r="O60" s="126">
        <v>4810.68</v>
      </c>
      <c r="P60" s="127"/>
      <c r="Q60" s="37">
        <v>7500</v>
      </c>
      <c r="R60" s="581"/>
      <c r="S60" s="581"/>
      <c r="T60" s="582">
        <f t="shared" si="11"/>
        <v>7500</v>
      </c>
    </row>
    <row r="61" spans="1:23" x14ac:dyDescent="0.25">
      <c r="A61" s="778"/>
      <c r="B61" s="230">
        <v>600</v>
      </c>
      <c r="C61" s="51" t="s">
        <v>165</v>
      </c>
      <c r="D61" s="135"/>
      <c r="E61" s="135"/>
      <c r="F61" s="135"/>
      <c r="G61" s="135"/>
      <c r="H61" s="135"/>
      <c r="I61" s="51">
        <v>9190</v>
      </c>
      <c r="J61" s="135">
        <v>6912</v>
      </c>
      <c r="K61" s="135">
        <v>9446</v>
      </c>
      <c r="L61" s="135">
        <v>4778.18</v>
      </c>
      <c r="M61" s="177">
        <v>8683.39</v>
      </c>
      <c r="N61" s="52">
        <v>34595.32</v>
      </c>
      <c r="O61" s="222">
        <v>40079.160000000003</v>
      </c>
      <c r="P61" s="52">
        <v>63662.49</v>
      </c>
      <c r="Q61" s="54">
        <v>25000</v>
      </c>
      <c r="R61" s="562"/>
      <c r="S61" s="562"/>
      <c r="T61" s="563">
        <f t="shared" si="11"/>
        <v>25000</v>
      </c>
    </row>
    <row r="62" spans="1:23" x14ac:dyDescent="0.25">
      <c r="A62" s="778"/>
      <c r="B62" s="230">
        <v>600</v>
      </c>
      <c r="C62" s="51" t="s">
        <v>403</v>
      </c>
      <c r="D62" s="135"/>
      <c r="E62" s="135"/>
      <c r="F62" s="135"/>
      <c r="G62" s="135"/>
      <c r="H62" s="135"/>
      <c r="I62" s="51">
        <v>2000</v>
      </c>
      <c r="J62" s="135"/>
      <c r="K62" s="135"/>
      <c r="L62" s="135"/>
      <c r="M62" s="233"/>
      <c r="N62" s="52">
        <v>0</v>
      </c>
      <c r="O62" s="222"/>
      <c r="P62" s="52"/>
      <c r="Q62" s="30">
        <v>16000</v>
      </c>
      <c r="R62" s="564"/>
      <c r="S62" s="564"/>
      <c r="T62" s="565">
        <f t="shared" si="11"/>
        <v>16000</v>
      </c>
    </row>
    <row r="63" spans="1:23" x14ac:dyDescent="0.25">
      <c r="A63" s="778"/>
      <c r="B63" s="230">
        <v>600</v>
      </c>
      <c r="C63" s="26" t="s">
        <v>166</v>
      </c>
      <c r="D63" s="27"/>
      <c r="E63" s="27"/>
      <c r="F63" s="27"/>
      <c r="G63" s="27"/>
      <c r="H63" s="27"/>
      <c r="I63" s="26">
        <v>10000</v>
      </c>
      <c r="J63" s="27">
        <v>1500</v>
      </c>
      <c r="K63" s="27">
        <v>370</v>
      </c>
      <c r="L63" s="27">
        <v>592.20000000000005</v>
      </c>
      <c r="M63" s="181">
        <v>1220</v>
      </c>
      <c r="N63" s="28">
        <v>0</v>
      </c>
      <c r="O63" s="137"/>
      <c r="P63" s="28"/>
      <c r="Q63" s="30">
        <v>4000</v>
      </c>
      <c r="R63" s="564"/>
      <c r="S63" s="564"/>
      <c r="T63" s="565">
        <f t="shared" si="11"/>
        <v>4000</v>
      </c>
    </row>
    <row r="64" spans="1:23" x14ac:dyDescent="0.25">
      <c r="A64" s="778"/>
      <c r="B64" s="230">
        <v>600</v>
      </c>
      <c r="C64" s="26" t="s">
        <v>167</v>
      </c>
      <c r="D64" s="27"/>
      <c r="E64" s="27"/>
      <c r="F64" s="27"/>
      <c r="G64" s="27"/>
      <c r="H64" s="27"/>
      <c r="I64" s="26">
        <v>1871</v>
      </c>
      <c r="J64" s="27">
        <v>2416</v>
      </c>
      <c r="K64" s="27">
        <v>4274</v>
      </c>
      <c r="L64" s="27">
        <v>2000</v>
      </c>
      <c r="M64" s="181">
        <v>3500</v>
      </c>
      <c r="N64" s="28"/>
      <c r="O64" s="137">
        <v>3571.7</v>
      </c>
      <c r="P64" s="28"/>
      <c r="Q64" s="30">
        <v>4000</v>
      </c>
      <c r="R64" s="564"/>
      <c r="S64" s="564"/>
      <c r="T64" s="565">
        <f t="shared" si="11"/>
        <v>4000</v>
      </c>
    </row>
    <row r="65" spans="1:20" x14ac:dyDescent="0.25">
      <c r="A65" s="778"/>
      <c r="B65" s="230">
        <v>600</v>
      </c>
      <c r="C65" s="26" t="s">
        <v>168</v>
      </c>
      <c r="D65" s="27"/>
      <c r="E65" s="27"/>
      <c r="F65" s="27"/>
      <c r="G65" s="27"/>
      <c r="H65" s="27"/>
      <c r="I65" s="26">
        <v>3240</v>
      </c>
      <c r="J65" s="27">
        <v>832</v>
      </c>
      <c r="K65" s="27">
        <v>1493</v>
      </c>
      <c r="L65" s="27">
        <v>1232</v>
      </c>
      <c r="M65" s="181">
        <v>1000</v>
      </c>
      <c r="N65" s="28"/>
      <c r="O65" s="137"/>
      <c r="P65" s="28"/>
      <c r="Q65" s="30">
        <v>0</v>
      </c>
      <c r="R65" s="564"/>
      <c r="S65" s="564"/>
      <c r="T65" s="565">
        <f t="shared" si="11"/>
        <v>0</v>
      </c>
    </row>
    <row r="66" spans="1:20" ht="15.75" thickBot="1" x14ac:dyDescent="0.3">
      <c r="A66" s="778"/>
      <c r="B66" s="230">
        <v>600</v>
      </c>
      <c r="C66" s="26" t="s">
        <v>169</v>
      </c>
      <c r="D66" s="27"/>
      <c r="E66" s="27"/>
      <c r="F66" s="27"/>
      <c r="G66" s="27"/>
      <c r="H66" s="27"/>
      <c r="I66" s="26">
        <v>7924</v>
      </c>
      <c r="J66" s="27">
        <v>11969</v>
      </c>
      <c r="K66" s="27">
        <v>11202</v>
      </c>
      <c r="L66" s="27">
        <v>15790.12</v>
      </c>
      <c r="M66" s="181">
        <v>6364.23</v>
      </c>
      <c r="N66" s="28">
        <v>23781</v>
      </c>
      <c r="O66" s="137">
        <v>23770.99</v>
      </c>
      <c r="P66" s="28">
        <v>28253.89</v>
      </c>
      <c r="Q66" s="30">
        <v>26500</v>
      </c>
      <c r="R66" s="564"/>
      <c r="S66" s="564"/>
      <c r="T66" s="565">
        <f t="shared" si="11"/>
        <v>26500</v>
      </c>
    </row>
    <row r="67" spans="1:20" ht="15.75" hidden="1" customHeight="1" thickBot="1" x14ac:dyDescent="0.3">
      <c r="A67" s="778"/>
      <c r="B67" s="230">
        <v>600</v>
      </c>
      <c r="C67" s="26" t="s">
        <v>170</v>
      </c>
      <c r="D67" s="27"/>
      <c r="E67" s="27"/>
      <c r="F67" s="27"/>
      <c r="G67" s="27"/>
      <c r="H67" s="27"/>
      <c r="I67" s="26"/>
      <c r="J67" s="27">
        <v>4512</v>
      </c>
      <c r="K67" s="27">
        <v>5000</v>
      </c>
      <c r="L67" s="27"/>
      <c r="M67" s="234"/>
      <c r="N67" s="55">
        <v>0</v>
      </c>
      <c r="O67" s="185"/>
      <c r="P67" s="55"/>
      <c r="Q67" s="355"/>
      <c r="R67" s="564">
        <v>0</v>
      </c>
      <c r="S67" s="566"/>
      <c r="T67" s="567"/>
    </row>
    <row r="68" spans="1:20" ht="15.75" hidden="1" customHeight="1" thickBot="1" x14ac:dyDescent="0.3">
      <c r="A68" s="778"/>
      <c r="B68" s="230">
        <v>600</v>
      </c>
      <c r="C68" s="235" t="s">
        <v>171</v>
      </c>
      <c r="D68" s="27"/>
      <c r="E68" s="27"/>
      <c r="F68" s="27"/>
      <c r="G68" s="27"/>
      <c r="H68" s="27"/>
      <c r="I68" s="26"/>
      <c r="J68" s="27">
        <v>6450</v>
      </c>
      <c r="K68" s="135"/>
      <c r="L68" s="27"/>
      <c r="M68" s="27"/>
      <c r="N68" s="28">
        <v>0</v>
      </c>
      <c r="O68" s="137"/>
      <c r="P68" s="28"/>
      <c r="Q68" s="355"/>
      <c r="R68" s="564">
        <v>0</v>
      </c>
      <c r="S68" s="566"/>
      <c r="T68" s="567"/>
    </row>
    <row r="69" spans="1:20" ht="15.75" hidden="1" customHeight="1" thickBot="1" x14ac:dyDescent="0.3">
      <c r="A69" s="779"/>
      <c r="B69" s="673">
        <v>600</v>
      </c>
      <c r="C69" s="70" t="s">
        <v>172</v>
      </c>
      <c r="D69" s="171"/>
      <c r="E69" s="171"/>
      <c r="F69" s="171"/>
      <c r="G69" s="171"/>
      <c r="H69" s="171"/>
      <c r="I69" s="207"/>
      <c r="J69" s="207"/>
      <c r="K69" s="232"/>
      <c r="L69" s="232">
        <v>2000</v>
      </c>
      <c r="M69" s="34">
        <v>2000</v>
      </c>
      <c r="N69" s="35">
        <v>0</v>
      </c>
      <c r="O69" s="236"/>
      <c r="P69" s="35"/>
      <c r="Q69" s="583"/>
      <c r="R69" s="579">
        <v>0</v>
      </c>
      <c r="S69" s="593"/>
      <c r="T69" s="594"/>
    </row>
    <row r="70" spans="1:20" ht="15.75" thickBot="1" x14ac:dyDescent="0.3">
      <c r="A70" s="172" t="s">
        <v>173</v>
      </c>
      <c r="B70" s="755" t="s">
        <v>174</v>
      </c>
      <c r="C70" s="728"/>
      <c r="D70" s="173">
        <v>16132</v>
      </c>
      <c r="E70" s="173">
        <v>16995</v>
      </c>
      <c r="F70" s="173">
        <v>21045</v>
      </c>
      <c r="G70" s="173">
        <v>23225</v>
      </c>
      <c r="H70" s="173">
        <v>22830</v>
      </c>
      <c r="I70" s="237">
        <v>22296</v>
      </c>
      <c r="J70" s="237">
        <v>33352</v>
      </c>
      <c r="K70" s="102">
        <v>37492</v>
      </c>
      <c r="L70" s="103">
        <v>38137.74</v>
      </c>
      <c r="M70" s="238">
        <v>48253.93</v>
      </c>
      <c r="N70" s="104">
        <f>SUM(N71:N73)</f>
        <v>65222.28</v>
      </c>
      <c r="O70" s="238">
        <f>SUM(O71:O73)</f>
        <v>78515.91</v>
      </c>
      <c r="P70" s="104">
        <v>87575.21</v>
      </c>
      <c r="Q70" s="104">
        <f>SUM(Q71:Q73)</f>
        <v>114663</v>
      </c>
      <c r="R70" s="104">
        <f>SUM(R71:R73)</f>
        <v>0</v>
      </c>
      <c r="S70" s="104">
        <f>SUM(S71:S73)</f>
        <v>0</v>
      </c>
      <c r="T70" s="105">
        <f>SUM(T71:T73)</f>
        <v>114663</v>
      </c>
    </row>
    <row r="71" spans="1:20" x14ac:dyDescent="0.25">
      <c r="A71" s="777"/>
      <c r="B71" s="239" t="s">
        <v>175</v>
      </c>
      <c r="C71" s="19" t="s">
        <v>122</v>
      </c>
      <c r="D71" s="176"/>
      <c r="E71" s="176"/>
      <c r="F71" s="176"/>
      <c r="G71" s="176"/>
      <c r="H71" s="176"/>
      <c r="I71" s="19"/>
      <c r="J71" s="19"/>
      <c r="K71" s="20"/>
      <c r="L71" s="20"/>
      <c r="M71" s="52"/>
      <c r="N71" s="52">
        <v>65222.28</v>
      </c>
      <c r="O71" s="222">
        <v>54948.07</v>
      </c>
      <c r="P71" s="52">
        <v>60328.94</v>
      </c>
      <c r="Q71" s="52">
        <v>84220</v>
      </c>
      <c r="R71" s="562"/>
      <c r="S71" s="562"/>
      <c r="T71" s="563">
        <f>Q71+R71+S71</f>
        <v>84220</v>
      </c>
    </row>
    <row r="72" spans="1:20" x14ac:dyDescent="0.25">
      <c r="A72" s="778"/>
      <c r="B72" s="240" t="s">
        <v>175</v>
      </c>
      <c r="C72" s="26" t="s">
        <v>123</v>
      </c>
      <c r="D72" s="180"/>
      <c r="E72" s="180"/>
      <c r="F72" s="180"/>
      <c r="G72" s="180"/>
      <c r="H72" s="180"/>
      <c r="I72" s="26"/>
      <c r="J72" s="26"/>
      <c r="K72" s="27"/>
      <c r="L72" s="27"/>
      <c r="M72" s="28"/>
      <c r="N72" s="28"/>
      <c r="O72" s="137">
        <v>17076.54</v>
      </c>
      <c r="P72" s="28">
        <v>18947.38</v>
      </c>
      <c r="Q72" s="28">
        <v>30443</v>
      </c>
      <c r="R72" s="564"/>
      <c r="S72" s="564"/>
      <c r="T72" s="565">
        <f>Q72+R72+S72</f>
        <v>30443</v>
      </c>
    </row>
    <row r="73" spans="1:20" ht="15.75" thickBot="1" x14ac:dyDescent="0.3">
      <c r="A73" s="779"/>
      <c r="B73" s="241">
        <v>600</v>
      </c>
      <c r="C73" s="70" t="s">
        <v>124</v>
      </c>
      <c r="D73" s="213"/>
      <c r="E73" s="213"/>
      <c r="F73" s="213"/>
      <c r="G73" s="213"/>
      <c r="H73" s="213"/>
      <c r="I73" s="70"/>
      <c r="J73" s="70"/>
      <c r="K73" s="90"/>
      <c r="L73" s="90"/>
      <c r="M73" s="57"/>
      <c r="N73" s="57"/>
      <c r="O73" s="56">
        <v>6491.2999999999993</v>
      </c>
      <c r="P73" s="57">
        <v>8298.89</v>
      </c>
      <c r="Q73" s="57">
        <v>0</v>
      </c>
      <c r="R73" s="576"/>
      <c r="S73" s="576"/>
      <c r="T73" s="570">
        <f>Q73+R73+S73</f>
        <v>0</v>
      </c>
    </row>
    <row r="74" spans="1:20" ht="15.75" thickBot="1" x14ac:dyDescent="0.3">
      <c r="A74" s="226" t="s">
        <v>176</v>
      </c>
      <c r="B74" s="786" t="s">
        <v>177</v>
      </c>
      <c r="C74" s="787"/>
      <c r="D74" s="227">
        <v>1016763</v>
      </c>
      <c r="E74" s="227">
        <v>271062</v>
      </c>
      <c r="F74" s="227">
        <v>471453</v>
      </c>
      <c r="G74" s="227">
        <v>456862</v>
      </c>
      <c r="H74" s="119">
        <f t="shared" ref="H74:N74" si="12">SUM(H75:H78)</f>
        <v>440003</v>
      </c>
      <c r="I74" s="119">
        <f t="shared" si="12"/>
        <v>428961</v>
      </c>
      <c r="J74" s="119">
        <f t="shared" si="12"/>
        <v>454364</v>
      </c>
      <c r="K74" s="119">
        <f t="shared" si="12"/>
        <v>445324</v>
      </c>
      <c r="L74" s="120">
        <f>SUM(L75:L78)</f>
        <v>440667.17</v>
      </c>
      <c r="M74" s="103">
        <f t="shared" si="12"/>
        <v>406831.45</v>
      </c>
      <c r="N74" s="104">
        <f t="shared" si="12"/>
        <v>398077.16</v>
      </c>
      <c r="O74" s="238">
        <f>SUM(O75:O78)</f>
        <v>411260.17</v>
      </c>
      <c r="P74" s="104">
        <v>607295.49</v>
      </c>
      <c r="Q74" s="104">
        <f>SUM(Q75:Q78)</f>
        <v>587134</v>
      </c>
      <c r="R74" s="104">
        <f>SUM(R75:R78)</f>
        <v>0</v>
      </c>
      <c r="S74" s="104">
        <f>SUM(S75:S78)</f>
        <v>0</v>
      </c>
      <c r="T74" s="105">
        <f>SUM(T75:T78)</f>
        <v>587134</v>
      </c>
    </row>
    <row r="75" spans="1:20" x14ac:dyDescent="0.25">
      <c r="A75" s="780"/>
      <c r="B75" s="175">
        <v>630</v>
      </c>
      <c r="C75" s="242" t="s">
        <v>98</v>
      </c>
      <c r="D75" s="243"/>
      <c r="E75" s="243"/>
      <c r="F75" s="243"/>
      <c r="G75" s="243"/>
      <c r="H75" s="217">
        <v>4585</v>
      </c>
      <c r="I75" s="244">
        <v>1644</v>
      </c>
      <c r="J75" s="242"/>
      <c r="K75" s="20"/>
      <c r="L75" s="177"/>
      <c r="M75" s="222"/>
      <c r="N75" s="52"/>
      <c r="O75" s="222"/>
      <c r="P75" s="52">
        <v>21699.02</v>
      </c>
      <c r="Q75" s="52"/>
      <c r="R75" s="562"/>
      <c r="S75" s="584"/>
      <c r="T75" s="585">
        <f>Q75+R75+S75</f>
        <v>0</v>
      </c>
    </row>
    <row r="76" spans="1:20" x14ac:dyDescent="0.25">
      <c r="A76" s="781"/>
      <c r="B76" s="240" t="s">
        <v>178</v>
      </c>
      <c r="C76" s="245" t="s">
        <v>179</v>
      </c>
      <c r="D76" s="246"/>
      <c r="E76" s="246"/>
      <c r="F76" s="246"/>
      <c r="G76" s="246"/>
      <c r="H76" s="189">
        <v>7659</v>
      </c>
      <c r="I76" s="247">
        <v>5301</v>
      </c>
      <c r="J76" s="189">
        <v>3974</v>
      </c>
      <c r="K76" s="248">
        <v>3974</v>
      </c>
      <c r="L76" s="249">
        <v>3974.17</v>
      </c>
      <c r="M76" s="137">
        <v>4974.0200000000004</v>
      </c>
      <c r="N76" s="28">
        <v>3974.17</v>
      </c>
      <c r="O76" s="137">
        <v>3974.17</v>
      </c>
      <c r="P76" s="28">
        <v>3974.17</v>
      </c>
      <c r="Q76" s="28">
        <v>3900</v>
      </c>
      <c r="R76" s="564"/>
      <c r="S76" s="564"/>
      <c r="T76" s="565">
        <f>Q76+R76+S76</f>
        <v>3900</v>
      </c>
    </row>
    <row r="77" spans="1:20" x14ac:dyDescent="0.25">
      <c r="A77" s="781"/>
      <c r="B77" s="240" t="s">
        <v>178</v>
      </c>
      <c r="C77" s="245" t="s">
        <v>180</v>
      </c>
      <c r="D77" s="250"/>
      <c r="E77" s="250"/>
      <c r="F77" s="250"/>
      <c r="G77" s="250"/>
      <c r="H77" s="251"/>
      <c r="I77" s="252"/>
      <c r="J77" s="251"/>
      <c r="K77" s="253"/>
      <c r="L77" s="254"/>
      <c r="M77" s="185"/>
      <c r="N77" s="55"/>
      <c r="O77" s="185">
        <v>49000</v>
      </c>
      <c r="P77" s="55">
        <v>97445.88</v>
      </c>
      <c r="Q77" s="55">
        <v>0</v>
      </c>
      <c r="R77" s="564"/>
      <c r="S77" s="576"/>
      <c r="T77" s="570">
        <f>Q77+R77+S77</f>
        <v>0</v>
      </c>
    </row>
    <row r="78" spans="1:20" ht="15.75" thickBot="1" x14ac:dyDescent="0.3">
      <c r="A78" s="782"/>
      <c r="B78" s="182">
        <v>640</v>
      </c>
      <c r="C78" s="255" t="s">
        <v>181</v>
      </c>
      <c r="D78" s="90"/>
      <c r="E78" s="90"/>
      <c r="F78" s="90"/>
      <c r="G78" s="90"/>
      <c r="H78" s="213">
        <v>427759</v>
      </c>
      <c r="I78" s="256">
        <v>422016</v>
      </c>
      <c r="J78" s="213">
        <v>450390</v>
      </c>
      <c r="K78" s="257">
        <v>441350</v>
      </c>
      <c r="L78" s="258">
        <v>436693</v>
      </c>
      <c r="M78" s="236">
        <v>401857.43</v>
      </c>
      <c r="N78" s="35">
        <v>394102.99</v>
      </c>
      <c r="O78" s="236">
        <v>358286</v>
      </c>
      <c r="P78" s="35">
        <v>484176.42</v>
      </c>
      <c r="Q78" s="35">
        <v>583234</v>
      </c>
      <c r="R78" s="576"/>
      <c r="S78" s="576"/>
      <c r="T78" s="570">
        <f>Q78+R78+S78</f>
        <v>583234</v>
      </c>
    </row>
    <row r="79" spans="1:20" ht="15.75" hidden="1" customHeight="1" thickBot="1" x14ac:dyDescent="0.3">
      <c r="A79" s="259" t="s">
        <v>182</v>
      </c>
      <c r="B79" s="788" t="s">
        <v>183</v>
      </c>
      <c r="C79" s="789"/>
      <c r="D79" s="260"/>
      <c r="E79" s="260"/>
      <c r="F79" s="260"/>
      <c r="G79" s="260"/>
      <c r="H79" s="260"/>
      <c r="I79" s="261">
        <v>0</v>
      </c>
      <c r="J79" s="261">
        <v>0</v>
      </c>
      <c r="K79" s="262">
        <f>K80</f>
        <v>0</v>
      </c>
      <c r="L79" s="263"/>
      <c r="M79" s="262">
        <f>M80</f>
        <v>0</v>
      </c>
      <c r="N79" s="264"/>
      <c r="O79" s="264"/>
      <c r="P79" s="264"/>
      <c r="Q79" s="264">
        <v>0</v>
      </c>
      <c r="R79" s="573">
        <v>0</v>
      </c>
      <c r="S79" s="586"/>
      <c r="T79" s="587"/>
    </row>
    <row r="80" spans="1:20" ht="15.75" hidden="1" customHeight="1" thickBot="1" x14ac:dyDescent="0.3">
      <c r="A80" s="599"/>
      <c r="B80" s="231">
        <v>630</v>
      </c>
      <c r="C80" s="265" t="s">
        <v>184</v>
      </c>
      <c r="D80" s="266"/>
      <c r="E80" s="266"/>
      <c r="F80" s="266"/>
      <c r="G80" s="266"/>
      <c r="H80" s="266"/>
      <c r="I80" s="267" t="s">
        <v>185</v>
      </c>
      <c r="J80" s="267" t="s">
        <v>185</v>
      </c>
      <c r="K80" s="232"/>
      <c r="L80" s="126"/>
      <c r="M80" s="127"/>
      <c r="N80" s="127"/>
      <c r="O80" s="127"/>
      <c r="P80" s="127"/>
      <c r="Q80" s="127"/>
      <c r="R80" s="571">
        <v>0</v>
      </c>
      <c r="S80" s="588"/>
      <c r="T80" s="589"/>
    </row>
    <row r="81" spans="1:20" ht="15.75" thickBot="1" x14ac:dyDescent="0.3">
      <c r="A81" s="226" t="s">
        <v>186</v>
      </c>
      <c r="B81" s="786" t="s">
        <v>187</v>
      </c>
      <c r="C81" s="787"/>
      <c r="D81" s="227">
        <v>11817</v>
      </c>
      <c r="E81" s="227">
        <v>11784</v>
      </c>
      <c r="F81" s="227">
        <v>12315</v>
      </c>
      <c r="G81" s="227">
        <v>20259</v>
      </c>
      <c r="H81" s="119">
        <f t="shared" ref="H81:M81" si="13">SUM(H82:H85)</f>
        <v>14522</v>
      </c>
      <c r="I81" s="119">
        <f t="shared" si="13"/>
        <v>159820</v>
      </c>
      <c r="J81" s="119">
        <f t="shared" si="13"/>
        <v>64721</v>
      </c>
      <c r="K81" s="119">
        <f t="shared" si="13"/>
        <v>10450</v>
      </c>
      <c r="L81" s="120">
        <f t="shared" si="13"/>
        <v>10682.39</v>
      </c>
      <c r="M81" s="120">
        <f t="shared" si="13"/>
        <v>9819.23</v>
      </c>
      <c r="N81" s="121">
        <f>SUM(N82:N85)</f>
        <v>9873.75</v>
      </c>
      <c r="O81" s="476">
        <f>SUM(O82:O85)</f>
        <v>11427.249999999998</v>
      </c>
      <c r="P81" s="121">
        <v>14386.410000000002</v>
      </c>
      <c r="Q81" s="121">
        <f>SUM(Q82:Q85)</f>
        <v>14623</v>
      </c>
      <c r="R81" s="104">
        <f>SUM(R82:R85)</f>
        <v>0</v>
      </c>
      <c r="S81" s="104">
        <f>SUM(S82:S85)</f>
        <v>0</v>
      </c>
      <c r="T81" s="105">
        <f>SUM(T82:T85)</f>
        <v>14623</v>
      </c>
    </row>
    <row r="82" spans="1:20" x14ac:dyDescent="0.25">
      <c r="A82" s="777"/>
      <c r="B82" s="192">
        <v>610</v>
      </c>
      <c r="C82" s="66" t="s">
        <v>122</v>
      </c>
      <c r="D82" s="201"/>
      <c r="E82" s="201">
        <v>7435</v>
      </c>
      <c r="F82" s="201">
        <v>7170</v>
      </c>
      <c r="G82" s="201">
        <v>13170</v>
      </c>
      <c r="H82" s="201">
        <v>9057</v>
      </c>
      <c r="I82" s="66">
        <v>7158</v>
      </c>
      <c r="J82" s="67">
        <v>7062</v>
      </c>
      <c r="K82" s="67">
        <v>6902</v>
      </c>
      <c r="L82" s="150">
        <v>7013.99</v>
      </c>
      <c r="M82" s="150">
        <v>6670.5</v>
      </c>
      <c r="N82" s="23">
        <v>6756.74</v>
      </c>
      <c r="O82" s="22">
        <v>6231.04</v>
      </c>
      <c r="P82" s="23">
        <v>9222.5300000000007</v>
      </c>
      <c r="Q82" s="23">
        <v>9935</v>
      </c>
      <c r="R82" s="562"/>
      <c r="S82" s="562"/>
      <c r="T82" s="563">
        <f>Q82+R82+S82</f>
        <v>9935</v>
      </c>
    </row>
    <row r="83" spans="1:20" x14ac:dyDescent="0.25">
      <c r="A83" s="778"/>
      <c r="B83" s="193">
        <v>620</v>
      </c>
      <c r="C83" s="68" t="s">
        <v>123</v>
      </c>
      <c r="D83" s="202"/>
      <c r="E83" s="202">
        <v>2722</v>
      </c>
      <c r="F83" s="202">
        <v>2589</v>
      </c>
      <c r="G83" s="202">
        <v>4447</v>
      </c>
      <c r="H83" s="202">
        <v>3981</v>
      </c>
      <c r="I83" s="68">
        <v>2874</v>
      </c>
      <c r="J83" s="69">
        <v>2706</v>
      </c>
      <c r="K83" s="69">
        <v>2594</v>
      </c>
      <c r="L83" s="151">
        <v>2904.51</v>
      </c>
      <c r="M83" s="151">
        <v>2212.12</v>
      </c>
      <c r="N83" s="30">
        <v>2382.5100000000002</v>
      </c>
      <c r="O83" s="29">
        <v>2182.2399999999998</v>
      </c>
      <c r="P83" s="30">
        <v>3409.77</v>
      </c>
      <c r="Q83" s="30">
        <v>3688</v>
      </c>
      <c r="R83" s="564"/>
      <c r="S83" s="564"/>
      <c r="T83" s="565">
        <f>Q83+R83+S83</f>
        <v>3688</v>
      </c>
    </row>
    <row r="84" spans="1:20" x14ac:dyDescent="0.25">
      <c r="A84" s="778"/>
      <c r="B84" s="193">
        <v>630</v>
      </c>
      <c r="C84" s="68" t="s">
        <v>124</v>
      </c>
      <c r="D84" s="202"/>
      <c r="E84" s="202">
        <v>1627</v>
      </c>
      <c r="F84" s="202">
        <v>2556</v>
      </c>
      <c r="G84" s="202">
        <v>2642</v>
      </c>
      <c r="H84" s="202">
        <v>1484</v>
      </c>
      <c r="I84" s="68">
        <v>1204</v>
      </c>
      <c r="J84" s="69">
        <v>1574</v>
      </c>
      <c r="K84" s="69">
        <v>954</v>
      </c>
      <c r="L84" s="151">
        <v>763.89</v>
      </c>
      <c r="M84" s="151">
        <v>936.61</v>
      </c>
      <c r="N84" s="30">
        <v>734.5</v>
      </c>
      <c r="O84" s="29">
        <v>3013.97</v>
      </c>
      <c r="P84" s="30">
        <v>1754.11</v>
      </c>
      <c r="Q84" s="30">
        <v>1000</v>
      </c>
      <c r="R84" s="564"/>
      <c r="S84" s="564"/>
      <c r="T84" s="565">
        <f>Q84+R84+S84</f>
        <v>1000</v>
      </c>
    </row>
    <row r="85" spans="1:20" ht="15.75" thickBot="1" x14ac:dyDescent="0.3">
      <c r="A85" s="779"/>
      <c r="B85" s="241">
        <v>600</v>
      </c>
      <c r="C85" s="268" t="s">
        <v>188</v>
      </c>
      <c r="D85" s="269"/>
      <c r="E85" s="269"/>
      <c r="F85" s="269"/>
      <c r="G85" s="269"/>
      <c r="H85" s="269"/>
      <c r="I85" s="268">
        <v>148584</v>
      </c>
      <c r="J85" s="270">
        <v>53379</v>
      </c>
      <c r="K85" s="90"/>
      <c r="L85" s="214"/>
      <c r="M85" s="90"/>
      <c r="N85" s="37"/>
      <c r="O85" s="37"/>
      <c r="P85" s="37"/>
      <c r="Q85" s="37"/>
      <c r="R85" s="576"/>
      <c r="S85" s="568"/>
      <c r="T85" s="569">
        <f>Q85+R85+S85</f>
        <v>0</v>
      </c>
    </row>
    <row r="86" spans="1:20" ht="15.75" thickBot="1" x14ac:dyDescent="0.3">
      <c r="A86" s="172" t="s">
        <v>189</v>
      </c>
      <c r="B86" s="790" t="s">
        <v>190</v>
      </c>
      <c r="C86" s="791"/>
      <c r="D86" s="173">
        <v>11518</v>
      </c>
      <c r="E86" s="173">
        <v>13012</v>
      </c>
      <c r="F86" s="173">
        <v>13643</v>
      </c>
      <c r="G86" s="173">
        <v>15109</v>
      </c>
      <c r="H86" s="173">
        <v>14271</v>
      </c>
      <c r="I86" s="102">
        <f>SUM(I87:I89)</f>
        <v>14580</v>
      </c>
      <c r="J86" s="102">
        <f>SUM(J87:J89)</f>
        <v>13755</v>
      </c>
      <c r="K86" s="102">
        <f>SUM(K87:K89)</f>
        <v>12987</v>
      </c>
      <c r="L86" s="103">
        <f>SUM(L87:L89)</f>
        <v>12440.38</v>
      </c>
      <c r="M86" s="103">
        <f>SUM(M87:M90)</f>
        <v>12085.220000000001</v>
      </c>
      <c r="N86" s="104">
        <f>SUM(N87:N90)</f>
        <v>14820</v>
      </c>
      <c r="O86" s="238">
        <f>SUM(O87:O90)</f>
        <v>17802.890000000003</v>
      </c>
      <c r="P86" s="104">
        <v>18901.939999999999</v>
      </c>
      <c r="Q86" s="104">
        <f>SUM(Q87:Q89)</f>
        <v>24387</v>
      </c>
      <c r="R86" s="104">
        <f>SUM(R87:R89)</f>
        <v>0</v>
      </c>
      <c r="S86" s="104">
        <f>SUM(S87:S89)</f>
        <v>0</v>
      </c>
      <c r="T86" s="105">
        <f>SUM(T87:T89)</f>
        <v>24387</v>
      </c>
    </row>
    <row r="87" spans="1:20" x14ac:dyDescent="0.25">
      <c r="A87" s="777"/>
      <c r="B87" s="192">
        <v>610</v>
      </c>
      <c r="C87" s="66" t="s">
        <v>122</v>
      </c>
      <c r="D87" s="201"/>
      <c r="E87" s="201">
        <v>8099</v>
      </c>
      <c r="F87" s="201">
        <v>8597</v>
      </c>
      <c r="G87" s="201">
        <v>9417</v>
      </c>
      <c r="H87" s="201">
        <v>9528</v>
      </c>
      <c r="I87" s="66">
        <v>9523</v>
      </c>
      <c r="J87" s="67">
        <v>8900</v>
      </c>
      <c r="K87" s="67">
        <v>8730</v>
      </c>
      <c r="L87" s="22">
        <v>8356.07</v>
      </c>
      <c r="M87" s="22">
        <v>8369.9699999999993</v>
      </c>
      <c r="N87" s="23">
        <v>10167.75</v>
      </c>
      <c r="O87" s="22">
        <v>12358.6</v>
      </c>
      <c r="P87" s="23">
        <v>13120.16</v>
      </c>
      <c r="Q87" s="23">
        <v>17145</v>
      </c>
      <c r="R87" s="562"/>
      <c r="S87" s="562"/>
      <c r="T87" s="563">
        <f>Q87+R87+S87</f>
        <v>17145</v>
      </c>
    </row>
    <row r="88" spans="1:20" x14ac:dyDescent="0.25">
      <c r="A88" s="778"/>
      <c r="B88" s="193">
        <v>620</v>
      </c>
      <c r="C88" s="68" t="s">
        <v>123</v>
      </c>
      <c r="D88" s="202"/>
      <c r="E88" s="202">
        <v>2855</v>
      </c>
      <c r="F88" s="202">
        <v>3220</v>
      </c>
      <c r="G88" s="202">
        <v>3567</v>
      </c>
      <c r="H88" s="202">
        <v>3607</v>
      </c>
      <c r="I88" s="68">
        <v>3617</v>
      </c>
      <c r="J88" s="69">
        <v>3393</v>
      </c>
      <c r="K88" s="69">
        <v>3330</v>
      </c>
      <c r="L88" s="29">
        <v>3406.87</v>
      </c>
      <c r="M88" s="29">
        <v>2973.01</v>
      </c>
      <c r="N88" s="30">
        <v>3841.92</v>
      </c>
      <c r="O88" s="29">
        <v>4614.21</v>
      </c>
      <c r="P88" s="30">
        <v>4873.08</v>
      </c>
      <c r="Q88" s="30">
        <v>6242</v>
      </c>
      <c r="R88" s="564"/>
      <c r="S88" s="564"/>
      <c r="T88" s="565">
        <f>Q88+R88+S88</f>
        <v>6242</v>
      </c>
    </row>
    <row r="89" spans="1:20" ht="15.75" thickBot="1" x14ac:dyDescent="0.3">
      <c r="A89" s="778"/>
      <c r="B89" s="271">
        <v>630</v>
      </c>
      <c r="C89" s="71" t="s">
        <v>124</v>
      </c>
      <c r="D89" s="213"/>
      <c r="E89" s="213">
        <v>2058</v>
      </c>
      <c r="F89" s="213">
        <v>1826</v>
      </c>
      <c r="G89" s="213">
        <v>2125</v>
      </c>
      <c r="H89" s="213">
        <v>1136</v>
      </c>
      <c r="I89" s="70">
        <v>1440</v>
      </c>
      <c r="J89" s="90">
        <v>1462</v>
      </c>
      <c r="K89" s="113">
        <v>927</v>
      </c>
      <c r="L89" s="151">
        <v>677.44</v>
      </c>
      <c r="M89" s="151">
        <v>629.37</v>
      </c>
      <c r="N89" s="30">
        <v>810.33</v>
      </c>
      <c r="O89" s="29">
        <v>830.08</v>
      </c>
      <c r="P89" s="30">
        <v>908.7</v>
      </c>
      <c r="Q89" s="30">
        <v>1000</v>
      </c>
      <c r="R89" s="564"/>
      <c r="S89" s="564"/>
      <c r="T89" s="565">
        <f>Q89+R89+S89</f>
        <v>1000</v>
      </c>
    </row>
    <row r="90" spans="1:20" ht="15.75" hidden="1" customHeight="1" thickBot="1" x14ac:dyDescent="0.3">
      <c r="A90" s="779"/>
      <c r="B90" s="241">
        <v>640</v>
      </c>
      <c r="C90" s="70" t="s">
        <v>125</v>
      </c>
      <c r="D90" s="224"/>
      <c r="E90" s="224"/>
      <c r="F90" s="224"/>
      <c r="G90" s="224"/>
      <c r="H90" s="224"/>
      <c r="I90" s="207"/>
      <c r="J90" s="171"/>
      <c r="K90" s="203"/>
      <c r="L90" s="272"/>
      <c r="M90" s="272">
        <v>112.87</v>
      </c>
      <c r="N90" s="109"/>
      <c r="O90" s="109"/>
      <c r="P90" s="109"/>
      <c r="Q90" s="109"/>
      <c r="R90" s="571">
        <v>0</v>
      </c>
      <c r="S90" s="571"/>
      <c r="T90" s="572"/>
    </row>
    <row r="91" spans="1:20" ht="15.75" thickBot="1" x14ac:dyDescent="0.3">
      <c r="A91" s="172" t="s">
        <v>191</v>
      </c>
      <c r="B91" s="755" t="s">
        <v>192</v>
      </c>
      <c r="C91" s="728"/>
      <c r="D91" s="227">
        <v>0</v>
      </c>
      <c r="E91" s="227">
        <v>221337</v>
      </c>
      <c r="F91" s="227">
        <v>136394</v>
      </c>
      <c r="G91" s="227">
        <v>214824</v>
      </c>
      <c r="H91" s="227">
        <v>646088</v>
      </c>
      <c r="I91" s="102">
        <f>SUM(I97:I109)</f>
        <v>152165</v>
      </c>
      <c r="J91" s="102">
        <f>SUM(J97:J109)</f>
        <v>173492</v>
      </c>
      <c r="K91" s="102">
        <f>SUM(K97:K109)</f>
        <v>219663</v>
      </c>
      <c r="L91" s="103">
        <f>SUM(L92:L109)</f>
        <v>485501.09</v>
      </c>
      <c r="M91" s="103">
        <f>SUM(M92:M109)</f>
        <v>315963.52000000002</v>
      </c>
      <c r="N91" s="104">
        <f>SUM(N92:N109)</f>
        <v>306308.77</v>
      </c>
      <c r="O91" s="238">
        <f>SUM(O92:O109)</f>
        <v>235650.84</v>
      </c>
      <c r="P91" s="104">
        <v>258445.63</v>
      </c>
      <c r="Q91" s="104">
        <f>SUM(Q106:Q109)</f>
        <v>239323</v>
      </c>
      <c r="R91" s="104">
        <f>SUM(R106:R109)</f>
        <v>0</v>
      </c>
      <c r="S91" s="104">
        <f>SUM(S106:S109)</f>
        <v>0</v>
      </c>
      <c r="T91" s="105">
        <f>SUM(T106:T109)</f>
        <v>239323</v>
      </c>
    </row>
    <row r="92" spans="1:20" ht="15" hidden="1" customHeight="1" x14ac:dyDescent="0.25">
      <c r="A92" s="780"/>
      <c r="B92" s="192">
        <v>630</v>
      </c>
      <c r="C92" s="66" t="s">
        <v>193</v>
      </c>
      <c r="D92" s="273"/>
      <c r="E92" s="273"/>
      <c r="F92" s="273"/>
      <c r="G92" s="273"/>
      <c r="H92" s="273"/>
      <c r="I92" s="274"/>
      <c r="J92" s="274"/>
      <c r="K92" s="274"/>
      <c r="L92" s="178">
        <v>164829</v>
      </c>
      <c r="M92" s="178">
        <v>115488</v>
      </c>
      <c r="N92" s="21">
        <v>98750</v>
      </c>
      <c r="O92" s="178"/>
      <c r="P92" s="21"/>
      <c r="Q92" s="283"/>
      <c r="R92" s="562">
        <v>0</v>
      </c>
      <c r="S92" s="584"/>
      <c r="T92" s="585"/>
    </row>
    <row r="93" spans="1:20" ht="15" hidden="1" customHeight="1" x14ac:dyDescent="0.25">
      <c r="A93" s="781"/>
      <c r="B93" s="193"/>
      <c r="C93" s="71" t="s">
        <v>194</v>
      </c>
      <c r="D93" s="275"/>
      <c r="E93" s="275"/>
      <c r="F93" s="275"/>
      <c r="G93" s="275"/>
      <c r="H93" s="275"/>
      <c r="I93" s="276"/>
      <c r="J93" s="276"/>
      <c r="K93" s="276"/>
      <c r="L93" s="222">
        <v>9696.5400000000009</v>
      </c>
      <c r="M93" s="277"/>
      <c r="N93" s="278"/>
      <c r="O93" s="277"/>
      <c r="P93" s="278"/>
      <c r="Q93" s="278"/>
      <c r="R93" s="564">
        <v>0</v>
      </c>
      <c r="S93" s="566"/>
      <c r="T93" s="567"/>
    </row>
    <row r="94" spans="1:20" ht="15" hidden="1" customHeight="1" x14ac:dyDescent="0.25">
      <c r="A94" s="781"/>
      <c r="B94" s="193"/>
      <c r="C94" s="71" t="s">
        <v>195</v>
      </c>
      <c r="D94" s="275"/>
      <c r="E94" s="275"/>
      <c r="F94" s="275"/>
      <c r="G94" s="275"/>
      <c r="H94" s="275"/>
      <c r="I94" s="276"/>
      <c r="J94" s="276"/>
      <c r="K94" s="276"/>
      <c r="L94" s="222">
        <v>9955.2999999999993</v>
      </c>
      <c r="M94" s="277"/>
      <c r="N94" s="278"/>
      <c r="O94" s="277"/>
      <c r="P94" s="278"/>
      <c r="Q94" s="278"/>
      <c r="R94" s="564">
        <v>0</v>
      </c>
      <c r="S94" s="566"/>
      <c r="T94" s="567"/>
    </row>
    <row r="95" spans="1:20" ht="15" hidden="1" customHeight="1" x14ac:dyDescent="0.25">
      <c r="A95" s="781"/>
      <c r="B95" s="193"/>
      <c r="C95" s="71" t="s">
        <v>196</v>
      </c>
      <c r="D95" s="275"/>
      <c r="E95" s="275"/>
      <c r="F95" s="275"/>
      <c r="G95" s="275"/>
      <c r="H95" s="275"/>
      <c r="I95" s="276"/>
      <c r="J95" s="276"/>
      <c r="K95" s="276"/>
      <c r="L95" s="222">
        <v>11550</v>
      </c>
      <c r="M95" s="277"/>
      <c r="N95" s="278"/>
      <c r="O95" s="277"/>
      <c r="P95" s="278"/>
      <c r="Q95" s="278"/>
      <c r="R95" s="564">
        <v>0</v>
      </c>
      <c r="S95" s="566"/>
      <c r="T95" s="567"/>
    </row>
    <row r="96" spans="1:20" ht="15" hidden="1" customHeight="1" x14ac:dyDescent="0.25">
      <c r="A96" s="781"/>
      <c r="B96" s="193"/>
      <c r="C96" s="68" t="s">
        <v>197</v>
      </c>
      <c r="D96" s="275"/>
      <c r="E96" s="275"/>
      <c r="F96" s="275"/>
      <c r="G96" s="275"/>
      <c r="H96" s="275"/>
      <c r="I96" s="276"/>
      <c r="J96" s="276"/>
      <c r="K96" s="276"/>
      <c r="L96" s="222">
        <v>11848</v>
      </c>
      <c r="M96" s="277"/>
      <c r="N96" s="278"/>
      <c r="O96" s="277"/>
      <c r="P96" s="278"/>
      <c r="Q96" s="278"/>
      <c r="R96" s="564">
        <v>0</v>
      </c>
      <c r="S96" s="566"/>
      <c r="T96" s="567"/>
    </row>
    <row r="97" spans="1:20" ht="15" hidden="1" customHeight="1" x14ac:dyDescent="0.25">
      <c r="A97" s="781"/>
      <c r="B97" s="279"/>
      <c r="C97" s="111" t="s">
        <v>198</v>
      </c>
      <c r="D97" s="83"/>
      <c r="E97" s="83"/>
      <c r="F97" s="83"/>
      <c r="G97" s="83"/>
      <c r="H97" s="83"/>
      <c r="I97" s="111"/>
      <c r="J97" s="83"/>
      <c r="K97" s="83"/>
      <c r="L97" s="53">
        <v>55733.87</v>
      </c>
      <c r="M97" s="29">
        <v>17376</v>
      </c>
      <c r="N97" s="54"/>
      <c r="O97" s="53">
        <v>39179.72</v>
      </c>
      <c r="P97" s="54"/>
      <c r="Q97" s="54"/>
      <c r="R97" s="564">
        <v>0</v>
      </c>
      <c r="S97" s="566"/>
      <c r="T97" s="567"/>
    </row>
    <row r="98" spans="1:20" ht="15" hidden="1" customHeight="1" x14ac:dyDescent="0.25">
      <c r="A98" s="781"/>
      <c r="B98" s="271"/>
      <c r="C98" s="71" t="s">
        <v>199</v>
      </c>
      <c r="D98" s="113"/>
      <c r="E98" s="113"/>
      <c r="F98" s="113"/>
      <c r="G98" s="113"/>
      <c r="H98" s="113"/>
      <c r="I98" s="71"/>
      <c r="J98" s="113"/>
      <c r="K98" s="69"/>
      <c r="L98" s="29">
        <v>41848</v>
      </c>
      <c r="M98" s="29"/>
      <c r="N98" s="30"/>
      <c r="O98" s="29"/>
      <c r="P98" s="30"/>
      <c r="Q98" s="30"/>
      <c r="R98" s="564">
        <v>0</v>
      </c>
      <c r="S98" s="566"/>
      <c r="T98" s="567"/>
    </row>
    <row r="99" spans="1:20" ht="15" hidden="1" customHeight="1" x14ac:dyDescent="0.25">
      <c r="A99" s="781"/>
      <c r="B99" s="271"/>
      <c r="C99" s="71"/>
      <c r="D99" s="113"/>
      <c r="E99" s="113"/>
      <c r="F99" s="113"/>
      <c r="G99" s="113"/>
      <c r="H99" s="113"/>
      <c r="I99" s="71"/>
      <c r="J99" s="113"/>
      <c r="K99" s="69"/>
      <c r="L99" s="30"/>
      <c r="M99" s="29"/>
      <c r="N99" s="30"/>
      <c r="O99" s="29"/>
      <c r="P99" s="30"/>
      <c r="Q99" s="30"/>
      <c r="R99" s="564">
        <v>0</v>
      </c>
      <c r="S99" s="566"/>
      <c r="T99" s="567"/>
    </row>
    <row r="100" spans="1:20" ht="15" hidden="1" customHeight="1" x14ac:dyDescent="0.25">
      <c r="A100" s="781"/>
      <c r="B100" s="271"/>
      <c r="C100" s="71"/>
      <c r="D100" s="113"/>
      <c r="E100" s="113"/>
      <c r="F100" s="113"/>
      <c r="G100" s="113"/>
      <c r="H100" s="113"/>
      <c r="I100" s="71"/>
      <c r="J100" s="113"/>
      <c r="K100" s="69"/>
      <c r="L100" s="30"/>
      <c r="M100" s="29"/>
      <c r="N100" s="30"/>
      <c r="O100" s="29"/>
      <c r="P100" s="30"/>
      <c r="Q100" s="30"/>
      <c r="R100" s="564">
        <v>0</v>
      </c>
      <c r="S100" s="566"/>
      <c r="T100" s="567"/>
    </row>
    <row r="101" spans="1:20" ht="15" hidden="1" customHeight="1" x14ac:dyDescent="0.25">
      <c r="A101" s="781"/>
      <c r="B101" s="271"/>
      <c r="C101" s="68"/>
      <c r="D101" s="69"/>
      <c r="E101" s="69"/>
      <c r="F101" s="69"/>
      <c r="G101" s="69"/>
      <c r="H101" s="69"/>
      <c r="I101" s="68"/>
      <c r="J101" s="69"/>
      <c r="K101" s="69"/>
      <c r="L101" s="30"/>
      <c r="M101" s="29"/>
      <c r="N101" s="30"/>
      <c r="O101" s="29"/>
      <c r="P101" s="30"/>
      <c r="Q101" s="30"/>
      <c r="R101" s="564">
        <v>0</v>
      </c>
      <c r="S101" s="566"/>
      <c r="T101" s="567"/>
    </row>
    <row r="102" spans="1:20" ht="15" hidden="1" customHeight="1" x14ac:dyDescent="0.25">
      <c r="A102" s="781"/>
      <c r="B102" s="271">
        <v>630</v>
      </c>
      <c r="C102" s="68" t="s">
        <v>200</v>
      </c>
      <c r="D102" s="69"/>
      <c r="E102" s="69"/>
      <c r="F102" s="69"/>
      <c r="G102" s="69"/>
      <c r="H102" s="69"/>
      <c r="I102" s="68">
        <v>800</v>
      </c>
      <c r="J102" s="69"/>
      <c r="K102" s="69"/>
      <c r="L102" s="30"/>
      <c r="M102" s="29"/>
      <c r="N102" s="30"/>
      <c r="O102" s="29"/>
      <c r="P102" s="30"/>
      <c r="Q102" s="30"/>
      <c r="R102" s="564">
        <v>0</v>
      </c>
      <c r="S102" s="566"/>
      <c r="T102" s="567"/>
    </row>
    <row r="103" spans="1:20" ht="15" hidden="1" customHeight="1" x14ac:dyDescent="0.25">
      <c r="A103" s="781"/>
      <c r="B103" s="271">
        <v>630</v>
      </c>
      <c r="C103" s="68" t="s">
        <v>201</v>
      </c>
      <c r="D103" s="69"/>
      <c r="E103" s="69"/>
      <c r="F103" s="69"/>
      <c r="G103" s="69"/>
      <c r="H103" s="69"/>
      <c r="I103" s="68">
        <v>2124</v>
      </c>
      <c r="J103" s="69">
        <v>1200</v>
      </c>
      <c r="K103" s="30">
        <f>25728+5970+25054</f>
        <v>56752</v>
      </c>
      <c r="L103" s="30"/>
      <c r="M103" s="29"/>
      <c r="N103" s="30"/>
      <c r="O103" s="29"/>
      <c r="P103" s="30"/>
      <c r="Q103" s="30"/>
      <c r="R103" s="564">
        <v>0</v>
      </c>
      <c r="S103" s="566"/>
      <c r="T103" s="567"/>
    </row>
    <row r="104" spans="1:20" ht="15.75" hidden="1" customHeight="1" x14ac:dyDescent="0.25">
      <c r="A104" s="781"/>
      <c r="B104" s="271">
        <v>630</v>
      </c>
      <c r="C104" s="68" t="s">
        <v>202</v>
      </c>
      <c r="D104" s="69"/>
      <c r="E104" s="69"/>
      <c r="F104" s="69"/>
      <c r="G104" s="69"/>
      <c r="H104" s="69"/>
      <c r="I104" s="68"/>
      <c r="J104" s="69">
        <v>22691</v>
      </c>
      <c r="K104" s="30">
        <v>859</v>
      </c>
      <c r="L104" s="30"/>
      <c r="M104" s="29">
        <v>774.55</v>
      </c>
      <c r="N104" s="30"/>
      <c r="O104" s="29"/>
      <c r="P104" s="30"/>
      <c r="Q104" s="30"/>
      <c r="R104" s="564">
        <v>0</v>
      </c>
      <c r="S104" s="566"/>
      <c r="T104" s="567"/>
    </row>
    <row r="105" spans="1:20" ht="15" hidden="1" customHeight="1" x14ac:dyDescent="0.25">
      <c r="A105" s="781"/>
      <c r="B105" s="271">
        <v>630</v>
      </c>
      <c r="C105" s="68" t="s">
        <v>203</v>
      </c>
      <c r="D105" s="69"/>
      <c r="E105" s="69"/>
      <c r="F105" s="69"/>
      <c r="G105" s="69"/>
      <c r="H105" s="69"/>
      <c r="I105" s="68">
        <v>4435</v>
      </c>
      <c r="J105" s="69"/>
      <c r="K105" s="69">
        <v>0</v>
      </c>
      <c r="L105" s="29">
        <v>931.15</v>
      </c>
      <c r="M105" s="29">
        <v>7872</v>
      </c>
      <c r="N105" s="30">
        <v>6215.72</v>
      </c>
      <c r="O105" s="29"/>
      <c r="P105" s="30"/>
      <c r="Q105" s="30">
        <v>0</v>
      </c>
      <c r="R105" s="564">
        <v>0</v>
      </c>
      <c r="S105" s="564">
        <v>0</v>
      </c>
      <c r="T105" s="565">
        <v>0</v>
      </c>
    </row>
    <row r="106" spans="1:20" ht="14.25" customHeight="1" x14ac:dyDescent="0.25">
      <c r="A106" s="781"/>
      <c r="B106" s="271">
        <v>630</v>
      </c>
      <c r="C106" s="71" t="s">
        <v>204</v>
      </c>
      <c r="D106" s="113"/>
      <c r="E106" s="113"/>
      <c r="F106" s="113"/>
      <c r="G106" s="113"/>
      <c r="H106" s="113"/>
      <c r="I106" s="71"/>
      <c r="J106" s="113"/>
      <c r="K106" s="113"/>
      <c r="L106" s="57"/>
      <c r="M106" s="56"/>
      <c r="N106" s="57">
        <v>17446.490000000002</v>
      </c>
      <c r="O106" s="56"/>
      <c r="P106" s="57">
        <v>50244.21</v>
      </c>
      <c r="Q106" s="57"/>
      <c r="R106" s="564"/>
      <c r="S106" s="566"/>
      <c r="T106" s="567">
        <f>Q106+R106+S106</f>
        <v>0</v>
      </c>
    </row>
    <row r="107" spans="1:20" ht="14.25" customHeight="1" x14ac:dyDescent="0.25">
      <c r="A107" s="781"/>
      <c r="B107" s="271">
        <v>630</v>
      </c>
      <c r="C107" s="71" t="s">
        <v>427</v>
      </c>
      <c r="D107" s="113"/>
      <c r="E107" s="113"/>
      <c r="F107" s="113"/>
      <c r="G107" s="113"/>
      <c r="H107" s="113"/>
      <c r="I107" s="71">
        <v>931</v>
      </c>
      <c r="J107" s="113">
        <v>0</v>
      </c>
      <c r="K107" s="113"/>
      <c r="L107" s="113"/>
      <c r="M107" s="280"/>
      <c r="N107" s="57">
        <v>0</v>
      </c>
      <c r="O107" s="56"/>
      <c r="P107" s="57"/>
      <c r="Q107" s="57">
        <v>5000</v>
      </c>
      <c r="R107" s="564"/>
      <c r="S107" s="566"/>
      <c r="T107" s="567">
        <f>Q107+R107+S107</f>
        <v>5000</v>
      </c>
    </row>
    <row r="108" spans="1:20" x14ac:dyDescent="0.25">
      <c r="A108" s="781"/>
      <c r="B108" s="271">
        <v>630</v>
      </c>
      <c r="C108" s="71" t="s">
        <v>205</v>
      </c>
      <c r="D108" s="113"/>
      <c r="E108" s="113"/>
      <c r="F108" s="113"/>
      <c r="G108" s="113"/>
      <c r="H108" s="113"/>
      <c r="I108" s="68">
        <v>10805</v>
      </c>
      <c r="J108" s="69">
        <v>3148</v>
      </c>
      <c r="K108" s="113">
        <f>2890+1395+2974+8613+1646</f>
        <v>17518</v>
      </c>
      <c r="L108" s="56">
        <v>34575.230000000003</v>
      </c>
      <c r="M108" s="56">
        <v>22975.97</v>
      </c>
      <c r="N108" s="57">
        <v>28524.560000000001</v>
      </c>
      <c r="O108" s="56">
        <v>26839.279999999999</v>
      </c>
      <c r="P108" s="57">
        <v>38980.9</v>
      </c>
      <c r="Q108" s="57">
        <v>40449</v>
      </c>
      <c r="R108" s="564"/>
      <c r="S108" s="564"/>
      <c r="T108" s="565">
        <f>Q108+R108+S108</f>
        <v>40449</v>
      </c>
    </row>
    <row r="109" spans="1:20" ht="15.75" thickBot="1" x14ac:dyDescent="0.3">
      <c r="A109" s="782"/>
      <c r="B109" s="241">
        <v>640</v>
      </c>
      <c r="C109" s="70" t="s">
        <v>206</v>
      </c>
      <c r="D109" s="90"/>
      <c r="E109" s="90">
        <v>217951</v>
      </c>
      <c r="F109" s="90">
        <v>132776</v>
      </c>
      <c r="G109" s="90">
        <v>141830</v>
      </c>
      <c r="H109" s="90">
        <v>137000</v>
      </c>
      <c r="I109" s="70">
        <v>133070</v>
      </c>
      <c r="J109" s="90">
        <v>146453</v>
      </c>
      <c r="K109" s="90">
        <v>144534</v>
      </c>
      <c r="L109" s="214">
        <v>144534</v>
      </c>
      <c r="M109" s="214">
        <v>151477</v>
      </c>
      <c r="N109" s="37">
        <v>155372</v>
      </c>
      <c r="O109" s="36">
        <v>169631.84</v>
      </c>
      <c r="P109" s="37">
        <v>169220.52</v>
      </c>
      <c r="Q109" s="37">
        <v>193874</v>
      </c>
      <c r="R109" s="576"/>
      <c r="S109" s="576"/>
      <c r="T109" s="570">
        <f>Q109+R109+S109</f>
        <v>193874</v>
      </c>
    </row>
    <row r="110" spans="1:20" ht="15.75" thickBot="1" x14ac:dyDescent="0.3">
      <c r="A110" s="172" t="s">
        <v>207</v>
      </c>
      <c r="B110" s="755" t="s">
        <v>208</v>
      </c>
      <c r="C110" s="728"/>
      <c r="D110" s="102">
        <f>D111</f>
        <v>10589</v>
      </c>
      <c r="E110" s="102">
        <f>E111</f>
        <v>11917</v>
      </c>
      <c r="F110" s="102">
        <f>F111</f>
        <v>11883</v>
      </c>
      <c r="G110" s="102">
        <f>G111</f>
        <v>4189</v>
      </c>
      <c r="H110" s="102">
        <v>5005</v>
      </c>
      <c r="I110" s="102">
        <f t="shared" ref="I110:O110" si="14">I111</f>
        <v>5041</v>
      </c>
      <c r="J110" s="102">
        <f t="shared" si="14"/>
        <v>5609</v>
      </c>
      <c r="K110" s="102">
        <f t="shared" si="14"/>
        <v>6003</v>
      </c>
      <c r="L110" s="103">
        <v>3745.53</v>
      </c>
      <c r="M110" s="103">
        <f t="shared" si="14"/>
        <v>5989.44</v>
      </c>
      <c r="N110" s="104">
        <f t="shared" si="14"/>
        <v>5966.9</v>
      </c>
      <c r="O110" s="238">
        <f t="shared" si="14"/>
        <v>6273.49</v>
      </c>
      <c r="P110" s="104">
        <v>6274.93</v>
      </c>
      <c r="Q110" s="104">
        <f>Q111</f>
        <v>6000</v>
      </c>
      <c r="R110" s="104">
        <f>R111</f>
        <v>0</v>
      </c>
      <c r="S110" s="104">
        <f>S111</f>
        <v>0</v>
      </c>
      <c r="T110" s="105">
        <f>T111</f>
        <v>6000</v>
      </c>
    </row>
    <row r="111" spans="1:20" ht="15.75" thickBot="1" x14ac:dyDescent="0.3">
      <c r="A111" s="613"/>
      <c r="B111" s="281"/>
      <c r="C111" s="114" t="s">
        <v>209</v>
      </c>
      <c r="D111" s="125">
        <v>10589</v>
      </c>
      <c r="E111" s="125">
        <v>11917</v>
      </c>
      <c r="F111" s="125">
        <v>11883</v>
      </c>
      <c r="G111" s="125">
        <v>4189</v>
      </c>
      <c r="H111" s="125">
        <v>5005</v>
      </c>
      <c r="I111" s="114">
        <v>5041</v>
      </c>
      <c r="J111" s="125">
        <v>5609</v>
      </c>
      <c r="K111" s="16">
        <v>6003</v>
      </c>
      <c r="L111" s="15">
        <v>3745.53</v>
      </c>
      <c r="M111" s="15">
        <v>5989.44</v>
      </c>
      <c r="N111" s="16">
        <v>5966.9</v>
      </c>
      <c r="O111" s="15">
        <v>6273.49</v>
      </c>
      <c r="P111" s="16">
        <v>6274.93</v>
      </c>
      <c r="Q111" s="16">
        <v>6000</v>
      </c>
      <c r="R111" s="573"/>
      <c r="S111" s="573"/>
      <c r="T111" s="574">
        <f>Q111+R111+S111</f>
        <v>6000</v>
      </c>
    </row>
    <row r="112" spans="1:20" ht="15.75" thickBot="1" x14ac:dyDescent="0.3">
      <c r="A112" s="226" t="s">
        <v>210</v>
      </c>
      <c r="B112" s="785" t="s">
        <v>211</v>
      </c>
      <c r="C112" s="759"/>
      <c r="D112" s="119">
        <f>D114</f>
        <v>0</v>
      </c>
      <c r="E112" s="119">
        <f>E114</f>
        <v>122817</v>
      </c>
      <c r="F112" s="119">
        <f>F114</f>
        <v>236905</v>
      </c>
      <c r="G112" s="119">
        <f>G114</f>
        <v>210760</v>
      </c>
      <c r="H112" s="119">
        <v>216000</v>
      </c>
      <c r="I112" s="119">
        <f t="shared" ref="I112:N112" si="15">I114</f>
        <v>173560</v>
      </c>
      <c r="J112" s="119">
        <f t="shared" si="15"/>
        <v>168880</v>
      </c>
      <c r="K112" s="119">
        <f t="shared" si="15"/>
        <v>168880</v>
      </c>
      <c r="L112" s="120">
        <v>166668</v>
      </c>
      <c r="M112" s="120">
        <f t="shared" si="15"/>
        <v>150364</v>
      </c>
      <c r="N112" s="121">
        <f t="shared" si="15"/>
        <v>136000</v>
      </c>
      <c r="O112" s="476">
        <f>O114+O113</f>
        <v>141246.73000000001</v>
      </c>
      <c r="P112" s="121">
        <v>166152.71</v>
      </c>
      <c r="Q112" s="121">
        <f>Q113+Q114</f>
        <v>167000</v>
      </c>
      <c r="R112" s="121">
        <f>R113+R114</f>
        <v>0</v>
      </c>
      <c r="S112" s="121">
        <f>S113+S114</f>
        <v>0</v>
      </c>
      <c r="T112" s="643">
        <f>T113+T114</f>
        <v>167000</v>
      </c>
    </row>
    <row r="113" spans="1:20" x14ac:dyDescent="0.25">
      <c r="A113" s="780"/>
      <c r="B113" s="282">
        <v>630</v>
      </c>
      <c r="C113" s="216" t="s">
        <v>212</v>
      </c>
      <c r="D113" s="274"/>
      <c r="E113" s="274"/>
      <c r="F113" s="274"/>
      <c r="G113" s="274"/>
      <c r="H113" s="274"/>
      <c r="I113" s="274"/>
      <c r="J113" s="274"/>
      <c r="K113" s="283"/>
      <c r="L113" s="22"/>
      <c r="M113" s="22"/>
      <c r="N113" s="23"/>
      <c r="O113" s="22">
        <v>3112.73</v>
      </c>
      <c r="P113" s="23"/>
      <c r="Q113" s="23"/>
      <c r="R113" s="577"/>
      <c r="S113" s="284"/>
      <c r="T113" s="285">
        <f>Q113+R113+S113</f>
        <v>0</v>
      </c>
    </row>
    <row r="114" spans="1:20" ht="15.75" thickBot="1" x14ac:dyDescent="0.3">
      <c r="A114" s="782"/>
      <c r="B114" s="212">
        <v>640</v>
      </c>
      <c r="C114" s="268" t="s">
        <v>213</v>
      </c>
      <c r="D114" s="90"/>
      <c r="E114" s="90">
        <v>122817</v>
      </c>
      <c r="F114" s="90">
        <v>236905</v>
      </c>
      <c r="G114" s="90">
        <v>210760</v>
      </c>
      <c r="H114" s="90">
        <v>216000</v>
      </c>
      <c r="I114" s="70">
        <v>173560</v>
      </c>
      <c r="J114" s="90">
        <v>168880</v>
      </c>
      <c r="K114" s="37">
        <v>168880</v>
      </c>
      <c r="L114" s="36">
        <v>166668</v>
      </c>
      <c r="M114" s="36">
        <v>150364</v>
      </c>
      <c r="N114" s="37">
        <v>136000</v>
      </c>
      <c r="O114" s="36">
        <v>138134</v>
      </c>
      <c r="P114" s="37">
        <v>166152.71</v>
      </c>
      <c r="Q114" s="37">
        <v>167000</v>
      </c>
      <c r="R114" s="579"/>
      <c r="S114" s="579"/>
      <c r="T114" s="580">
        <f>Q114+R114+S114</f>
        <v>167000</v>
      </c>
    </row>
    <row r="115" spans="1:20" ht="15.75" thickBot="1" x14ac:dyDescent="0.3">
      <c r="A115" s="226" t="s">
        <v>214</v>
      </c>
      <c r="B115" s="785" t="s">
        <v>215</v>
      </c>
      <c r="C115" s="759"/>
      <c r="D115" s="119">
        <v>0</v>
      </c>
      <c r="E115" s="119">
        <v>56430</v>
      </c>
      <c r="F115" s="119">
        <v>359789</v>
      </c>
      <c r="G115" s="119">
        <v>312928</v>
      </c>
      <c r="H115" s="119">
        <v>336361</v>
      </c>
      <c r="I115" s="119">
        <f t="shared" ref="I115:O115" si="16">SUM(I116:I121)</f>
        <v>283963</v>
      </c>
      <c r="J115" s="119">
        <f t="shared" si="16"/>
        <v>347786</v>
      </c>
      <c r="K115" s="119">
        <f t="shared" si="16"/>
        <v>268221</v>
      </c>
      <c r="L115" s="119">
        <f t="shared" si="16"/>
        <v>263798.23</v>
      </c>
      <c r="M115" s="120">
        <f t="shared" si="16"/>
        <v>287887.32</v>
      </c>
      <c r="N115" s="121">
        <f t="shared" si="16"/>
        <v>314491.48</v>
      </c>
      <c r="O115" s="476">
        <f t="shared" si="16"/>
        <v>300556.48</v>
      </c>
      <c r="P115" s="121">
        <v>267198.25</v>
      </c>
      <c r="Q115" s="121">
        <f>SUM(Q116:Q121)</f>
        <v>332693</v>
      </c>
      <c r="R115" s="121">
        <f>SUM(R116:R121)</f>
        <v>0</v>
      </c>
      <c r="S115" s="121">
        <f>SUM(S116:S121)</f>
        <v>0</v>
      </c>
      <c r="T115" s="643">
        <f>SUM(T116:T121)</f>
        <v>332693</v>
      </c>
    </row>
    <row r="116" spans="1:20" x14ac:dyDescent="0.25">
      <c r="A116" s="780"/>
      <c r="B116" s="192">
        <v>610</v>
      </c>
      <c r="C116" s="66" t="s">
        <v>122</v>
      </c>
      <c r="D116" s="67"/>
      <c r="E116" s="67"/>
      <c r="F116" s="67"/>
      <c r="G116" s="67"/>
      <c r="H116" s="67"/>
      <c r="I116" s="66">
        <v>264635</v>
      </c>
      <c r="J116" s="67">
        <v>24997</v>
      </c>
      <c r="K116" s="67">
        <v>24062</v>
      </c>
      <c r="L116" s="23">
        <v>22719.55</v>
      </c>
      <c r="M116" s="178">
        <v>28495.57</v>
      </c>
      <c r="N116" s="21">
        <v>28348.01</v>
      </c>
      <c r="O116" s="178">
        <v>31464.639999999999</v>
      </c>
      <c r="P116" s="21">
        <v>33530.71</v>
      </c>
      <c r="Q116" s="21">
        <v>44851</v>
      </c>
      <c r="R116" s="562"/>
      <c r="S116" s="562"/>
      <c r="T116" s="563">
        <f t="shared" ref="T116:T121" si="17">Q116+R116+S116</f>
        <v>44851</v>
      </c>
    </row>
    <row r="117" spans="1:20" x14ac:dyDescent="0.25">
      <c r="A117" s="781"/>
      <c r="B117" s="193">
        <v>620</v>
      </c>
      <c r="C117" s="68" t="s">
        <v>123</v>
      </c>
      <c r="D117" s="69"/>
      <c r="E117" s="69"/>
      <c r="F117" s="69"/>
      <c r="G117" s="69"/>
      <c r="H117" s="69"/>
      <c r="I117" s="68"/>
      <c r="J117" s="69">
        <v>9316</v>
      </c>
      <c r="K117" s="69">
        <v>8959</v>
      </c>
      <c r="L117" s="30">
        <v>9337.6200000000008</v>
      </c>
      <c r="M117" s="137">
        <v>10210.040000000001</v>
      </c>
      <c r="N117" s="28">
        <v>10765.88</v>
      </c>
      <c r="O117" s="137">
        <v>11782.59</v>
      </c>
      <c r="P117" s="28">
        <v>12285.58</v>
      </c>
      <c r="Q117" s="28">
        <v>16394</v>
      </c>
      <c r="R117" s="564"/>
      <c r="S117" s="564"/>
      <c r="T117" s="565">
        <f t="shared" si="17"/>
        <v>16394</v>
      </c>
    </row>
    <row r="118" spans="1:20" x14ac:dyDescent="0.25">
      <c r="A118" s="781"/>
      <c r="B118" s="193">
        <v>630</v>
      </c>
      <c r="C118" s="68" t="s">
        <v>124</v>
      </c>
      <c r="D118" s="69"/>
      <c r="E118" s="69"/>
      <c r="F118" s="69"/>
      <c r="G118" s="69"/>
      <c r="H118" s="69"/>
      <c r="I118" s="68"/>
      <c r="J118" s="69">
        <v>291329</v>
      </c>
      <c r="K118" s="69">
        <f>212898</f>
        <v>212898</v>
      </c>
      <c r="L118" s="30">
        <v>204427.59</v>
      </c>
      <c r="M118" s="137">
        <v>218239.71</v>
      </c>
      <c r="N118" s="28">
        <v>254385.59</v>
      </c>
      <c r="O118" s="137">
        <v>246224.25</v>
      </c>
      <c r="P118" s="28">
        <v>219779.39</v>
      </c>
      <c r="Q118" s="28">
        <v>250248</v>
      </c>
      <c r="R118" s="564"/>
      <c r="S118" s="564"/>
      <c r="T118" s="565">
        <f t="shared" si="17"/>
        <v>250248</v>
      </c>
    </row>
    <row r="119" spans="1:20" x14ac:dyDescent="0.25">
      <c r="A119" s="781"/>
      <c r="B119" s="166">
        <v>640</v>
      </c>
      <c r="C119" s="68" t="s">
        <v>125</v>
      </c>
      <c r="D119" s="69"/>
      <c r="E119" s="69"/>
      <c r="F119" s="69"/>
      <c r="G119" s="69"/>
      <c r="H119" s="69"/>
      <c r="I119" s="68"/>
      <c r="J119" s="69"/>
      <c r="K119" s="30">
        <v>158</v>
      </c>
      <c r="L119" s="30">
        <v>169.47</v>
      </c>
      <c r="M119" s="137"/>
      <c r="N119" s="28"/>
      <c r="O119" s="137"/>
      <c r="P119" s="28">
        <v>137.43</v>
      </c>
      <c r="Q119" s="28"/>
      <c r="R119" s="564"/>
      <c r="S119" s="564"/>
      <c r="T119" s="565">
        <f t="shared" si="17"/>
        <v>0</v>
      </c>
    </row>
    <row r="120" spans="1:20" ht="15" hidden="1" customHeight="1" x14ac:dyDescent="0.25">
      <c r="A120" s="781"/>
      <c r="B120" s="166"/>
      <c r="C120" s="68" t="s">
        <v>216</v>
      </c>
      <c r="D120" s="69"/>
      <c r="E120" s="69"/>
      <c r="F120" s="69"/>
      <c r="G120" s="69"/>
      <c r="H120" s="69"/>
      <c r="I120" s="68"/>
      <c r="J120" s="69"/>
      <c r="K120" s="30"/>
      <c r="L120" s="30"/>
      <c r="M120" s="137"/>
      <c r="N120" s="28"/>
      <c r="O120" s="137"/>
      <c r="P120" s="28"/>
      <c r="Q120" s="27"/>
      <c r="R120" s="576"/>
      <c r="S120" s="576"/>
      <c r="T120" s="570">
        <f t="shared" si="17"/>
        <v>0</v>
      </c>
    </row>
    <row r="121" spans="1:20" ht="15.75" thickBot="1" x14ac:dyDescent="0.3">
      <c r="A121" s="782"/>
      <c r="B121" s="194">
        <v>640</v>
      </c>
      <c r="C121" s="207" t="s">
        <v>213</v>
      </c>
      <c r="D121" s="171"/>
      <c r="E121" s="171">
        <v>56430</v>
      </c>
      <c r="F121" s="171">
        <v>66388</v>
      </c>
      <c r="G121" s="171">
        <v>33070</v>
      </c>
      <c r="H121" s="171">
        <v>34000</v>
      </c>
      <c r="I121" s="207">
        <v>19328</v>
      </c>
      <c r="J121" s="171">
        <v>22144</v>
      </c>
      <c r="K121" s="117">
        <v>22144</v>
      </c>
      <c r="L121" s="117">
        <v>27144</v>
      </c>
      <c r="M121" s="116">
        <v>30942</v>
      </c>
      <c r="N121" s="117">
        <v>20992</v>
      </c>
      <c r="O121" s="116">
        <v>11085</v>
      </c>
      <c r="P121" s="117">
        <v>1465.14</v>
      </c>
      <c r="Q121" s="117">
        <v>21200</v>
      </c>
      <c r="R121" s="576"/>
      <c r="S121" s="576"/>
      <c r="T121" s="570">
        <f t="shared" si="17"/>
        <v>21200</v>
      </c>
    </row>
    <row r="122" spans="1:20" ht="15.75" thickBot="1" x14ac:dyDescent="0.3">
      <c r="A122" s="226" t="s">
        <v>217</v>
      </c>
      <c r="B122" s="785" t="s">
        <v>218</v>
      </c>
      <c r="C122" s="759"/>
      <c r="D122" s="119">
        <f t="shared" ref="D122:O122" si="18">SUM(D123:D126)</f>
        <v>398161</v>
      </c>
      <c r="E122" s="119">
        <f t="shared" si="18"/>
        <v>245269</v>
      </c>
      <c r="F122" s="119">
        <f t="shared" si="18"/>
        <v>266050</v>
      </c>
      <c r="G122" s="119">
        <f t="shared" si="18"/>
        <v>237941</v>
      </c>
      <c r="H122" s="119">
        <f t="shared" si="18"/>
        <v>273708</v>
      </c>
      <c r="I122" s="119">
        <f t="shared" si="18"/>
        <v>262675</v>
      </c>
      <c r="J122" s="119">
        <f t="shared" si="18"/>
        <v>162661</v>
      </c>
      <c r="K122" s="119">
        <f t="shared" si="18"/>
        <v>165913</v>
      </c>
      <c r="L122" s="120">
        <f t="shared" si="18"/>
        <v>173111</v>
      </c>
      <c r="M122" s="120">
        <f t="shared" si="18"/>
        <v>179007.07</v>
      </c>
      <c r="N122" s="121">
        <f t="shared" si="18"/>
        <v>207573.5</v>
      </c>
      <c r="O122" s="476">
        <f t="shared" si="18"/>
        <v>252852.5</v>
      </c>
      <c r="P122" s="121">
        <v>259830</v>
      </c>
      <c r="Q122" s="121">
        <f>SUM(Q123:Q126)</f>
        <v>341430</v>
      </c>
      <c r="R122" s="104">
        <f>SUM(R123:R126)</f>
        <v>0</v>
      </c>
      <c r="S122" s="104">
        <f>SUM(S123:S126)</f>
        <v>0</v>
      </c>
      <c r="T122" s="105">
        <f>SUM(T123:T126)</f>
        <v>341430</v>
      </c>
    </row>
    <row r="123" spans="1:20" x14ac:dyDescent="0.25">
      <c r="A123" s="777"/>
      <c r="B123" s="286"/>
      <c r="C123" s="66" t="s">
        <v>219</v>
      </c>
      <c r="D123" s="67">
        <v>373863</v>
      </c>
      <c r="E123" s="67">
        <v>211312</v>
      </c>
      <c r="F123" s="67">
        <v>220574</v>
      </c>
      <c r="G123" s="67">
        <v>190734</v>
      </c>
      <c r="H123" s="67">
        <v>216608</v>
      </c>
      <c r="I123" s="66">
        <v>202225</v>
      </c>
      <c r="J123" s="69">
        <v>118262</v>
      </c>
      <c r="K123" s="69">
        <v>116713</v>
      </c>
      <c r="L123" s="53">
        <v>116713</v>
      </c>
      <c r="M123" s="53">
        <v>132538</v>
      </c>
      <c r="N123" s="54">
        <v>117290</v>
      </c>
      <c r="O123" s="54">
        <v>150490</v>
      </c>
      <c r="P123" s="54">
        <v>157200</v>
      </c>
      <c r="Q123" s="54">
        <v>183960</v>
      </c>
      <c r="R123" s="562"/>
      <c r="S123" s="562"/>
      <c r="T123" s="563">
        <f>Q123+R123+S123</f>
        <v>183960</v>
      </c>
    </row>
    <row r="124" spans="1:20" x14ac:dyDescent="0.25">
      <c r="A124" s="778"/>
      <c r="B124" s="287"/>
      <c r="C124" s="68" t="s">
        <v>220</v>
      </c>
      <c r="D124" s="69"/>
      <c r="E124" s="69"/>
      <c r="F124" s="69"/>
      <c r="G124" s="69"/>
      <c r="H124" s="69"/>
      <c r="I124" s="68"/>
      <c r="J124" s="69"/>
      <c r="K124" s="69"/>
      <c r="L124" s="29"/>
      <c r="M124" s="29">
        <v>3467.07</v>
      </c>
      <c r="N124" s="30">
        <v>50283.5</v>
      </c>
      <c r="O124" s="30">
        <v>101647</v>
      </c>
      <c r="P124" s="30"/>
      <c r="Q124" s="69">
        <v>57470</v>
      </c>
      <c r="R124" s="564"/>
      <c r="S124" s="564"/>
      <c r="T124" s="565">
        <f>Q124+R124+S124</f>
        <v>57470</v>
      </c>
    </row>
    <row r="125" spans="1:20" x14ac:dyDescent="0.25">
      <c r="A125" s="778"/>
      <c r="B125" s="287"/>
      <c r="C125" s="191" t="s">
        <v>477</v>
      </c>
      <c r="D125" s="203"/>
      <c r="E125" s="203"/>
      <c r="F125" s="203"/>
      <c r="G125" s="203"/>
      <c r="H125" s="203"/>
      <c r="I125" s="191"/>
      <c r="J125" s="83"/>
      <c r="K125" s="83"/>
      <c r="L125" s="108"/>
      <c r="M125" s="108"/>
      <c r="N125" s="109"/>
      <c r="O125" s="109"/>
      <c r="P125" s="109"/>
      <c r="Q125" s="109">
        <v>20000</v>
      </c>
      <c r="R125" s="576"/>
      <c r="S125" s="576"/>
      <c r="T125" s="565">
        <f>Q125+R125+S125</f>
        <v>20000</v>
      </c>
    </row>
    <row r="126" spans="1:20" ht="15.75" thickBot="1" x14ac:dyDescent="0.3">
      <c r="A126" s="779"/>
      <c r="B126" s="288"/>
      <c r="C126" s="70" t="s">
        <v>221</v>
      </c>
      <c r="D126" s="90">
        <v>24298</v>
      </c>
      <c r="E126" s="90">
        <v>33957</v>
      </c>
      <c r="F126" s="90">
        <v>45476</v>
      </c>
      <c r="G126" s="90">
        <v>47207</v>
      </c>
      <c r="H126" s="90">
        <v>57100</v>
      </c>
      <c r="I126" s="70">
        <v>60450</v>
      </c>
      <c r="J126" s="69">
        <v>44399</v>
      </c>
      <c r="K126" s="69">
        <v>49200</v>
      </c>
      <c r="L126" s="56">
        <v>56398</v>
      </c>
      <c r="M126" s="56">
        <v>43002</v>
      </c>
      <c r="N126" s="57">
        <v>40000</v>
      </c>
      <c r="O126" s="57">
        <v>715.5</v>
      </c>
      <c r="P126" s="57">
        <v>102630</v>
      </c>
      <c r="Q126" s="57">
        <v>80000</v>
      </c>
      <c r="R126" s="576"/>
      <c r="S126" s="576"/>
      <c r="T126" s="570">
        <f>Q126+R126+S126</f>
        <v>80000</v>
      </c>
    </row>
    <row r="127" spans="1:20" ht="15.75" thickBot="1" x14ac:dyDescent="0.3">
      <c r="A127" s="172" t="s">
        <v>222</v>
      </c>
      <c r="B127" s="755" t="s">
        <v>223</v>
      </c>
      <c r="C127" s="728"/>
      <c r="D127" s="102">
        <v>16298</v>
      </c>
      <c r="E127" s="102">
        <f>SUM(E128:E140)</f>
        <v>196674</v>
      </c>
      <c r="F127" s="102">
        <f>SUM(F128:F140)</f>
        <v>276704</v>
      </c>
      <c r="G127" s="102">
        <v>322185</v>
      </c>
      <c r="H127" s="102">
        <v>434860</v>
      </c>
      <c r="I127" s="102">
        <f>SUM(I128:I140)</f>
        <v>399432</v>
      </c>
      <c r="J127" s="102">
        <f>SUM(J128:J140)</f>
        <v>332348</v>
      </c>
      <c r="K127" s="102">
        <f>SUM(K128:K140)</f>
        <v>315787</v>
      </c>
      <c r="L127" s="103">
        <f>SUM(L128:L142)</f>
        <v>311192.31999999995</v>
      </c>
      <c r="M127" s="103">
        <f>SUM(M128:M142)</f>
        <v>355810.5</v>
      </c>
      <c r="N127" s="104">
        <f>SUM(N128:N142)</f>
        <v>384915.19</v>
      </c>
      <c r="O127" s="238">
        <f>SUM(O128:O142)</f>
        <v>388070.83</v>
      </c>
      <c r="P127" s="104">
        <v>361113.8</v>
      </c>
      <c r="Q127" s="104">
        <f>SUM(Q128:Q142)</f>
        <v>379633</v>
      </c>
      <c r="R127" s="104">
        <f>SUM(R128:R142)</f>
        <v>27000</v>
      </c>
      <c r="S127" s="104">
        <f>SUM(S128:S142)</f>
        <v>0</v>
      </c>
      <c r="T127" s="105">
        <f>SUM(T128:T142)</f>
        <v>406633</v>
      </c>
    </row>
    <row r="128" spans="1:20" x14ac:dyDescent="0.25">
      <c r="A128" s="777"/>
      <c r="B128" s="289"/>
      <c r="C128" s="186" t="s">
        <v>224</v>
      </c>
      <c r="D128" s="290">
        <v>4913</v>
      </c>
      <c r="E128" s="290">
        <v>3850</v>
      </c>
      <c r="F128" s="290">
        <v>5112</v>
      </c>
      <c r="G128" s="290"/>
      <c r="H128" s="290"/>
      <c r="I128" s="186">
        <v>6756</v>
      </c>
      <c r="J128" s="290">
        <v>7114</v>
      </c>
      <c r="K128" s="67">
        <v>7113</v>
      </c>
      <c r="L128" s="23">
        <v>7438.6</v>
      </c>
      <c r="M128" s="22">
        <v>12903.29</v>
      </c>
      <c r="N128" s="23">
        <v>10157.040000000001</v>
      </c>
      <c r="O128" s="22">
        <v>15460.72</v>
      </c>
      <c r="P128" s="23">
        <v>9192</v>
      </c>
      <c r="Q128" s="23">
        <v>14300</v>
      </c>
      <c r="R128" s="562"/>
      <c r="S128" s="562"/>
      <c r="T128" s="563">
        <f t="shared" ref="T128:T142" si="19">Q128+R128+S128</f>
        <v>14300</v>
      </c>
    </row>
    <row r="129" spans="1:25" x14ac:dyDescent="0.25">
      <c r="A129" s="778"/>
      <c r="B129" s="291"/>
      <c r="C129" s="188" t="s">
        <v>225</v>
      </c>
      <c r="D129" s="292"/>
      <c r="E129" s="292"/>
      <c r="F129" s="292"/>
      <c r="G129" s="292"/>
      <c r="H129" s="292"/>
      <c r="I129" s="293">
        <v>48971</v>
      </c>
      <c r="J129" s="292"/>
      <c r="K129" s="83"/>
      <c r="L129" s="54"/>
      <c r="M129" s="53"/>
      <c r="N129" s="54"/>
      <c r="O129" s="53"/>
      <c r="P129" s="54"/>
      <c r="Q129" s="54"/>
      <c r="R129" s="564"/>
      <c r="S129" s="566"/>
      <c r="T129" s="567">
        <f t="shared" si="19"/>
        <v>0</v>
      </c>
    </row>
    <row r="130" spans="1:25" x14ac:dyDescent="0.25">
      <c r="A130" s="778"/>
      <c r="B130" s="291"/>
      <c r="C130" s="188" t="s">
        <v>226</v>
      </c>
      <c r="D130" s="292"/>
      <c r="E130" s="292"/>
      <c r="F130" s="292"/>
      <c r="G130" s="292"/>
      <c r="H130" s="292"/>
      <c r="I130" s="293">
        <v>24304</v>
      </c>
      <c r="J130" s="292">
        <v>10566</v>
      </c>
      <c r="K130" s="83">
        <v>3350</v>
      </c>
      <c r="L130" s="54">
        <v>4052</v>
      </c>
      <c r="M130" s="53">
        <v>10555.27</v>
      </c>
      <c r="N130" s="54"/>
      <c r="O130" s="53">
        <v>12040.65</v>
      </c>
      <c r="P130" s="54">
        <v>12970.5</v>
      </c>
      <c r="Q130" s="54">
        <v>0</v>
      </c>
      <c r="R130" s="564"/>
      <c r="S130" s="564"/>
      <c r="T130" s="565">
        <f t="shared" si="19"/>
        <v>0</v>
      </c>
    </row>
    <row r="131" spans="1:25" x14ac:dyDescent="0.25">
      <c r="A131" s="778"/>
      <c r="B131" s="291"/>
      <c r="C131" s="188" t="s">
        <v>227</v>
      </c>
      <c r="D131" s="292"/>
      <c r="E131" s="292"/>
      <c r="F131" s="292"/>
      <c r="G131" s="292"/>
      <c r="H131" s="292"/>
      <c r="I131" s="293"/>
      <c r="J131" s="292"/>
      <c r="K131" s="83"/>
      <c r="L131" s="54"/>
      <c r="M131" s="53">
        <v>19000</v>
      </c>
      <c r="N131" s="54">
        <v>10407.57</v>
      </c>
      <c r="O131" s="53">
        <v>19000</v>
      </c>
      <c r="P131" s="54">
        <v>15000</v>
      </c>
      <c r="Q131" s="54">
        <v>15000</v>
      </c>
      <c r="R131" s="564">
        <v>27000</v>
      </c>
      <c r="S131" s="564"/>
      <c r="T131" s="565">
        <f t="shared" si="19"/>
        <v>42000</v>
      </c>
      <c r="U131" s="165">
        <f>Q131+Q137+Q138+Q139+Q141+Q142</f>
        <v>334333</v>
      </c>
      <c r="V131" s="165"/>
      <c r="W131" s="165"/>
      <c r="X131" s="165">
        <f>T131+T137+T138+T139+T141+T142</f>
        <v>361333</v>
      </c>
    </row>
    <row r="132" spans="1:25" x14ac:dyDescent="0.25">
      <c r="A132" s="778"/>
      <c r="B132" s="291"/>
      <c r="C132" s="188" t="s">
        <v>228</v>
      </c>
      <c r="D132" s="292"/>
      <c r="E132" s="292"/>
      <c r="F132" s="292"/>
      <c r="G132" s="292"/>
      <c r="H132" s="292"/>
      <c r="I132" s="293"/>
      <c r="J132" s="292"/>
      <c r="K132" s="83"/>
      <c r="L132" s="54"/>
      <c r="M132" s="53"/>
      <c r="N132" s="54">
        <v>15000</v>
      </c>
      <c r="O132" s="53">
        <v>2377</v>
      </c>
      <c r="P132" s="54">
        <v>3083.2</v>
      </c>
      <c r="Q132" s="54">
        <v>7000</v>
      </c>
      <c r="R132" s="564"/>
      <c r="S132" s="564"/>
      <c r="T132" s="565">
        <f t="shared" si="19"/>
        <v>7000</v>
      </c>
      <c r="V132" s="165"/>
    </row>
    <row r="133" spans="1:25" x14ac:dyDescent="0.25">
      <c r="A133" s="778"/>
      <c r="B133" s="294"/>
      <c r="C133" s="188" t="s">
        <v>229</v>
      </c>
      <c r="D133" s="167"/>
      <c r="E133" s="167">
        <v>7568</v>
      </c>
      <c r="F133" s="167">
        <v>15767</v>
      </c>
      <c r="G133" s="167">
        <v>15084</v>
      </c>
      <c r="H133" s="167"/>
      <c r="I133" s="188">
        <v>13552</v>
      </c>
      <c r="J133" s="167">
        <v>11060</v>
      </c>
      <c r="K133" s="69">
        <v>9650</v>
      </c>
      <c r="L133" s="30">
        <v>9100</v>
      </c>
      <c r="M133" s="29">
        <v>10889.5</v>
      </c>
      <c r="N133" s="30">
        <v>15000</v>
      </c>
      <c r="O133" s="29">
        <v>7950</v>
      </c>
      <c r="P133" s="30">
        <v>11700</v>
      </c>
      <c r="Q133" s="30">
        <v>12000</v>
      </c>
      <c r="R133" s="564"/>
      <c r="S133" s="564"/>
      <c r="T133" s="565">
        <f>Q133+R133+S133</f>
        <v>12000</v>
      </c>
    </row>
    <row r="134" spans="1:25" x14ac:dyDescent="0.25">
      <c r="A134" s="778"/>
      <c r="B134" s="294"/>
      <c r="C134" s="188" t="s">
        <v>230</v>
      </c>
      <c r="D134" s="167"/>
      <c r="E134" s="167"/>
      <c r="F134" s="167"/>
      <c r="G134" s="167"/>
      <c r="H134" s="167"/>
      <c r="I134" s="188"/>
      <c r="J134" s="167"/>
      <c r="K134" s="69"/>
      <c r="L134" s="30"/>
      <c r="M134" s="30"/>
      <c r="N134" s="30"/>
      <c r="O134" s="29">
        <v>10000</v>
      </c>
      <c r="P134" s="30"/>
      <c r="Q134" s="30">
        <v>0</v>
      </c>
      <c r="R134" s="564"/>
      <c r="S134" s="564"/>
      <c r="T134" s="565">
        <f t="shared" si="19"/>
        <v>0</v>
      </c>
      <c r="V134" s="165"/>
      <c r="W134" s="165"/>
      <c r="X134" s="165">
        <f>S131+S137+S138+S139+S140+S141+S142</f>
        <v>0</v>
      </c>
      <c r="Y134" s="165">
        <f>T131+T137+T138+T139+T140+T141+T142</f>
        <v>361333</v>
      </c>
    </row>
    <row r="135" spans="1:25" x14ac:dyDescent="0.25">
      <c r="A135" s="778"/>
      <c r="B135" s="294"/>
      <c r="C135" s="188" t="s">
        <v>231</v>
      </c>
      <c r="D135" s="167"/>
      <c r="E135" s="167"/>
      <c r="F135" s="167"/>
      <c r="G135" s="167"/>
      <c r="H135" s="167"/>
      <c r="I135" s="188"/>
      <c r="J135" s="167"/>
      <c r="K135" s="69"/>
      <c r="L135" s="30"/>
      <c r="M135" s="30"/>
      <c r="N135" s="30">
        <v>256.58</v>
      </c>
      <c r="O135" s="29">
        <v>4000</v>
      </c>
      <c r="P135" s="30">
        <v>5000</v>
      </c>
      <c r="Q135" s="30">
        <v>7000</v>
      </c>
      <c r="R135" s="564"/>
      <c r="S135" s="564"/>
      <c r="T135" s="565">
        <f t="shared" si="19"/>
        <v>7000</v>
      </c>
    </row>
    <row r="136" spans="1:25" x14ac:dyDescent="0.25">
      <c r="A136" s="778"/>
      <c r="B136" s="294"/>
      <c r="C136" s="188" t="s">
        <v>232</v>
      </c>
      <c r="D136" s="167"/>
      <c r="E136" s="167"/>
      <c r="F136" s="167"/>
      <c r="G136" s="167"/>
      <c r="H136" s="167"/>
      <c r="I136" s="188"/>
      <c r="J136" s="167"/>
      <c r="K136" s="69"/>
      <c r="L136" s="30"/>
      <c r="M136" s="30"/>
      <c r="N136" s="30">
        <v>4000</v>
      </c>
      <c r="O136" s="29">
        <v>1050</v>
      </c>
      <c r="P136" s="30">
        <v>6335</v>
      </c>
      <c r="Q136" s="30">
        <v>5000</v>
      </c>
      <c r="R136" s="564"/>
      <c r="S136" s="564"/>
      <c r="T136" s="565">
        <f t="shared" si="19"/>
        <v>5000</v>
      </c>
      <c r="W136" s="165"/>
    </row>
    <row r="137" spans="1:25" x14ac:dyDescent="0.25">
      <c r="A137" s="778"/>
      <c r="B137" s="294"/>
      <c r="C137" s="188" t="s">
        <v>233</v>
      </c>
      <c r="D137" s="167"/>
      <c r="E137" s="167">
        <v>58189</v>
      </c>
      <c r="F137" s="167">
        <v>75483</v>
      </c>
      <c r="G137" s="167">
        <v>91400</v>
      </c>
      <c r="H137" s="167"/>
      <c r="I137" s="188">
        <v>152242</v>
      </c>
      <c r="J137" s="167">
        <v>162681</v>
      </c>
      <c r="K137" s="69">
        <v>150333</v>
      </c>
      <c r="L137" s="30">
        <v>119218</v>
      </c>
      <c r="M137" s="29">
        <v>148153</v>
      </c>
      <c r="N137" s="30">
        <v>76969</v>
      </c>
      <c r="O137" s="29">
        <v>70558</v>
      </c>
      <c r="P137" s="30">
        <v>42000.1</v>
      </c>
      <c r="Q137" s="30">
        <v>86465</v>
      </c>
      <c r="R137" s="564"/>
      <c r="S137" s="564"/>
      <c r="T137" s="565">
        <f t="shared" si="19"/>
        <v>86465</v>
      </c>
    </row>
    <row r="138" spans="1:25" x14ac:dyDescent="0.25">
      <c r="A138" s="778"/>
      <c r="B138" s="294"/>
      <c r="C138" s="188" t="s">
        <v>234</v>
      </c>
      <c r="D138" s="167"/>
      <c r="E138" s="167">
        <v>99250</v>
      </c>
      <c r="F138" s="167">
        <v>153754</v>
      </c>
      <c r="G138" s="167">
        <v>143286</v>
      </c>
      <c r="H138" s="167"/>
      <c r="I138" s="188">
        <v>86643</v>
      </c>
      <c r="J138" s="167">
        <v>82311</v>
      </c>
      <c r="K138" s="69">
        <v>93232</v>
      </c>
      <c r="L138" s="30">
        <v>109100</v>
      </c>
      <c r="M138" s="29">
        <v>88221</v>
      </c>
      <c r="N138" s="30">
        <v>81209</v>
      </c>
      <c r="O138" s="29">
        <v>72867</v>
      </c>
      <c r="P138" s="30">
        <v>77400</v>
      </c>
      <c r="Q138" s="30">
        <v>90715</v>
      </c>
      <c r="R138" s="564"/>
      <c r="S138" s="564"/>
      <c r="T138" s="565">
        <f t="shared" si="19"/>
        <v>90715</v>
      </c>
      <c r="V138" s="165"/>
    </row>
    <row r="139" spans="1:25" x14ac:dyDescent="0.25">
      <c r="A139" s="778"/>
      <c r="B139" s="294"/>
      <c r="C139" s="662" t="s">
        <v>434</v>
      </c>
      <c r="D139" s="167"/>
      <c r="E139" s="167"/>
      <c r="F139" s="167"/>
      <c r="G139" s="167"/>
      <c r="H139" s="167"/>
      <c r="I139" s="188"/>
      <c r="J139" s="167"/>
      <c r="K139" s="69"/>
      <c r="L139" s="30"/>
      <c r="M139" s="29"/>
      <c r="N139" s="30"/>
      <c r="O139" s="29"/>
      <c r="P139" s="30"/>
      <c r="Q139" s="30">
        <v>28000</v>
      </c>
      <c r="R139" s="564"/>
      <c r="S139" s="564"/>
      <c r="T139" s="565">
        <f t="shared" si="19"/>
        <v>28000</v>
      </c>
    </row>
    <row r="140" spans="1:25" x14ac:dyDescent="0.25">
      <c r="A140" s="778"/>
      <c r="B140" s="295"/>
      <c r="C140" s="68" t="s">
        <v>235</v>
      </c>
      <c r="D140" s="69"/>
      <c r="E140" s="69">
        <v>27817</v>
      </c>
      <c r="F140" s="69">
        <v>26588</v>
      </c>
      <c r="G140" s="69">
        <v>25790</v>
      </c>
      <c r="H140" s="69"/>
      <c r="I140" s="68">
        <v>66964</v>
      </c>
      <c r="J140" s="69">
        <v>58616</v>
      </c>
      <c r="K140" s="69">
        <v>52109</v>
      </c>
      <c r="L140" s="69">
        <v>49442</v>
      </c>
      <c r="M140" s="151">
        <v>49808</v>
      </c>
      <c r="N140" s="30">
        <v>60863</v>
      </c>
      <c r="O140" s="29">
        <v>64900</v>
      </c>
      <c r="P140" s="30">
        <v>67942</v>
      </c>
      <c r="Q140" s="30">
        <v>0</v>
      </c>
      <c r="R140" s="564"/>
      <c r="S140" s="564"/>
      <c r="T140" s="565">
        <f t="shared" si="19"/>
        <v>0</v>
      </c>
    </row>
    <row r="141" spans="1:25" x14ac:dyDescent="0.25">
      <c r="A141" s="778"/>
      <c r="B141" s="296"/>
      <c r="C141" s="71" t="s">
        <v>236</v>
      </c>
      <c r="D141" s="113"/>
      <c r="E141" s="113"/>
      <c r="F141" s="113"/>
      <c r="G141" s="113"/>
      <c r="H141" s="113"/>
      <c r="I141" s="71"/>
      <c r="J141" s="113"/>
      <c r="K141" s="113"/>
      <c r="L141" s="113">
        <v>12841.72</v>
      </c>
      <c r="M141" s="280">
        <v>16280.44</v>
      </c>
      <c r="N141" s="57">
        <v>18152</v>
      </c>
      <c r="O141" s="56">
        <v>24031</v>
      </c>
      <c r="P141" s="57">
        <v>24298</v>
      </c>
      <c r="Q141" s="57">
        <v>25498</v>
      </c>
      <c r="R141" s="564"/>
      <c r="S141" s="564"/>
      <c r="T141" s="565">
        <f t="shared" si="19"/>
        <v>25498</v>
      </c>
    </row>
    <row r="142" spans="1:25" ht="15.75" thickBot="1" x14ac:dyDescent="0.3">
      <c r="A142" s="779"/>
      <c r="B142" s="297"/>
      <c r="C142" s="70" t="s">
        <v>237</v>
      </c>
      <c r="D142" s="90"/>
      <c r="E142" s="90"/>
      <c r="F142" s="90"/>
      <c r="G142" s="90"/>
      <c r="H142" s="90"/>
      <c r="I142" s="70"/>
      <c r="J142" s="90"/>
      <c r="K142" s="90"/>
      <c r="L142" s="90"/>
      <c r="M142" s="90"/>
      <c r="N142" s="37">
        <v>92901</v>
      </c>
      <c r="O142" s="36">
        <v>83836.460000000006</v>
      </c>
      <c r="P142" s="37">
        <v>86193</v>
      </c>
      <c r="Q142" s="37">
        <v>88655</v>
      </c>
      <c r="R142" s="576"/>
      <c r="S142" s="576"/>
      <c r="T142" s="570">
        <f t="shared" si="19"/>
        <v>88655</v>
      </c>
      <c r="V142" s="165"/>
    </row>
    <row r="143" spans="1:25" ht="15.75" thickBot="1" x14ac:dyDescent="0.3">
      <c r="A143" s="259" t="s">
        <v>238</v>
      </c>
      <c r="B143" s="755" t="s">
        <v>239</v>
      </c>
      <c r="C143" s="728"/>
      <c r="D143" s="102">
        <f>SUM(D144:D145)</f>
        <v>0</v>
      </c>
      <c r="E143" s="102">
        <f>SUM(E144:E145)</f>
        <v>44944</v>
      </c>
      <c r="F143" s="102">
        <f>SUM(F144:F145)</f>
        <v>55765</v>
      </c>
      <c r="G143" s="102">
        <f>SUM(G144:G145)</f>
        <v>48780</v>
      </c>
      <c r="H143" s="102">
        <f t="shared" ref="H143:M143" si="20">SUM(H144:H145)</f>
        <v>52570</v>
      </c>
      <c r="I143" s="102">
        <f t="shared" si="20"/>
        <v>48691</v>
      </c>
      <c r="J143" s="102">
        <f t="shared" si="20"/>
        <v>46108</v>
      </c>
      <c r="K143" s="119">
        <f t="shared" si="20"/>
        <v>47470</v>
      </c>
      <c r="L143" s="120">
        <f t="shared" si="20"/>
        <v>48334.8</v>
      </c>
      <c r="M143" s="120">
        <f t="shared" si="20"/>
        <v>45244.800000000003</v>
      </c>
      <c r="N143" s="121">
        <f>SUM(N144:N145)</f>
        <v>51246.22</v>
      </c>
      <c r="O143" s="476">
        <f>SUM(O144:O145)</f>
        <v>45133.520000000004</v>
      </c>
      <c r="P143" s="121">
        <v>47476.15</v>
      </c>
      <c r="Q143" s="121">
        <f>Q144+Q145</f>
        <v>51114</v>
      </c>
      <c r="R143" s="104">
        <f>R144+R145</f>
        <v>0</v>
      </c>
      <c r="S143" s="104">
        <f>S144+S145</f>
        <v>0</v>
      </c>
      <c r="T143" s="105">
        <f>T144+T145</f>
        <v>51114</v>
      </c>
    </row>
    <row r="144" spans="1:25" x14ac:dyDescent="0.25">
      <c r="A144" s="777"/>
      <c r="B144" s="192">
        <v>630</v>
      </c>
      <c r="C144" s="186" t="s">
        <v>240</v>
      </c>
      <c r="D144" s="290"/>
      <c r="E144" s="290">
        <v>36679</v>
      </c>
      <c r="F144" s="290">
        <v>46803</v>
      </c>
      <c r="G144" s="290">
        <v>39726</v>
      </c>
      <c r="H144" s="290">
        <v>43006</v>
      </c>
      <c r="I144" s="186">
        <v>38795</v>
      </c>
      <c r="J144" s="186">
        <v>36600</v>
      </c>
      <c r="K144" s="67">
        <v>37500</v>
      </c>
      <c r="L144" s="22">
        <v>40890</v>
      </c>
      <c r="M144" s="22">
        <v>37800</v>
      </c>
      <c r="N144" s="23">
        <v>39750</v>
      </c>
      <c r="O144" s="22">
        <v>33550</v>
      </c>
      <c r="P144" s="23">
        <v>37036.15</v>
      </c>
      <c r="Q144" s="23">
        <v>38864</v>
      </c>
      <c r="R144" s="562"/>
      <c r="S144" s="562"/>
      <c r="T144" s="563">
        <f>Q144+R144+S144</f>
        <v>38864</v>
      </c>
    </row>
    <row r="145" spans="1:26" ht="15.75" thickBot="1" x14ac:dyDescent="0.3">
      <c r="A145" s="779"/>
      <c r="B145" s="241">
        <v>630</v>
      </c>
      <c r="C145" s="268" t="s">
        <v>241</v>
      </c>
      <c r="D145" s="270"/>
      <c r="E145" s="270">
        <v>8265</v>
      </c>
      <c r="F145" s="270">
        <v>8962</v>
      </c>
      <c r="G145" s="270">
        <v>9054</v>
      </c>
      <c r="H145" s="270">
        <v>9564</v>
      </c>
      <c r="I145" s="268">
        <v>9896</v>
      </c>
      <c r="J145" s="268">
        <v>9508</v>
      </c>
      <c r="K145" s="90">
        <v>9970</v>
      </c>
      <c r="L145" s="36">
        <v>7444.8</v>
      </c>
      <c r="M145" s="36">
        <v>7444.8</v>
      </c>
      <c r="N145" s="37">
        <v>11496.22</v>
      </c>
      <c r="O145" s="36">
        <v>11583.52</v>
      </c>
      <c r="P145" s="37">
        <v>10440</v>
      </c>
      <c r="Q145" s="37">
        <v>12250</v>
      </c>
      <c r="R145" s="576"/>
      <c r="S145" s="576"/>
      <c r="T145" s="570">
        <f>Q145+R145+S145</f>
        <v>12250</v>
      </c>
    </row>
    <row r="146" spans="1:26" ht="15.75" thickBot="1" x14ac:dyDescent="0.3">
      <c r="A146" s="226" t="s">
        <v>242</v>
      </c>
      <c r="B146" s="755" t="s">
        <v>243</v>
      </c>
      <c r="C146" s="728"/>
      <c r="D146" s="102">
        <v>6008</v>
      </c>
      <c r="E146" s="102">
        <f>SUM(E147:E150)</f>
        <v>6373</v>
      </c>
      <c r="F146" s="102">
        <f>SUM(F147:F150)</f>
        <v>76413</v>
      </c>
      <c r="G146" s="102">
        <f>SUM(G147:G150)</f>
        <v>50904</v>
      </c>
      <c r="H146" s="102">
        <v>43602</v>
      </c>
      <c r="I146" s="102">
        <f t="shared" ref="I146:O146" si="21">SUM(I147:I150)</f>
        <v>80402</v>
      </c>
      <c r="J146" s="102">
        <f t="shared" si="21"/>
        <v>65201</v>
      </c>
      <c r="K146" s="102">
        <f t="shared" si="21"/>
        <v>82763</v>
      </c>
      <c r="L146" s="103">
        <f t="shared" si="21"/>
        <v>85325.96</v>
      </c>
      <c r="M146" s="103">
        <f t="shared" si="21"/>
        <v>98428.31</v>
      </c>
      <c r="N146" s="104">
        <f t="shared" si="21"/>
        <v>91637.849999999991</v>
      </c>
      <c r="O146" s="104">
        <f t="shared" si="21"/>
        <v>98282.1</v>
      </c>
      <c r="P146" s="104">
        <v>86440.45</v>
      </c>
      <c r="Q146" s="104">
        <f>SUM(Q147:Q150)</f>
        <v>130275</v>
      </c>
      <c r="R146" s="104">
        <f>SUM(R147:R150)</f>
        <v>-2950</v>
      </c>
      <c r="S146" s="104">
        <f>SUM(S147:S150)</f>
        <v>7040</v>
      </c>
      <c r="T146" s="105">
        <f>SUM(T147:T150)</f>
        <v>134365</v>
      </c>
      <c r="W146" s="165"/>
    </row>
    <row r="147" spans="1:26" ht="15" customHeight="1" x14ac:dyDescent="0.25">
      <c r="A147" s="795"/>
      <c r="B147" s="802"/>
      <c r="C147" s="66" t="s">
        <v>244</v>
      </c>
      <c r="D147" s="67"/>
      <c r="E147" s="67">
        <v>5842</v>
      </c>
      <c r="F147" s="67">
        <v>6108</v>
      </c>
      <c r="G147" s="67">
        <v>13480</v>
      </c>
      <c r="H147" s="67">
        <v>6009</v>
      </c>
      <c r="I147" s="66">
        <v>6900</v>
      </c>
      <c r="J147" s="290">
        <v>3787</v>
      </c>
      <c r="K147" s="67">
        <v>3290</v>
      </c>
      <c r="L147" s="22">
        <v>1483</v>
      </c>
      <c r="M147" s="22">
        <v>9142.9500000000007</v>
      </c>
      <c r="N147" s="23">
        <v>5153.01</v>
      </c>
      <c r="O147" s="23"/>
      <c r="P147" s="23"/>
      <c r="Q147" s="23">
        <v>2500</v>
      </c>
      <c r="R147" s="577"/>
      <c r="S147" s="674"/>
      <c r="T147" s="578">
        <f>Q147+R147+S147</f>
        <v>2500</v>
      </c>
    </row>
    <row r="148" spans="1:26" x14ac:dyDescent="0.25">
      <c r="A148" s="796"/>
      <c r="B148" s="803"/>
      <c r="C148" s="68" t="s">
        <v>93</v>
      </c>
      <c r="D148" s="69"/>
      <c r="E148" s="69"/>
      <c r="F148" s="69"/>
      <c r="G148" s="69"/>
      <c r="H148" s="69"/>
      <c r="I148" s="68"/>
      <c r="J148" s="167"/>
      <c r="K148" s="69"/>
      <c r="L148" s="53"/>
      <c r="M148" s="53"/>
      <c r="N148" s="54"/>
      <c r="O148" s="53">
        <v>4985.1000000000004</v>
      </c>
      <c r="P148" s="54">
        <v>14458.009999999998</v>
      </c>
      <c r="Q148" s="54">
        <v>18830</v>
      </c>
      <c r="R148" s="562"/>
      <c r="S148" s="562"/>
      <c r="T148" s="563">
        <f>Q148+R148+S148</f>
        <v>18830</v>
      </c>
      <c r="U148" s="165"/>
    </row>
    <row r="149" spans="1:26" x14ac:dyDescent="0.25">
      <c r="A149" s="796"/>
      <c r="B149" s="803"/>
      <c r="C149" s="68" t="s">
        <v>245</v>
      </c>
      <c r="D149" s="69"/>
      <c r="E149" s="69">
        <v>0</v>
      </c>
      <c r="F149" s="69">
        <v>66388</v>
      </c>
      <c r="G149" s="69">
        <v>33390</v>
      </c>
      <c r="H149" s="69">
        <v>32749</v>
      </c>
      <c r="I149" s="68">
        <v>70000</v>
      </c>
      <c r="J149" s="167">
        <v>59118</v>
      </c>
      <c r="K149" s="69">
        <v>75103</v>
      </c>
      <c r="L149" s="29">
        <v>81056.960000000006</v>
      </c>
      <c r="M149" s="29">
        <v>86285.36</v>
      </c>
      <c r="N149" s="30">
        <v>5874.72</v>
      </c>
      <c r="O149" s="29">
        <v>90485</v>
      </c>
      <c r="P149" s="30">
        <v>71812.44</v>
      </c>
      <c r="Q149" s="30">
        <v>105945</v>
      </c>
      <c r="R149" s="564">
        <f>-2950</f>
        <v>-2950</v>
      </c>
      <c r="S149" s="564">
        <v>7040</v>
      </c>
      <c r="T149" s="565">
        <f>Q149+R149+S149</f>
        <v>110035</v>
      </c>
      <c r="V149" s="165"/>
      <c r="W149" s="165">
        <f>SUM(R149:S149)</f>
        <v>4090</v>
      </c>
    </row>
    <row r="150" spans="1:26" ht="15.75" thickBot="1" x14ac:dyDescent="0.3">
      <c r="A150" s="797"/>
      <c r="B150" s="804"/>
      <c r="C150" s="207" t="s">
        <v>246</v>
      </c>
      <c r="D150" s="171"/>
      <c r="E150" s="171">
        <v>531</v>
      </c>
      <c r="F150" s="171">
        <v>3917</v>
      </c>
      <c r="G150" s="171">
        <v>4034</v>
      </c>
      <c r="H150" s="171">
        <v>796</v>
      </c>
      <c r="I150" s="207">
        <v>3502</v>
      </c>
      <c r="J150" s="270">
        <v>2296</v>
      </c>
      <c r="K150" s="90">
        <v>4370</v>
      </c>
      <c r="L150" s="116">
        <v>2786</v>
      </c>
      <c r="M150" s="116">
        <v>3000</v>
      </c>
      <c r="N150" s="117">
        <v>80610.12</v>
      </c>
      <c r="O150" s="116">
        <v>2812</v>
      </c>
      <c r="P150" s="117">
        <v>170</v>
      </c>
      <c r="Q150" s="117">
        <v>3000</v>
      </c>
      <c r="R150" s="579"/>
      <c r="S150" s="675"/>
      <c r="T150" s="676">
        <f>Q150+R150+S150</f>
        <v>3000</v>
      </c>
    </row>
    <row r="151" spans="1:26" ht="15.75" thickBot="1" x14ac:dyDescent="0.3">
      <c r="A151" s="172" t="s">
        <v>247</v>
      </c>
      <c r="B151" s="755" t="s">
        <v>248</v>
      </c>
      <c r="C151" s="728"/>
      <c r="D151" s="102">
        <v>2960832</v>
      </c>
      <c r="E151" s="102">
        <v>3369814</v>
      </c>
      <c r="F151" s="102">
        <v>3780057</v>
      </c>
      <c r="G151" s="102">
        <v>4405952.43</v>
      </c>
      <c r="H151" s="102">
        <v>4455752</v>
      </c>
      <c r="I151" s="102">
        <f t="shared" ref="I151:N151" si="22">I152+I157</f>
        <v>4609033</v>
      </c>
      <c r="J151" s="102">
        <f t="shared" si="22"/>
        <v>4840194</v>
      </c>
      <c r="K151" s="102">
        <f t="shared" si="22"/>
        <v>4773475</v>
      </c>
      <c r="L151" s="103">
        <f>L152+L157</f>
        <v>4944992.8499999996</v>
      </c>
      <c r="M151" s="103">
        <f t="shared" si="22"/>
        <v>5255422.8499999996</v>
      </c>
      <c r="N151" s="104">
        <f t="shared" si="22"/>
        <v>5401219.4500000002</v>
      </c>
      <c r="O151" s="238">
        <f>O152+O157</f>
        <v>5606281.4399999995</v>
      </c>
      <c r="P151" s="104">
        <v>5915004.5199999996</v>
      </c>
      <c r="Q151" s="104">
        <f>Q152+Q157</f>
        <v>6283637</v>
      </c>
      <c r="R151" s="104">
        <f>R152+R157</f>
        <v>12800</v>
      </c>
      <c r="S151" s="104">
        <f>S152+S157</f>
        <v>40324</v>
      </c>
      <c r="T151" s="105">
        <f>T152+T157</f>
        <v>6336761</v>
      </c>
    </row>
    <row r="152" spans="1:26" ht="15.75" thickBot="1" x14ac:dyDescent="0.3">
      <c r="A152" s="795"/>
      <c r="B152" s="798" t="s">
        <v>249</v>
      </c>
      <c r="C152" s="799"/>
      <c r="D152" s="94">
        <v>29177</v>
      </c>
      <c r="E152" s="94">
        <v>27518</v>
      </c>
      <c r="F152" s="94">
        <v>28447</v>
      </c>
      <c r="G152" s="94">
        <v>30677</v>
      </c>
      <c r="H152" s="94">
        <v>31410</v>
      </c>
      <c r="I152" s="94">
        <f t="shared" ref="I152:N152" si="23">SUM(I153:I155)</f>
        <v>41249</v>
      </c>
      <c r="J152" s="94">
        <f t="shared" si="23"/>
        <v>38808</v>
      </c>
      <c r="K152" s="94">
        <f t="shared" si="23"/>
        <v>36313</v>
      </c>
      <c r="L152" s="95">
        <f>SUM(L153:L155)</f>
        <v>35493.83</v>
      </c>
      <c r="M152" s="95">
        <f>SUM(M153:M156)</f>
        <v>51463.890000000007</v>
      </c>
      <c r="N152" s="96">
        <f t="shared" si="23"/>
        <v>56202.630000000005</v>
      </c>
      <c r="O152" s="106">
        <f>SUM(O153:O155)</f>
        <v>54280.090000000004</v>
      </c>
      <c r="P152" s="96">
        <v>61314.87</v>
      </c>
      <c r="Q152" s="96">
        <f>SUM(Q153:Q156)</f>
        <v>62974</v>
      </c>
      <c r="R152" s="96">
        <f>SUM(R153:R156)</f>
        <v>0</v>
      </c>
      <c r="S152" s="96">
        <f>SUM(S153:S156)</f>
        <v>0</v>
      </c>
      <c r="T152" s="97">
        <f>SUM(T153:T156)</f>
        <v>62974</v>
      </c>
    </row>
    <row r="153" spans="1:26" x14ac:dyDescent="0.25">
      <c r="A153" s="796"/>
      <c r="B153" s="279">
        <v>610</v>
      </c>
      <c r="C153" s="111" t="s">
        <v>122</v>
      </c>
      <c r="D153" s="203"/>
      <c r="E153" s="203">
        <v>18854</v>
      </c>
      <c r="F153" s="203">
        <v>18290</v>
      </c>
      <c r="G153" s="203">
        <v>19464</v>
      </c>
      <c r="H153" s="203">
        <v>22248</v>
      </c>
      <c r="I153" s="191">
        <v>29541</v>
      </c>
      <c r="J153" s="167">
        <v>26330</v>
      </c>
      <c r="K153" s="69">
        <v>25388</v>
      </c>
      <c r="L153" s="203">
        <v>24578.53</v>
      </c>
      <c r="M153" s="298">
        <v>33902.800000000003</v>
      </c>
      <c r="N153" s="299">
        <v>34953.550000000003</v>
      </c>
      <c r="O153" s="300">
        <v>37117.040000000001</v>
      </c>
      <c r="P153" s="299">
        <v>39049.72</v>
      </c>
      <c r="Q153" s="299">
        <v>43354</v>
      </c>
      <c r="R153" s="562"/>
      <c r="S153" s="562"/>
      <c r="T153" s="563">
        <f>Q153+R153+S153</f>
        <v>43354</v>
      </c>
    </row>
    <row r="154" spans="1:26" x14ac:dyDescent="0.25">
      <c r="A154" s="796"/>
      <c r="B154" s="193">
        <v>620</v>
      </c>
      <c r="C154" s="68" t="s">
        <v>123</v>
      </c>
      <c r="D154" s="69"/>
      <c r="E154" s="69">
        <v>6473</v>
      </c>
      <c r="F154" s="69">
        <v>6340</v>
      </c>
      <c r="G154" s="69">
        <v>6869</v>
      </c>
      <c r="H154" s="69">
        <v>6877</v>
      </c>
      <c r="I154" s="68">
        <v>9575</v>
      </c>
      <c r="J154" s="167">
        <v>9735</v>
      </c>
      <c r="K154" s="69">
        <v>9358</v>
      </c>
      <c r="L154" s="69">
        <v>9719.7999999999993</v>
      </c>
      <c r="M154" s="301">
        <v>11551.79</v>
      </c>
      <c r="N154" s="153">
        <v>12736.3</v>
      </c>
      <c r="O154" s="302">
        <v>13736.32</v>
      </c>
      <c r="P154" s="153">
        <v>15439.53</v>
      </c>
      <c r="Q154" s="153">
        <v>15620</v>
      </c>
      <c r="R154" s="564"/>
      <c r="S154" s="564"/>
      <c r="T154" s="565">
        <f>Q154+R154+S154</f>
        <v>15620</v>
      </c>
    </row>
    <row r="155" spans="1:26" ht="15.75" thickBot="1" x14ac:dyDescent="0.3">
      <c r="A155" s="796"/>
      <c r="B155" s="166">
        <v>630</v>
      </c>
      <c r="C155" s="68" t="s">
        <v>124</v>
      </c>
      <c r="D155" s="90"/>
      <c r="E155" s="90">
        <v>2191</v>
      </c>
      <c r="F155" s="90">
        <v>3817</v>
      </c>
      <c r="G155" s="90">
        <v>4344</v>
      </c>
      <c r="H155" s="90">
        <v>2285</v>
      </c>
      <c r="I155" s="70">
        <v>2133</v>
      </c>
      <c r="J155" s="167">
        <v>2743</v>
      </c>
      <c r="K155" s="69">
        <v>1567</v>
      </c>
      <c r="L155" s="69">
        <v>1195.5</v>
      </c>
      <c r="M155" s="151">
        <v>1127.3</v>
      </c>
      <c r="N155" s="30">
        <v>8512.7800000000007</v>
      </c>
      <c r="O155" s="29">
        <v>3426.73</v>
      </c>
      <c r="P155" s="30">
        <v>3125.62</v>
      </c>
      <c r="Q155" s="30">
        <v>4000</v>
      </c>
      <c r="R155" s="564"/>
      <c r="S155" s="564"/>
      <c r="T155" s="565">
        <f>Q155+R155+S155</f>
        <v>4000</v>
      </c>
    </row>
    <row r="156" spans="1:26" ht="15.75" thickBot="1" x14ac:dyDescent="0.3">
      <c r="A156" s="796"/>
      <c r="B156" s="598">
        <v>640</v>
      </c>
      <c r="C156" s="223" t="s">
        <v>125</v>
      </c>
      <c r="D156" s="171"/>
      <c r="E156" s="171"/>
      <c r="F156" s="171"/>
      <c r="G156" s="171"/>
      <c r="H156" s="171"/>
      <c r="I156" s="207"/>
      <c r="J156" s="195"/>
      <c r="K156" s="203"/>
      <c r="L156" s="203"/>
      <c r="M156" s="272">
        <v>4882</v>
      </c>
      <c r="N156" s="109"/>
      <c r="O156" s="108"/>
      <c r="P156" s="109">
        <v>3700</v>
      </c>
      <c r="Q156" s="109"/>
      <c r="R156" s="571"/>
      <c r="S156" s="571"/>
      <c r="T156" s="572">
        <f>Q156+R156+S156</f>
        <v>0</v>
      </c>
    </row>
    <row r="157" spans="1:26" ht="15.75" thickBot="1" x14ac:dyDescent="0.3">
      <c r="A157" s="796"/>
      <c r="B157" s="800" t="s">
        <v>250</v>
      </c>
      <c r="C157" s="801"/>
      <c r="D157" s="62">
        <v>2931655</v>
      </c>
      <c r="E157" s="62">
        <v>3342296</v>
      </c>
      <c r="F157" s="62">
        <v>3751610</v>
      </c>
      <c r="G157" s="62">
        <v>4375275.43</v>
      </c>
      <c r="H157" s="62">
        <v>4424342</v>
      </c>
      <c r="I157" s="62">
        <f t="shared" ref="I157:O157" si="24">SUM(I158:I166)</f>
        <v>4567784</v>
      </c>
      <c r="J157" s="62">
        <f t="shared" si="24"/>
        <v>4801386</v>
      </c>
      <c r="K157" s="62">
        <f t="shared" si="24"/>
        <v>4737162</v>
      </c>
      <c r="L157" s="63">
        <f t="shared" si="24"/>
        <v>4909499.0199999996</v>
      </c>
      <c r="M157" s="63">
        <f t="shared" si="24"/>
        <v>5203958.96</v>
      </c>
      <c r="N157" s="64">
        <f t="shared" si="24"/>
        <v>5345016.82</v>
      </c>
      <c r="O157" s="149">
        <f t="shared" si="24"/>
        <v>5552001.3499999996</v>
      </c>
      <c r="P157" s="64">
        <v>5853689.6499999994</v>
      </c>
      <c r="Q157" s="64">
        <f>SUM(Q158:Q166)</f>
        <v>6220663</v>
      </c>
      <c r="R157" s="64">
        <f>SUM(R158:R166)</f>
        <v>12800</v>
      </c>
      <c r="S157" s="64">
        <f>SUM(S158:S166)</f>
        <v>40324</v>
      </c>
      <c r="T157" s="65">
        <f>SUM(T158:T166)</f>
        <v>6273787</v>
      </c>
    </row>
    <row r="158" spans="1:26" x14ac:dyDescent="0.25">
      <c r="A158" s="796"/>
      <c r="B158" s="802"/>
      <c r="C158" s="111" t="s">
        <v>251</v>
      </c>
      <c r="D158" s="83">
        <v>1541725</v>
      </c>
      <c r="E158" s="83">
        <v>1718084</v>
      </c>
      <c r="F158" s="83">
        <v>1793999</v>
      </c>
      <c r="G158" s="83">
        <v>1958942</v>
      </c>
      <c r="H158" s="83">
        <v>2084677</v>
      </c>
      <c r="I158" s="111">
        <v>2039732</v>
      </c>
      <c r="J158" s="83">
        <v>2241882</v>
      </c>
      <c r="K158" s="83">
        <v>2385291</v>
      </c>
      <c r="L158" s="53">
        <v>2363727.67</v>
      </c>
      <c r="M158" s="53">
        <v>2385302.7000000002</v>
      </c>
      <c r="N158" s="54">
        <v>2457964.41</v>
      </c>
      <c r="O158" s="53">
        <v>2387323.0499999998</v>
      </c>
      <c r="P158" s="54">
        <v>2377088.1</v>
      </c>
      <c r="Q158" s="54">
        <v>2539197</v>
      </c>
      <c r="R158" s="562"/>
      <c r="S158" s="562"/>
      <c r="T158" s="563">
        <f t="shared" ref="T158:T166" si="25">Q158+R158+S158</f>
        <v>2539197</v>
      </c>
    </row>
    <row r="159" spans="1:26" x14ac:dyDescent="0.25">
      <c r="A159" s="796"/>
      <c r="B159" s="803"/>
      <c r="C159" s="68" t="s">
        <v>252</v>
      </c>
      <c r="D159" s="69">
        <v>1389930</v>
      </c>
      <c r="E159" s="69">
        <v>1591682</v>
      </c>
      <c r="F159" s="69">
        <v>1867423</v>
      </c>
      <c r="G159" s="69">
        <v>2134669.4300000002</v>
      </c>
      <c r="H159" s="69">
        <v>2069302</v>
      </c>
      <c r="I159" s="68">
        <v>2182809</v>
      </c>
      <c r="J159" s="69">
        <v>2169532</v>
      </c>
      <c r="K159" s="69">
        <v>1972245</v>
      </c>
      <c r="L159" s="29">
        <v>2097007.99</v>
      </c>
      <c r="M159" s="29">
        <v>2239643.29</v>
      </c>
      <c r="N159" s="30">
        <v>2410623.65</v>
      </c>
      <c r="O159" s="29">
        <v>2546291.14</v>
      </c>
      <c r="P159" s="30">
        <v>2674051.77</v>
      </c>
      <c r="Q159" s="30">
        <v>2776733</v>
      </c>
      <c r="R159" s="564">
        <v>12800</v>
      </c>
      <c r="S159" s="564"/>
      <c r="T159" s="565">
        <f t="shared" si="25"/>
        <v>2789533</v>
      </c>
      <c r="U159" s="165"/>
      <c r="V159" s="165"/>
      <c r="W159" s="165"/>
      <c r="X159" s="165"/>
      <c r="Y159" s="165"/>
      <c r="Z159" s="165"/>
    </row>
    <row r="160" spans="1:26" x14ac:dyDescent="0.25">
      <c r="A160" s="796"/>
      <c r="B160" s="803"/>
      <c r="C160" s="71" t="s">
        <v>253</v>
      </c>
      <c r="D160" s="113"/>
      <c r="E160" s="113"/>
      <c r="F160" s="113"/>
      <c r="G160" s="113"/>
      <c r="H160" s="113"/>
      <c r="I160" s="71"/>
      <c r="J160" s="71"/>
      <c r="K160" s="113">
        <v>6822</v>
      </c>
      <c r="L160" s="56">
        <v>58464.77</v>
      </c>
      <c r="M160" s="56">
        <v>145561.9699999993</v>
      </c>
      <c r="N160" s="57">
        <v>13019.76</v>
      </c>
      <c r="O160" s="56">
        <v>88405.36</v>
      </c>
      <c r="P160" s="57">
        <v>106886.92</v>
      </c>
      <c r="Q160" s="57"/>
      <c r="R160" s="564"/>
      <c r="S160" s="564"/>
      <c r="T160" s="565">
        <f t="shared" si="25"/>
        <v>0</v>
      </c>
    </row>
    <row r="161" spans="1:23" x14ac:dyDescent="0.25">
      <c r="A161" s="796"/>
      <c r="B161" s="803"/>
      <c r="C161" s="71" t="s">
        <v>254</v>
      </c>
      <c r="D161" s="113"/>
      <c r="E161" s="113"/>
      <c r="F161" s="113"/>
      <c r="G161" s="113"/>
      <c r="H161" s="113"/>
      <c r="I161" s="71">
        <v>11276</v>
      </c>
      <c r="J161" s="71">
        <v>23184</v>
      </c>
      <c r="K161" s="113">
        <v>0</v>
      </c>
      <c r="L161" s="56">
        <v>4779.37</v>
      </c>
      <c r="M161" s="56">
        <v>0</v>
      </c>
      <c r="N161" s="57">
        <v>0</v>
      </c>
      <c r="O161" s="56"/>
      <c r="P161" s="57">
        <v>10000</v>
      </c>
      <c r="Q161" s="57"/>
      <c r="R161" s="564"/>
      <c r="S161" s="564"/>
      <c r="T161" s="565">
        <f t="shared" si="25"/>
        <v>0</v>
      </c>
      <c r="V161" s="165"/>
      <c r="W161" s="165"/>
    </row>
    <row r="162" spans="1:23" x14ac:dyDescent="0.25">
      <c r="A162" s="796"/>
      <c r="B162" s="803"/>
      <c r="C162" s="71" t="s">
        <v>60</v>
      </c>
      <c r="D162" s="113"/>
      <c r="E162" s="113"/>
      <c r="F162" s="113"/>
      <c r="G162" s="113"/>
      <c r="H162" s="113"/>
      <c r="I162" s="71"/>
      <c r="J162" s="71"/>
      <c r="K162" s="113"/>
      <c r="L162" s="56"/>
      <c r="M162" s="56"/>
      <c r="N162" s="57"/>
      <c r="O162" s="56"/>
      <c r="P162" s="57">
        <v>208274.06</v>
      </c>
      <c r="Q162" s="57">
        <v>202930</v>
      </c>
      <c r="R162" s="564"/>
      <c r="S162" s="564"/>
      <c r="T162" s="565">
        <f t="shared" si="25"/>
        <v>202930</v>
      </c>
      <c r="W162" s="165"/>
    </row>
    <row r="163" spans="1:23" x14ac:dyDescent="0.25">
      <c r="A163" s="796"/>
      <c r="B163" s="803"/>
      <c r="C163" s="71" t="s">
        <v>413</v>
      </c>
      <c r="D163" s="113"/>
      <c r="E163" s="113"/>
      <c r="F163" s="113"/>
      <c r="G163" s="113"/>
      <c r="H163" s="113">
        <v>2568</v>
      </c>
      <c r="I163" s="71">
        <v>2134</v>
      </c>
      <c r="J163" s="71"/>
      <c r="K163" s="113">
        <v>0</v>
      </c>
      <c r="L163" s="56">
        <v>240.97</v>
      </c>
      <c r="M163" s="56">
        <v>0</v>
      </c>
      <c r="N163" s="57">
        <v>0</v>
      </c>
      <c r="O163" s="56"/>
      <c r="P163" s="57">
        <v>4600</v>
      </c>
      <c r="Q163" s="57">
        <v>40000</v>
      </c>
      <c r="R163" s="564"/>
      <c r="S163" s="564">
        <v>6200</v>
      </c>
      <c r="T163" s="565">
        <f t="shared" si="25"/>
        <v>46200</v>
      </c>
      <c r="V163" s="165"/>
    </row>
    <row r="164" spans="1:23" x14ac:dyDescent="0.25">
      <c r="A164" s="796"/>
      <c r="B164" s="803"/>
      <c r="C164" s="71" t="s">
        <v>408</v>
      </c>
      <c r="D164" s="113"/>
      <c r="E164" s="113"/>
      <c r="F164" s="113"/>
      <c r="G164" s="113"/>
      <c r="H164" s="113"/>
      <c r="I164" s="71"/>
      <c r="J164" s="71"/>
      <c r="K164" s="113"/>
      <c r="L164" s="56">
        <v>8661.25</v>
      </c>
      <c r="M164" s="56"/>
      <c r="N164" s="57">
        <v>0</v>
      </c>
      <c r="O164" s="56"/>
      <c r="P164" s="57"/>
      <c r="Q164" s="57">
        <v>10000</v>
      </c>
      <c r="R164" s="564"/>
      <c r="S164" s="564">
        <v>11500</v>
      </c>
      <c r="T164" s="565">
        <f t="shared" si="25"/>
        <v>21500</v>
      </c>
    </row>
    <row r="165" spans="1:23" x14ac:dyDescent="0.25">
      <c r="A165" s="796"/>
      <c r="B165" s="803"/>
      <c r="C165" s="71" t="s">
        <v>483</v>
      </c>
      <c r="D165" s="113"/>
      <c r="E165" s="113"/>
      <c r="F165" s="113"/>
      <c r="G165" s="113"/>
      <c r="H165" s="113">
        <v>2166</v>
      </c>
      <c r="I165" s="71">
        <v>10924</v>
      </c>
      <c r="J165" s="71">
        <v>33868</v>
      </c>
      <c r="K165" s="113">
        <v>0</v>
      </c>
      <c r="L165" s="56"/>
      <c r="M165" s="56"/>
      <c r="N165" s="57">
        <v>0</v>
      </c>
      <c r="O165" s="56">
        <v>415.8</v>
      </c>
      <c r="P165" s="57">
        <v>2494.8000000000002</v>
      </c>
      <c r="Q165" s="57">
        <v>0</v>
      </c>
      <c r="R165" s="564"/>
      <c r="S165" s="564">
        <v>22624</v>
      </c>
      <c r="T165" s="565">
        <f>Q165+R165+S165</f>
        <v>22624</v>
      </c>
    </row>
    <row r="166" spans="1:23" ht="15.75" thickBot="1" x14ac:dyDescent="0.3">
      <c r="A166" s="797"/>
      <c r="B166" s="804"/>
      <c r="C166" s="70" t="s">
        <v>255</v>
      </c>
      <c r="D166" s="90"/>
      <c r="E166" s="90">
        <v>32530</v>
      </c>
      <c r="F166" s="90">
        <v>90188</v>
      </c>
      <c r="G166" s="90">
        <v>281664</v>
      </c>
      <c r="H166" s="90">
        <v>265629</v>
      </c>
      <c r="I166" s="70">
        <v>320909</v>
      </c>
      <c r="J166" s="70">
        <v>332920</v>
      </c>
      <c r="K166" s="90">
        <v>372804</v>
      </c>
      <c r="L166" s="36">
        <v>376617</v>
      </c>
      <c r="M166" s="36">
        <v>433451</v>
      </c>
      <c r="N166" s="37">
        <v>463409</v>
      </c>
      <c r="O166" s="36">
        <v>529566</v>
      </c>
      <c r="P166" s="37">
        <v>470294</v>
      </c>
      <c r="Q166" s="37">
        <v>651803</v>
      </c>
      <c r="R166" s="576"/>
      <c r="S166" s="576"/>
      <c r="T166" s="570">
        <f t="shared" si="25"/>
        <v>651803</v>
      </c>
    </row>
    <row r="167" spans="1:23" ht="15.75" hidden="1" customHeight="1" thickBot="1" x14ac:dyDescent="0.3">
      <c r="A167" s="614" t="s">
        <v>256</v>
      </c>
      <c r="B167" s="755" t="s">
        <v>257</v>
      </c>
      <c r="C167" s="728"/>
      <c r="D167" s="102">
        <v>14672</v>
      </c>
      <c r="E167" s="102">
        <v>18356</v>
      </c>
      <c r="F167" s="102">
        <v>24962</v>
      </c>
      <c r="G167" s="102">
        <v>26012</v>
      </c>
      <c r="H167" s="102">
        <v>24167</v>
      </c>
      <c r="I167" s="102">
        <f t="shared" ref="I167:N167" si="26">SUM(I168:I171)</f>
        <v>21978</v>
      </c>
      <c r="J167" s="102">
        <f t="shared" si="26"/>
        <v>26182</v>
      </c>
      <c r="K167" s="102">
        <f t="shared" si="26"/>
        <v>16605</v>
      </c>
      <c r="L167" s="103">
        <f t="shared" si="26"/>
        <v>19312.66</v>
      </c>
      <c r="M167" s="103">
        <f t="shared" si="26"/>
        <v>17232.5</v>
      </c>
      <c r="N167" s="104">
        <f t="shared" si="26"/>
        <v>19393.890000000003</v>
      </c>
      <c r="O167" s="104">
        <f>SUM(O168:O170)</f>
        <v>0</v>
      </c>
      <c r="P167" s="104">
        <v>0</v>
      </c>
      <c r="Q167" s="104">
        <v>0</v>
      </c>
      <c r="R167" s="573">
        <v>0</v>
      </c>
      <c r="S167" s="303">
        <v>0</v>
      </c>
      <c r="T167" s="174">
        <v>0</v>
      </c>
    </row>
    <row r="168" spans="1:23" ht="15" hidden="1" customHeight="1" x14ac:dyDescent="0.3">
      <c r="A168" s="805"/>
      <c r="B168" s="304">
        <v>610</v>
      </c>
      <c r="C168" s="111" t="s">
        <v>122</v>
      </c>
      <c r="D168" s="83"/>
      <c r="E168" s="83">
        <v>11817</v>
      </c>
      <c r="F168" s="83">
        <v>16331</v>
      </c>
      <c r="G168" s="83">
        <v>16188</v>
      </c>
      <c r="H168" s="83">
        <v>16639</v>
      </c>
      <c r="I168" s="83">
        <v>14808</v>
      </c>
      <c r="J168" s="83">
        <v>14984</v>
      </c>
      <c r="K168" s="83">
        <v>11095</v>
      </c>
      <c r="L168" s="53">
        <v>11946.75</v>
      </c>
      <c r="M168" s="53">
        <v>12156.96</v>
      </c>
      <c r="N168" s="54">
        <v>13480.65</v>
      </c>
      <c r="O168" s="54"/>
      <c r="P168" s="54"/>
      <c r="Q168" s="54">
        <v>0</v>
      </c>
      <c r="R168" s="562">
        <v>0</v>
      </c>
      <c r="S168" s="562">
        <v>0</v>
      </c>
      <c r="T168" s="563">
        <v>0</v>
      </c>
    </row>
    <row r="169" spans="1:23" ht="15" hidden="1" customHeight="1" x14ac:dyDescent="0.3">
      <c r="A169" s="806"/>
      <c r="B169" s="166">
        <v>620</v>
      </c>
      <c r="C169" s="68" t="s">
        <v>123</v>
      </c>
      <c r="D169" s="69"/>
      <c r="E169" s="69">
        <v>3983</v>
      </c>
      <c r="F169" s="69">
        <v>5610</v>
      </c>
      <c r="G169" s="69">
        <v>5689</v>
      </c>
      <c r="H169" s="69">
        <v>5822</v>
      </c>
      <c r="I169" s="69">
        <v>5320</v>
      </c>
      <c r="J169" s="69">
        <v>5972</v>
      </c>
      <c r="K169" s="69">
        <v>4227</v>
      </c>
      <c r="L169" s="29">
        <v>4902.95</v>
      </c>
      <c r="M169" s="29">
        <v>3941.03</v>
      </c>
      <c r="N169" s="30">
        <v>4701.62</v>
      </c>
      <c r="O169" s="30"/>
      <c r="P169" s="30"/>
      <c r="Q169" s="30">
        <v>0</v>
      </c>
      <c r="R169" s="564">
        <v>0</v>
      </c>
      <c r="S169" s="564">
        <v>0</v>
      </c>
      <c r="T169" s="565">
        <v>0</v>
      </c>
    </row>
    <row r="170" spans="1:23" ht="15" hidden="1" customHeight="1" x14ac:dyDescent="0.3">
      <c r="A170" s="806"/>
      <c r="B170" s="166">
        <v>630</v>
      </c>
      <c r="C170" s="68" t="s">
        <v>124</v>
      </c>
      <c r="D170" s="69"/>
      <c r="E170" s="69">
        <v>2556</v>
      </c>
      <c r="F170" s="69">
        <v>3021</v>
      </c>
      <c r="G170" s="69">
        <v>4135</v>
      </c>
      <c r="H170" s="69">
        <v>1706</v>
      </c>
      <c r="I170" s="69">
        <f>1591+259</f>
        <v>1850</v>
      </c>
      <c r="J170" s="69">
        <v>1495</v>
      </c>
      <c r="K170" s="69">
        <v>1200</v>
      </c>
      <c r="L170" s="29">
        <v>931.46</v>
      </c>
      <c r="M170" s="29">
        <v>1055.02</v>
      </c>
      <c r="N170" s="30">
        <v>1132.97</v>
      </c>
      <c r="O170" s="30"/>
      <c r="P170" s="30"/>
      <c r="Q170" s="30">
        <v>0</v>
      </c>
      <c r="R170" s="564">
        <v>0</v>
      </c>
      <c r="S170" s="564">
        <v>0</v>
      </c>
      <c r="T170" s="565">
        <v>0</v>
      </c>
    </row>
    <row r="171" spans="1:23" ht="15.75" hidden="1" customHeight="1" thickBot="1" x14ac:dyDescent="0.3">
      <c r="A171" s="807"/>
      <c r="B171" s="212">
        <v>640</v>
      </c>
      <c r="C171" s="70" t="s">
        <v>258</v>
      </c>
      <c r="D171" s="90"/>
      <c r="E171" s="90"/>
      <c r="F171" s="90"/>
      <c r="G171" s="90"/>
      <c r="H171" s="90"/>
      <c r="I171" s="90"/>
      <c r="J171" s="90">
        <v>3731</v>
      </c>
      <c r="K171" s="203">
        <v>83</v>
      </c>
      <c r="L171" s="108">
        <v>1531.5</v>
      </c>
      <c r="M171" s="108">
        <v>79.489999999999995</v>
      </c>
      <c r="N171" s="109">
        <v>78.650000000000006</v>
      </c>
      <c r="O171" s="109"/>
      <c r="P171" s="109"/>
      <c r="Q171" s="109"/>
      <c r="R171" s="576">
        <v>0</v>
      </c>
      <c r="S171" s="576"/>
      <c r="T171" s="570"/>
    </row>
    <row r="172" spans="1:23" ht="15.75" thickBot="1" x14ac:dyDescent="0.3">
      <c r="A172" s="172" t="s">
        <v>259</v>
      </c>
      <c r="B172" s="755" t="s">
        <v>260</v>
      </c>
      <c r="C172" s="728"/>
      <c r="D172" s="102">
        <v>42988</v>
      </c>
      <c r="E172" s="102">
        <v>41924</v>
      </c>
      <c r="F172" s="102">
        <v>49127</v>
      </c>
      <c r="G172" s="102">
        <v>48507</v>
      </c>
      <c r="H172" s="102">
        <v>53865</v>
      </c>
      <c r="I172" s="102">
        <f t="shared" ref="I172:O172" si="27">I173+I180+I179</f>
        <v>59113.2</v>
      </c>
      <c r="J172" s="102">
        <f t="shared" si="27"/>
        <v>51352</v>
      </c>
      <c r="K172" s="102">
        <f t="shared" si="27"/>
        <v>57413</v>
      </c>
      <c r="L172" s="103">
        <f t="shared" si="27"/>
        <v>142019.73000000001</v>
      </c>
      <c r="M172" s="103">
        <f t="shared" si="27"/>
        <v>67235.890000000014</v>
      </c>
      <c r="N172" s="104">
        <f t="shared" si="27"/>
        <v>59484.65</v>
      </c>
      <c r="O172" s="238">
        <f t="shared" si="27"/>
        <v>64756.130000000005</v>
      </c>
      <c r="P172" s="104">
        <v>109958.24</v>
      </c>
      <c r="Q172" s="104">
        <f>Q173+Q180</f>
        <v>119420</v>
      </c>
      <c r="R172" s="104">
        <f>R173+R180</f>
        <v>0</v>
      </c>
      <c r="S172" s="104">
        <f>S173+S180</f>
        <v>0</v>
      </c>
      <c r="T172" s="105">
        <f>T173+T180</f>
        <v>119420</v>
      </c>
      <c r="W172" s="165"/>
    </row>
    <row r="173" spans="1:23" ht="15.75" thickBot="1" x14ac:dyDescent="0.3">
      <c r="A173" s="795"/>
      <c r="B173" s="798" t="s">
        <v>261</v>
      </c>
      <c r="C173" s="799"/>
      <c r="D173" s="94">
        <v>39801</v>
      </c>
      <c r="E173" s="94">
        <v>41194</v>
      </c>
      <c r="F173" s="94">
        <v>47169</v>
      </c>
      <c r="G173" s="94">
        <v>47600</v>
      </c>
      <c r="H173" s="94">
        <v>53724</v>
      </c>
      <c r="I173" s="94">
        <f>SUM(I174:I176)</f>
        <v>56208.2</v>
      </c>
      <c r="J173" s="94">
        <f>SUM(J174:J176)</f>
        <v>47897</v>
      </c>
      <c r="K173" s="94">
        <f>SUM(K174:K177)</f>
        <v>54913</v>
      </c>
      <c r="L173" s="95">
        <f>SUM(L174:L177)</f>
        <v>59991.65</v>
      </c>
      <c r="M173" s="95">
        <f>SUM(M174:M177)</f>
        <v>64735.890000000007</v>
      </c>
      <c r="N173" s="96">
        <f>SUM(N174:N177)</f>
        <v>54463.6</v>
      </c>
      <c r="O173" s="106">
        <f>SUM(O174:O177)</f>
        <v>60460.66</v>
      </c>
      <c r="P173" s="96">
        <v>105530.11</v>
      </c>
      <c r="Q173" s="96">
        <f>SUM(Q174:Q178)</f>
        <v>114420</v>
      </c>
      <c r="R173" s="96">
        <f>SUM(R174:R178)</f>
        <v>0</v>
      </c>
      <c r="S173" s="96">
        <f>SUM(S174:S178)</f>
        <v>0</v>
      </c>
      <c r="T173" s="97">
        <f>SUM(T174:T178)</f>
        <v>114420</v>
      </c>
    </row>
    <row r="174" spans="1:23" x14ac:dyDescent="0.25">
      <c r="A174" s="796"/>
      <c r="B174" s="279">
        <v>610</v>
      </c>
      <c r="C174" s="111" t="s">
        <v>122</v>
      </c>
      <c r="D174" s="83"/>
      <c r="E174" s="83">
        <v>22141</v>
      </c>
      <c r="F174" s="83">
        <v>25294</v>
      </c>
      <c r="G174" s="83">
        <v>27320</v>
      </c>
      <c r="H174" s="83">
        <v>30945</v>
      </c>
      <c r="I174" s="83">
        <v>30403</v>
      </c>
      <c r="J174" s="83">
        <v>28630</v>
      </c>
      <c r="K174" s="83">
        <v>28741</v>
      </c>
      <c r="L174" s="53">
        <v>31950.86</v>
      </c>
      <c r="M174" s="53">
        <v>36896.54</v>
      </c>
      <c r="N174" s="54">
        <v>32643.72</v>
      </c>
      <c r="O174" s="53">
        <v>34750.01</v>
      </c>
      <c r="P174" s="54">
        <v>39563.769999999997</v>
      </c>
      <c r="Q174" s="54">
        <v>50340</v>
      </c>
      <c r="R174" s="562"/>
      <c r="S174" s="562"/>
      <c r="T174" s="563">
        <f>Q174+R174+S174</f>
        <v>50340</v>
      </c>
    </row>
    <row r="175" spans="1:23" x14ac:dyDescent="0.25">
      <c r="A175" s="796"/>
      <c r="B175" s="193">
        <v>620</v>
      </c>
      <c r="C175" s="68" t="s">
        <v>123</v>
      </c>
      <c r="D175" s="69"/>
      <c r="E175" s="69">
        <v>8265</v>
      </c>
      <c r="F175" s="69">
        <v>9427</v>
      </c>
      <c r="G175" s="69">
        <v>10234</v>
      </c>
      <c r="H175" s="69">
        <v>11482</v>
      </c>
      <c r="I175" s="69">
        <f>11947-(14.4+22.4+180)</f>
        <v>11730.2</v>
      </c>
      <c r="J175" s="69">
        <v>10691</v>
      </c>
      <c r="K175" s="69">
        <v>10646</v>
      </c>
      <c r="L175" s="29">
        <v>12860.64</v>
      </c>
      <c r="M175" s="29">
        <v>12687.37</v>
      </c>
      <c r="N175" s="30">
        <v>12446.38</v>
      </c>
      <c r="O175" s="29">
        <v>13294.12</v>
      </c>
      <c r="P175" s="30">
        <v>14895.57</v>
      </c>
      <c r="Q175" s="30">
        <v>18530</v>
      </c>
      <c r="R175" s="564"/>
      <c r="S175" s="564"/>
      <c r="T175" s="565">
        <f>Q175+R175+S175</f>
        <v>18530</v>
      </c>
    </row>
    <row r="176" spans="1:23" x14ac:dyDescent="0.25">
      <c r="A176" s="796"/>
      <c r="B176" s="271">
        <v>630</v>
      </c>
      <c r="C176" s="71" t="s">
        <v>124</v>
      </c>
      <c r="D176" s="69"/>
      <c r="E176" s="69">
        <v>10788</v>
      </c>
      <c r="F176" s="69">
        <v>12448</v>
      </c>
      <c r="G176" s="69">
        <v>10046</v>
      </c>
      <c r="H176" s="69">
        <v>11297</v>
      </c>
      <c r="I176" s="69">
        <f>16682-(2550+28+110)+81</f>
        <v>14075</v>
      </c>
      <c r="J176" s="69">
        <f>11880-3455+151</f>
        <v>8576</v>
      </c>
      <c r="K176" s="69">
        <v>15451</v>
      </c>
      <c r="L176" s="151">
        <v>15180.15</v>
      </c>
      <c r="M176" s="151">
        <v>15023.18</v>
      </c>
      <c r="N176" s="30">
        <v>9257.17</v>
      </c>
      <c r="O176" s="29">
        <v>12173.76</v>
      </c>
      <c r="P176" s="30">
        <v>13915.91</v>
      </c>
      <c r="Q176" s="30">
        <v>13550</v>
      </c>
      <c r="R176" s="564"/>
      <c r="S176" s="564"/>
      <c r="T176" s="565">
        <f>Q176+R176+S176</f>
        <v>13550</v>
      </c>
    </row>
    <row r="177" spans="1:20" x14ac:dyDescent="0.25">
      <c r="A177" s="796"/>
      <c r="B177" s="166">
        <v>640</v>
      </c>
      <c r="C177" s="188" t="s">
        <v>125</v>
      </c>
      <c r="D177" s="167"/>
      <c r="E177" s="167"/>
      <c r="F177" s="167"/>
      <c r="G177" s="167"/>
      <c r="H177" s="167"/>
      <c r="I177" s="69"/>
      <c r="J177" s="69"/>
      <c r="K177" s="69">
        <v>75</v>
      </c>
      <c r="L177" s="30"/>
      <c r="M177" s="29">
        <v>128.80000000000001</v>
      </c>
      <c r="N177" s="30">
        <v>116.33</v>
      </c>
      <c r="O177" s="29">
        <v>242.77</v>
      </c>
      <c r="P177" s="30">
        <v>133.86000000000001</v>
      </c>
      <c r="Q177" s="30"/>
      <c r="R177" s="564"/>
      <c r="S177" s="566"/>
      <c r="T177" s="567">
        <f>Q177+R177+S177</f>
        <v>0</v>
      </c>
    </row>
    <row r="178" spans="1:20" ht="15.75" thickBot="1" x14ac:dyDescent="0.3">
      <c r="A178" s="796"/>
      <c r="B178" s="212">
        <v>630</v>
      </c>
      <c r="C178" s="268" t="s">
        <v>59</v>
      </c>
      <c r="D178" s="270"/>
      <c r="E178" s="270"/>
      <c r="F178" s="270"/>
      <c r="G178" s="270"/>
      <c r="H178" s="270"/>
      <c r="I178" s="90"/>
      <c r="J178" s="90"/>
      <c r="K178" s="90"/>
      <c r="L178" s="37"/>
      <c r="M178" s="36"/>
      <c r="N178" s="37"/>
      <c r="O178" s="36"/>
      <c r="P178" s="37">
        <v>37021</v>
      </c>
      <c r="Q178" s="37">
        <v>32000</v>
      </c>
      <c r="R178" s="579"/>
      <c r="S178" s="579"/>
      <c r="T178" s="580">
        <f>Q178+R178+S178</f>
        <v>32000</v>
      </c>
    </row>
    <row r="179" spans="1:20" ht="15.75" hidden="1" customHeight="1" thickBot="1" x14ac:dyDescent="0.3">
      <c r="A179" s="796"/>
      <c r="B179" s="281">
        <v>630</v>
      </c>
      <c r="C179" s="223" t="s">
        <v>105</v>
      </c>
      <c r="D179" s="266"/>
      <c r="E179" s="266"/>
      <c r="F179" s="266"/>
      <c r="G179" s="266"/>
      <c r="H179" s="266"/>
      <c r="I179" s="305"/>
      <c r="J179" s="305"/>
      <c r="K179" s="90"/>
      <c r="L179" s="116">
        <v>82028.08</v>
      </c>
      <c r="M179" s="117"/>
      <c r="N179" s="117"/>
      <c r="O179" s="116"/>
      <c r="P179" s="117">
        <v>0</v>
      </c>
      <c r="Q179" s="117"/>
      <c r="R179" s="573">
        <v>0</v>
      </c>
      <c r="S179" s="586"/>
      <c r="T179" s="587"/>
    </row>
    <row r="180" spans="1:20" ht="15.75" thickBot="1" x14ac:dyDescent="0.3">
      <c r="A180" s="796"/>
      <c r="B180" s="800" t="s">
        <v>262</v>
      </c>
      <c r="C180" s="801"/>
      <c r="D180" s="306">
        <v>3187</v>
      </c>
      <c r="E180" s="306">
        <v>730</v>
      </c>
      <c r="F180" s="306">
        <v>1958</v>
      </c>
      <c r="G180" s="306">
        <v>907</v>
      </c>
      <c r="H180" s="306">
        <v>141</v>
      </c>
      <c r="I180" s="305">
        <f t="shared" ref="I180:O180" si="28">I181</f>
        <v>2905</v>
      </c>
      <c r="J180" s="305">
        <f t="shared" si="28"/>
        <v>3455</v>
      </c>
      <c r="K180" s="305">
        <f t="shared" si="28"/>
        <v>2500</v>
      </c>
      <c r="L180" s="305">
        <v>0</v>
      </c>
      <c r="M180" s="307">
        <f t="shared" si="28"/>
        <v>2500</v>
      </c>
      <c r="N180" s="305">
        <f t="shared" si="28"/>
        <v>5021.05</v>
      </c>
      <c r="O180" s="307">
        <f t="shared" si="28"/>
        <v>4295.47</v>
      </c>
      <c r="P180" s="305">
        <v>4428.13</v>
      </c>
      <c r="Q180" s="590">
        <f>Q181</f>
        <v>5000</v>
      </c>
      <c r="R180" s="590">
        <f>R181</f>
        <v>0</v>
      </c>
      <c r="S180" s="590">
        <f>S181</f>
        <v>0</v>
      </c>
      <c r="T180" s="644">
        <f>T181</f>
        <v>5000</v>
      </c>
    </row>
    <row r="181" spans="1:20" ht="15.75" thickBot="1" x14ac:dyDescent="0.3">
      <c r="A181" s="797"/>
      <c r="B181" s="308">
        <v>630</v>
      </c>
      <c r="C181" s="70" t="s">
        <v>124</v>
      </c>
      <c r="D181" s="90">
        <v>3187</v>
      </c>
      <c r="E181" s="90">
        <v>730</v>
      </c>
      <c r="F181" s="90">
        <v>1958</v>
      </c>
      <c r="G181" s="90">
        <v>907</v>
      </c>
      <c r="H181" s="90">
        <v>141</v>
      </c>
      <c r="I181" s="70">
        <v>2905</v>
      </c>
      <c r="J181" s="70">
        <v>3455</v>
      </c>
      <c r="K181" s="90">
        <v>2500</v>
      </c>
      <c r="L181" s="37">
        <v>0</v>
      </c>
      <c r="M181" s="36">
        <v>2500</v>
      </c>
      <c r="N181" s="37">
        <v>5021.05</v>
      </c>
      <c r="O181" s="36">
        <v>4295.47</v>
      </c>
      <c r="P181" s="37">
        <v>4428.13</v>
      </c>
      <c r="Q181" s="37">
        <v>5000</v>
      </c>
      <c r="R181" s="573"/>
      <c r="S181" s="573"/>
      <c r="T181" s="574">
        <f>Q181+R181+S181</f>
        <v>5000</v>
      </c>
    </row>
    <row r="182" spans="1:20" ht="15.75" thickBot="1" x14ac:dyDescent="0.3">
      <c r="A182" s="663" t="s">
        <v>259</v>
      </c>
      <c r="B182" s="785" t="s">
        <v>263</v>
      </c>
      <c r="C182" s="759"/>
      <c r="D182" s="119">
        <v>90752</v>
      </c>
      <c r="E182" s="119">
        <v>96030</v>
      </c>
      <c r="F182" s="119">
        <v>117540</v>
      </c>
      <c r="G182" s="119">
        <v>141455</v>
      </c>
      <c r="H182" s="119">
        <f t="shared" ref="H182:O182" si="29">SUM(H183:H187)</f>
        <v>157876</v>
      </c>
      <c r="I182" s="119">
        <f t="shared" si="29"/>
        <v>153798</v>
      </c>
      <c r="J182" s="119">
        <f t="shared" si="29"/>
        <v>141580</v>
      </c>
      <c r="K182" s="119">
        <f t="shared" si="29"/>
        <v>144793</v>
      </c>
      <c r="L182" s="120">
        <f t="shared" si="29"/>
        <v>138341.56</v>
      </c>
      <c r="M182" s="120">
        <f t="shared" si="29"/>
        <v>147764.81</v>
      </c>
      <c r="N182" s="121">
        <f t="shared" si="29"/>
        <v>187629.79</v>
      </c>
      <c r="O182" s="476">
        <f t="shared" si="29"/>
        <v>231026.1</v>
      </c>
      <c r="P182" s="121">
        <v>241971.54</v>
      </c>
      <c r="Q182" s="121">
        <f>SUM(Q183:Q186)</f>
        <v>327480</v>
      </c>
      <c r="R182" s="121">
        <f>SUM(R183:R186)</f>
        <v>0</v>
      </c>
      <c r="S182" s="121">
        <f>SUM(S183:S186)</f>
        <v>0</v>
      </c>
      <c r="T182" s="643">
        <f>SUM(T183:T186)</f>
        <v>327480</v>
      </c>
    </row>
    <row r="183" spans="1:20" x14ac:dyDescent="0.25">
      <c r="A183" s="795"/>
      <c r="B183" s="192">
        <v>610</v>
      </c>
      <c r="C183" s="66" t="s">
        <v>122</v>
      </c>
      <c r="D183" s="67"/>
      <c r="E183" s="67">
        <v>65691</v>
      </c>
      <c r="F183" s="67">
        <v>80097</v>
      </c>
      <c r="G183" s="67">
        <v>93395</v>
      </c>
      <c r="H183" s="67">
        <v>102238</v>
      </c>
      <c r="I183" s="66">
        <v>102422</v>
      </c>
      <c r="J183" s="67">
        <v>93404</v>
      </c>
      <c r="K183" s="67">
        <v>93846</v>
      </c>
      <c r="L183" s="22">
        <v>85213.93</v>
      </c>
      <c r="M183" s="150">
        <v>101710.97</v>
      </c>
      <c r="N183" s="23">
        <v>126027.75</v>
      </c>
      <c r="O183" s="22">
        <v>154366.21</v>
      </c>
      <c r="P183" s="23">
        <v>162844.91</v>
      </c>
      <c r="Q183" s="23">
        <v>226462</v>
      </c>
      <c r="R183" s="562"/>
      <c r="S183" s="562"/>
      <c r="T183" s="563">
        <f>Q183+R183+S183</f>
        <v>226462</v>
      </c>
    </row>
    <row r="184" spans="1:20" x14ac:dyDescent="0.25">
      <c r="A184" s="796"/>
      <c r="B184" s="193">
        <v>620</v>
      </c>
      <c r="C184" s="68" t="s">
        <v>123</v>
      </c>
      <c r="D184" s="69"/>
      <c r="E184" s="69">
        <v>22738</v>
      </c>
      <c r="F184" s="69">
        <v>27783</v>
      </c>
      <c r="G184" s="69">
        <v>32056</v>
      </c>
      <c r="H184" s="69">
        <v>35361</v>
      </c>
      <c r="I184" s="68">
        <v>35526</v>
      </c>
      <c r="J184" s="69">
        <v>32703</v>
      </c>
      <c r="K184" s="69">
        <v>32877</v>
      </c>
      <c r="L184" s="29">
        <v>32579.829999999994</v>
      </c>
      <c r="M184" s="151">
        <v>29560.18</v>
      </c>
      <c r="N184" s="30">
        <v>41405.870000000003</v>
      </c>
      <c r="O184" s="29">
        <v>53348.97</v>
      </c>
      <c r="P184" s="30">
        <v>57717.62</v>
      </c>
      <c r="Q184" s="30">
        <v>79618</v>
      </c>
      <c r="R184" s="564"/>
      <c r="S184" s="564"/>
      <c r="T184" s="565">
        <f>Q184+R184+S184</f>
        <v>79618</v>
      </c>
    </row>
    <row r="185" spans="1:20" x14ac:dyDescent="0.25">
      <c r="A185" s="796"/>
      <c r="B185" s="271">
        <v>630</v>
      </c>
      <c r="C185" s="71" t="s">
        <v>124</v>
      </c>
      <c r="D185" s="113"/>
      <c r="E185" s="113">
        <v>7369</v>
      </c>
      <c r="F185" s="113">
        <v>8830</v>
      </c>
      <c r="G185" s="113">
        <v>15669</v>
      </c>
      <c r="H185" s="113">
        <v>19477</v>
      </c>
      <c r="I185" s="71">
        <v>15050</v>
      </c>
      <c r="J185" s="69">
        <v>14133</v>
      </c>
      <c r="K185" s="69">
        <v>17748</v>
      </c>
      <c r="L185" s="56">
        <v>20156.86</v>
      </c>
      <c r="M185" s="56">
        <v>15870.11</v>
      </c>
      <c r="N185" s="57">
        <v>19809.259999999998</v>
      </c>
      <c r="O185" s="56">
        <v>22572.22</v>
      </c>
      <c r="P185" s="57">
        <v>20719.09</v>
      </c>
      <c r="Q185" s="57">
        <v>21400</v>
      </c>
      <c r="R185" s="564"/>
      <c r="S185" s="564"/>
      <c r="T185" s="565">
        <f>Q185+R185+S185</f>
        <v>21400</v>
      </c>
    </row>
    <row r="186" spans="1:20" ht="15.75" thickBot="1" x14ac:dyDescent="0.3">
      <c r="A186" s="796"/>
      <c r="B186" s="241">
        <v>640</v>
      </c>
      <c r="C186" s="70" t="s">
        <v>125</v>
      </c>
      <c r="D186" s="90"/>
      <c r="E186" s="90"/>
      <c r="F186" s="90"/>
      <c r="G186" s="90"/>
      <c r="H186" s="90"/>
      <c r="I186" s="70"/>
      <c r="J186" s="90">
        <v>1340</v>
      </c>
      <c r="K186" s="90">
        <v>322</v>
      </c>
      <c r="L186" s="36">
        <v>390.94</v>
      </c>
      <c r="M186" s="36">
        <v>623.54999999999995</v>
      </c>
      <c r="N186" s="37">
        <v>386.91</v>
      </c>
      <c r="O186" s="36">
        <v>738.7</v>
      </c>
      <c r="P186" s="37">
        <v>689.92</v>
      </c>
      <c r="Q186" s="37"/>
      <c r="R186" s="579"/>
      <c r="S186" s="579"/>
      <c r="T186" s="580">
        <f>Q186+R186+S186</f>
        <v>0</v>
      </c>
    </row>
    <row r="187" spans="1:20" ht="15.75" hidden="1" customHeight="1" thickBot="1" x14ac:dyDescent="0.3">
      <c r="A187" s="797"/>
      <c r="B187" s="194">
        <v>630</v>
      </c>
      <c r="C187" s="207" t="s">
        <v>264</v>
      </c>
      <c r="D187" s="171"/>
      <c r="E187" s="171">
        <v>232</v>
      </c>
      <c r="F187" s="171">
        <v>830</v>
      </c>
      <c r="G187" s="171">
        <v>335</v>
      </c>
      <c r="H187" s="171">
        <v>800</v>
      </c>
      <c r="I187" s="207">
        <v>800</v>
      </c>
      <c r="J187" s="207"/>
      <c r="K187" s="171"/>
      <c r="L187" s="117"/>
      <c r="M187" s="117"/>
      <c r="N187" s="117"/>
      <c r="O187" s="116"/>
      <c r="P187" s="117"/>
      <c r="Q187" s="117"/>
      <c r="R187" s="573">
        <v>0</v>
      </c>
      <c r="S187" s="586"/>
      <c r="T187" s="587"/>
    </row>
    <row r="188" spans="1:20" ht="15.75" thickBot="1" x14ac:dyDescent="0.3">
      <c r="A188" s="477" t="s">
        <v>265</v>
      </c>
      <c r="B188" s="785" t="s">
        <v>266</v>
      </c>
      <c r="C188" s="759"/>
      <c r="D188" s="227">
        <v>35152</v>
      </c>
      <c r="E188" s="227">
        <v>34654</v>
      </c>
      <c r="F188" s="227">
        <v>45741</v>
      </c>
      <c r="G188" s="227">
        <v>45381</v>
      </c>
      <c r="H188" s="119">
        <f>SUM(H189:H192)</f>
        <v>47758</v>
      </c>
      <c r="I188" s="119">
        <f>SUM(I189:I192)</f>
        <v>57427</v>
      </c>
      <c r="J188" s="119">
        <f>SUM(J189:J191)</f>
        <v>33860</v>
      </c>
      <c r="K188" s="119">
        <f>SUM(K189:K192)</f>
        <v>33843</v>
      </c>
      <c r="L188" s="120">
        <f>SUM(L189:L192)</f>
        <v>35020.590000000004</v>
      </c>
      <c r="M188" s="120">
        <f>SUM(M189:M192)</f>
        <v>40552.410000000003</v>
      </c>
      <c r="N188" s="121">
        <f>SUM(N189:N192)</f>
        <v>37850.049999999996</v>
      </c>
      <c r="O188" s="476">
        <f>SUM(O189:O192)</f>
        <v>37981.53</v>
      </c>
      <c r="P188" s="121">
        <v>31489.34</v>
      </c>
      <c r="Q188" s="121">
        <f>SUM(Q189:Q192)</f>
        <v>40137</v>
      </c>
      <c r="R188" s="121">
        <f>SUM(R189:R192)</f>
        <v>0</v>
      </c>
      <c r="S188" s="121">
        <f>SUM(S189:S192)</f>
        <v>0</v>
      </c>
      <c r="T188" s="643">
        <f>SUM(T189:T192)</f>
        <v>40137</v>
      </c>
    </row>
    <row r="189" spans="1:20" x14ac:dyDescent="0.25">
      <c r="A189" s="809"/>
      <c r="B189" s="192">
        <v>610</v>
      </c>
      <c r="C189" s="186" t="s">
        <v>122</v>
      </c>
      <c r="D189" s="290"/>
      <c r="E189" s="290">
        <v>21277</v>
      </c>
      <c r="F189" s="290">
        <v>26622</v>
      </c>
      <c r="G189" s="290">
        <v>27938</v>
      </c>
      <c r="H189" s="290">
        <v>29205</v>
      </c>
      <c r="I189" s="67">
        <v>32982</v>
      </c>
      <c r="J189" s="67">
        <v>19537</v>
      </c>
      <c r="K189" s="67">
        <v>19331</v>
      </c>
      <c r="L189" s="22">
        <v>19931.3</v>
      </c>
      <c r="M189" s="22">
        <v>21474.28</v>
      </c>
      <c r="N189" s="23">
        <v>19698.37</v>
      </c>
      <c r="O189" s="22">
        <v>20600.240000000002</v>
      </c>
      <c r="P189" s="23">
        <v>19790.259999999998</v>
      </c>
      <c r="Q189" s="23">
        <v>21750</v>
      </c>
      <c r="R189" s="562"/>
      <c r="S189" s="562"/>
      <c r="T189" s="563">
        <f>Q189+R189+S189</f>
        <v>21750</v>
      </c>
    </row>
    <row r="190" spans="1:20" x14ac:dyDescent="0.25">
      <c r="A190" s="810"/>
      <c r="B190" s="193">
        <v>620</v>
      </c>
      <c r="C190" s="188" t="s">
        <v>123</v>
      </c>
      <c r="D190" s="167"/>
      <c r="E190" s="167">
        <v>8033</v>
      </c>
      <c r="F190" s="167">
        <v>9792</v>
      </c>
      <c r="G190" s="167">
        <v>10190</v>
      </c>
      <c r="H190" s="167">
        <v>10431</v>
      </c>
      <c r="I190" s="69">
        <v>13206</v>
      </c>
      <c r="J190" s="69">
        <v>7857</v>
      </c>
      <c r="K190" s="69">
        <v>7510</v>
      </c>
      <c r="L190" s="29">
        <v>8330.59</v>
      </c>
      <c r="M190" s="29">
        <v>7982.2</v>
      </c>
      <c r="N190" s="30">
        <v>7602.19</v>
      </c>
      <c r="O190" s="29">
        <v>8776.16</v>
      </c>
      <c r="P190" s="30">
        <v>7193.52</v>
      </c>
      <c r="Q190" s="30">
        <v>7852</v>
      </c>
      <c r="R190" s="564"/>
      <c r="S190" s="564"/>
      <c r="T190" s="565">
        <f>Q190+R190+S190</f>
        <v>7852</v>
      </c>
    </row>
    <row r="191" spans="1:20" x14ac:dyDescent="0.25">
      <c r="A191" s="810"/>
      <c r="B191" s="193">
        <v>630</v>
      </c>
      <c r="C191" s="188" t="s">
        <v>124</v>
      </c>
      <c r="D191" s="167"/>
      <c r="E191" s="167">
        <v>5344</v>
      </c>
      <c r="F191" s="167">
        <v>9327</v>
      </c>
      <c r="G191" s="167">
        <v>7253</v>
      </c>
      <c r="H191" s="167">
        <v>8122</v>
      </c>
      <c r="I191" s="69">
        <v>7483</v>
      </c>
      <c r="J191" s="69">
        <v>6466</v>
      </c>
      <c r="K191" s="69">
        <v>6899</v>
      </c>
      <c r="L191" s="29">
        <v>6669.76</v>
      </c>
      <c r="M191" s="29">
        <v>10990.38</v>
      </c>
      <c r="N191" s="30">
        <v>10449.24</v>
      </c>
      <c r="O191" s="29">
        <v>5491.5700000000006</v>
      </c>
      <c r="P191" s="30">
        <v>4505.5600000000004</v>
      </c>
      <c r="Q191" s="30">
        <v>10535</v>
      </c>
      <c r="R191" s="564"/>
      <c r="S191" s="564"/>
      <c r="T191" s="565">
        <f>Q191+R191+S191</f>
        <v>10535</v>
      </c>
    </row>
    <row r="192" spans="1:20" ht="15.75" thickBot="1" x14ac:dyDescent="0.3">
      <c r="A192" s="811"/>
      <c r="B192" s="194">
        <v>640</v>
      </c>
      <c r="C192" s="223" t="s">
        <v>125</v>
      </c>
      <c r="D192" s="266"/>
      <c r="E192" s="266"/>
      <c r="F192" s="266"/>
      <c r="G192" s="266"/>
      <c r="H192" s="266"/>
      <c r="I192" s="171">
        <v>3756</v>
      </c>
      <c r="J192" s="171"/>
      <c r="K192" s="171">
        <v>103</v>
      </c>
      <c r="L192" s="309">
        <v>88.94</v>
      </c>
      <c r="M192" s="214">
        <v>105.55</v>
      </c>
      <c r="N192" s="37">
        <v>100.25</v>
      </c>
      <c r="O192" s="36">
        <v>3113.56</v>
      </c>
      <c r="P192" s="37"/>
      <c r="Q192" s="37"/>
      <c r="R192" s="576"/>
      <c r="S192" s="568"/>
      <c r="T192" s="569">
        <f>Q192+R192+S192</f>
        <v>0</v>
      </c>
    </row>
    <row r="193" spans="1:22" ht="15.75" customHeight="1" thickBot="1" x14ac:dyDescent="0.3">
      <c r="A193" s="615" t="s">
        <v>267</v>
      </c>
      <c r="B193" s="812" t="s">
        <v>268</v>
      </c>
      <c r="C193" s="813"/>
      <c r="D193" s="310">
        <v>105855</v>
      </c>
      <c r="E193" s="310">
        <v>102071</v>
      </c>
      <c r="F193" s="310">
        <v>77475</v>
      </c>
      <c r="G193" s="310">
        <v>119794</v>
      </c>
      <c r="H193" s="311">
        <v>122484</v>
      </c>
      <c r="I193" s="311">
        <f>I194+I199+I200+I201+I202+I203+I205+I207+I204</f>
        <v>95592</v>
      </c>
      <c r="J193" s="311">
        <f>J194+J199+J200+J201+J202+J203+J205+J207+J204</f>
        <v>235945</v>
      </c>
      <c r="K193" s="311">
        <f>K194+K199+K200+K201+K202+K203+K205+K207+K204</f>
        <v>566990</v>
      </c>
      <c r="L193" s="312">
        <f>L194+L199+L200+L201+L202+L203+L205+L207+L204</f>
        <v>568843.26</v>
      </c>
      <c r="M193" s="312">
        <f>M194+M199+M202+M203+M204+M205-M204</f>
        <v>470939.22999999992</v>
      </c>
      <c r="N193" s="591">
        <f>SUM(N199:N207)+N194</f>
        <v>341351.46</v>
      </c>
      <c r="O193" s="592">
        <f>SUM(O199:O207)+O194</f>
        <v>302230.36999999994</v>
      </c>
      <c r="P193" s="591">
        <v>332895.13</v>
      </c>
      <c r="Q193" s="591">
        <f>Q194+Q199+Q200+Q201+Q202+Q203+Q204+Q205+Q206+Q207</f>
        <v>388129</v>
      </c>
      <c r="R193" s="591">
        <f>R194+R199+R200+R201+R202+R203+R204+R205+R206+R207</f>
        <v>324</v>
      </c>
      <c r="S193" s="591">
        <f>S194+S199+S200+S201+S202+S203+S204+S205+S206+S207</f>
        <v>9676</v>
      </c>
      <c r="T193" s="645">
        <f>T194+T199+T200+T201+T202+T203+T204+T205+T206+T207</f>
        <v>398129</v>
      </c>
    </row>
    <row r="194" spans="1:22" ht="26.45" customHeight="1" thickBot="1" x14ac:dyDescent="0.3">
      <c r="A194" s="792"/>
      <c r="B194" s="793" t="s">
        <v>269</v>
      </c>
      <c r="C194" s="794"/>
      <c r="D194" s="313">
        <v>26024</v>
      </c>
      <c r="E194" s="313">
        <v>26422</v>
      </c>
      <c r="F194" s="313">
        <v>12381</v>
      </c>
      <c r="G194" s="313">
        <v>67096</v>
      </c>
      <c r="H194" s="314">
        <f t="shared" ref="H194:O194" si="30">SUM(H195:H197)</f>
        <v>63788</v>
      </c>
      <c r="I194" s="314">
        <f t="shared" si="30"/>
        <v>2494</v>
      </c>
      <c r="J194" s="314">
        <f t="shared" si="30"/>
        <v>41385</v>
      </c>
      <c r="K194" s="314">
        <f>SUM(K195:K198)</f>
        <v>80229</v>
      </c>
      <c r="L194" s="315">
        <f>SUM(L195:L198)</f>
        <v>66952.969999999987</v>
      </c>
      <c r="M194" s="315">
        <f>SUM(M195:M198)</f>
        <v>85074.98</v>
      </c>
      <c r="N194" s="314">
        <f t="shared" si="30"/>
        <v>7365</v>
      </c>
      <c r="O194" s="315">
        <f t="shared" si="30"/>
        <v>28865.35</v>
      </c>
      <c r="P194" s="314">
        <v>120501.78</v>
      </c>
      <c r="Q194" s="314">
        <f>SUM(Q195:Q198)</f>
        <v>131005</v>
      </c>
      <c r="R194" s="314">
        <f>SUM(R195:R198)</f>
        <v>324</v>
      </c>
      <c r="S194" s="314">
        <f>SUM(S195:S198)</f>
        <v>9676</v>
      </c>
      <c r="T194" s="646">
        <f>SUM(T195:T198)</f>
        <v>141005</v>
      </c>
    </row>
    <row r="195" spans="1:22" x14ac:dyDescent="0.25">
      <c r="A195" s="792"/>
      <c r="B195" s="164">
        <v>610</v>
      </c>
      <c r="C195" s="66" t="s">
        <v>122</v>
      </c>
      <c r="D195" s="67"/>
      <c r="E195" s="67">
        <v>16132</v>
      </c>
      <c r="F195" s="67">
        <v>7933</v>
      </c>
      <c r="G195" s="67">
        <v>43567</v>
      </c>
      <c r="H195" s="67">
        <v>42257</v>
      </c>
      <c r="I195" s="316">
        <v>2163</v>
      </c>
      <c r="J195" s="316">
        <v>27310</v>
      </c>
      <c r="K195" s="316">
        <v>54820</v>
      </c>
      <c r="L195" s="317">
        <v>43998.71</v>
      </c>
      <c r="M195" s="317">
        <v>61007.02</v>
      </c>
      <c r="N195" s="318">
        <v>1010.2</v>
      </c>
      <c r="O195" s="319">
        <v>19809.79</v>
      </c>
      <c r="P195" s="318">
        <v>74996.97</v>
      </c>
      <c r="Q195" s="318">
        <v>93422</v>
      </c>
      <c r="R195" s="562"/>
      <c r="S195" s="562"/>
      <c r="T195" s="563">
        <f t="shared" ref="T195:T207" si="31">Q195+R195+S195</f>
        <v>93422</v>
      </c>
    </row>
    <row r="196" spans="1:22" x14ac:dyDescent="0.25">
      <c r="A196" s="792"/>
      <c r="B196" s="166">
        <v>620</v>
      </c>
      <c r="C196" s="68" t="s">
        <v>123</v>
      </c>
      <c r="D196" s="69"/>
      <c r="E196" s="69">
        <v>5344</v>
      </c>
      <c r="F196" s="69">
        <v>2622</v>
      </c>
      <c r="G196" s="69">
        <v>14529</v>
      </c>
      <c r="H196" s="69">
        <v>14713</v>
      </c>
      <c r="I196" s="320">
        <v>323</v>
      </c>
      <c r="J196" s="320">
        <v>10254</v>
      </c>
      <c r="K196" s="320">
        <v>19614</v>
      </c>
      <c r="L196" s="321">
        <v>18142.439999999999</v>
      </c>
      <c r="M196" s="321">
        <v>19303.48</v>
      </c>
      <c r="N196" s="322">
        <v>430.73</v>
      </c>
      <c r="O196" s="321">
        <v>6838.92</v>
      </c>
      <c r="P196" s="322">
        <v>26581.7</v>
      </c>
      <c r="Q196" s="322">
        <v>33083</v>
      </c>
      <c r="R196" s="564"/>
      <c r="S196" s="564"/>
      <c r="T196" s="565">
        <f t="shared" si="31"/>
        <v>33083</v>
      </c>
    </row>
    <row r="197" spans="1:22" x14ac:dyDescent="0.25">
      <c r="A197" s="792"/>
      <c r="B197" s="166">
        <v>630</v>
      </c>
      <c r="C197" s="68" t="s">
        <v>124</v>
      </c>
      <c r="D197" s="69"/>
      <c r="E197" s="69">
        <v>4946</v>
      </c>
      <c r="F197" s="69">
        <v>1826</v>
      </c>
      <c r="G197" s="69">
        <v>9000</v>
      </c>
      <c r="H197" s="69">
        <v>6818</v>
      </c>
      <c r="I197" s="69">
        <v>8</v>
      </c>
      <c r="J197" s="69">
        <f>3526+295</f>
        <v>3821</v>
      </c>
      <c r="K197" s="320">
        <v>5011</v>
      </c>
      <c r="L197" s="321">
        <v>4277.1499999999996</v>
      </c>
      <c r="M197" s="321">
        <v>4479.7</v>
      </c>
      <c r="N197" s="322">
        <v>5924.07</v>
      </c>
      <c r="O197" s="321">
        <v>2216.64</v>
      </c>
      <c r="P197" s="322">
        <v>18923.11</v>
      </c>
      <c r="Q197" s="322">
        <v>4500</v>
      </c>
      <c r="R197" s="564">
        <v>324</v>
      </c>
      <c r="S197" s="564">
        <f>10000-324</f>
        <v>9676</v>
      </c>
      <c r="T197" s="565">
        <f t="shared" si="31"/>
        <v>14500</v>
      </c>
      <c r="V197" s="165"/>
    </row>
    <row r="198" spans="1:22" ht="15.75" thickBot="1" x14ac:dyDescent="0.3">
      <c r="A198" s="792"/>
      <c r="B198" s="212"/>
      <c r="C198" s="268"/>
      <c r="D198" s="270"/>
      <c r="E198" s="270"/>
      <c r="F198" s="270"/>
      <c r="G198" s="270"/>
      <c r="H198" s="270"/>
      <c r="I198" s="270"/>
      <c r="J198" s="270"/>
      <c r="K198" s="323">
        <v>784</v>
      </c>
      <c r="L198" s="324">
        <v>534.66999999999996</v>
      </c>
      <c r="M198" s="324">
        <v>284.77999999999997</v>
      </c>
      <c r="N198" s="325"/>
      <c r="O198" s="324"/>
      <c r="P198" s="325"/>
      <c r="Q198" s="325"/>
      <c r="R198" s="579"/>
      <c r="S198" s="593"/>
      <c r="T198" s="594">
        <f t="shared" si="31"/>
        <v>0</v>
      </c>
    </row>
    <row r="199" spans="1:22" x14ac:dyDescent="0.25">
      <c r="A199" s="792"/>
      <c r="B199" s="326"/>
      <c r="C199" s="293" t="s">
        <v>270</v>
      </c>
      <c r="D199" s="292"/>
      <c r="E199" s="292"/>
      <c r="F199" s="292"/>
      <c r="G199" s="292"/>
      <c r="H199" s="292"/>
      <c r="I199" s="293">
        <v>9265</v>
      </c>
      <c r="J199" s="167">
        <v>11343</v>
      </c>
      <c r="K199" s="69">
        <v>6313</v>
      </c>
      <c r="L199" s="53">
        <v>5404.14</v>
      </c>
      <c r="M199" s="53">
        <v>4327.68</v>
      </c>
      <c r="N199" s="54"/>
      <c r="O199" s="53">
        <v>3575.04</v>
      </c>
      <c r="P199" s="54">
        <v>3928.96</v>
      </c>
      <c r="Q199" s="54">
        <v>7000</v>
      </c>
      <c r="R199" s="562"/>
      <c r="S199" s="54"/>
      <c r="T199" s="563">
        <f t="shared" si="31"/>
        <v>7000</v>
      </c>
    </row>
    <row r="200" spans="1:22" x14ac:dyDescent="0.25">
      <c r="A200" s="792"/>
      <c r="B200" s="327"/>
      <c r="C200" s="188" t="s">
        <v>271</v>
      </c>
      <c r="D200" s="167"/>
      <c r="E200" s="167"/>
      <c r="F200" s="167"/>
      <c r="G200" s="167"/>
      <c r="H200" s="167"/>
      <c r="I200" s="188"/>
      <c r="J200" s="167"/>
      <c r="K200" s="69"/>
      <c r="L200" s="29"/>
      <c r="M200" s="30"/>
      <c r="N200" s="30">
        <v>0</v>
      </c>
      <c r="O200" s="29">
        <v>30265.35</v>
      </c>
      <c r="P200" s="30"/>
      <c r="Q200" s="30"/>
      <c r="R200" s="564"/>
      <c r="S200" s="30"/>
      <c r="T200" s="565">
        <f t="shared" si="31"/>
        <v>0</v>
      </c>
    </row>
    <row r="201" spans="1:22" ht="12.75" customHeight="1" x14ac:dyDescent="0.25">
      <c r="A201" s="792"/>
      <c r="B201" s="327">
        <v>630</v>
      </c>
      <c r="C201" s="188" t="s">
        <v>271</v>
      </c>
      <c r="D201" s="167"/>
      <c r="E201" s="167"/>
      <c r="F201" s="167"/>
      <c r="G201" s="167"/>
      <c r="H201" s="167"/>
      <c r="I201" s="188"/>
      <c r="J201" s="167"/>
      <c r="K201" s="69"/>
      <c r="L201" s="29"/>
      <c r="M201" s="30"/>
      <c r="N201" s="30">
        <v>0</v>
      </c>
      <c r="O201" s="29"/>
      <c r="P201" s="30"/>
      <c r="Q201" s="30"/>
      <c r="R201" s="564"/>
      <c r="S201" s="30"/>
      <c r="T201" s="565">
        <f t="shared" si="31"/>
        <v>0</v>
      </c>
    </row>
    <row r="202" spans="1:22" ht="12.75" customHeight="1" x14ac:dyDescent="0.25">
      <c r="A202" s="792"/>
      <c r="B202" s="327">
        <v>630</v>
      </c>
      <c r="C202" s="188" t="s">
        <v>272</v>
      </c>
      <c r="D202" s="167"/>
      <c r="E202" s="167"/>
      <c r="F202" s="167"/>
      <c r="G202" s="167"/>
      <c r="H202" s="167"/>
      <c r="I202" s="188">
        <v>66358</v>
      </c>
      <c r="J202" s="167">
        <v>95746</v>
      </c>
      <c r="K202" s="69">
        <f>5530+80179</f>
        <v>85709</v>
      </c>
      <c r="L202" s="29">
        <v>56320.98000000001</v>
      </c>
      <c r="M202" s="29">
        <v>47905.93</v>
      </c>
      <c r="N202" s="30">
        <v>34336.340000000004</v>
      </c>
      <c r="O202" s="29">
        <v>29495.23</v>
      </c>
      <c r="P202" s="30">
        <v>24290.5</v>
      </c>
      <c r="Q202" s="30">
        <v>35000</v>
      </c>
      <c r="R202" s="564"/>
      <c r="S202" s="30"/>
      <c r="T202" s="565">
        <f>Q202+R202+S202</f>
        <v>35000</v>
      </c>
    </row>
    <row r="203" spans="1:22" hidden="1" x14ac:dyDescent="0.25">
      <c r="A203" s="792"/>
      <c r="B203" s="327">
        <v>630</v>
      </c>
      <c r="C203" s="188"/>
      <c r="D203" s="167"/>
      <c r="E203" s="167"/>
      <c r="F203" s="167"/>
      <c r="G203" s="167"/>
      <c r="H203" s="167"/>
      <c r="I203" s="69">
        <v>642</v>
      </c>
      <c r="J203" s="167"/>
      <c r="K203" s="69"/>
      <c r="L203" s="29"/>
      <c r="M203" s="29">
        <v>323039.83999999997</v>
      </c>
      <c r="N203" s="30">
        <v>0</v>
      </c>
      <c r="O203" s="29"/>
      <c r="P203" s="30"/>
      <c r="Q203" s="30"/>
      <c r="R203" s="564"/>
      <c r="S203" s="30"/>
      <c r="T203" s="565">
        <f t="shared" si="31"/>
        <v>0</v>
      </c>
    </row>
    <row r="204" spans="1:22" x14ac:dyDescent="0.25">
      <c r="A204" s="792"/>
      <c r="B204" s="327"/>
      <c r="C204" s="188" t="s">
        <v>101</v>
      </c>
      <c r="D204" s="167"/>
      <c r="E204" s="167"/>
      <c r="F204" s="167"/>
      <c r="G204" s="167"/>
      <c r="H204" s="167"/>
      <c r="I204" s="188"/>
      <c r="J204" s="167">
        <v>85602</v>
      </c>
      <c r="K204" s="69">
        <f>4915+388479</f>
        <v>393394</v>
      </c>
      <c r="L204" s="29">
        <v>426977.77</v>
      </c>
      <c r="M204" s="29">
        <v>6176.6</v>
      </c>
      <c r="N204" s="30">
        <v>281171.12</v>
      </c>
      <c r="O204" s="29">
        <v>192626.66999999998</v>
      </c>
      <c r="P204" s="30">
        <v>166083.10999999999</v>
      </c>
      <c r="Q204" s="30">
        <v>192900</v>
      </c>
      <c r="R204" s="564"/>
      <c r="S204" s="30"/>
      <c r="T204" s="565">
        <f t="shared" si="31"/>
        <v>192900</v>
      </c>
    </row>
    <row r="205" spans="1:22" x14ac:dyDescent="0.25">
      <c r="A205" s="792"/>
      <c r="B205" s="327">
        <v>630</v>
      </c>
      <c r="C205" s="188" t="s">
        <v>273</v>
      </c>
      <c r="D205" s="167"/>
      <c r="E205" s="167"/>
      <c r="F205" s="167"/>
      <c r="G205" s="167"/>
      <c r="H205" s="167"/>
      <c r="I205" s="188">
        <v>16833</v>
      </c>
      <c r="J205" s="167">
        <v>1809</v>
      </c>
      <c r="K205" s="69">
        <v>1345</v>
      </c>
      <c r="L205" s="29">
        <v>13077.4</v>
      </c>
      <c r="M205" s="29">
        <v>10590.8</v>
      </c>
      <c r="N205" s="30">
        <v>6654.32</v>
      </c>
      <c r="O205" s="29">
        <v>7292.93</v>
      </c>
      <c r="P205" s="30">
        <v>7200.5999999999995</v>
      </c>
      <c r="Q205" s="30"/>
      <c r="R205" s="564"/>
      <c r="S205" s="30"/>
      <c r="T205" s="565">
        <f t="shared" si="31"/>
        <v>0</v>
      </c>
    </row>
    <row r="206" spans="1:22" x14ac:dyDescent="0.25">
      <c r="A206" s="792"/>
      <c r="B206" s="328"/>
      <c r="C206" s="188" t="s">
        <v>274</v>
      </c>
      <c r="D206" s="329"/>
      <c r="E206" s="329"/>
      <c r="F206" s="329"/>
      <c r="G206" s="329"/>
      <c r="H206" s="329"/>
      <c r="I206" s="330"/>
      <c r="J206" s="167"/>
      <c r="K206" s="69"/>
      <c r="L206" s="56"/>
      <c r="M206" s="56"/>
      <c r="N206" s="57">
        <v>9556.68</v>
      </c>
      <c r="O206" s="56">
        <v>7519.8</v>
      </c>
      <c r="P206" s="57">
        <v>6557</v>
      </c>
      <c r="Q206" s="57">
        <v>20224</v>
      </c>
      <c r="R206" s="576"/>
      <c r="S206" s="57"/>
      <c r="T206" s="570">
        <f t="shared" si="31"/>
        <v>20224</v>
      </c>
    </row>
    <row r="207" spans="1:22" ht="15.75" thickBot="1" x14ac:dyDescent="0.3">
      <c r="A207" s="792"/>
      <c r="B207" s="331">
        <v>630</v>
      </c>
      <c r="C207" s="332" t="s">
        <v>275</v>
      </c>
      <c r="D207" s="333"/>
      <c r="E207" s="333"/>
      <c r="F207" s="333"/>
      <c r="G207" s="333"/>
      <c r="H207" s="333"/>
      <c r="I207" s="332"/>
      <c r="J207" s="167">
        <v>60</v>
      </c>
      <c r="K207" s="69"/>
      <c r="L207" s="56">
        <v>110</v>
      </c>
      <c r="M207" s="334"/>
      <c r="N207" s="334">
        <v>2268</v>
      </c>
      <c r="O207" s="335">
        <v>2590</v>
      </c>
      <c r="P207" s="334">
        <v>4333.18</v>
      </c>
      <c r="Q207" s="334">
        <v>2000</v>
      </c>
      <c r="R207" s="576"/>
      <c r="S207" s="568"/>
      <c r="T207" s="570">
        <f t="shared" si="31"/>
        <v>2000</v>
      </c>
    </row>
    <row r="208" spans="1:22" ht="17.25" thickTop="1" thickBot="1" x14ac:dyDescent="0.3">
      <c r="A208" s="616"/>
      <c r="B208" s="617"/>
      <c r="C208" s="336" t="s">
        <v>276</v>
      </c>
      <c r="D208" s="160">
        <f t="shared" ref="D208:M208" si="32">D4+D10+D14+D25+D27+D29+D34+D36+D41+D50+D56+D70+D74+D81+D86+D91+D110+D112+D122+D127+D143+D146+D151+D167+D172+D182+D188+D193+D115+D19+D43+D79</f>
        <v>5867125</v>
      </c>
      <c r="E208" s="160">
        <f t="shared" si="32"/>
        <v>6460200</v>
      </c>
      <c r="F208" s="160">
        <f t="shared" si="32"/>
        <v>7832271</v>
      </c>
      <c r="G208" s="160">
        <f t="shared" si="32"/>
        <v>8716285.4299999997</v>
      </c>
      <c r="H208" s="160">
        <f t="shared" si="32"/>
        <v>9309387</v>
      </c>
      <c r="I208" s="160">
        <f t="shared" si="32"/>
        <v>8743512.1999999993</v>
      </c>
      <c r="J208" s="160">
        <f t="shared" si="32"/>
        <v>8908071</v>
      </c>
      <c r="K208" s="160">
        <f t="shared" si="32"/>
        <v>8934542</v>
      </c>
      <c r="L208" s="161">
        <f t="shared" si="32"/>
        <v>9572545.3800000008</v>
      </c>
      <c r="M208" s="161">
        <f t="shared" si="32"/>
        <v>9554914.7999999989</v>
      </c>
      <c r="N208" s="608">
        <f>N4+N10+N14+N25+N27+N29+N34+N36+N41+N50+N56+N70+N74+N81+N86+N91+N110+N112+N122+N127+N143+N146+N151+N167+N172+N182+N188+N193+N115+N19+N43+N79</f>
        <v>9695081.3400000017</v>
      </c>
      <c r="O208" s="618">
        <f>O4+O10+O14+O25+O27+O29+O34+O36+O41+O50+O56+O70+O74+O81+O86+O91+O110+O112+O122+O127+O143+O146+O151+O167+O172+O182+O188+O193+O115+O19+O43+O79</f>
        <v>10029034.879999999</v>
      </c>
      <c r="P208" s="608">
        <f>P193+P188+P182+P172+P151+P146+P143+P127+P122+P115+P112+P110+P91+P86+P81+P74+P70+P56+P50+P43+P41+P36+P34+P29+P27+P25+P19+P14+P10+P4</f>
        <v>10815176.07</v>
      </c>
      <c r="Q208" s="608">
        <f>Q193+Q188+Q182+Q172+Q151+Q146+Q143+Q127+Q122+Q115+Q112+Q110+Q91+Q86+Q81+Q74+Q70+Q56+Q50+Q43+Q41+Q36+Q34+Q29+Q27+Q25+Q19+Q14+Q10+Q4</f>
        <v>11853099</v>
      </c>
      <c r="R208" s="608">
        <f>R193+R188+R182+R172+R151+R146+R143+R127+R122+R115+R112+R110+R91+R86+R81+R74+R70+R56+R50+R43+R41+R36+R34+R29+R27+R25+R19+R14+R10+R4</f>
        <v>131571</v>
      </c>
      <c r="S208" s="608">
        <f>S193+S188+S182+S172+S151+S146+S143+S127+S122+S115+S112+S110+S91+S86+S81+S74+S70+S56+S50+S43+S41+S36+S34+S29+S27+S25+S19+S14+S10+S4</f>
        <v>57040</v>
      </c>
      <c r="T208" s="383">
        <f>T193+T188+T182+T172+T151+T146+T143+T127+T122+T115+T112+T110+T91+T86+T81+T74+T70+T56+T50+T43+T41+T36+T34+T29+T27+T25+T19+T14+T10+T4</f>
        <v>12041710</v>
      </c>
    </row>
    <row r="209" spans="12:20" ht="15.75" thickTop="1" x14ac:dyDescent="0.25">
      <c r="R209" s="337"/>
    </row>
    <row r="210" spans="12:20" x14ac:dyDescent="0.25">
      <c r="M210" s="337"/>
      <c r="Q210" s="165"/>
      <c r="R210" s="337"/>
    </row>
    <row r="211" spans="12:20" x14ac:dyDescent="0.25">
      <c r="N211" s="165"/>
      <c r="Q211" s="165"/>
      <c r="R211" s="337"/>
      <c r="S211" s="338"/>
      <c r="T211" s="338"/>
    </row>
    <row r="212" spans="12:20" x14ac:dyDescent="0.25">
      <c r="M212" s="337"/>
      <c r="R212" s="337"/>
      <c r="T212" s="338"/>
    </row>
    <row r="213" spans="12:20" x14ac:dyDescent="0.25">
      <c r="N213" s="165"/>
      <c r="O213" s="165"/>
      <c r="P213" s="165"/>
      <c r="Q213" s="165"/>
      <c r="R213" s="337"/>
      <c r="T213" s="338"/>
    </row>
    <row r="214" spans="12:20" x14ac:dyDescent="0.25">
      <c r="R214" s="337"/>
      <c r="S214" s="338">
        <f>R208+S208-R159-S163-S164</f>
        <v>158111</v>
      </c>
    </row>
    <row r="215" spans="12:20" x14ac:dyDescent="0.25">
      <c r="L215" s="165"/>
      <c r="M215" s="165"/>
      <c r="N215" s="165"/>
      <c r="O215" s="165"/>
      <c r="P215" s="165"/>
      <c r="Q215" s="165"/>
      <c r="R215" s="337"/>
      <c r="S215" s="338"/>
    </row>
    <row r="216" spans="12:20" x14ac:dyDescent="0.25">
      <c r="R216" s="337"/>
      <c r="T216" s="338"/>
    </row>
    <row r="217" spans="12:20" x14ac:dyDescent="0.25">
      <c r="N217" s="165"/>
      <c r="O217" s="165"/>
      <c r="P217" s="165"/>
      <c r="R217" s="337"/>
    </row>
    <row r="218" spans="12:20" x14ac:dyDescent="0.25">
      <c r="R218" s="337"/>
    </row>
    <row r="219" spans="12:20" x14ac:dyDescent="0.25">
      <c r="Q219" s="165"/>
      <c r="R219" s="165"/>
      <c r="S219" s="165"/>
      <c r="T219" s="165"/>
    </row>
    <row r="220" spans="12:20" x14ac:dyDescent="0.25">
      <c r="Q220" s="165"/>
      <c r="R220" s="337"/>
    </row>
    <row r="221" spans="12:20" x14ac:dyDescent="0.25">
      <c r="R221" s="337"/>
    </row>
    <row r="222" spans="12:20" x14ac:dyDescent="0.25">
      <c r="R222" s="337"/>
    </row>
    <row r="223" spans="12:20" x14ac:dyDescent="0.25">
      <c r="R223" s="337"/>
    </row>
    <row r="224" spans="12:20" x14ac:dyDescent="0.25">
      <c r="R224" s="337"/>
    </row>
    <row r="225" spans="18:18" x14ac:dyDescent="0.25">
      <c r="R225" s="337"/>
    </row>
    <row r="226" spans="18:18" x14ac:dyDescent="0.25">
      <c r="R226" s="337"/>
    </row>
    <row r="227" spans="18:18" x14ac:dyDescent="0.25">
      <c r="R227" s="337"/>
    </row>
    <row r="228" spans="18:18" x14ac:dyDescent="0.25">
      <c r="R228" s="337"/>
    </row>
    <row r="229" spans="18:18" x14ac:dyDescent="0.25">
      <c r="R229" s="337"/>
    </row>
    <row r="230" spans="18:18" x14ac:dyDescent="0.25">
      <c r="R230" s="337"/>
    </row>
    <row r="231" spans="18:18" x14ac:dyDescent="0.25">
      <c r="R231" s="337"/>
    </row>
    <row r="232" spans="18:18" x14ac:dyDescent="0.25">
      <c r="R232" s="337"/>
    </row>
    <row r="233" spans="18:18" x14ac:dyDescent="0.25">
      <c r="R233" s="337"/>
    </row>
    <row r="234" spans="18:18" x14ac:dyDescent="0.25">
      <c r="R234" s="337"/>
    </row>
    <row r="235" spans="18:18" x14ac:dyDescent="0.25">
      <c r="R235" s="337"/>
    </row>
    <row r="236" spans="18:18" x14ac:dyDescent="0.25">
      <c r="R236" s="337"/>
    </row>
    <row r="237" spans="18:18" x14ac:dyDescent="0.25">
      <c r="R237" s="337"/>
    </row>
    <row r="238" spans="18:18" x14ac:dyDescent="0.25">
      <c r="R238" s="337"/>
    </row>
    <row r="239" spans="18:18" x14ac:dyDescent="0.25">
      <c r="R239" s="337"/>
    </row>
    <row r="240" spans="18:18" x14ac:dyDescent="0.25">
      <c r="R240" s="337"/>
    </row>
    <row r="241" spans="18:18" x14ac:dyDescent="0.25">
      <c r="R241" s="337"/>
    </row>
    <row r="242" spans="18:18" x14ac:dyDescent="0.25">
      <c r="R242" s="337"/>
    </row>
    <row r="243" spans="18:18" x14ac:dyDescent="0.25">
      <c r="R243" s="337"/>
    </row>
    <row r="244" spans="18:18" x14ac:dyDescent="0.25">
      <c r="R244" s="337"/>
    </row>
    <row r="245" spans="18:18" x14ac:dyDescent="0.25">
      <c r="R245" s="337"/>
    </row>
    <row r="246" spans="18:18" x14ac:dyDescent="0.25">
      <c r="R246" s="337"/>
    </row>
    <row r="247" spans="18:18" x14ac:dyDescent="0.25">
      <c r="R247" s="337"/>
    </row>
    <row r="248" spans="18:18" x14ac:dyDescent="0.25">
      <c r="R248" s="337"/>
    </row>
    <row r="249" spans="18:18" x14ac:dyDescent="0.25">
      <c r="R249" s="337"/>
    </row>
    <row r="250" spans="18:18" x14ac:dyDescent="0.25">
      <c r="R250" s="337"/>
    </row>
    <row r="251" spans="18:18" x14ac:dyDescent="0.25">
      <c r="R251" s="337"/>
    </row>
    <row r="252" spans="18:18" x14ac:dyDescent="0.25">
      <c r="R252" s="337"/>
    </row>
    <row r="253" spans="18:18" x14ac:dyDescent="0.25">
      <c r="R253" s="337"/>
    </row>
  </sheetData>
  <mergeCells count="86">
    <mergeCell ref="A1:T1"/>
    <mergeCell ref="A183:A187"/>
    <mergeCell ref="B188:C188"/>
    <mergeCell ref="A189:A192"/>
    <mergeCell ref="B193:C193"/>
    <mergeCell ref="A147:A150"/>
    <mergeCell ref="B147:B150"/>
    <mergeCell ref="B112:C112"/>
    <mergeCell ref="A113:A114"/>
    <mergeCell ref="B115:C115"/>
    <mergeCell ref="A116:A121"/>
    <mergeCell ref="B122:C122"/>
    <mergeCell ref="A123:A126"/>
    <mergeCell ref="B127:C127"/>
    <mergeCell ref="A128:A142"/>
    <mergeCell ref="B143:C143"/>
    <mergeCell ref="A194:A207"/>
    <mergeCell ref="B194:C194"/>
    <mergeCell ref="B182:C182"/>
    <mergeCell ref="B151:C151"/>
    <mergeCell ref="A152:A166"/>
    <mergeCell ref="B152:C152"/>
    <mergeCell ref="B157:C157"/>
    <mergeCell ref="B158:B166"/>
    <mergeCell ref="B167:C167"/>
    <mergeCell ref="A168:A171"/>
    <mergeCell ref="B172:C172"/>
    <mergeCell ref="A173:A181"/>
    <mergeCell ref="B173:C173"/>
    <mergeCell ref="B180:C180"/>
    <mergeCell ref="A144:A145"/>
    <mergeCell ref="B146:C146"/>
    <mergeCell ref="B110:C110"/>
    <mergeCell ref="B70:C70"/>
    <mergeCell ref="A71:A73"/>
    <mergeCell ref="B74:C74"/>
    <mergeCell ref="A75:A78"/>
    <mergeCell ref="B79:C79"/>
    <mergeCell ref="B81:C81"/>
    <mergeCell ref="A82:A85"/>
    <mergeCell ref="B86:C86"/>
    <mergeCell ref="A87:A90"/>
    <mergeCell ref="B91:C91"/>
    <mergeCell ref="A92:A109"/>
    <mergeCell ref="B19:C19"/>
    <mergeCell ref="A20:A24"/>
    <mergeCell ref="B25:C25"/>
    <mergeCell ref="A57:A69"/>
    <mergeCell ref="B57:C57"/>
    <mergeCell ref="B29:C29"/>
    <mergeCell ref="A30:A33"/>
    <mergeCell ref="B34:C34"/>
    <mergeCell ref="B36:C36"/>
    <mergeCell ref="A37:A40"/>
    <mergeCell ref="B41:C41"/>
    <mergeCell ref="B43:C43"/>
    <mergeCell ref="A44:A49"/>
    <mergeCell ref="B50:C50"/>
    <mergeCell ref="A51:A55"/>
    <mergeCell ref="B56:C56"/>
    <mergeCell ref="B27:C27"/>
    <mergeCell ref="T2:T3"/>
    <mergeCell ref="B4:C4"/>
    <mergeCell ref="A5:A9"/>
    <mergeCell ref="B10:C10"/>
    <mergeCell ref="A11:A13"/>
    <mergeCell ref="M2:M3"/>
    <mergeCell ref="N2:N3"/>
    <mergeCell ref="O2:O3"/>
    <mergeCell ref="P2:P3"/>
    <mergeCell ref="Q2:Q3"/>
    <mergeCell ref="G2:G3"/>
    <mergeCell ref="H2:H3"/>
    <mergeCell ref="I2:I3"/>
    <mergeCell ref="B14:C14"/>
    <mergeCell ref="A15:A18"/>
    <mergeCell ref="R2:S2"/>
    <mergeCell ref="J2:J3"/>
    <mergeCell ref="K2:K3"/>
    <mergeCell ref="L2:L3"/>
    <mergeCell ref="A2:A3"/>
    <mergeCell ref="B2:B3"/>
    <mergeCell ref="C2:C3"/>
    <mergeCell ref="D2:D3"/>
    <mergeCell ref="E2:E3"/>
    <mergeCell ref="F2:F3"/>
  </mergeCells>
  <pageMargins left="3.937007874015748E-2" right="0.39370078740157483" top="3.937007874015748E-2" bottom="3.937007874015748E-2" header="0" footer="0"/>
  <pageSetup paperSize="9" scale="82" orientation="portrait" r:id="rId1"/>
  <rowBreaks count="2" manualBreakCount="2">
    <brk id="69" max="16383" man="1"/>
    <brk id="150" max="16383" man="1"/>
  </rowBreaks>
  <ignoredErrors>
    <ignoredError sqref="B71:C78" numberStoredAsText="1"/>
    <ignoredError sqref="T5:T8 T30:T32 T10:T28 T50 T34:T4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topLeftCell="A7" workbookViewId="0">
      <selection activeCell="R57" sqref="R57"/>
    </sheetView>
  </sheetViews>
  <sheetFormatPr defaultRowHeight="15" x14ac:dyDescent="0.25"/>
  <cols>
    <col min="3" max="3" width="30.7109375" customWidth="1"/>
    <col min="4" max="11" width="11.7109375" hidden="1" customWidth="1"/>
    <col min="12" max="12" width="15.5703125" hidden="1" customWidth="1"/>
    <col min="13" max="14" width="14" hidden="1" customWidth="1"/>
    <col min="15" max="15" width="16.140625" hidden="1" customWidth="1"/>
    <col min="16" max="16" width="13" customWidth="1"/>
    <col min="17" max="17" width="13.42578125" customWidth="1"/>
    <col min="18" max="18" width="11.7109375" customWidth="1"/>
    <col min="19" max="19" width="13.7109375" customWidth="1"/>
    <col min="239" max="239" width="37.5703125" customWidth="1"/>
    <col min="240" max="251" width="0" hidden="1" customWidth="1"/>
    <col min="252" max="252" width="14" customWidth="1"/>
    <col min="253" max="253" width="13" customWidth="1"/>
    <col min="254" max="254" width="10.140625" customWidth="1"/>
    <col min="255" max="256" width="10.42578125" customWidth="1"/>
    <col min="495" max="495" width="37.5703125" customWidth="1"/>
    <col min="496" max="507" width="0" hidden="1" customWidth="1"/>
    <col min="508" max="508" width="14" customWidth="1"/>
    <col min="509" max="509" width="13" customWidth="1"/>
    <col min="510" max="510" width="10.140625" customWidth="1"/>
    <col min="511" max="512" width="10.42578125" customWidth="1"/>
    <col min="751" max="751" width="37.5703125" customWidth="1"/>
    <col min="752" max="763" width="0" hidden="1" customWidth="1"/>
    <col min="764" max="764" width="14" customWidth="1"/>
    <col min="765" max="765" width="13" customWidth="1"/>
    <col min="766" max="766" width="10.140625" customWidth="1"/>
    <col min="767" max="768" width="10.42578125" customWidth="1"/>
    <col min="1007" max="1007" width="37.5703125" customWidth="1"/>
    <col min="1008" max="1019" width="0" hidden="1" customWidth="1"/>
    <col min="1020" max="1020" width="14" customWidth="1"/>
    <col min="1021" max="1021" width="13" customWidth="1"/>
    <col min="1022" max="1022" width="10.140625" customWidth="1"/>
    <col min="1023" max="1024" width="10.42578125" customWidth="1"/>
    <col min="1263" max="1263" width="37.5703125" customWidth="1"/>
    <col min="1264" max="1275" width="0" hidden="1" customWidth="1"/>
    <col min="1276" max="1276" width="14" customWidth="1"/>
    <col min="1277" max="1277" width="13" customWidth="1"/>
    <col min="1278" max="1278" width="10.140625" customWidth="1"/>
    <col min="1279" max="1280" width="10.42578125" customWidth="1"/>
    <col min="1519" max="1519" width="37.5703125" customWidth="1"/>
    <col min="1520" max="1531" width="0" hidden="1" customWidth="1"/>
    <col min="1532" max="1532" width="14" customWidth="1"/>
    <col min="1533" max="1533" width="13" customWidth="1"/>
    <col min="1534" max="1534" width="10.140625" customWidth="1"/>
    <col min="1535" max="1536" width="10.42578125" customWidth="1"/>
    <col min="1775" max="1775" width="37.5703125" customWidth="1"/>
    <col min="1776" max="1787" width="0" hidden="1" customWidth="1"/>
    <col min="1788" max="1788" width="14" customWidth="1"/>
    <col min="1789" max="1789" width="13" customWidth="1"/>
    <col min="1790" max="1790" width="10.140625" customWidth="1"/>
    <col min="1791" max="1792" width="10.42578125" customWidth="1"/>
    <col min="2031" max="2031" width="37.5703125" customWidth="1"/>
    <col min="2032" max="2043" width="0" hidden="1" customWidth="1"/>
    <col min="2044" max="2044" width="14" customWidth="1"/>
    <col min="2045" max="2045" width="13" customWidth="1"/>
    <col min="2046" max="2046" width="10.140625" customWidth="1"/>
    <col min="2047" max="2048" width="10.42578125" customWidth="1"/>
    <col min="2287" max="2287" width="37.5703125" customWidth="1"/>
    <col min="2288" max="2299" width="0" hidden="1" customWidth="1"/>
    <col min="2300" max="2300" width="14" customWidth="1"/>
    <col min="2301" max="2301" width="13" customWidth="1"/>
    <col min="2302" max="2302" width="10.140625" customWidth="1"/>
    <col min="2303" max="2304" width="10.42578125" customWidth="1"/>
    <col min="2543" max="2543" width="37.5703125" customWidth="1"/>
    <col min="2544" max="2555" width="0" hidden="1" customWidth="1"/>
    <col min="2556" max="2556" width="14" customWidth="1"/>
    <col min="2557" max="2557" width="13" customWidth="1"/>
    <col min="2558" max="2558" width="10.140625" customWidth="1"/>
    <col min="2559" max="2560" width="10.42578125" customWidth="1"/>
    <col min="2799" max="2799" width="37.5703125" customWidth="1"/>
    <col min="2800" max="2811" width="0" hidden="1" customWidth="1"/>
    <col min="2812" max="2812" width="14" customWidth="1"/>
    <col min="2813" max="2813" width="13" customWidth="1"/>
    <col min="2814" max="2814" width="10.140625" customWidth="1"/>
    <col min="2815" max="2816" width="10.42578125" customWidth="1"/>
    <col min="3055" max="3055" width="37.5703125" customWidth="1"/>
    <col min="3056" max="3067" width="0" hidden="1" customWidth="1"/>
    <col min="3068" max="3068" width="14" customWidth="1"/>
    <col min="3069" max="3069" width="13" customWidth="1"/>
    <col min="3070" max="3070" width="10.140625" customWidth="1"/>
    <col min="3071" max="3072" width="10.42578125" customWidth="1"/>
    <col min="3311" max="3311" width="37.5703125" customWidth="1"/>
    <col min="3312" max="3323" width="0" hidden="1" customWidth="1"/>
    <col min="3324" max="3324" width="14" customWidth="1"/>
    <col min="3325" max="3325" width="13" customWidth="1"/>
    <col min="3326" max="3326" width="10.140625" customWidth="1"/>
    <col min="3327" max="3328" width="10.42578125" customWidth="1"/>
    <col min="3567" max="3567" width="37.5703125" customWidth="1"/>
    <col min="3568" max="3579" width="0" hidden="1" customWidth="1"/>
    <col min="3580" max="3580" width="14" customWidth="1"/>
    <col min="3581" max="3581" width="13" customWidth="1"/>
    <col min="3582" max="3582" width="10.140625" customWidth="1"/>
    <col min="3583" max="3584" width="10.42578125" customWidth="1"/>
    <col min="3823" max="3823" width="37.5703125" customWidth="1"/>
    <col min="3824" max="3835" width="0" hidden="1" customWidth="1"/>
    <col min="3836" max="3836" width="14" customWidth="1"/>
    <col min="3837" max="3837" width="13" customWidth="1"/>
    <col min="3838" max="3838" width="10.140625" customWidth="1"/>
    <col min="3839" max="3840" width="10.42578125" customWidth="1"/>
    <col min="4079" max="4079" width="37.5703125" customWidth="1"/>
    <col min="4080" max="4091" width="0" hidden="1" customWidth="1"/>
    <col min="4092" max="4092" width="14" customWidth="1"/>
    <col min="4093" max="4093" width="13" customWidth="1"/>
    <col min="4094" max="4094" width="10.140625" customWidth="1"/>
    <col min="4095" max="4096" width="10.42578125" customWidth="1"/>
    <col min="4335" max="4335" width="37.5703125" customWidth="1"/>
    <col min="4336" max="4347" width="0" hidden="1" customWidth="1"/>
    <col min="4348" max="4348" width="14" customWidth="1"/>
    <col min="4349" max="4349" width="13" customWidth="1"/>
    <col min="4350" max="4350" width="10.140625" customWidth="1"/>
    <col min="4351" max="4352" width="10.42578125" customWidth="1"/>
    <col min="4591" max="4591" width="37.5703125" customWidth="1"/>
    <col min="4592" max="4603" width="0" hidden="1" customWidth="1"/>
    <col min="4604" max="4604" width="14" customWidth="1"/>
    <col min="4605" max="4605" width="13" customWidth="1"/>
    <col min="4606" max="4606" width="10.140625" customWidth="1"/>
    <col min="4607" max="4608" width="10.42578125" customWidth="1"/>
    <col min="4847" max="4847" width="37.5703125" customWidth="1"/>
    <col min="4848" max="4859" width="0" hidden="1" customWidth="1"/>
    <col min="4860" max="4860" width="14" customWidth="1"/>
    <col min="4861" max="4861" width="13" customWidth="1"/>
    <col min="4862" max="4862" width="10.140625" customWidth="1"/>
    <col min="4863" max="4864" width="10.42578125" customWidth="1"/>
    <col min="5103" max="5103" width="37.5703125" customWidth="1"/>
    <col min="5104" max="5115" width="0" hidden="1" customWidth="1"/>
    <col min="5116" max="5116" width="14" customWidth="1"/>
    <col min="5117" max="5117" width="13" customWidth="1"/>
    <col min="5118" max="5118" width="10.140625" customWidth="1"/>
    <col min="5119" max="5120" width="10.42578125" customWidth="1"/>
    <col min="5359" max="5359" width="37.5703125" customWidth="1"/>
    <col min="5360" max="5371" width="0" hidden="1" customWidth="1"/>
    <col min="5372" max="5372" width="14" customWidth="1"/>
    <col min="5373" max="5373" width="13" customWidth="1"/>
    <col min="5374" max="5374" width="10.140625" customWidth="1"/>
    <col min="5375" max="5376" width="10.42578125" customWidth="1"/>
    <col min="5615" max="5615" width="37.5703125" customWidth="1"/>
    <col min="5616" max="5627" width="0" hidden="1" customWidth="1"/>
    <col min="5628" max="5628" width="14" customWidth="1"/>
    <col min="5629" max="5629" width="13" customWidth="1"/>
    <col min="5630" max="5630" width="10.140625" customWidth="1"/>
    <col min="5631" max="5632" width="10.42578125" customWidth="1"/>
    <col min="5871" max="5871" width="37.5703125" customWidth="1"/>
    <col min="5872" max="5883" width="0" hidden="1" customWidth="1"/>
    <col min="5884" max="5884" width="14" customWidth="1"/>
    <col min="5885" max="5885" width="13" customWidth="1"/>
    <col min="5886" max="5886" width="10.140625" customWidth="1"/>
    <col min="5887" max="5888" width="10.42578125" customWidth="1"/>
    <col min="6127" max="6127" width="37.5703125" customWidth="1"/>
    <col min="6128" max="6139" width="0" hidden="1" customWidth="1"/>
    <col min="6140" max="6140" width="14" customWidth="1"/>
    <col min="6141" max="6141" width="13" customWidth="1"/>
    <col min="6142" max="6142" width="10.140625" customWidth="1"/>
    <col min="6143" max="6144" width="10.42578125" customWidth="1"/>
    <col min="6383" max="6383" width="37.5703125" customWidth="1"/>
    <col min="6384" max="6395" width="0" hidden="1" customWidth="1"/>
    <col min="6396" max="6396" width="14" customWidth="1"/>
    <col min="6397" max="6397" width="13" customWidth="1"/>
    <col min="6398" max="6398" width="10.140625" customWidth="1"/>
    <col min="6399" max="6400" width="10.42578125" customWidth="1"/>
    <col min="6639" max="6639" width="37.5703125" customWidth="1"/>
    <col min="6640" max="6651" width="0" hidden="1" customWidth="1"/>
    <col min="6652" max="6652" width="14" customWidth="1"/>
    <col min="6653" max="6653" width="13" customWidth="1"/>
    <col min="6654" max="6654" width="10.140625" customWidth="1"/>
    <col min="6655" max="6656" width="10.42578125" customWidth="1"/>
    <col min="6895" max="6895" width="37.5703125" customWidth="1"/>
    <col min="6896" max="6907" width="0" hidden="1" customWidth="1"/>
    <col min="6908" max="6908" width="14" customWidth="1"/>
    <col min="6909" max="6909" width="13" customWidth="1"/>
    <col min="6910" max="6910" width="10.140625" customWidth="1"/>
    <col min="6911" max="6912" width="10.42578125" customWidth="1"/>
    <col min="7151" max="7151" width="37.5703125" customWidth="1"/>
    <col min="7152" max="7163" width="0" hidden="1" customWidth="1"/>
    <col min="7164" max="7164" width="14" customWidth="1"/>
    <col min="7165" max="7165" width="13" customWidth="1"/>
    <col min="7166" max="7166" width="10.140625" customWidth="1"/>
    <col min="7167" max="7168" width="10.42578125" customWidth="1"/>
    <col min="7407" max="7407" width="37.5703125" customWidth="1"/>
    <col min="7408" max="7419" width="0" hidden="1" customWidth="1"/>
    <col min="7420" max="7420" width="14" customWidth="1"/>
    <col min="7421" max="7421" width="13" customWidth="1"/>
    <col min="7422" max="7422" width="10.140625" customWidth="1"/>
    <col min="7423" max="7424" width="10.42578125" customWidth="1"/>
    <col min="7663" max="7663" width="37.5703125" customWidth="1"/>
    <col min="7664" max="7675" width="0" hidden="1" customWidth="1"/>
    <col min="7676" max="7676" width="14" customWidth="1"/>
    <col min="7677" max="7677" width="13" customWidth="1"/>
    <col min="7678" max="7678" width="10.140625" customWidth="1"/>
    <col min="7679" max="7680" width="10.42578125" customWidth="1"/>
    <col min="7919" max="7919" width="37.5703125" customWidth="1"/>
    <col min="7920" max="7931" width="0" hidden="1" customWidth="1"/>
    <col min="7932" max="7932" width="14" customWidth="1"/>
    <col min="7933" max="7933" width="13" customWidth="1"/>
    <col min="7934" max="7934" width="10.140625" customWidth="1"/>
    <col min="7935" max="7936" width="10.42578125" customWidth="1"/>
    <col min="8175" max="8175" width="37.5703125" customWidth="1"/>
    <col min="8176" max="8187" width="0" hidden="1" customWidth="1"/>
    <col min="8188" max="8188" width="14" customWidth="1"/>
    <col min="8189" max="8189" width="13" customWidth="1"/>
    <col min="8190" max="8190" width="10.140625" customWidth="1"/>
    <col min="8191" max="8192" width="10.42578125" customWidth="1"/>
    <col min="8431" max="8431" width="37.5703125" customWidth="1"/>
    <col min="8432" max="8443" width="0" hidden="1" customWidth="1"/>
    <col min="8444" max="8444" width="14" customWidth="1"/>
    <col min="8445" max="8445" width="13" customWidth="1"/>
    <col min="8446" max="8446" width="10.140625" customWidth="1"/>
    <col min="8447" max="8448" width="10.42578125" customWidth="1"/>
    <col min="8687" max="8687" width="37.5703125" customWidth="1"/>
    <col min="8688" max="8699" width="0" hidden="1" customWidth="1"/>
    <col min="8700" max="8700" width="14" customWidth="1"/>
    <col min="8701" max="8701" width="13" customWidth="1"/>
    <col min="8702" max="8702" width="10.140625" customWidth="1"/>
    <col min="8703" max="8704" width="10.42578125" customWidth="1"/>
    <col min="8943" max="8943" width="37.5703125" customWidth="1"/>
    <col min="8944" max="8955" width="0" hidden="1" customWidth="1"/>
    <col min="8956" max="8956" width="14" customWidth="1"/>
    <col min="8957" max="8957" width="13" customWidth="1"/>
    <col min="8958" max="8958" width="10.140625" customWidth="1"/>
    <col min="8959" max="8960" width="10.42578125" customWidth="1"/>
    <col min="9199" max="9199" width="37.5703125" customWidth="1"/>
    <col min="9200" max="9211" width="0" hidden="1" customWidth="1"/>
    <col min="9212" max="9212" width="14" customWidth="1"/>
    <col min="9213" max="9213" width="13" customWidth="1"/>
    <col min="9214" max="9214" width="10.140625" customWidth="1"/>
    <col min="9215" max="9216" width="10.42578125" customWidth="1"/>
    <col min="9455" max="9455" width="37.5703125" customWidth="1"/>
    <col min="9456" max="9467" width="0" hidden="1" customWidth="1"/>
    <col min="9468" max="9468" width="14" customWidth="1"/>
    <col min="9469" max="9469" width="13" customWidth="1"/>
    <col min="9470" max="9470" width="10.140625" customWidth="1"/>
    <col min="9471" max="9472" width="10.42578125" customWidth="1"/>
    <col min="9711" max="9711" width="37.5703125" customWidth="1"/>
    <col min="9712" max="9723" width="0" hidden="1" customWidth="1"/>
    <col min="9724" max="9724" width="14" customWidth="1"/>
    <col min="9725" max="9725" width="13" customWidth="1"/>
    <col min="9726" max="9726" width="10.140625" customWidth="1"/>
    <col min="9727" max="9728" width="10.42578125" customWidth="1"/>
    <col min="9967" max="9967" width="37.5703125" customWidth="1"/>
    <col min="9968" max="9979" width="0" hidden="1" customWidth="1"/>
    <col min="9980" max="9980" width="14" customWidth="1"/>
    <col min="9981" max="9981" width="13" customWidth="1"/>
    <col min="9982" max="9982" width="10.140625" customWidth="1"/>
    <col min="9983" max="9984" width="10.42578125" customWidth="1"/>
    <col min="10223" max="10223" width="37.5703125" customWidth="1"/>
    <col min="10224" max="10235" width="0" hidden="1" customWidth="1"/>
    <col min="10236" max="10236" width="14" customWidth="1"/>
    <col min="10237" max="10237" width="13" customWidth="1"/>
    <col min="10238" max="10238" width="10.140625" customWidth="1"/>
    <col min="10239" max="10240" width="10.42578125" customWidth="1"/>
    <col min="10479" max="10479" width="37.5703125" customWidth="1"/>
    <col min="10480" max="10491" width="0" hidden="1" customWidth="1"/>
    <col min="10492" max="10492" width="14" customWidth="1"/>
    <col min="10493" max="10493" width="13" customWidth="1"/>
    <col min="10494" max="10494" width="10.140625" customWidth="1"/>
    <col min="10495" max="10496" width="10.42578125" customWidth="1"/>
    <col min="10735" max="10735" width="37.5703125" customWidth="1"/>
    <col min="10736" max="10747" width="0" hidden="1" customWidth="1"/>
    <col min="10748" max="10748" width="14" customWidth="1"/>
    <col min="10749" max="10749" width="13" customWidth="1"/>
    <col min="10750" max="10750" width="10.140625" customWidth="1"/>
    <col min="10751" max="10752" width="10.42578125" customWidth="1"/>
    <col min="10991" max="10991" width="37.5703125" customWidth="1"/>
    <col min="10992" max="11003" width="0" hidden="1" customWidth="1"/>
    <col min="11004" max="11004" width="14" customWidth="1"/>
    <col min="11005" max="11005" width="13" customWidth="1"/>
    <col min="11006" max="11006" width="10.140625" customWidth="1"/>
    <col min="11007" max="11008" width="10.42578125" customWidth="1"/>
    <col min="11247" max="11247" width="37.5703125" customWidth="1"/>
    <col min="11248" max="11259" width="0" hidden="1" customWidth="1"/>
    <col min="11260" max="11260" width="14" customWidth="1"/>
    <col min="11261" max="11261" width="13" customWidth="1"/>
    <col min="11262" max="11262" width="10.140625" customWidth="1"/>
    <col min="11263" max="11264" width="10.42578125" customWidth="1"/>
    <col min="11503" max="11503" width="37.5703125" customWidth="1"/>
    <col min="11504" max="11515" width="0" hidden="1" customWidth="1"/>
    <col min="11516" max="11516" width="14" customWidth="1"/>
    <col min="11517" max="11517" width="13" customWidth="1"/>
    <col min="11518" max="11518" width="10.140625" customWidth="1"/>
    <col min="11519" max="11520" width="10.42578125" customWidth="1"/>
    <col min="11759" max="11759" width="37.5703125" customWidth="1"/>
    <col min="11760" max="11771" width="0" hidden="1" customWidth="1"/>
    <col min="11772" max="11772" width="14" customWidth="1"/>
    <col min="11773" max="11773" width="13" customWidth="1"/>
    <col min="11774" max="11774" width="10.140625" customWidth="1"/>
    <col min="11775" max="11776" width="10.42578125" customWidth="1"/>
    <col min="12015" max="12015" width="37.5703125" customWidth="1"/>
    <col min="12016" max="12027" width="0" hidden="1" customWidth="1"/>
    <col min="12028" max="12028" width="14" customWidth="1"/>
    <col min="12029" max="12029" width="13" customWidth="1"/>
    <col min="12030" max="12030" width="10.140625" customWidth="1"/>
    <col min="12031" max="12032" width="10.42578125" customWidth="1"/>
    <col min="12271" max="12271" width="37.5703125" customWidth="1"/>
    <col min="12272" max="12283" width="0" hidden="1" customWidth="1"/>
    <col min="12284" max="12284" width="14" customWidth="1"/>
    <col min="12285" max="12285" width="13" customWidth="1"/>
    <col min="12286" max="12286" width="10.140625" customWidth="1"/>
    <col min="12287" max="12288" width="10.42578125" customWidth="1"/>
    <col min="12527" max="12527" width="37.5703125" customWidth="1"/>
    <col min="12528" max="12539" width="0" hidden="1" customWidth="1"/>
    <col min="12540" max="12540" width="14" customWidth="1"/>
    <col min="12541" max="12541" width="13" customWidth="1"/>
    <col min="12542" max="12542" width="10.140625" customWidth="1"/>
    <col min="12543" max="12544" width="10.42578125" customWidth="1"/>
    <col min="12783" max="12783" width="37.5703125" customWidth="1"/>
    <col min="12784" max="12795" width="0" hidden="1" customWidth="1"/>
    <col min="12796" max="12796" width="14" customWidth="1"/>
    <col min="12797" max="12797" width="13" customWidth="1"/>
    <col min="12798" max="12798" width="10.140625" customWidth="1"/>
    <col min="12799" max="12800" width="10.42578125" customWidth="1"/>
    <col min="13039" max="13039" width="37.5703125" customWidth="1"/>
    <col min="13040" max="13051" width="0" hidden="1" customWidth="1"/>
    <col min="13052" max="13052" width="14" customWidth="1"/>
    <col min="13053" max="13053" width="13" customWidth="1"/>
    <col min="13054" max="13054" width="10.140625" customWidth="1"/>
    <col min="13055" max="13056" width="10.42578125" customWidth="1"/>
    <col min="13295" max="13295" width="37.5703125" customWidth="1"/>
    <col min="13296" max="13307" width="0" hidden="1" customWidth="1"/>
    <col min="13308" max="13308" width="14" customWidth="1"/>
    <col min="13309" max="13309" width="13" customWidth="1"/>
    <col min="13310" max="13310" width="10.140625" customWidth="1"/>
    <col min="13311" max="13312" width="10.42578125" customWidth="1"/>
    <col min="13551" max="13551" width="37.5703125" customWidth="1"/>
    <col min="13552" max="13563" width="0" hidden="1" customWidth="1"/>
    <col min="13564" max="13564" width="14" customWidth="1"/>
    <col min="13565" max="13565" width="13" customWidth="1"/>
    <col min="13566" max="13566" width="10.140625" customWidth="1"/>
    <col min="13567" max="13568" width="10.42578125" customWidth="1"/>
    <col min="13807" max="13807" width="37.5703125" customWidth="1"/>
    <col min="13808" max="13819" width="0" hidden="1" customWidth="1"/>
    <col min="13820" max="13820" width="14" customWidth="1"/>
    <col min="13821" max="13821" width="13" customWidth="1"/>
    <col min="13822" max="13822" width="10.140625" customWidth="1"/>
    <col min="13823" max="13824" width="10.42578125" customWidth="1"/>
    <col min="14063" max="14063" width="37.5703125" customWidth="1"/>
    <col min="14064" max="14075" width="0" hidden="1" customWidth="1"/>
    <col min="14076" max="14076" width="14" customWidth="1"/>
    <col min="14077" max="14077" width="13" customWidth="1"/>
    <col min="14078" max="14078" width="10.140625" customWidth="1"/>
    <col min="14079" max="14080" width="10.42578125" customWidth="1"/>
    <col min="14319" max="14319" width="37.5703125" customWidth="1"/>
    <col min="14320" max="14331" width="0" hidden="1" customWidth="1"/>
    <col min="14332" max="14332" width="14" customWidth="1"/>
    <col min="14333" max="14333" width="13" customWidth="1"/>
    <col min="14334" max="14334" width="10.140625" customWidth="1"/>
    <col min="14335" max="14336" width="10.42578125" customWidth="1"/>
    <col min="14575" max="14575" width="37.5703125" customWidth="1"/>
    <col min="14576" max="14587" width="0" hidden="1" customWidth="1"/>
    <col min="14588" max="14588" width="14" customWidth="1"/>
    <col min="14589" max="14589" width="13" customWidth="1"/>
    <col min="14590" max="14590" width="10.140625" customWidth="1"/>
    <col min="14591" max="14592" width="10.42578125" customWidth="1"/>
    <col min="14831" max="14831" width="37.5703125" customWidth="1"/>
    <col min="14832" max="14843" width="0" hidden="1" customWidth="1"/>
    <col min="14844" max="14844" width="14" customWidth="1"/>
    <col min="14845" max="14845" width="13" customWidth="1"/>
    <col min="14846" max="14846" width="10.140625" customWidth="1"/>
    <col min="14847" max="14848" width="10.42578125" customWidth="1"/>
    <col min="15087" max="15087" width="37.5703125" customWidth="1"/>
    <col min="15088" max="15099" width="0" hidden="1" customWidth="1"/>
    <col min="15100" max="15100" width="14" customWidth="1"/>
    <col min="15101" max="15101" width="13" customWidth="1"/>
    <col min="15102" max="15102" width="10.140625" customWidth="1"/>
    <col min="15103" max="15104" width="10.42578125" customWidth="1"/>
    <col min="15343" max="15343" width="37.5703125" customWidth="1"/>
    <col min="15344" max="15355" width="0" hidden="1" customWidth="1"/>
    <col min="15356" max="15356" width="14" customWidth="1"/>
    <col min="15357" max="15357" width="13" customWidth="1"/>
    <col min="15358" max="15358" width="10.140625" customWidth="1"/>
    <col min="15359" max="15360" width="10.42578125" customWidth="1"/>
    <col min="15599" max="15599" width="37.5703125" customWidth="1"/>
    <col min="15600" max="15611" width="0" hidden="1" customWidth="1"/>
    <col min="15612" max="15612" width="14" customWidth="1"/>
    <col min="15613" max="15613" width="13" customWidth="1"/>
    <col min="15614" max="15614" width="10.140625" customWidth="1"/>
    <col min="15615" max="15616" width="10.42578125" customWidth="1"/>
    <col min="15855" max="15855" width="37.5703125" customWidth="1"/>
    <col min="15856" max="15867" width="0" hidden="1" customWidth="1"/>
    <col min="15868" max="15868" width="14" customWidth="1"/>
    <col min="15869" max="15869" width="13" customWidth="1"/>
    <col min="15870" max="15870" width="10.140625" customWidth="1"/>
    <col min="15871" max="15872" width="10.42578125" customWidth="1"/>
    <col min="16111" max="16111" width="37.5703125" customWidth="1"/>
    <col min="16112" max="16123" width="0" hidden="1" customWidth="1"/>
    <col min="16124" max="16124" width="14" customWidth="1"/>
    <col min="16125" max="16125" width="13" customWidth="1"/>
    <col min="16126" max="16126" width="10.140625" customWidth="1"/>
    <col min="16127" max="16128" width="10.42578125" customWidth="1"/>
  </cols>
  <sheetData>
    <row r="1" spans="1:19" x14ac:dyDescent="0.25">
      <c r="A1" s="595" t="s">
        <v>401</v>
      </c>
    </row>
    <row r="2" spans="1:19" ht="15.75" thickBot="1" x14ac:dyDescent="0.3">
      <c r="A2" s="596" t="s">
        <v>402</v>
      </c>
    </row>
    <row r="3" spans="1:19" ht="14.25" customHeight="1" thickTop="1" x14ac:dyDescent="0.25">
      <c r="A3" s="719" t="s">
        <v>0</v>
      </c>
      <c r="B3" s="721" t="s">
        <v>1</v>
      </c>
      <c r="C3" s="717" t="s">
        <v>2</v>
      </c>
      <c r="D3" s="717" t="s">
        <v>114</v>
      </c>
      <c r="E3" s="717" t="s">
        <v>115</v>
      </c>
      <c r="F3" s="717" t="s">
        <v>116</v>
      </c>
      <c r="G3" s="717" t="s">
        <v>117</v>
      </c>
      <c r="H3" s="717" t="s">
        <v>118</v>
      </c>
      <c r="I3" s="717" t="s">
        <v>8</v>
      </c>
      <c r="J3" s="717" t="s">
        <v>9</v>
      </c>
      <c r="K3" s="717" t="s">
        <v>10</v>
      </c>
      <c r="L3" s="717" t="s">
        <v>11</v>
      </c>
      <c r="M3" s="717" t="s">
        <v>12</v>
      </c>
      <c r="N3" s="717" t="s">
        <v>13</v>
      </c>
      <c r="O3" s="717" t="s">
        <v>14</v>
      </c>
      <c r="P3" s="717" t="s">
        <v>459</v>
      </c>
      <c r="Q3" s="815" t="s">
        <v>440</v>
      </c>
      <c r="R3" s="637" t="s">
        <v>482</v>
      </c>
      <c r="S3" s="723" t="s">
        <v>406</v>
      </c>
    </row>
    <row r="4" spans="1:19" ht="27.75" customHeight="1" thickBot="1" x14ac:dyDescent="0.3">
      <c r="A4" s="720"/>
      <c r="B4" s="722"/>
      <c r="C4" s="718"/>
      <c r="D4" s="718"/>
      <c r="E4" s="718"/>
      <c r="F4" s="718"/>
      <c r="G4" s="718"/>
      <c r="H4" s="718"/>
      <c r="I4" s="718"/>
      <c r="J4" s="718"/>
      <c r="K4" s="718"/>
      <c r="L4" s="718"/>
      <c r="M4" s="718"/>
      <c r="N4" s="718"/>
      <c r="O4" s="718"/>
      <c r="P4" s="718"/>
      <c r="Q4" s="816"/>
      <c r="R4" s="635" t="s">
        <v>19</v>
      </c>
      <c r="S4" s="724"/>
    </row>
    <row r="5" spans="1:19" ht="17.25" thickTop="1" thickBot="1" x14ac:dyDescent="0.3">
      <c r="A5" s="339">
        <v>200</v>
      </c>
      <c r="B5" s="725" t="s">
        <v>36</v>
      </c>
      <c r="C5" s="726"/>
      <c r="D5" s="340">
        <f>D6</f>
        <v>355009</v>
      </c>
      <c r="E5" s="340">
        <f>E6</f>
        <v>311359</v>
      </c>
      <c r="F5" s="340">
        <f>F6</f>
        <v>955255</v>
      </c>
      <c r="G5" s="340">
        <f>G6</f>
        <v>1090339</v>
      </c>
      <c r="H5" s="340">
        <f>H6</f>
        <v>496614</v>
      </c>
      <c r="I5" s="340">
        <f t="shared" ref="I5:O5" si="0">I6</f>
        <v>174771</v>
      </c>
      <c r="J5" s="340">
        <f t="shared" si="0"/>
        <v>74221</v>
      </c>
      <c r="K5" s="340">
        <f t="shared" si="0"/>
        <v>98051</v>
      </c>
      <c r="L5" s="340">
        <f t="shared" si="0"/>
        <v>223532.5</v>
      </c>
      <c r="M5" s="341">
        <f t="shared" si="0"/>
        <v>61991.15</v>
      </c>
      <c r="N5" s="340">
        <f t="shared" si="0"/>
        <v>87107.9</v>
      </c>
      <c r="O5" s="341">
        <f t="shared" si="0"/>
        <v>542510.87</v>
      </c>
      <c r="P5" s="340">
        <v>47974.47</v>
      </c>
      <c r="Q5" s="340">
        <f>Q7+Q11</f>
        <v>120000</v>
      </c>
      <c r="R5" s="340">
        <f>R6</f>
        <v>0</v>
      </c>
      <c r="S5" s="342">
        <f>S6</f>
        <v>120000</v>
      </c>
    </row>
    <row r="6" spans="1:19" ht="15.75" thickBot="1" x14ac:dyDescent="0.3">
      <c r="A6" s="343">
        <v>230</v>
      </c>
      <c r="B6" s="727" t="s">
        <v>277</v>
      </c>
      <c r="C6" s="728"/>
      <c r="D6" s="104">
        <f t="shared" ref="D6:O6" si="1">D7+D11</f>
        <v>355009</v>
      </c>
      <c r="E6" s="104">
        <f t="shared" si="1"/>
        <v>311359</v>
      </c>
      <c r="F6" s="104">
        <f t="shared" si="1"/>
        <v>955255</v>
      </c>
      <c r="G6" s="104">
        <f t="shared" si="1"/>
        <v>1090339</v>
      </c>
      <c r="H6" s="104">
        <f t="shared" si="1"/>
        <v>496614</v>
      </c>
      <c r="I6" s="104">
        <f t="shared" si="1"/>
        <v>174771</v>
      </c>
      <c r="J6" s="104">
        <f t="shared" si="1"/>
        <v>74221</v>
      </c>
      <c r="K6" s="104">
        <f t="shared" si="1"/>
        <v>98051</v>
      </c>
      <c r="L6" s="104">
        <f t="shared" si="1"/>
        <v>223532.5</v>
      </c>
      <c r="M6" s="238">
        <f t="shared" si="1"/>
        <v>61991.15</v>
      </c>
      <c r="N6" s="104">
        <f t="shared" si="1"/>
        <v>87107.9</v>
      </c>
      <c r="O6" s="238">
        <f t="shared" si="1"/>
        <v>542510.87</v>
      </c>
      <c r="P6" s="104">
        <v>47974.47</v>
      </c>
      <c r="Q6" s="102">
        <f>Q7+Q11</f>
        <v>120000</v>
      </c>
      <c r="R6" s="102">
        <f>R7+R11</f>
        <v>0</v>
      </c>
      <c r="S6" s="105">
        <f>S7+S11</f>
        <v>120000</v>
      </c>
    </row>
    <row r="7" spans="1:19" ht="15.75" thickBot="1" x14ac:dyDescent="0.3">
      <c r="A7" s="747"/>
      <c r="B7" s="344">
        <v>231</v>
      </c>
      <c r="C7" s="92" t="s">
        <v>278</v>
      </c>
      <c r="D7" s="96">
        <f t="shared" ref="D7:K7" si="2">SUM(D8:D10)</f>
        <v>351125</v>
      </c>
      <c r="E7" s="96">
        <f t="shared" si="2"/>
        <v>106121</v>
      </c>
      <c r="F7" s="96">
        <f t="shared" si="2"/>
        <v>227246</v>
      </c>
      <c r="G7" s="96">
        <f t="shared" si="2"/>
        <v>45397</v>
      </c>
      <c r="H7" s="96">
        <f t="shared" si="2"/>
        <v>103200</v>
      </c>
      <c r="I7" s="96">
        <f t="shared" si="2"/>
        <v>85320</v>
      </c>
      <c r="J7" s="96">
        <f t="shared" si="2"/>
        <v>21933</v>
      </c>
      <c r="K7" s="96">
        <f t="shared" si="2"/>
        <v>32153</v>
      </c>
      <c r="L7" s="96">
        <f>SUM(L8:L10)</f>
        <v>84811.72</v>
      </c>
      <c r="M7" s="106">
        <f>SUM(M8:M10)</f>
        <v>23898.959999999999</v>
      </c>
      <c r="N7" s="96">
        <f>SUM(N8:N10)</f>
        <v>33003</v>
      </c>
      <c r="O7" s="106">
        <f>SUM(O8:O10)</f>
        <v>255643.36</v>
      </c>
      <c r="P7" s="96">
        <v>0</v>
      </c>
      <c r="Q7" s="94">
        <f>SUM(Q8:Q10)</f>
        <v>0</v>
      </c>
      <c r="R7" s="94">
        <f>SUM(R8:R10)</f>
        <v>0</v>
      </c>
      <c r="S7" s="97">
        <f>SUM(S8:S10)</f>
        <v>0</v>
      </c>
    </row>
    <row r="8" spans="1:19" x14ac:dyDescent="0.25">
      <c r="A8" s="748"/>
      <c r="B8" s="744"/>
      <c r="C8" s="345" t="s">
        <v>279</v>
      </c>
      <c r="D8" s="346">
        <v>192923</v>
      </c>
      <c r="E8" s="346">
        <v>101839</v>
      </c>
      <c r="F8" s="346">
        <v>227246</v>
      </c>
      <c r="G8" s="346">
        <v>45397</v>
      </c>
      <c r="H8" s="346">
        <v>103200</v>
      </c>
      <c r="I8" s="134">
        <v>85320</v>
      </c>
      <c r="J8" s="52">
        <v>21933</v>
      </c>
      <c r="K8" s="54">
        <v>23657</v>
      </c>
      <c r="L8" s="54">
        <v>83346.52</v>
      </c>
      <c r="M8" s="53">
        <v>19336.16</v>
      </c>
      <c r="N8" s="54">
        <v>33003</v>
      </c>
      <c r="O8" s="53">
        <v>251642.36</v>
      </c>
      <c r="P8" s="54"/>
      <c r="Q8" s="83"/>
      <c r="R8" s="83"/>
      <c r="S8" s="98">
        <f>Q8+R8</f>
        <v>0</v>
      </c>
    </row>
    <row r="9" spans="1:19" x14ac:dyDescent="0.25">
      <c r="A9" s="748"/>
      <c r="B9" s="745"/>
      <c r="C9" s="68" t="s">
        <v>280</v>
      </c>
      <c r="D9" s="347"/>
      <c r="E9" s="347"/>
      <c r="F9" s="347"/>
      <c r="G9" s="347"/>
      <c r="H9" s="347"/>
      <c r="I9" s="348"/>
      <c r="J9" s="349"/>
      <c r="K9" s="109"/>
      <c r="L9" s="151"/>
      <c r="M9" s="53">
        <v>4562.8</v>
      </c>
      <c r="N9" s="54"/>
      <c r="O9" s="53"/>
      <c r="P9" s="54"/>
      <c r="Q9" s="83"/>
      <c r="R9" s="83"/>
      <c r="S9" s="98">
        <f>Q9+R9</f>
        <v>0</v>
      </c>
    </row>
    <row r="10" spans="1:19" ht="15.75" thickBot="1" x14ac:dyDescent="0.3">
      <c r="A10" s="748"/>
      <c r="B10" s="746"/>
      <c r="C10" s="207" t="s">
        <v>281</v>
      </c>
      <c r="D10" s="89">
        <v>158202</v>
      </c>
      <c r="E10" s="89">
        <v>4282</v>
      </c>
      <c r="F10" s="89">
        <v>0</v>
      </c>
      <c r="G10" s="89"/>
      <c r="H10" s="89"/>
      <c r="I10" s="89"/>
      <c r="J10" s="89"/>
      <c r="K10" s="37">
        <v>8496</v>
      </c>
      <c r="L10" s="54">
        <v>1465.2</v>
      </c>
      <c r="M10" s="109"/>
      <c r="N10" s="109"/>
      <c r="O10" s="108">
        <v>4001</v>
      </c>
      <c r="P10" s="109"/>
      <c r="Q10" s="83"/>
      <c r="R10" s="83"/>
      <c r="S10" s="98">
        <f>Q10+R10</f>
        <v>0</v>
      </c>
    </row>
    <row r="11" spans="1:19" ht="15.75" thickBot="1" x14ac:dyDescent="0.3">
      <c r="A11" s="748"/>
      <c r="B11" s="350">
        <v>233</v>
      </c>
      <c r="C11" s="91" t="s">
        <v>282</v>
      </c>
      <c r="D11" s="96">
        <f t="shared" ref="D11:N11" si="3">SUM(D12:D16)</f>
        <v>3884</v>
      </c>
      <c r="E11" s="96">
        <f t="shared" si="3"/>
        <v>205238</v>
      </c>
      <c r="F11" s="96">
        <f t="shared" si="3"/>
        <v>728009</v>
      </c>
      <c r="G11" s="96">
        <f t="shared" si="3"/>
        <v>1044942</v>
      </c>
      <c r="H11" s="96">
        <f t="shared" si="3"/>
        <v>393414</v>
      </c>
      <c r="I11" s="96">
        <f t="shared" si="3"/>
        <v>89451</v>
      </c>
      <c r="J11" s="96">
        <f t="shared" si="3"/>
        <v>52288</v>
      </c>
      <c r="K11" s="96">
        <f t="shared" si="3"/>
        <v>65898</v>
      </c>
      <c r="L11" s="96">
        <f t="shared" si="3"/>
        <v>138720.78</v>
      </c>
      <c r="M11" s="106">
        <f t="shared" si="3"/>
        <v>38092.19</v>
      </c>
      <c r="N11" s="96">
        <f t="shared" si="3"/>
        <v>54104.9</v>
      </c>
      <c r="O11" s="106">
        <f>SUM(O12:O16)</f>
        <v>286867.51</v>
      </c>
      <c r="P11" s="96">
        <v>47974.47</v>
      </c>
      <c r="Q11" s="94">
        <f>Q12</f>
        <v>120000</v>
      </c>
      <c r="R11" s="94">
        <f>R12</f>
        <v>0</v>
      </c>
      <c r="S11" s="97">
        <f>S12</f>
        <v>120000</v>
      </c>
    </row>
    <row r="12" spans="1:19" ht="15.75" thickBot="1" x14ac:dyDescent="0.3">
      <c r="A12" s="748"/>
      <c r="B12" s="744"/>
      <c r="C12" s="66" t="s">
        <v>283</v>
      </c>
      <c r="D12" s="82">
        <v>3884</v>
      </c>
      <c r="E12" s="82">
        <v>205238</v>
      </c>
      <c r="F12" s="82">
        <v>728009</v>
      </c>
      <c r="G12" s="82">
        <v>98695</v>
      </c>
      <c r="H12" s="82">
        <v>393414</v>
      </c>
      <c r="I12" s="82">
        <v>89451</v>
      </c>
      <c r="J12" s="54">
        <v>52288</v>
      </c>
      <c r="K12" s="54">
        <v>65898</v>
      </c>
      <c r="L12" s="54">
        <v>138720.78</v>
      </c>
      <c r="M12" s="351">
        <v>38092.19</v>
      </c>
      <c r="N12" s="352">
        <v>54104.9</v>
      </c>
      <c r="O12" s="353">
        <v>286867.51</v>
      </c>
      <c r="P12" s="352">
        <v>47974.47</v>
      </c>
      <c r="Q12" s="83">
        <v>120000</v>
      </c>
      <c r="R12" s="83"/>
      <c r="S12" s="98">
        <f>Q12+R12</f>
        <v>120000</v>
      </c>
    </row>
    <row r="13" spans="1:19" ht="15.75" hidden="1" customHeight="1" thickBot="1" x14ac:dyDescent="0.3">
      <c r="A13" s="748"/>
      <c r="B13" s="745"/>
      <c r="C13" s="354" t="s">
        <v>284</v>
      </c>
      <c r="D13" s="355"/>
      <c r="E13" s="355"/>
      <c r="F13" s="355"/>
      <c r="G13" s="355"/>
      <c r="H13" s="355"/>
      <c r="I13" s="355"/>
      <c r="J13" s="355"/>
      <c r="K13" s="153"/>
      <c r="L13" s="356"/>
      <c r="M13" s="356"/>
      <c r="N13" s="356"/>
      <c r="O13" s="357"/>
      <c r="P13" s="356"/>
      <c r="Q13" s="358"/>
      <c r="R13" s="358"/>
      <c r="S13" s="359"/>
    </row>
    <row r="14" spans="1:19" ht="15.75" hidden="1" customHeight="1" thickBot="1" x14ac:dyDescent="0.3">
      <c r="A14" s="748"/>
      <c r="B14" s="745"/>
      <c r="C14" s="354" t="s">
        <v>285</v>
      </c>
      <c r="D14" s="355"/>
      <c r="E14" s="355"/>
      <c r="F14" s="355"/>
      <c r="G14" s="355"/>
      <c r="H14" s="355"/>
      <c r="I14" s="355"/>
      <c r="J14" s="355"/>
      <c r="K14" s="153"/>
      <c r="L14" s="53"/>
      <c r="M14" s="356"/>
      <c r="N14" s="356"/>
      <c r="O14" s="357"/>
      <c r="P14" s="356"/>
      <c r="Q14" s="358"/>
      <c r="R14" s="358"/>
      <c r="S14" s="359"/>
    </row>
    <row r="15" spans="1:19" ht="15.75" hidden="1" customHeight="1" thickBot="1" x14ac:dyDescent="0.3">
      <c r="A15" s="748"/>
      <c r="B15" s="745"/>
      <c r="C15" s="354" t="s">
        <v>286</v>
      </c>
      <c r="D15" s="355"/>
      <c r="E15" s="355"/>
      <c r="F15" s="355"/>
      <c r="G15" s="355"/>
      <c r="H15" s="355"/>
      <c r="I15" s="355"/>
      <c r="J15" s="355"/>
      <c r="K15" s="153"/>
      <c r="L15" s="356"/>
      <c r="M15" s="356"/>
      <c r="N15" s="356"/>
      <c r="O15" s="357"/>
      <c r="P15" s="356"/>
      <c r="Q15" s="358"/>
      <c r="R15" s="358"/>
      <c r="S15" s="359"/>
    </row>
    <row r="16" spans="1:19" ht="15.75" hidden="1" customHeight="1" thickBot="1" x14ac:dyDescent="0.3">
      <c r="A16" s="748"/>
      <c r="B16" s="746"/>
      <c r="C16" s="360" t="s">
        <v>287</v>
      </c>
      <c r="D16" s="89"/>
      <c r="E16" s="89"/>
      <c r="F16" s="89"/>
      <c r="G16" s="89">
        <v>946247</v>
      </c>
      <c r="H16" s="89"/>
      <c r="I16" s="89"/>
      <c r="J16" s="89"/>
      <c r="K16" s="37"/>
      <c r="L16" s="109"/>
      <c r="M16" s="109"/>
      <c r="N16" s="109"/>
      <c r="O16" s="108"/>
      <c r="P16" s="109"/>
      <c r="Q16" s="83"/>
      <c r="R16" s="83"/>
      <c r="S16" s="98"/>
    </row>
    <row r="17" spans="1:22" ht="16.5" thickBot="1" x14ac:dyDescent="0.3">
      <c r="A17" s="361">
        <v>300</v>
      </c>
      <c r="B17" s="753" t="s">
        <v>76</v>
      </c>
      <c r="C17" s="814"/>
      <c r="D17" s="362">
        <f>D18+D50</f>
        <v>1758083</v>
      </c>
      <c r="E17" s="362">
        <f>E18+E50</f>
        <v>706599</v>
      </c>
      <c r="F17" s="362">
        <f>F18+F50</f>
        <v>290114</v>
      </c>
      <c r="G17" s="362">
        <f>G18+G50</f>
        <v>3301074</v>
      </c>
      <c r="H17" s="362">
        <v>2959527</v>
      </c>
      <c r="I17" s="362">
        <f t="shared" ref="I17:N17" si="4">I18+I50</f>
        <v>4474942</v>
      </c>
      <c r="J17" s="362">
        <f t="shared" si="4"/>
        <v>4428553.0599999996</v>
      </c>
      <c r="K17" s="362">
        <f t="shared" si="4"/>
        <v>3580446</v>
      </c>
      <c r="L17" s="362">
        <f t="shared" si="4"/>
        <v>994806.09</v>
      </c>
      <c r="M17" s="363">
        <f t="shared" si="4"/>
        <v>690306.37</v>
      </c>
      <c r="N17" s="362">
        <f t="shared" si="4"/>
        <v>848428.28</v>
      </c>
      <c r="O17" s="363">
        <f>O18+O50</f>
        <v>1153730.93</v>
      </c>
      <c r="P17" s="362">
        <v>2075273.05</v>
      </c>
      <c r="Q17" s="364">
        <f>Q18</f>
        <v>1731732</v>
      </c>
      <c r="R17" s="364">
        <f>R18</f>
        <v>32500</v>
      </c>
      <c r="S17" s="365">
        <f>S18</f>
        <v>1764232</v>
      </c>
    </row>
    <row r="18" spans="1:22" ht="15.75" thickBot="1" x14ac:dyDescent="0.3">
      <c r="A18" s="343">
        <v>320</v>
      </c>
      <c r="B18" s="727" t="s">
        <v>288</v>
      </c>
      <c r="C18" s="728"/>
      <c r="D18" s="366">
        <f>D19</f>
        <v>1758083</v>
      </c>
      <c r="E18" s="366">
        <f>E19</f>
        <v>706599</v>
      </c>
      <c r="F18" s="366">
        <f>F19</f>
        <v>290114</v>
      </c>
      <c r="G18" s="366">
        <f>G19</f>
        <v>3301074</v>
      </c>
      <c r="H18" s="366">
        <v>2959527</v>
      </c>
      <c r="I18" s="366">
        <f t="shared" ref="I18:O18" si="5">I19</f>
        <v>4417142</v>
      </c>
      <c r="J18" s="366">
        <f t="shared" si="5"/>
        <v>4408068.0599999996</v>
      </c>
      <c r="K18" s="366">
        <f t="shared" si="5"/>
        <v>3580446</v>
      </c>
      <c r="L18" s="366">
        <f t="shared" si="5"/>
        <v>994806.09</v>
      </c>
      <c r="M18" s="367">
        <f t="shared" si="5"/>
        <v>690306.37</v>
      </c>
      <c r="N18" s="368">
        <f t="shared" si="5"/>
        <v>848428.28</v>
      </c>
      <c r="O18" s="369">
        <f t="shared" si="5"/>
        <v>1153730.93</v>
      </c>
      <c r="P18" s="368">
        <v>2075273.05</v>
      </c>
      <c r="Q18" s="368">
        <f>Q19+Q50</f>
        <v>1731732</v>
      </c>
      <c r="R18" s="368">
        <f>R19+R50</f>
        <v>32500</v>
      </c>
      <c r="S18" s="370">
        <f>S19+S50</f>
        <v>1764232</v>
      </c>
    </row>
    <row r="19" spans="1:22" ht="13.5" customHeight="1" thickBot="1" x14ac:dyDescent="0.3">
      <c r="A19" s="817"/>
      <c r="B19" s="350">
        <v>321</v>
      </c>
      <c r="C19" s="91" t="s">
        <v>78</v>
      </c>
      <c r="D19" s="92">
        <v>1758083</v>
      </c>
      <c r="E19" s="92">
        <v>706599</v>
      </c>
      <c r="F19" s="92">
        <v>290114</v>
      </c>
      <c r="G19" s="92">
        <v>3301074</v>
      </c>
      <c r="H19" s="92">
        <v>2959527</v>
      </c>
      <c r="I19" s="64">
        <v>4417142</v>
      </c>
      <c r="J19" s="64">
        <v>4408068.0599999996</v>
      </c>
      <c r="K19" s="64">
        <v>3580446</v>
      </c>
      <c r="L19" s="64">
        <v>994806.09</v>
      </c>
      <c r="M19" s="149">
        <f>SUM(M20:M49)</f>
        <v>690306.37</v>
      </c>
      <c r="N19" s="64">
        <v>848428.28</v>
      </c>
      <c r="O19" s="149">
        <v>1153730.93</v>
      </c>
      <c r="P19" s="64">
        <v>2075273.05</v>
      </c>
      <c r="Q19" s="62">
        <f>SUM(Q23:Q45)</f>
        <v>1731732</v>
      </c>
      <c r="R19" s="62">
        <f>SUM(R23:R45)</f>
        <v>32500</v>
      </c>
      <c r="S19" s="65">
        <f>SUM(S23:S45)</f>
        <v>1764232</v>
      </c>
    </row>
    <row r="20" spans="1:22" ht="12.75" hidden="1" customHeight="1" x14ac:dyDescent="0.25">
      <c r="A20" s="818"/>
      <c r="B20" s="820"/>
      <c r="C20" s="19" t="s">
        <v>289</v>
      </c>
      <c r="D20" s="134"/>
      <c r="E20" s="134"/>
      <c r="F20" s="134"/>
      <c r="G20" s="134"/>
      <c r="H20" s="134"/>
      <c r="I20" s="134"/>
      <c r="J20" s="134"/>
      <c r="K20" s="52"/>
      <c r="L20" s="222"/>
      <c r="M20" s="222">
        <v>66064.149999999994</v>
      </c>
      <c r="N20" s="52"/>
      <c r="O20" s="52"/>
      <c r="P20" s="52"/>
      <c r="Q20" s="83"/>
      <c r="R20" s="83"/>
      <c r="S20" s="98"/>
    </row>
    <row r="21" spans="1:22" ht="12.75" hidden="1" customHeight="1" x14ac:dyDescent="0.25">
      <c r="A21" s="818"/>
      <c r="B21" s="820"/>
      <c r="C21" s="51" t="s">
        <v>290</v>
      </c>
      <c r="D21" s="134"/>
      <c r="E21" s="134"/>
      <c r="F21" s="134"/>
      <c r="G21" s="134"/>
      <c r="H21" s="134"/>
      <c r="I21" s="134"/>
      <c r="J21" s="134"/>
      <c r="K21" s="52"/>
      <c r="L21" s="222"/>
      <c r="M21" s="222">
        <v>58454.17</v>
      </c>
      <c r="N21" s="52"/>
      <c r="O21" s="52"/>
      <c r="P21" s="52"/>
      <c r="Q21" s="83"/>
      <c r="R21" s="83"/>
      <c r="S21" s="98"/>
    </row>
    <row r="22" spans="1:22" ht="12.75" hidden="1" customHeight="1" x14ac:dyDescent="0.25">
      <c r="A22" s="818"/>
      <c r="B22" s="820"/>
      <c r="C22" s="51" t="s">
        <v>291</v>
      </c>
      <c r="D22" s="82"/>
      <c r="E22" s="82"/>
      <c r="F22" s="82"/>
      <c r="G22" s="82"/>
      <c r="H22" s="82"/>
      <c r="I22" s="82"/>
      <c r="J22" s="82"/>
      <c r="K22" s="52"/>
      <c r="L22" s="222"/>
      <c r="M22" s="222"/>
      <c r="N22" s="52"/>
      <c r="O22" s="52"/>
      <c r="P22" s="52"/>
      <c r="Q22" s="83"/>
      <c r="R22" s="83"/>
      <c r="S22" s="98"/>
    </row>
    <row r="23" spans="1:22" ht="15.75" customHeight="1" x14ac:dyDescent="0.25">
      <c r="A23" s="818"/>
      <c r="B23" s="820"/>
      <c r="C23" s="51" t="s">
        <v>292</v>
      </c>
      <c r="D23" s="51"/>
      <c r="E23" s="51"/>
      <c r="F23" s="51"/>
      <c r="G23" s="51"/>
      <c r="H23" s="51">
        <v>341897</v>
      </c>
      <c r="I23" s="135">
        <v>341897</v>
      </c>
      <c r="J23" s="135">
        <v>344900</v>
      </c>
      <c r="K23" s="28">
        <v>341900</v>
      </c>
      <c r="L23" s="54">
        <v>341900</v>
      </c>
      <c r="M23" s="222">
        <v>340000</v>
      </c>
      <c r="N23" s="52"/>
      <c r="O23" s="52"/>
      <c r="P23" s="52"/>
      <c r="Q23" s="83">
        <v>550000</v>
      </c>
      <c r="R23" s="83"/>
      <c r="S23" s="98">
        <f t="shared" ref="S23:S45" si="6">Q23+R23</f>
        <v>550000</v>
      </c>
    </row>
    <row r="24" spans="1:22" ht="15.75" customHeight="1" x14ac:dyDescent="0.25">
      <c r="A24" s="818"/>
      <c r="B24" s="820"/>
      <c r="C24" s="68" t="s">
        <v>430</v>
      </c>
      <c r="D24" s="86"/>
      <c r="E24" s="86"/>
      <c r="F24" s="86"/>
      <c r="G24" s="86"/>
      <c r="H24" s="86"/>
      <c r="I24" s="86"/>
      <c r="J24" s="86"/>
      <c r="K24" s="28"/>
      <c r="L24" s="54">
        <v>68448.02</v>
      </c>
      <c r="M24" s="222">
        <v>6610.12</v>
      </c>
      <c r="N24" s="52"/>
      <c r="O24" s="52"/>
      <c r="P24" s="52"/>
      <c r="Q24" s="83">
        <v>3670</v>
      </c>
      <c r="R24" s="83"/>
      <c r="S24" s="98">
        <f t="shared" si="6"/>
        <v>3670</v>
      </c>
      <c r="U24" s="165"/>
      <c r="V24" s="165"/>
    </row>
    <row r="25" spans="1:22" ht="15" customHeight="1" x14ac:dyDescent="0.25">
      <c r="A25" s="818"/>
      <c r="B25" s="820"/>
      <c r="C25" s="68" t="s">
        <v>392</v>
      </c>
      <c r="D25" s="86"/>
      <c r="E25" s="86"/>
      <c r="F25" s="86"/>
      <c r="G25" s="86"/>
      <c r="H25" s="86"/>
      <c r="I25" s="86"/>
      <c r="J25" s="86"/>
      <c r="K25" s="28"/>
      <c r="L25" s="222"/>
      <c r="M25" s="222">
        <v>9000</v>
      </c>
      <c r="N25" s="52"/>
      <c r="O25" s="52"/>
      <c r="P25" s="52"/>
      <c r="Q25" s="83">
        <v>284550</v>
      </c>
      <c r="R25" s="83"/>
      <c r="S25" s="98">
        <f t="shared" si="6"/>
        <v>284550</v>
      </c>
    </row>
    <row r="26" spans="1:22" ht="15.75" customHeight="1" x14ac:dyDescent="0.25">
      <c r="A26" s="818"/>
      <c r="B26" s="820"/>
      <c r="C26" s="371" t="s">
        <v>422</v>
      </c>
      <c r="D26" s="372"/>
      <c r="E26" s="372"/>
      <c r="F26" s="372"/>
      <c r="G26" s="372"/>
      <c r="H26" s="372"/>
      <c r="I26" s="86"/>
      <c r="J26" s="86"/>
      <c r="K26" s="28"/>
      <c r="L26" s="222"/>
      <c r="M26" s="222">
        <v>8142.7</v>
      </c>
      <c r="N26" s="52"/>
      <c r="O26" s="52"/>
      <c r="P26" s="52"/>
      <c r="Q26" s="83">
        <v>230000</v>
      </c>
      <c r="R26" s="83"/>
      <c r="S26" s="98">
        <f t="shared" si="6"/>
        <v>230000</v>
      </c>
    </row>
    <row r="27" spans="1:22" ht="16.5" customHeight="1" x14ac:dyDescent="0.25">
      <c r="A27" s="818"/>
      <c r="B27" s="820"/>
      <c r="C27" s="68" t="s">
        <v>479</v>
      </c>
      <c r="D27" s="86"/>
      <c r="E27" s="86"/>
      <c r="F27" s="86"/>
      <c r="G27" s="86"/>
      <c r="H27" s="86"/>
      <c r="I27" s="86"/>
      <c r="J27" s="86"/>
      <c r="K27" s="28"/>
      <c r="L27" s="137"/>
      <c r="M27" s="28"/>
      <c r="N27" s="28"/>
      <c r="O27" s="69"/>
      <c r="P27" s="69"/>
      <c r="Q27" s="69">
        <v>8000</v>
      </c>
      <c r="R27" s="69"/>
      <c r="S27" s="99">
        <f t="shared" si="6"/>
        <v>8000</v>
      </c>
    </row>
    <row r="28" spans="1:22" ht="15" customHeight="1" x14ac:dyDescent="0.25">
      <c r="A28" s="818"/>
      <c r="B28" s="820"/>
      <c r="C28" s="68" t="s">
        <v>452</v>
      </c>
      <c r="D28" s="86"/>
      <c r="E28" s="86"/>
      <c r="F28" s="86"/>
      <c r="G28" s="86"/>
      <c r="H28" s="86"/>
      <c r="I28" s="86"/>
      <c r="J28" s="86"/>
      <c r="K28" s="28"/>
      <c r="L28" s="137"/>
      <c r="M28" s="28"/>
      <c r="N28" s="28"/>
      <c r="O28" s="28"/>
      <c r="P28" s="28"/>
      <c r="Q28" s="69">
        <v>30000</v>
      </c>
      <c r="R28" s="69"/>
      <c r="S28" s="99">
        <f t="shared" si="6"/>
        <v>30000</v>
      </c>
    </row>
    <row r="29" spans="1:22" ht="15" customHeight="1" x14ac:dyDescent="0.25">
      <c r="A29" s="818"/>
      <c r="B29" s="820"/>
      <c r="C29" s="68" t="s">
        <v>426</v>
      </c>
      <c r="D29" s="86"/>
      <c r="E29" s="86"/>
      <c r="F29" s="86"/>
      <c r="G29" s="86"/>
      <c r="H29" s="86"/>
      <c r="I29" s="86"/>
      <c r="J29" s="86"/>
      <c r="K29" s="28"/>
      <c r="L29" s="137"/>
      <c r="M29" s="28"/>
      <c r="N29" s="28"/>
      <c r="O29" s="28"/>
      <c r="P29" s="28"/>
      <c r="Q29" s="69">
        <v>15000</v>
      </c>
      <c r="R29" s="69"/>
      <c r="S29" s="99">
        <f t="shared" si="6"/>
        <v>15000</v>
      </c>
    </row>
    <row r="30" spans="1:22" ht="15" customHeight="1" x14ac:dyDescent="0.25">
      <c r="A30" s="818"/>
      <c r="B30" s="820"/>
      <c r="C30" s="69" t="s">
        <v>467</v>
      </c>
      <c r="D30" s="86"/>
      <c r="E30" s="86"/>
      <c r="F30" s="86"/>
      <c r="G30" s="86"/>
      <c r="H30" s="86"/>
      <c r="I30" s="86"/>
      <c r="J30" s="86"/>
      <c r="K30" s="28"/>
      <c r="L30" s="137"/>
      <c r="M30" s="28"/>
      <c r="N30" s="28"/>
      <c r="O30" s="28"/>
      <c r="P30" s="28"/>
      <c r="Q30" s="69">
        <v>186039</v>
      </c>
      <c r="R30" s="165"/>
      <c r="S30" s="99">
        <f t="shared" si="6"/>
        <v>186039</v>
      </c>
    </row>
    <row r="31" spans="1:22" ht="15" customHeight="1" x14ac:dyDescent="0.25">
      <c r="A31" s="818"/>
      <c r="B31" s="820"/>
      <c r="C31" s="111" t="s">
        <v>465</v>
      </c>
      <c r="D31" s="100"/>
      <c r="E31" s="100"/>
      <c r="F31" s="100"/>
      <c r="G31" s="100"/>
      <c r="H31" s="100"/>
      <c r="I31" s="86"/>
      <c r="J31" s="86"/>
      <c r="K31" s="28"/>
      <c r="L31" s="137"/>
      <c r="M31" s="28"/>
      <c r="N31" s="28"/>
      <c r="O31" s="28"/>
      <c r="P31" s="28"/>
      <c r="Q31" s="69">
        <v>30000</v>
      </c>
      <c r="R31" s="69"/>
      <c r="S31" s="99">
        <f t="shared" si="6"/>
        <v>30000</v>
      </c>
    </row>
    <row r="32" spans="1:22" ht="15" customHeight="1" x14ac:dyDescent="0.25">
      <c r="A32" s="818"/>
      <c r="B32" s="820"/>
      <c r="C32" s="111" t="s">
        <v>469</v>
      </c>
      <c r="D32" s="82"/>
      <c r="E32" s="82"/>
      <c r="F32" s="82"/>
      <c r="G32" s="82"/>
      <c r="H32" s="82"/>
      <c r="I32" s="86"/>
      <c r="J32" s="86"/>
      <c r="K32" s="28"/>
      <c r="L32" s="137"/>
      <c r="M32" s="28"/>
      <c r="N32" s="28"/>
      <c r="O32" s="28"/>
      <c r="P32" s="28"/>
      <c r="Q32" s="69">
        <v>10000</v>
      </c>
      <c r="R32" s="69"/>
      <c r="S32" s="99">
        <f t="shared" si="6"/>
        <v>10000</v>
      </c>
    </row>
    <row r="33" spans="1:19" ht="15" customHeight="1" x14ac:dyDescent="0.25">
      <c r="A33" s="818"/>
      <c r="B33" s="820"/>
      <c r="C33" s="111" t="s">
        <v>470</v>
      </c>
      <c r="D33" s="86"/>
      <c r="E33" s="86"/>
      <c r="F33" s="86"/>
      <c r="G33" s="86"/>
      <c r="H33" s="86"/>
      <c r="I33" s="86"/>
      <c r="J33" s="86"/>
      <c r="K33" s="28">
        <v>0</v>
      </c>
      <c r="L33" s="137"/>
      <c r="M33" s="28"/>
      <c r="N33" s="28"/>
      <c r="O33" s="28"/>
      <c r="P33" s="28"/>
      <c r="Q33" s="69">
        <v>5500</v>
      </c>
      <c r="R33" s="69">
        <v>-5500</v>
      </c>
      <c r="S33" s="99">
        <f t="shared" si="6"/>
        <v>0</v>
      </c>
    </row>
    <row r="34" spans="1:19" ht="15" customHeight="1" x14ac:dyDescent="0.25">
      <c r="A34" s="818"/>
      <c r="B34" s="820"/>
      <c r="C34" s="111" t="s">
        <v>471</v>
      </c>
      <c r="D34" s="86"/>
      <c r="E34" s="86"/>
      <c r="F34" s="86"/>
      <c r="G34" s="86"/>
      <c r="H34" s="86"/>
      <c r="I34" s="86"/>
      <c r="J34" s="86"/>
      <c r="K34" s="28">
        <v>0</v>
      </c>
      <c r="L34" s="137"/>
      <c r="M34" s="28"/>
      <c r="N34" s="28"/>
      <c r="O34" s="28"/>
      <c r="P34" s="28"/>
      <c r="Q34" s="69">
        <v>12000</v>
      </c>
      <c r="R34" s="69">
        <v>-12000</v>
      </c>
      <c r="S34" s="99">
        <f t="shared" si="6"/>
        <v>0</v>
      </c>
    </row>
    <row r="35" spans="1:19" ht="15" customHeight="1" x14ac:dyDescent="0.25">
      <c r="A35" s="818"/>
      <c r="B35" s="820"/>
      <c r="C35" s="111" t="s">
        <v>480</v>
      </c>
      <c r="D35" s="86"/>
      <c r="E35" s="86"/>
      <c r="F35" s="86"/>
      <c r="G35" s="86"/>
      <c r="H35" s="86"/>
      <c r="I35" s="86"/>
      <c r="J35" s="86"/>
      <c r="K35" s="28"/>
      <c r="L35" s="137"/>
      <c r="M35" s="28"/>
      <c r="N35" s="28"/>
      <c r="O35" s="28"/>
      <c r="P35" s="28"/>
      <c r="Q35" s="69">
        <v>170000</v>
      </c>
      <c r="R35" s="69"/>
      <c r="S35" s="99">
        <f t="shared" si="6"/>
        <v>170000</v>
      </c>
    </row>
    <row r="36" spans="1:19" ht="15" customHeight="1" x14ac:dyDescent="0.25">
      <c r="A36" s="818"/>
      <c r="B36" s="820"/>
      <c r="C36" s="68" t="s">
        <v>481</v>
      </c>
      <c r="D36" s="86"/>
      <c r="E36" s="86"/>
      <c r="F36" s="86"/>
      <c r="G36" s="86"/>
      <c r="H36" s="86"/>
      <c r="I36" s="86"/>
      <c r="J36" s="86"/>
      <c r="K36" s="28"/>
      <c r="L36" s="137"/>
      <c r="M36" s="28"/>
      <c r="N36" s="28"/>
      <c r="O36" s="28"/>
      <c r="P36" s="28"/>
      <c r="Q36" s="69">
        <v>0</v>
      </c>
      <c r="R36" s="69">
        <v>50000</v>
      </c>
      <c r="S36" s="99">
        <f t="shared" si="6"/>
        <v>50000</v>
      </c>
    </row>
    <row r="37" spans="1:19" ht="15" hidden="1" customHeight="1" x14ac:dyDescent="0.25">
      <c r="A37" s="818"/>
      <c r="B37" s="820"/>
      <c r="C37" s="68" t="s">
        <v>295</v>
      </c>
      <c r="D37" s="86"/>
      <c r="E37" s="86"/>
      <c r="F37" s="86"/>
      <c r="G37" s="86"/>
      <c r="H37" s="86"/>
      <c r="I37" s="86"/>
      <c r="J37" s="86"/>
      <c r="K37" s="28"/>
      <c r="L37" s="137"/>
      <c r="M37" s="28"/>
      <c r="N37" s="28"/>
      <c r="O37" s="28"/>
      <c r="P37" s="28"/>
      <c r="Q37" s="69">
        <v>0</v>
      </c>
      <c r="R37" s="69"/>
      <c r="S37" s="99">
        <f t="shared" si="6"/>
        <v>0</v>
      </c>
    </row>
    <row r="38" spans="1:19" ht="15" hidden="1" customHeight="1" x14ac:dyDescent="0.25">
      <c r="A38" s="818"/>
      <c r="B38" s="820"/>
      <c r="C38" s="68" t="s">
        <v>296</v>
      </c>
      <c r="D38" s="86"/>
      <c r="E38" s="86"/>
      <c r="F38" s="86"/>
      <c r="G38" s="86"/>
      <c r="H38" s="86"/>
      <c r="I38" s="86"/>
      <c r="J38" s="86"/>
      <c r="K38" s="28"/>
      <c r="L38" s="137"/>
      <c r="M38" s="28"/>
      <c r="N38" s="28"/>
      <c r="O38" s="28"/>
      <c r="P38" s="28"/>
      <c r="Q38" s="69">
        <v>0</v>
      </c>
      <c r="R38" s="69"/>
      <c r="S38" s="99">
        <f t="shared" si="6"/>
        <v>0</v>
      </c>
    </row>
    <row r="39" spans="1:19" ht="15" hidden="1" customHeight="1" x14ac:dyDescent="0.25">
      <c r="A39" s="818"/>
      <c r="B39" s="820"/>
      <c r="C39" s="68" t="s">
        <v>297</v>
      </c>
      <c r="D39" s="86"/>
      <c r="E39" s="86"/>
      <c r="F39" s="86"/>
      <c r="G39" s="86"/>
      <c r="H39" s="86"/>
      <c r="I39" s="86"/>
      <c r="J39" s="86"/>
      <c r="K39" s="28"/>
      <c r="L39" s="137"/>
      <c r="M39" s="28">
        <v>136054.5</v>
      </c>
      <c r="N39" s="28"/>
      <c r="O39" s="28"/>
      <c r="P39" s="28"/>
      <c r="Q39" s="69">
        <v>0</v>
      </c>
      <c r="R39" s="69"/>
      <c r="S39" s="99">
        <f t="shared" si="6"/>
        <v>0</v>
      </c>
    </row>
    <row r="40" spans="1:19" ht="15" hidden="1" customHeight="1" x14ac:dyDescent="0.25">
      <c r="A40" s="818"/>
      <c r="B40" s="820"/>
      <c r="C40" s="68" t="s">
        <v>298</v>
      </c>
      <c r="D40" s="86"/>
      <c r="E40" s="86"/>
      <c r="F40" s="86"/>
      <c r="G40" s="86"/>
      <c r="H40" s="86"/>
      <c r="I40" s="86"/>
      <c r="J40" s="86"/>
      <c r="K40" s="28"/>
      <c r="L40" s="137"/>
      <c r="M40" s="137">
        <v>65980.73</v>
      </c>
      <c r="N40" s="28"/>
      <c r="O40" s="28"/>
      <c r="P40" s="28"/>
      <c r="Q40" s="69">
        <v>0</v>
      </c>
      <c r="R40" s="69"/>
      <c r="S40" s="99">
        <f t="shared" si="6"/>
        <v>0</v>
      </c>
    </row>
    <row r="41" spans="1:19" ht="15" hidden="1" customHeight="1" x14ac:dyDescent="0.25">
      <c r="A41" s="818"/>
      <c r="B41" s="820"/>
      <c r="C41" s="68" t="s">
        <v>299</v>
      </c>
      <c r="D41" s="86"/>
      <c r="E41" s="86"/>
      <c r="F41" s="86"/>
      <c r="G41" s="86"/>
      <c r="H41" s="86"/>
      <c r="I41" s="86"/>
      <c r="J41" s="86"/>
      <c r="K41" s="28"/>
      <c r="L41" s="137"/>
      <c r="M41" s="28"/>
      <c r="N41" s="28"/>
      <c r="O41" s="28"/>
      <c r="P41" s="28"/>
      <c r="Q41" s="69">
        <v>0</v>
      </c>
      <c r="R41" s="69"/>
      <c r="S41" s="99">
        <f t="shared" si="6"/>
        <v>0</v>
      </c>
    </row>
    <row r="42" spans="1:19" ht="15" hidden="1" customHeight="1" x14ac:dyDescent="0.25">
      <c r="A42" s="818"/>
      <c r="B42" s="820"/>
      <c r="C42" s="68" t="s">
        <v>300</v>
      </c>
      <c r="D42" s="86"/>
      <c r="E42" s="86"/>
      <c r="F42" s="86"/>
      <c r="G42" s="86"/>
      <c r="H42" s="86"/>
      <c r="I42" s="86"/>
      <c r="J42" s="86"/>
      <c r="K42" s="28"/>
      <c r="L42" s="137"/>
      <c r="M42" s="28"/>
      <c r="N42" s="28"/>
      <c r="O42" s="28"/>
      <c r="P42" s="28"/>
      <c r="Q42" s="69">
        <v>0</v>
      </c>
      <c r="R42" s="69"/>
      <c r="S42" s="99">
        <f t="shared" si="6"/>
        <v>0</v>
      </c>
    </row>
    <row r="43" spans="1:19" ht="15" hidden="1" customHeight="1" x14ac:dyDescent="0.25">
      <c r="A43" s="818"/>
      <c r="B43" s="820"/>
      <c r="C43" s="68" t="s">
        <v>301</v>
      </c>
      <c r="D43" s="86"/>
      <c r="E43" s="86"/>
      <c r="F43" s="86"/>
      <c r="G43" s="86"/>
      <c r="H43" s="86"/>
      <c r="I43" s="86"/>
      <c r="J43" s="86"/>
      <c r="K43" s="28"/>
      <c r="L43" s="137"/>
      <c r="M43" s="28"/>
      <c r="N43" s="28"/>
      <c r="O43" s="28"/>
      <c r="P43" s="28"/>
      <c r="Q43" s="69">
        <v>0</v>
      </c>
      <c r="R43" s="69"/>
      <c r="S43" s="99">
        <f t="shared" si="6"/>
        <v>0</v>
      </c>
    </row>
    <row r="44" spans="1:19" ht="15" customHeight="1" x14ac:dyDescent="0.25">
      <c r="A44" s="818"/>
      <c r="B44" s="820"/>
      <c r="C44" s="68" t="s">
        <v>394</v>
      </c>
      <c r="D44" s="86"/>
      <c r="E44" s="86"/>
      <c r="F44" s="86"/>
      <c r="G44" s="86"/>
      <c r="H44" s="86"/>
      <c r="I44" s="86"/>
      <c r="J44" s="86"/>
      <c r="K44" s="28"/>
      <c r="L44" s="137"/>
      <c r="M44" s="28"/>
      <c r="N44" s="28"/>
      <c r="O44" s="28"/>
      <c r="P44" s="28"/>
      <c r="Q44" s="69">
        <v>24542</v>
      </c>
      <c r="R44" s="69"/>
      <c r="S44" s="99">
        <f t="shared" si="6"/>
        <v>24542</v>
      </c>
    </row>
    <row r="45" spans="1:19" ht="15.75" thickBot="1" x14ac:dyDescent="0.3">
      <c r="A45" s="818"/>
      <c r="B45" s="820"/>
      <c r="C45" s="68" t="s">
        <v>302</v>
      </c>
      <c r="D45" s="86"/>
      <c r="E45" s="86"/>
      <c r="F45" s="86"/>
      <c r="G45" s="86"/>
      <c r="H45" s="86"/>
      <c r="I45" s="86"/>
      <c r="J45" s="86"/>
      <c r="K45" s="28"/>
      <c r="L45" s="137"/>
      <c r="M45" s="28"/>
      <c r="N45" s="28"/>
      <c r="O45" s="28"/>
      <c r="P45" s="28"/>
      <c r="Q45" s="69">
        <v>172431</v>
      </c>
      <c r="R45" s="69"/>
      <c r="S45" s="99">
        <f t="shared" si="6"/>
        <v>172431</v>
      </c>
    </row>
    <row r="46" spans="1:19" ht="15.75" hidden="1" thickBot="1" x14ac:dyDescent="0.3">
      <c r="A46" s="818"/>
      <c r="B46" s="820"/>
      <c r="C46" s="68" t="s">
        <v>99</v>
      </c>
      <c r="D46" s="86"/>
      <c r="E46" s="86"/>
      <c r="F46" s="86"/>
      <c r="G46" s="86"/>
      <c r="H46" s="86"/>
      <c r="I46" s="86"/>
      <c r="J46" s="86"/>
      <c r="K46" s="28"/>
      <c r="L46" s="137"/>
      <c r="M46" s="28"/>
      <c r="N46" s="28"/>
      <c r="O46" s="28"/>
      <c r="P46" s="28"/>
      <c r="Q46" s="69"/>
      <c r="R46" s="69"/>
      <c r="S46" s="99"/>
    </row>
    <row r="47" spans="1:19" ht="15.75" hidden="1" thickBot="1" x14ac:dyDescent="0.3">
      <c r="A47" s="818"/>
      <c r="B47" s="820"/>
      <c r="C47" s="68" t="s">
        <v>303</v>
      </c>
      <c r="D47" s="86"/>
      <c r="E47" s="86"/>
      <c r="F47" s="86"/>
      <c r="G47" s="86"/>
      <c r="H47" s="86"/>
      <c r="I47" s="86"/>
      <c r="J47" s="86"/>
      <c r="K47" s="28"/>
      <c r="L47" s="137"/>
      <c r="M47" s="28"/>
      <c r="N47" s="28"/>
      <c r="O47" s="28"/>
      <c r="P47" s="28"/>
      <c r="Q47" s="69"/>
      <c r="R47" s="69"/>
      <c r="S47" s="99"/>
    </row>
    <row r="48" spans="1:19" ht="15.75" hidden="1" thickBot="1" x14ac:dyDescent="0.3">
      <c r="A48" s="818"/>
      <c r="B48" s="820"/>
      <c r="C48" s="68" t="s">
        <v>304</v>
      </c>
      <c r="D48" s="86"/>
      <c r="E48" s="86"/>
      <c r="F48" s="86"/>
      <c r="G48" s="86"/>
      <c r="H48" s="86"/>
      <c r="I48" s="86"/>
      <c r="J48" s="86"/>
      <c r="K48" s="28"/>
      <c r="L48" s="137"/>
      <c r="M48" s="28"/>
      <c r="N48" s="28"/>
      <c r="O48" s="28"/>
      <c r="P48" s="28"/>
      <c r="Q48" s="69"/>
      <c r="R48" s="69"/>
      <c r="S48" s="99"/>
    </row>
    <row r="49" spans="1:19" ht="15.75" hidden="1" thickBot="1" x14ac:dyDescent="0.3">
      <c r="A49" s="819"/>
      <c r="B49" s="820"/>
      <c r="C49" s="68" t="s">
        <v>305</v>
      </c>
      <c r="D49" s="86"/>
      <c r="E49" s="86"/>
      <c r="F49" s="86"/>
      <c r="G49" s="86"/>
      <c r="H49" s="86"/>
      <c r="I49" s="86"/>
      <c r="J49" s="86"/>
      <c r="K49" s="28"/>
      <c r="L49" s="137"/>
      <c r="M49" s="28"/>
      <c r="N49" s="28"/>
      <c r="O49" s="28"/>
      <c r="P49" s="28"/>
      <c r="Q49" s="151"/>
      <c r="R49" s="151"/>
      <c r="S49" s="373"/>
    </row>
    <row r="50" spans="1:19" ht="15.75" thickBot="1" x14ac:dyDescent="0.3">
      <c r="A50" s="374">
        <v>330</v>
      </c>
      <c r="B50" s="727" t="s">
        <v>109</v>
      </c>
      <c r="C50" s="728"/>
      <c r="D50" s="375">
        <f t="shared" ref="D50:O51" si="7">D51</f>
        <v>0</v>
      </c>
      <c r="E50" s="375">
        <f t="shared" si="7"/>
        <v>0</v>
      </c>
      <c r="F50" s="375">
        <f t="shared" si="7"/>
        <v>0</v>
      </c>
      <c r="G50" s="375">
        <f t="shared" si="7"/>
        <v>0</v>
      </c>
      <c r="H50" s="375">
        <f t="shared" si="7"/>
        <v>0</v>
      </c>
      <c r="I50" s="375">
        <f t="shared" si="7"/>
        <v>57800</v>
      </c>
      <c r="J50" s="376">
        <f t="shared" si="7"/>
        <v>20485</v>
      </c>
      <c r="K50" s="375">
        <f t="shared" si="7"/>
        <v>0</v>
      </c>
      <c r="L50" s="377"/>
      <c r="M50" s="375">
        <f t="shared" si="7"/>
        <v>0</v>
      </c>
      <c r="N50" s="375">
        <f t="shared" si="7"/>
        <v>0</v>
      </c>
      <c r="O50" s="375">
        <f t="shared" si="7"/>
        <v>0</v>
      </c>
      <c r="P50" s="375">
        <v>0</v>
      </c>
      <c r="Q50" s="378">
        <f>Q51</f>
        <v>0</v>
      </c>
      <c r="R50" s="378">
        <f>R51</f>
        <v>0</v>
      </c>
      <c r="S50" s="379">
        <f>S51</f>
        <v>0</v>
      </c>
    </row>
    <row r="51" spans="1:19" ht="15.75" thickBot="1" x14ac:dyDescent="0.3">
      <c r="A51" s="729"/>
      <c r="B51" s="350">
        <v>332</v>
      </c>
      <c r="C51" s="91" t="s">
        <v>306</v>
      </c>
      <c r="D51" s="92">
        <f t="shared" si="7"/>
        <v>0</v>
      </c>
      <c r="E51" s="92">
        <f t="shared" si="7"/>
        <v>0</v>
      </c>
      <c r="F51" s="92">
        <f t="shared" si="7"/>
        <v>0</v>
      </c>
      <c r="G51" s="92">
        <f t="shared" si="7"/>
        <v>0</v>
      </c>
      <c r="H51" s="92">
        <f t="shared" si="7"/>
        <v>0</v>
      </c>
      <c r="I51" s="92">
        <f>I52</f>
        <v>57800</v>
      </c>
      <c r="J51" s="96">
        <f>J52</f>
        <v>20485</v>
      </c>
      <c r="K51" s="92">
        <f>K52</f>
        <v>0</v>
      </c>
      <c r="L51" s="106"/>
      <c r="M51" s="92">
        <f>M52</f>
        <v>0</v>
      </c>
      <c r="N51" s="92">
        <f>N52</f>
        <v>0</v>
      </c>
      <c r="O51" s="92">
        <f>O52</f>
        <v>0</v>
      </c>
      <c r="P51" s="92">
        <v>0</v>
      </c>
      <c r="Q51" s="96">
        <f>Q52+Q53</f>
        <v>0</v>
      </c>
      <c r="R51" s="96">
        <f>R52+R53</f>
        <v>0</v>
      </c>
      <c r="S51" s="97">
        <f>S52+S53</f>
        <v>0</v>
      </c>
    </row>
    <row r="52" spans="1:19" x14ac:dyDescent="0.25">
      <c r="A52" s="730"/>
      <c r="B52" s="744"/>
      <c r="C52" s="19" t="s">
        <v>225</v>
      </c>
      <c r="D52" s="133"/>
      <c r="E52" s="133"/>
      <c r="F52" s="133"/>
      <c r="G52" s="133"/>
      <c r="H52" s="133"/>
      <c r="I52" s="133">
        <v>57800</v>
      </c>
      <c r="J52" s="21">
        <v>20485</v>
      </c>
      <c r="K52" s="21"/>
      <c r="L52" s="52"/>
      <c r="M52" s="52"/>
      <c r="N52" s="52"/>
      <c r="O52" s="52"/>
      <c r="P52" s="52"/>
      <c r="Q52" s="112"/>
      <c r="R52" s="112"/>
      <c r="S52" s="380">
        <f>Q52+R52</f>
        <v>0</v>
      </c>
    </row>
    <row r="53" spans="1:19" ht="15.75" thickBot="1" x14ac:dyDescent="0.3">
      <c r="A53" s="730"/>
      <c r="B53" s="745"/>
      <c r="C53" s="191"/>
      <c r="D53" s="107"/>
      <c r="E53" s="107"/>
      <c r="F53" s="107"/>
      <c r="G53" s="107"/>
      <c r="H53" s="107"/>
      <c r="I53" s="107"/>
      <c r="J53" s="107"/>
      <c r="K53" s="109"/>
      <c r="L53" s="109"/>
      <c r="M53" s="109"/>
      <c r="N53" s="109"/>
      <c r="O53" s="109"/>
      <c r="P53" s="109"/>
      <c r="Q53" s="112"/>
      <c r="R53" s="112"/>
      <c r="S53" s="380">
        <f>Q53+R53</f>
        <v>0</v>
      </c>
    </row>
    <row r="54" spans="1:19" ht="17.25" thickTop="1" thickBot="1" x14ac:dyDescent="0.3">
      <c r="A54" s="381"/>
      <c r="B54" s="382"/>
      <c r="C54" s="336" t="s">
        <v>307</v>
      </c>
      <c r="D54" s="160">
        <f t="shared" ref="D54:N54" si="8">D17+D5</f>
        <v>2113092</v>
      </c>
      <c r="E54" s="160">
        <f t="shared" si="8"/>
        <v>1017958</v>
      </c>
      <c r="F54" s="160">
        <f t="shared" si="8"/>
        <v>1245369</v>
      </c>
      <c r="G54" s="160">
        <f t="shared" si="8"/>
        <v>4391413</v>
      </c>
      <c r="H54" s="160">
        <f t="shared" si="8"/>
        <v>3456141</v>
      </c>
      <c r="I54" s="160">
        <f t="shared" si="8"/>
        <v>4649713</v>
      </c>
      <c r="J54" s="160">
        <f t="shared" si="8"/>
        <v>4502774.0599999996</v>
      </c>
      <c r="K54" s="160">
        <f t="shared" si="8"/>
        <v>3678497</v>
      </c>
      <c r="L54" s="160">
        <f t="shared" si="8"/>
        <v>1218338.5899999999</v>
      </c>
      <c r="M54" s="161">
        <f t="shared" si="8"/>
        <v>752297.52</v>
      </c>
      <c r="N54" s="160">
        <f t="shared" si="8"/>
        <v>935536.18</v>
      </c>
      <c r="O54" s="160">
        <f>O17+O5</f>
        <v>1696241.7999999998</v>
      </c>
      <c r="P54" s="160">
        <f>P17+P50+P5</f>
        <v>2123247.52</v>
      </c>
      <c r="Q54" s="160">
        <f>Q17+Q50+Q5</f>
        <v>1851732</v>
      </c>
      <c r="R54" s="160">
        <f>R17+R50+R5</f>
        <v>32500</v>
      </c>
      <c r="S54" s="383">
        <f>S17+S50+S5</f>
        <v>1884232</v>
      </c>
    </row>
    <row r="55" spans="1:19" ht="15.75" thickTop="1" x14ac:dyDescent="0.25"/>
    <row r="56" spans="1:19" x14ac:dyDescent="0.25">
      <c r="R56" s="165"/>
    </row>
    <row r="57" spans="1:19" x14ac:dyDescent="0.25">
      <c r="R57" s="165"/>
    </row>
  </sheetData>
  <mergeCells count="30">
    <mergeCell ref="A19:A49"/>
    <mergeCell ref="B20:B49"/>
    <mergeCell ref="B50:C50"/>
    <mergeCell ref="A51:A53"/>
    <mergeCell ref="B52:B53"/>
    <mergeCell ref="S3:S4"/>
    <mergeCell ref="B5:C5"/>
    <mergeCell ref="B6:C6"/>
    <mergeCell ref="A7:A16"/>
    <mergeCell ref="B8:B10"/>
    <mergeCell ref="B12:B16"/>
    <mergeCell ref="M3:M4"/>
    <mergeCell ref="N3:N4"/>
    <mergeCell ref="O3:O4"/>
    <mergeCell ref="P3:P4"/>
    <mergeCell ref="Q3:Q4"/>
    <mergeCell ref="G3:G4"/>
    <mergeCell ref="K3:K4"/>
    <mergeCell ref="L3:L4"/>
    <mergeCell ref="A3:A4"/>
    <mergeCell ref="B17:C17"/>
    <mergeCell ref="B18:C18"/>
    <mergeCell ref="H3:H4"/>
    <mergeCell ref="I3:I4"/>
    <mergeCell ref="J3:J4"/>
    <mergeCell ref="F3:F4"/>
    <mergeCell ref="B3:B4"/>
    <mergeCell ref="C3:C4"/>
    <mergeCell ref="D3:D4"/>
    <mergeCell ref="E3:E4"/>
  </mergeCells>
  <pageMargins left="3.937007874015748E-2" right="3.937007874015748E-2" top="3.937007874015748E-2" bottom="3.937007874015748E-2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5"/>
  <sheetViews>
    <sheetView zoomScaleNormal="100" workbookViewId="0">
      <selection activeCell="V14" sqref="V14"/>
    </sheetView>
  </sheetViews>
  <sheetFormatPr defaultRowHeight="15" x14ac:dyDescent="0.25"/>
  <cols>
    <col min="1" max="1" width="10.85546875" style="669" customWidth="1"/>
    <col min="2" max="2" width="9.140625" style="669"/>
    <col min="3" max="3" width="31.140625" style="669" customWidth="1"/>
    <col min="4" max="11" width="9.140625" style="669" hidden="1" customWidth="1"/>
    <col min="12" max="12" width="14.42578125" style="669" hidden="1" customWidth="1"/>
    <col min="13" max="14" width="14.7109375" style="669" hidden="1" customWidth="1"/>
    <col min="15" max="15" width="15.28515625" style="669" hidden="1" customWidth="1"/>
    <col min="16" max="16" width="13.28515625" style="669" customWidth="1"/>
    <col min="17" max="17" width="12.5703125" style="669" customWidth="1"/>
    <col min="18" max="19" width="12.28515625" style="669" customWidth="1"/>
    <col min="20" max="20" width="12.85546875" style="669" customWidth="1"/>
    <col min="21" max="246" width="9.140625" style="669"/>
    <col min="247" max="247" width="10.85546875" style="669" customWidth="1"/>
    <col min="248" max="248" width="9.140625" style="669"/>
    <col min="249" max="249" width="34.140625" style="669" customWidth="1"/>
    <col min="250" max="261" width="0" style="669" hidden="1" customWidth="1"/>
    <col min="262" max="262" width="15.28515625" style="669" customWidth="1"/>
    <col min="263" max="263" width="13.7109375" style="669" customWidth="1"/>
    <col min="264" max="264" width="10.5703125" style="669" customWidth="1"/>
    <col min="265" max="266" width="14.140625" style="669" customWidth="1"/>
    <col min="267" max="268" width="9.140625" style="669"/>
    <col min="269" max="269" width="11.28515625" style="669" customWidth="1"/>
    <col min="270" max="502" width="9.140625" style="669"/>
    <col min="503" max="503" width="10.85546875" style="669" customWidth="1"/>
    <col min="504" max="504" width="9.140625" style="669"/>
    <col min="505" max="505" width="34.140625" style="669" customWidth="1"/>
    <col min="506" max="517" width="0" style="669" hidden="1" customWidth="1"/>
    <col min="518" max="518" width="15.28515625" style="669" customWidth="1"/>
    <col min="519" max="519" width="13.7109375" style="669" customWidth="1"/>
    <col min="520" max="520" width="10.5703125" style="669" customWidth="1"/>
    <col min="521" max="522" width="14.140625" style="669" customWidth="1"/>
    <col min="523" max="524" width="9.140625" style="669"/>
    <col min="525" max="525" width="11.28515625" style="669" customWidth="1"/>
    <col min="526" max="758" width="9.140625" style="669"/>
    <col min="759" max="759" width="10.85546875" style="669" customWidth="1"/>
    <col min="760" max="760" width="9.140625" style="669"/>
    <col min="761" max="761" width="34.140625" style="669" customWidth="1"/>
    <col min="762" max="773" width="0" style="669" hidden="1" customWidth="1"/>
    <col min="774" max="774" width="15.28515625" style="669" customWidth="1"/>
    <col min="775" max="775" width="13.7109375" style="669" customWidth="1"/>
    <col min="776" max="776" width="10.5703125" style="669" customWidth="1"/>
    <col min="777" max="778" width="14.140625" style="669" customWidth="1"/>
    <col min="779" max="780" width="9.140625" style="669"/>
    <col min="781" max="781" width="11.28515625" style="669" customWidth="1"/>
    <col min="782" max="1014" width="9.140625" style="669"/>
    <col min="1015" max="1015" width="10.85546875" style="669" customWidth="1"/>
    <col min="1016" max="1016" width="9.140625" style="669"/>
    <col min="1017" max="1017" width="34.140625" style="669" customWidth="1"/>
    <col min="1018" max="1029" width="0" style="669" hidden="1" customWidth="1"/>
    <col min="1030" max="1030" width="15.28515625" style="669" customWidth="1"/>
    <col min="1031" max="1031" width="13.7109375" style="669" customWidth="1"/>
    <col min="1032" max="1032" width="10.5703125" style="669" customWidth="1"/>
    <col min="1033" max="1034" width="14.140625" style="669" customWidth="1"/>
    <col min="1035" max="1036" width="9.140625" style="669"/>
    <col min="1037" max="1037" width="11.28515625" style="669" customWidth="1"/>
    <col min="1038" max="1270" width="9.140625" style="669"/>
    <col min="1271" max="1271" width="10.85546875" style="669" customWidth="1"/>
    <col min="1272" max="1272" width="9.140625" style="669"/>
    <col min="1273" max="1273" width="34.140625" style="669" customWidth="1"/>
    <col min="1274" max="1285" width="0" style="669" hidden="1" customWidth="1"/>
    <col min="1286" max="1286" width="15.28515625" style="669" customWidth="1"/>
    <col min="1287" max="1287" width="13.7109375" style="669" customWidth="1"/>
    <col min="1288" max="1288" width="10.5703125" style="669" customWidth="1"/>
    <col min="1289" max="1290" width="14.140625" style="669" customWidth="1"/>
    <col min="1291" max="1292" width="9.140625" style="669"/>
    <col min="1293" max="1293" width="11.28515625" style="669" customWidth="1"/>
    <col min="1294" max="1526" width="9.140625" style="669"/>
    <col min="1527" max="1527" width="10.85546875" style="669" customWidth="1"/>
    <col min="1528" max="1528" width="9.140625" style="669"/>
    <col min="1529" max="1529" width="34.140625" style="669" customWidth="1"/>
    <col min="1530" max="1541" width="0" style="669" hidden="1" customWidth="1"/>
    <col min="1542" max="1542" width="15.28515625" style="669" customWidth="1"/>
    <col min="1543" max="1543" width="13.7109375" style="669" customWidth="1"/>
    <col min="1544" max="1544" width="10.5703125" style="669" customWidth="1"/>
    <col min="1545" max="1546" width="14.140625" style="669" customWidth="1"/>
    <col min="1547" max="1548" width="9.140625" style="669"/>
    <col min="1549" max="1549" width="11.28515625" style="669" customWidth="1"/>
    <col min="1550" max="1782" width="9.140625" style="669"/>
    <col min="1783" max="1783" width="10.85546875" style="669" customWidth="1"/>
    <col min="1784" max="1784" width="9.140625" style="669"/>
    <col min="1785" max="1785" width="34.140625" style="669" customWidth="1"/>
    <col min="1786" max="1797" width="0" style="669" hidden="1" customWidth="1"/>
    <col min="1798" max="1798" width="15.28515625" style="669" customWidth="1"/>
    <col min="1799" max="1799" width="13.7109375" style="669" customWidth="1"/>
    <col min="1800" max="1800" width="10.5703125" style="669" customWidth="1"/>
    <col min="1801" max="1802" width="14.140625" style="669" customWidth="1"/>
    <col min="1803" max="1804" width="9.140625" style="669"/>
    <col min="1805" max="1805" width="11.28515625" style="669" customWidth="1"/>
    <col min="1806" max="2038" width="9.140625" style="669"/>
    <col min="2039" max="2039" width="10.85546875" style="669" customWidth="1"/>
    <col min="2040" max="2040" width="9.140625" style="669"/>
    <col min="2041" max="2041" width="34.140625" style="669" customWidth="1"/>
    <col min="2042" max="2053" width="0" style="669" hidden="1" customWidth="1"/>
    <col min="2054" max="2054" width="15.28515625" style="669" customWidth="1"/>
    <col min="2055" max="2055" width="13.7109375" style="669" customWidth="1"/>
    <col min="2056" max="2056" width="10.5703125" style="669" customWidth="1"/>
    <col min="2057" max="2058" width="14.140625" style="669" customWidth="1"/>
    <col min="2059" max="2060" width="9.140625" style="669"/>
    <col min="2061" max="2061" width="11.28515625" style="669" customWidth="1"/>
    <col min="2062" max="2294" width="9.140625" style="669"/>
    <col min="2295" max="2295" width="10.85546875" style="669" customWidth="1"/>
    <col min="2296" max="2296" width="9.140625" style="669"/>
    <col min="2297" max="2297" width="34.140625" style="669" customWidth="1"/>
    <col min="2298" max="2309" width="0" style="669" hidden="1" customWidth="1"/>
    <col min="2310" max="2310" width="15.28515625" style="669" customWidth="1"/>
    <col min="2311" max="2311" width="13.7109375" style="669" customWidth="1"/>
    <col min="2312" max="2312" width="10.5703125" style="669" customWidth="1"/>
    <col min="2313" max="2314" width="14.140625" style="669" customWidth="1"/>
    <col min="2315" max="2316" width="9.140625" style="669"/>
    <col min="2317" max="2317" width="11.28515625" style="669" customWidth="1"/>
    <col min="2318" max="2550" width="9.140625" style="669"/>
    <col min="2551" max="2551" width="10.85546875" style="669" customWidth="1"/>
    <col min="2552" max="2552" width="9.140625" style="669"/>
    <col min="2553" max="2553" width="34.140625" style="669" customWidth="1"/>
    <col min="2554" max="2565" width="0" style="669" hidden="1" customWidth="1"/>
    <col min="2566" max="2566" width="15.28515625" style="669" customWidth="1"/>
    <col min="2567" max="2567" width="13.7109375" style="669" customWidth="1"/>
    <col min="2568" max="2568" width="10.5703125" style="669" customWidth="1"/>
    <col min="2569" max="2570" width="14.140625" style="669" customWidth="1"/>
    <col min="2571" max="2572" width="9.140625" style="669"/>
    <col min="2573" max="2573" width="11.28515625" style="669" customWidth="1"/>
    <col min="2574" max="2806" width="9.140625" style="669"/>
    <col min="2807" max="2807" width="10.85546875" style="669" customWidth="1"/>
    <col min="2808" max="2808" width="9.140625" style="669"/>
    <col min="2809" max="2809" width="34.140625" style="669" customWidth="1"/>
    <col min="2810" max="2821" width="0" style="669" hidden="1" customWidth="1"/>
    <col min="2822" max="2822" width="15.28515625" style="669" customWidth="1"/>
    <col min="2823" max="2823" width="13.7109375" style="669" customWidth="1"/>
    <col min="2824" max="2824" width="10.5703125" style="669" customWidth="1"/>
    <col min="2825" max="2826" width="14.140625" style="669" customWidth="1"/>
    <col min="2827" max="2828" width="9.140625" style="669"/>
    <col min="2829" max="2829" width="11.28515625" style="669" customWidth="1"/>
    <col min="2830" max="3062" width="9.140625" style="669"/>
    <col min="3063" max="3063" width="10.85546875" style="669" customWidth="1"/>
    <col min="3064" max="3064" width="9.140625" style="669"/>
    <col min="3065" max="3065" width="34.140625" style="669" customWidth="1"/>
    <col min="3066" max="3077" width="0" style="669" hidden="1" customWidth="1"/>
    <col min="3078" max="3078" width="15.28515625" style="669" customWidth="1"/>
    <col min="3079" max="3079" width="13.7109375" style="669" customWidth="1"/>
    <col min="3080" max="3080" width="10.5703125" style="669" customWidth="1"/>
    <col min="3081" max="3082" width="14.140625" style="669" customWidth="1"/>
    <col min="3083" max="3084" width="9.140625" style="669"/>
    <col min="3085" max="3085" width="11.28515625" style="669" customWidth="1"/>
    <col min="3086" max="3318" width="9.140625" style="669"/>
    <col min="3319" max="3319" width="10.85546875" style="669" customWidth="1"/>
    <col min="3320" max="3320" width="9.140625" style="669"/>
    <col min="3321" max="3321" width="34.140625" style="669" customWidth="1"/>
    <col min="3322" max="3333" width="0" style="669" hidden="1" customWidth="1"/>
    <col min="3334" max="3334" width="15.28515625" style="669" customWidth="1"/>
    <col min="3335" max="3335" width="13.7109375" style="669" customWidth="1"/>
    <col min="3336" max="3336" width="10.5703125" style="669" customWidth="1"/>
    <col min="3337" max="3338" width="14.140625" style="669" customWidth="1"/>
    <col min="3339" max="3340" width="9.140625" style="669"/>
    <col min="3341" max="3341" width="11.28515625" style="669" customWidth="1"/>
    <col min="3342" max="3574" width="9.140625" style="669"/>
    <col min="3575" max="3575" width="10.85546875" style="669" customWidth="1"/>
    <col min="3576" max="3576" width="9.140625" style="669"/>
    <col min="3577" max="3577" width="34.140625" style="669" customWidth="1"/>
    <col min="3578" max="3589" width="0" style="669" hidden="1" customWidth="1"/>
    <col min="3590" max="3590" width="15.28515625" style="669" customWidth="1"/>
    <col min="3591" max="3591" width="13.7109375" style="669" customWidth="1"/>
    <col min="3592" max="3592" width="10.5703125" style="669" customWidth="1"/>
    <col min="3593" max="3594" width="14.140625" style="669" customWidth="1"/>
    <col min="3595" max="3596" width="9.140625" style="669"/>
    <col min="3597" max="3597" width="11.28515625" style="669" customWidth="1"/>
    <col min="3598" max="3830" width="9.140625" style="669"/>
    <col min="3831" max="3831" width="10.85546875" style="669" customWidth="1"/>
    <col min="3832" max="3832" width="9.140625" style="669"/>
    <col min="3833" max="3833" width="34.140625" style="669" customWidth="1"/>
    <col min="3834" max="3845" width="0" style="669" hidden="1" customWidth="1"/>
    <col min="3846" max="3846" width="15.28515625" style="669" customWidth="1"/>
    <col min="3847" max="3847" width="13.7109375" style="669" customWidth="1"/>
    <col min="3848" max="3848" width="10.5703125" style="669" customWidth="1"/>
    <col min="3849" max="3850" width="14.140625" style="669" customWidth="1"/>
    <col min="3851" max="3852" width="9.140625" style="669"/>
    <col min="3853" max="3853" width="11.28515625" style="669" customWidth="1"/>
    <col min="3854" max="4086" width="9.140625" style="669"/>
    <col min="4087" max="4087" width="10.85546875" style="669" customWidth="1"/>
    <col min="4088" max="4088" width="9.140625" style="669"/>
    <col min="4089" max="4089" width="34.140625" style="669" customWidth="1"/>
    <col min="4090" max="4101" width="0" style="669" hidden="1" customWidth="1"/>
    <col min="4102" max="4102" width="15.28515625" style="669" customWidth="1"/>
    <col min="4103" max="4103" width="13.7109375" style="669" customWidth="1"/>
    <col min="4104" max="4104" width="10.5703125" style="669" customWidth="1"/>
    <col min="4105" max="4106" width="14.140625" style="669" customWidth="1"/>
    <col min="4107" max="4108" width="9.140625" style="669"/>
    <col min="4109" max="4109" width="11.28515625" style="669" customWidth="1"/>
    <col min="4110" max="4342" width="9.140625" style="669"/>
    <col min="4343" max="4343" width="10.85546875" style="669" customWidth="1"/>
    <col min="4344" max="4344" width="9.140625" style="669"/>
    <col min="4345" max="4345" width="34.140625" style="669" customWidth="1"/>
    <col min="4346" max="4357" width="0" style="669" hidden="1" customWidth="1"/>
    <col min="4358" max="4358" width="15.28515625" style="669" customWidth="1"/>
    <col min="4359" max="4359" width="13.7109375" style="669" customWidth="1"/>
    <col min="4360" max="4360" width="10.5703125" style="669" customWidth="1"/>
    <col min="4361" max="4362" width="14.140625" style="669" customWidth="1"/>
    <col min="4363" max="4364" width="9.140625" style="669"/>
    <col min="4365" max="4365" width="11.28515625" style="669" customWidth="1"/>
    <col min="4366" max="4598" width="9.140625" style="669"/>
    <col min="4599" max="4599" width="10.85546875" style="669" customWidth="1"/>
    <col min="4600" max="4600" width="9.140625" style="669"/>
    <col min="4601" max="4601" width="34.140625" style="669" customWidth="1"/>
    <col min="4602" max="4613" width="0" style="669" hidden="1" customWidth="1"/>
    <col min="4614" max="4614" width="15.28515625" style="669" customWidth="1"/>
    <col min="4615" max="4615" width="13.7109375" style="669" customWidth="1"/>
    <col min="4616" max="4616" width="10.5703125" style="669" customWidth="1"/>
    <col min="4617" max="4618" width="14.140625" style="669" customWidth="1"/>
    <col min="4619" max="4620" width="9.140625" style="669"/>
    <col min="4621" max="4621" width="11.28515625" style="669" customWidth="1"/>
    <col min="4622" max="4854" width="9.140625" style="669"/>
    <col min="4855" max="4855" width="10.85546875" style="669" customWidth="1"/>
    <col min="4856" max="4856" width="9.140625" style="669"/>
    <col min="4857" max="4857" width="34.140625" style="669" customWidth="1"/>
    <col min="4858" max="4869" width="0" style="669" hidden="1" customWidth="1"/>
    <col min="4870" max="4870" width="15.28515625" style="669" customWidth="1"/>
    <col min="4871" max="4871" width="13.7109375" style="669" customWidth="1"/>
    <col min="4872" max="4872" width="10.5703125" style="669" customWidth="1"/>
    <col min="4873" max="4874" width="14.140625" style="669" customWidth="1"/>
    <col min="4875" max="4876" width="9.140625" style="669"/>
    <col min="4877" max="4877" width="11.28515625" style="669" customWidth="1"/>
    <col min="4878" max="5110" width="9.140625" style="669"/>
    <col min="5111" max="5111" width="10.85546875" style="669" customWidth="1"/>
    <col min="5112" max="5112" width="9.140625" style="669"/>
    <col min="5113" max="5113" width="34.140625" style="669" customWidth="1"/>
    <col min="5114" max="5125" width="0" style="669" hidden="1" customWidth="1"/>
    <col min="5126" max="5126" width="15.28515625" style="669" customWidth="1"/>
    <col min="5127" max="5127" width="13.7109375" style="669" customWidth="1"/>
    <col min="5128" max="5128" width="10.5703125" style="669" customWidth="1"/>
    <col min="5129" max="5130" width="14.140625" style="669" customWidth="1"/>
    <col min="5131" max="5132" width="9.140625" style="669"/>
    <col min="5133" max="5133" width="11.28515625" style="669" customWidth="1"/>
    <col min="5134" max="5366" width="9.140625" style="669"/>
    <col min="5367" max="5367" width="10.85546875" style="669" customWidth="1"/>
    <col min="5368" max="5368" width="9.140625" style="669"/>
    <col min="5369" max="5369" width="34.140625" style="669" customWidth="1"/>
    <col min="5370" max="5381" width="0" style="669" hidden="1" customWidth="1"/>
    <col min="5382" max="5382" width="15.28515625" style="669" customWidth="1"/>
    <col min="5383" max="5383" width="13.7109375" style="669" customWidth="1"/>
    <col min="5384" max="5384" width="10.5703125" style="669" customWidth="1"/>
    <col min="5385" max="5386" width="14.140625" style="669" customWidth="1"/>
    <col min="5387" max="5388" width="9.140625" style="669"/>
    <col min="5389" max="5389" width="11.28515625" style="669" customWidth="1"/>
    <col min="5390" max="5622" width="9.140625" style="669"/>
    <col min="5623" max="5623" width="10.85546875" style="669" customWidth="1"/>
    <col min="5624" max="5624" width="9.140625" style="669"/>
    <col min="5625" max="5625" width="34.140625" style="669" customWidth="1"/>
    <col min="5626" max="5637" width="0" style="669" hidden="1" customWidth="1"/>
    <col min="5638" max="5638" width="15.28515625" style="669" customWidth="1"/>
    <col min="5639" max="5639" width="13.7109375" style="669" customWidth="1"/>
    <col min="5640" max="5640" width="10.5703125" style="669" customWidth="1"/>
    <col min="5641" max="5642" width="14.140625" style="669" customWidth="1"/>
    <col min="5643" max="5644" width="9.140625" style="669"/>
    <col min="5645" max="5645" width="11.28515625" style="669" customWidth="1"/>
    <col min="5646" max="5878" width="9.140625" style="669"/>
    <col min="5879" max="5879" width="10.85546875" style="669" customWidth="1"/>
    <col min="5880" max="5880" width="9.140625" style="669"/>
    <col min="5881" max="5881" width="34.140625" style="669" customWidth="1"/>
    <col min="5882" max="5893" width="0" style="669" hidden="1" customWidth="1"/>
    <col min="5894" max="5894" width="15.28515625" style="669" customWidth="1"/>
    <col min="5895" max="5895" width="13.7109375" style="669" customWidth="1"/>
    <col min="5896" max="5896" width="10.5703125" style="669" customWidth="1"/>
    <col min="5897" max="5898" width="14.140625" style="669" customWidth="1"/>
    <col min="5899" max="5900" width="9.140625" style="669"/>
    <col min="5901" max="5901" width="11.28515625" style="669" customWidth="1"/>
    <col min="5902" max="6134" width="9.140625" style="669"/>
    <col min="6135" max="6135" width="10.85546875" style="669" customWidth="1"/>
    <col min="6136" max="6136" width="9.140625" style="669"/>
    <col min="6137" max="6137" width="34.140625" style="669" customWidth="1"/>
    <col min="6138" max="6149" width="0" style="669" hidden="1" customWidth="1"/>
    <col min="6150" max="6150" width="15.28515625" style="669" customWidth="1"/>
    <col min="6151" max="6151" width="13.7109375" style="669" customWidth="1"/>
    <col min="6152" max="6152" width="10.5703125" style="669" customWidth="1"/>
    <col min="6153" max="6154" width="14.140625" style="669" customWidth="1"/>
    <col min="6155" max="6156" width="9.140625" style="669"/>
    <col min="6157" max="6157" width="11.28515625" style="669" customWidth="1"/>
    <col min="6158" max="6390" width="9.140625" style="669"/>
    <col min="6391" max="6391" width="10.85546875" style="669" customWidth="1"/>
    <col min="6392" max="6392" width="9.140625" style="669"/>
    <col min="6393" max="6393" width="34.140625" style="669" customWidth="1"/>
    <col min="6394" max="6405" width="0" style="669" hidden="1" customWidth="1"/>
    <col min="6406" max="6406" width="15.28515625" style="669" customWidth="1"/>
    <col min="6407" max="6407" width="13.7109375" style="669" customWidth="1"/>
    <col min="6408" max="6408" width="10.5703125" style="669" customWidth="1"/>
    <col min="6409" max="6410" width="14.140625" style="669" customWidth="1"/>
    <col min="6411" max="6412" width="9.140625" style="669"/>
    <col min="6413" max="6413" width="11.28515625" style="669" customWidth="1"/>
    <col min="6414" max="6646" width="9.140625" style="669"/>
    <col min="6647" max="6647" width="10.85546875" style="669" customWidth="1"/>
    <col min="6648" max="6648" width="9.140625" style="669"/>
    <col min="6649" max="6649" width="34.140625" style="669" customWidth="1"/>
    <col min="6650" max="6661" width="0" style="669" hidden="1" customWidth="1"/>
    <col min="6662" max="6662" width="15.28515625" style="669" customWidth="1"/>
    <col min="6663" max="6663" width="13.7109375" style="669" customWidth="1"/>
    <col min="6664" max="6664" width="10.5703125" style="669" customWidth="1"/>
    <col min="6665" max="6666" width="14.140625" style="669" customWidth="1"/>
    <col min="6667" max="6668" width="9.140625" style="669"/>
    <col min="6669" max="6669" width="11.28515625" style="669" customWidth="1"/>
    <col min="6670" max="6902" width="9.140625" style="669"/>
    <col min="6903" max="6903" width="10.85546875" style="669" customWidth="1"/>
    <col min="6904" max="6904" width="9.140625" style="669"/>
    <col min="6905" max="6905" width="34.140625" style="669" customWidth="1"/>
    <col min="6906" max="6917" width="0" style="669" hidden="1" customWidth="1"/>
    <col min="6918" max="6918" width="15.28515625" style="669" customWidth="1"/>
    <col min="6919" max="6919" width="13.7109375" style="669" customWidth="1"/>
    <col min="6920" max="6920" width="10.5703125" style="669" customWidth="1"/>
    <col min="6921" max="6922" width="14.140625" style="669" customWidth="1"/>
    <col min="6923" max="6924" width="9.140625" style="669"/>
    <col min="6925" max="6925" width="11.28515625" style="669" customWidth="1"/>
    <col min="6926" max="7158" width="9.140625" style="669"/>
    <col min="7159" max="7159" width="10.85546875" style="669" customWidth="1"/>
    <col min="7160" max="7160" width="9.140625" style="669"/>
    <col min="7161" max="7161" width="34.140625" style="669" customWidth="1"/>
    <col min="7162" max="7173" width="0" style="669" hidden="1" customWidth="1"/>
    <col min="7174" max="7174" width="15.28515625" style="669" customWidth="1"/>
    <col min="7175" max="7175" width="13.7109375" style="669" customWidth="1"/>
    <col min="7176" max="7176" width="10.5703125" style="669" customWidth="1"/>
    <col min="7177" max="7178" width="14.140625" style="669" customWidth="1"/>
    <col min="7179" max="7180" width="9.140625" style="669"/>
    <col min="7181" max="7181" width="11.28515625" style="669" customWidth="1"/>
    <col min="7182" max="7414" width="9.140625" style="669"/>
    <col min="7415" max="7415" width="10.85546875" style="669" customWidth="1"/>
    <col min="7416" max="7416" width="9.140625" style="669"/>
    <col min="7417" max="7417" width="34.140625" style="669" customWidth="1"/>
    <col min="7418" max="7429" width="0" style="669" hidden="1" customWidth="1"/>
    <col min="7430" max="7430" width="15.28515625" style="669" customWidth="1"/>
    <col min="7431" max="7431" width="13.7109375" style="669" customWidth="1"/>
    <col min="7432" max="7432" width="10.5703125" style="669" customWidth="1"/>
    <col min="7433" max="7434" width="14.140625" style="669" customWidth="1"/>
    <col min="7435" max="7436" width="9.140625" style="669"/>
    <col min="7437" max="7437" width="11.28515625" style="669" customWidth="1"/>
    <col min="7438" max="7670" width="9.140625" style="669"/>
    <col min="7671" max="7671" width="10.85546875" style="669" customWidth="1"/>
    <col min="7672" max="7672" width="9.140625" style="669"/>
    <col min="7673" max="7673" width="34.140625" style="669" customWidth="1"/>
    <col min="7674" max="7685" width="0" style="669" hidden="1" customWidth="1"/>
    <col min="7686" max="7686" width="15.28515625" style="669" customWidth="1"/>
    <col min="7687" max="7687" width="13.7109375" style="669" customWidth="1"/>
    <col min="7688" max="7688" width="10.5703125" style="669" customWidth="1"/>
    <col min="7689" max="7690" width="14.140625" style="669" customWidth="1"/>
    <col min="7691" max="7692" width="9.140625" style="669"/>
    <col min="7693" max="7693" width="11.28515625" style="669" customWidth="1"/>
    <col min="7694" max="7926" width="9.140625" style="669"/>
    <col min="7927" max="7927" width="10.85546875" style="669" customWidth="1"/>
    <col min="7928" max="7928" width="9.140625" style="669"/>
    <col min="7929" max="7929" width="34.140625" style="669" customWidth="1"/>
    <col min="7930" max="7941" width="0" style="669" hidden="1" customWidth="1"/>
    <col min="7942" max="7942" width="15.28515625" style="669" customWidth="1"/>
    <col min="7943" max="7943" width="13.7109375" style="669" customWidth="1"/>
    <col min="7944" max="7944" width="10.5703125" style="669" customWidth="1"/>
    <col min="7945" max="7946" width="14.140625" style="669" customWidth="1"/>
    <col min="7947" max="7948" width="9.140625" style="669"/>
    <col min="7949" max="7949" width="11.28515625" style="669" customWidth="1"/>
    <col min="7950" max="8182" width="9.140625" style="669"/>
    <col min="8183" max="8183" width="10.85546875" style="669" customWidth="1"/>
    <col min="8184" max="8184" width="9.140625" style="669"/>
    <col min="8185" max="8185" width="34.140625" style="669" customWidth="1"/>
    <col min="8186" max="8197" width="0" style="669" hidden="1" customWidth="1"/>
    <col min="8198" max="8198" width="15.28515625" style="669" customWidth="1"/>
    <col min="8199" max="8199" width="13.7109375" style="669" customWidth="1"/>
    <col min="8200" max="8200" width="10.5703125" style="669" customWidth="1"/>
    <col min="8201" max="8202" width="14.140625" style="669" customWidth="1"/>
    <col min="8203" max="8204" width="9.140625" style="669"/>
    <col min="8205" max="8205" width="11.28515625" style="669" customWidth="1"/>
    <col min="8206" max="8438" width="9.140625" style="669"/>
    <col min="8439" max="8439" width="10.85546875" style="669" customWidth="1"/>
    <col min="8440" max="8440" width="9.140625" style="669"/>
    <col min="8441" max="8441" width="34.140625" style="669" customWidth="1"/>
    <col min="8442" max="8453" width="0" style="669" hidden="1" customWidth="1"/>
    <col min="8454" max="8454" width="15.28515625" style="669" customWidth="1"/>
    <col min="8455" max="8455" width="13.7109375" style="669" customWidth="1"/>
    <col min="8456" max="8456" width="10.5703125" style="669" customWidth="1"/>
    <col min="8457" max="8458" width="14.140625" style="669" customWidth="1"/>
    <col min="8459" max="8460" width="9.140625" style="669"/>
    <col min="8461" max="8461" width="11.28515625" style="669" customWidth="1"/>
    <col min="8462" max="8694" width="9.140625" style="669"/>
    <col min="8695" max="8695" width="10.85546875" style="669" customWidth="1"/>
    <col min="8696" max="8696" width="9.140625" style="669"/>
    <col min="8697" max="8697" width="34.140625" style="669" customWidth="1"/>
    <col min="8698" max="8709" width="0" style="669" hidden="1" customWidth="1"/>
    <col min="8710" max="8710" width="15.28515625" style="669" customWidth="1"/>
    <col min="8711" max="8711" width="13.7109375" style="669" customWidth="1"/>
    <col min="8712" max="8712" width="10.5703125" style="669" customWidth="1"/>
    <col min="8713" max="8714" width="14.140625" style="669" customWidth="1"/>
    <col min="8715" max="8716" width="9.140625" style="669"/>
    <col min="8717" max="8717" width="11.28515625" style="669" customWidth="1"/>
    <col min="8718" max="8950" width="9.140625" style="669"/>
    <col min="8951" max="8951" width="10.85546875" style="669" customWidth="1"/>
    <col min="8952" max="8952" width="9.140625" style="669"/>
    <col min="8953" max="8953" width="34.140625" style="669" customWidth="1"/>
    <col min="8954" max="8965" width="0" style="669" hidden="1" customWidth="1"/>
    <col min="8966" max="8966" width="15.28515625" style="669" customWidth="1"/>
    <col min="8967" max="8967" width="13.7109375" style="669" customWidth="1"/>
    <col min="8968" max="8968" width="10.5703125" style="669" customWidth="1"/>
    <col min="8969" max="8970" width="14.140625" style="669" customWidth="1"/>
    <col min="8971" max="8972" width="9.140625" style="669"/>
    <col min="8973" max="8973" width="11.28515625" style="669" customWidth="1"/>
    <col min="8974" max="9206" width="9.140625" style="669"/>
    <col min="9207" max="9207" width="10.85546875" style="669" customWidth="1"/>
    <col min="9208" max="9208" width="9.140625" style="669"/>
    <col min="9209" max="9209" width="34.140625" style="669" customWidth="1"/>
    <col min="9210" max="9221" width="0" style="669" hidden="1" customWidth="1"/>
    <col min="9222" max="9222" width="15.28515625" style="669" customWidth="1"/>
    <col min="9223" max="9223" width="13.7109375" style="669" customWidth="1"/>
    <col min="9224" max="9224" width="10.5703125" style="669" customWidth="1"/>
    <col min="9225" max="9226" width="14.140625" style="669" customWidth="1"/>
    <col min="9227" max="9228" width="9.140625" style="669"/>
    <col min="9229" max="9229" width="11.28515625" style="669" customWidth="1"/>
    <col min="9230" max="9462" width="9.140625" style="669"/>
    <col min="9463" max="9463" width="10.85546875" style="669" customWidth="1"/>
    <col min="9464" max="9464" width="9.140625" style="669"/>
    <col min="9465" max="9465" width="34.140625" style="669" customWidth="1"/>
    <col min="9466" max="9477" width="0" style="669" hidden="1" customWidth="1"/>
    <col min="9478" max="9478" width="15.28515625" style="669" customWidth="1"/>
    <col min="9479" max="9479" width="13.7109375" style="669" customWidth="1"/>
    <col min="9480" max="9480" width="10.5703125" style="669" customWidth="1"/>
    <col min="9481" max="9482" width="14.140625" style="669" customWidth="1"/>
    <col min="9483" max="9484" width="9.140625" style="669"/>
    <col min="9485" max="9485" width="11.28515625" style="669" customWidth="1"/>
    <col min="9486" max="9718" width="9.140625" style="669"/>
    <col min="9719" max="9719" width="10.85546875" style="669" customWidth="1"/>
    <col min="9720" max="9720" width="9.140625" style="669"/>
    <col min="9721" max="9721" width="34.140625" style="669" customWidth="1"/>
    <col min="9722" max="9733" width="0" style="669" hidden="1" customWidth="1"/>
    <col min="9734" max="9734" width="15.28515625" style="669" customWidth="1"/>
    <col min="9735" max="9735" width="13.7109375" style="669" customWidth="1"/>
    <col min="9736" max="9736" width="10.5703125" style="669" customWidth="1"/>
    <col min="9737" max="9738" width="14.140625" style="669" customWidth="1"/>
    <col min="9739" max="9740" width="9.140625" style="669"/>
    <col min="9741" max="9741" width="11.28515625" style="669" customWidth="1"/>
    <col min="9742" max="9974" width="9.140625" style="669"/>
    <col min="9975" max="9975" width="10.85546875" style="669" customWidth="1"/>
    <col min="9976" max="9976" width="9.140625" style="669"/>
    <col min="9977" max="9977" width="34.140625" style="669" customWidth="1"/>
    <col min="9978" max="9989" width="0" style="669" hidden="1" customWidth="1"/>
    <col min="9990" max="9990" width="15.28515625" style="669" customWidth="1"/>
    <col min="9991" max="9991" width="13.7109375" style="669" customWidth="1"/>
    <col min="9992" max="9992" width="10.5703125" style="669" customWidth="1"/>
    <col min="9993" max="9994" width="14.140625" style="669" customWidth="1"/>
    <col min="9995" max="9996" width="9.140625" style="669"/>
    <col min="9997" max="9997" width="11.28515625" style="669" customWidth="1"/>
    <col min="9998" max="10230" width="9.140625" style="669"/>
    <col min="10231" max="10231" width="10.85546875" style="669" customWidth="1"/>
    <col min="10232" max="10232" width="9.140625" style="669"/>
    <col min="10233" max="10233" width="34.140625" style="669" customWidth="1"/>
    <col min="10234" max="10245" width="0" style="669" hidden="1" customWidth="1"/>
    <col min="10246" max="10246" width="15.28515625" style="669" customWidth="1"/>
    <col min="10247" max="10247" width="13.7109375" style="669" customWidth="1"/>
    <col min="10248" max="10248" width="10.5703125" style="669" customWidth="1"/>
    <col min="10249" max="10250" width="14.140625" style="669" customWidth="1"/>
    <col min="10251" max="10252" width="9.140625" style="669"/>
    <col min="10253" max="10253" width="11.28515625" style="669" customWidth="1"/>
    <col min="10254" max="10486" width="9.140625" style="669"/>
    <col min="10487" max="10487" width="10.85546875" style="669" customWidth="1"/>
    <col min="10488" max="10488" width="9.140625" style="669"/>
    <col min="10489" max="10489" width="34.140625" style="669" customWidth="1"/>
    <col min="10490" max="10501" width="0" style="669" hidden="1" customWidth="1"/>
    <col min="10502" max="10502" width="15.28515625" style="669" customWidth="1"/>
    <col min="10503" max="10503" width="13.7109375" style="669" customWidth="1"/>
    <col min="10504" max="10504" width="10.5703125" style="669" customWidth="1"/>
    <col min="10505" max="10506" width="14.140625" style="669" customWidth="1"/>
    <col min="10507" max="10508" width="9.140625" style="669"/>
    <col min="10509" max="10509" width="11.28515625" style="669" customWidth="1"/>
    <col min="10510" max="10742" width="9.140625" style="669"/>
    <col min="10743" max="10743" width="10.85546875" style="669" customWidth="1"/>
    <col min="10744" max="10744" width="9.140625" style="669"/>
    <col min="10745" max="10745" width="34.140625" style="669" customWidth="1"/>
    <col min="10746" max="10757" width="0" style="669" hidden="1" customWidth="1"/>
    <col min="10758" max="10758" width="15.28515625" style="669" customWidth="1"/>
    <col min="10759" max="10759" width="13.7109375" style="669" customWidth="1"/>
    <col min="10760" max="10760" width="10.5703125" style="669" customWidth="1"/>
    <col min="10761" max="10762" width="14.140625" style="669" customWidth="1"/>
    <col min="10763" max="10764" width="9.140625" style="669"/>
    <col min="10765" max="10765" width="11.28515625" style="669" customWidth="1"/>
    <col min="10766" max="10998" width="9.140625" style="669"/>
    <col min="10999" max="10999" width="10.85546875" style="669" customWidth="1"/>
    <col min="11000" max="11000" width="9.140625" style="669"/>
    <col min="11001" max="11001" width="34.140625" style="669" customWidth="1"/>
    <col min="11002" max="11013" width="0" style="669" hidden="1" customWidth="1"/>
    <col min="11014" max="11014" width="15.28515625" style="669" customWidth="1"/>
    <col min="11015" max="11015" width="13.7109375" style="669" customWidth="1"/>
    <col min="11016" max="11016" width="10.5703125" style="669" customWidth="1"/>
    <col min="11017" max="11018" width="14.140625" style="669" customWidth="1"/>
    <col min="11019" max="11020" width="9.140625" style="669"/>
    <col min="11021" max="11021" width="11.28515625" style="669" customWidth="1"/>
    <col min="11022" max="11254" width="9.140625" style="669"/>
    <col min="11255" max="11255" width="10.85546875" style="669" customWidth="1"/>
    <col min="11256" max="11256" width="9.140625" style="669"/>
    <col min="11257" max="11257" width="34.140625" style="669" customWidth="1"/>
    <col min="11258" max="11269" width="0" style="669" hidden="1" customWidth="1"/>
    <col min="11270" max="11270" width="15.28515625" style="669" customWidth="1"/>
    <col min="11271" max="11271" width="13.7109375" style="669" customWidth="1"/>
    <col min="11272" max="11272" width="10.5703125" style="669" customWidth="1"/>
    <col min="11273" max="11274" width="14.140625" style="669" customWidth="1"/>
    <col min="11275" max="11276" width="9.140625" style="669"/>
    <col min="11277" max="11277" width="11.28515625" style="669" customWidth="1"/>
    <col min="11278" max="11510" width="9.140625" style="669"/>
    <col min="11511" max="11511" width="10.85546875" style="669" customWidth="1"/>
    <col min="11512" max="11512" width="9.140625" style="669"/>
    <col min="11513" max="11513" width="34.140625" style="669" customWidth="1"/>
    <col min="11514" max="11525" width="0" style="669" hidden="1" customWidth="1"/>
    <col min="11526" max="11526" width="15.28515625" style="669" customWidth="1"/>
    <col min="11527" max="11527" width="13.7109375" style="669" customWidth="1"/>
    <col min="11528" max="11528" width="10.5703125" style="669" customWidth="1"/>
    <col min="11529" max="11530" width="14.140625" style="669" customWidth="1"/>
    <col min="11531" max="11532" width="9.140625" style="669"/>
    <col min="11533" max="11533" width="11.28515625" style="669" customWidth="1"/>
    <col min="11534" max="11766" width="9.140625" style="669"/>
    <col min="11767" max="11767" width="10.85546875" style="669" customWidth="1"/>
    <col min="11768" max="11768" width="9.140625" style="669"/>
    <col min="11769" max="11769" width="34.140625" style="669" customWidth="1"/>
    <col min="11770" max="11781" width="0" style="669" hidden="1" customWidth="1"/>
    <col min="11782" max="11782" width="15.28515625" style="669" customWidth="1"/>
    <col min="11783" max="11783" width="13.7109375" style="669" customWidth="1"/>
    <col min="11784" max="11784" width="10.5703125" style="669" customWidth="1"/>
    <col min="11785" max="11786" width="14.140625" style="669" customWidth="1"/>
    <col min="11787" max="11788" width="9.140625" style="669"/>
    <col min="11789" max="11789" width="11.28515625" style="669" customWidth="1"/>
    <col min="11790" max="12022" width="9.140625" style="669"/>
    <col min="12023" max="12023" width="10.85546875" style="669" customWidth="1"/>
    <col min="12024" max="12024" width="9.140625" style="669"/>
    <col min="12025" max="12025" width="34.140625" style="669" customWidth="1"/>
    <col min="12026" max="12037" width="0" style="669" hidden="1" customWidth="1"/>
    <col min="12038" max="12038" width="15.28515625" style="669" customWidth="1"/>
    <col min="12039" max="12039" width="13.7109375" style="669" customWidth="1"/>
    <col min="12040" max="12040" width="10.5703125" style="669" customWidth="1"/>
    <col min="12041" max="12042" width="14.140625" style="669" customWidth="1"/>
    <col min="12043" max="12044" width="9.140625" style="669"/>
    <col min="12045" max="12045" width="11.28515625" style="669" customWidth="1"/>
    <col min="12046" max="12278" width="9.140625" style="669"/>
    <col min="12279" max="12279" width="10.85546875" style="669" customWidth="1"/>
    <col min="12280" max="12280" width="9.140625" style="669"/>
    <col min="12281" max="12281" width="34.140625" style="669" customWidth="1"/>
    <col min="12282" max="12293" width="0" style="669" hidden="1" customWidth="1"/>
    <col min="12294" max="12294" width="15.28515625" style="669" customWidth="1"/>
    <col min="12295" max="12295" width="13.7109375" style="669" customWidth="1"/>
    <col min="12296" max="12296" width="10.5703125" style="669" customWidth="1"/>
    <col min="12297" max="12298" width="14.140625" style="669" customWidth="1"/>
    <col min="12299" max="12300" width="9.140625" style="669"/>
    <col min="12301" max="12301" width="11.28515625" style="669" customWidth="1"/>
    <col min="12302" max="12534" width="9.140625" style="669"/>
    <col min="12535" max="12535" width="10.85546875" style="669" customWidth="1"/>
    <col min="12536" max="12536" width="9.140625" style="669"/>
    <col min="12537" max="12537" width="34.140625" style="669" customWidth="1"/>
    <col min="12538" max="12549" width="0" style="669" hidden="1" customWidth="1"/>
    <col min="12550" max="12550" width="15.28515625" style="669" customWidth="1"/>
    <col min="12551" max="12551" width="13.7109375" style="669" customWidth="1"/>
    <col min="12552" max="12552" width="10.5703125" style="669" customWidth="1"/>
    <col min="12553" max="12554" width="14.140625" style="669" customWidth="1"/>
    <col min="12555" max="12556" width="9.140625" style="669"/>
    <col min="12557" max="12557" width="11.28515625" style="669" customWidth="1"/>
    <col min="12558" max="12790" width="9.140625" style="669"/>
    <col min="12791" max="12791" width="10.85546875" style="669" customWidth="1"/>
    <col min="12792" max="12792" width="9.140625" style="669"/>
    <col min="12793" max="12793" width="34.140625" style="669" customWidth="1"/>
    <col min="12794" max="12805" width="0" style="669" hidden="1" customWidth="1"/>
    <col min="12806" max="12806" width="15.28515625" style="669" customWidth="1"/>
    <col min="12807" max="12807" width="13.7109375" style="669" customWidth="1"/>
    <col min="12808" max="12808" width="10.5703125" style="669" customWidth="1"/>
    <col min="12809" max="12810" width="14.140625" style="669" customWidth="1"/>
    <col min="12811" max="12812" width="9.140625" style="669"/>
    <col min="12813" max="12813" width="11.28515625" style="669" customWidth="1"/>
    <col min="12814" max="13046" width="9.140625" style="669"/>
    <col min="13047" max="13047" width="10.85546875" style="669" customWidth="1"/>
    <col min="13048" max="13048" width="9.140625" style="669"/>
    <col min="13049" max="13049" width="34.140625" style="669" customWidth="1"/>
    <col min="13050" max="13061" width="0" style="669" hidden="1" customWidth="1"/>
    <col min="13062" max="13062" width="15.28515625" style="669" customWidth="1"/>
    <col min="13063" max="13063" width="13.7109375" style="669" customWidth="1"/>
    <col min="13064" max="13064" width="10.5703125" style="669" customWidth="1"/>
    <col min="13065" max="13066" width="14.140625" style="669" customWidth="1"/>
    <col min="13067" max="13068" width="9.140625" style="669"/>
    <col min="13069" max="13069" width="11.28515625" style="669" customWidth="1"/>
    <col min="13070" max="13302" width="9.140625" style="669"/>
    <col min="13303" max="13303" width="10.85546875" style="669" customWidth="1"/>
    <col min="13304" max="13304" width="9.140625" style="669"/>
    <col min="13305" max="13305" width="34.140625" style="669" customWidth="1"/>
    <col min="13306" max="13317" width="0" style="669" hidden="1" customWidth="1"/>
    <col min="13318" max="13318" width="15.28515625" style="669" customWidth="1"/>
    <col min="13319" max="13319" width="13.7109375" style="669" customWidth="1"/>
    <col min="13320" max="13320" width="10.5703125" style="669" customWidth="1"/>
    <col min="13321" max="13322" width="14.140625" style="669" customWidth="1"/>
    <col min="13323" max="13324" width="9.140625" style="669"/>
    <col min="13325" max="13325" width="11.28515625" style="669" customWidth="1"/>
    <col min="13326" max="13558" width="9.140625" style="669"/>
    <col min="13559" max="13559" width="10.85546875" style="669" customWidth="1"/>
    <col min="13560" max="13560" width="9.140625" style="669"/>
    <col min="13561" max="13561" width="34.140625" style="669" customWidth="1"/>
    <col min="13562" max="13573" width="0" style="669" hidden="1" customWidth="1"/>
    <col min="13574" max="13574" width="15.28515625" style="669" customWidth="1"/>
    <col min="13575" max="13575" width="13.7109375" style="669" customWidth="1"/>
    <col min="13576" max="13576" width="10.5703125" style="669" customWidth="1"/>
    <col min="13577" max="13578" width="14.140625" style="669" customWidth="1"/>
    <col min="13579" max="13580" width="9.140625" style="669"/>
    <col min="13581" max="13581" width="11.28515625" style="669" customWidth="1"/>
    <col min="13582" max="13814" width="9.140625" style="669"/>
    <col min="13815" max="13815" width="10.85546875" style="669" customWidth="1"/>
    <col min="13816" max="13816" width="9.140625" style="669"/>
    <col min="13817" max="13817" width="34.140625" style="669" customWidth="1"/>
    <col min="13818" max="13829" width="0" style="669" hidden="1" customWidth="1"/>
    <col min="13830" max="13830" width="15.28515625" style="669" customWidth="1"/>
    <col min="13831" max="13831" width="13.7109375" style="669" customWidth="1"/>
    <col min="13832" max="13832" width="10.5703125" style="669" customWidth="1"/>
    <col min="13833" max="13834" width="14.140625" style="669" customWidth="1"/>
    <col min="13835" max="13836" width="9.140625" style="669"/>
    <col min="13837" max="13837" width="11.28515625" style="669" customWidth="1"/>
    <col min="13838" max="14070" width="9.140625" style="669"/>
    <col min="14071" max="14071" width="10.85546875" style="669" customWidth="1"/>
    <col min="14072" max="14072" width="9.140625" style="669"/>
    <col min="14073" max="14073" width="34.140625" style="669" customWidth="1"/>
    <col min="14074" max="14085" width="0" style="669" hidden="1" customWidth="1"/>
    <col min="14086" max="14086" width="15.28515625" style="669" customWidth="1"/>
    <col min="14087" max="14087" width="13.7109375" style="669" customWidth="1"/>
    <col min="14088" max="14088" width="10.5703125" style="669" customWidth="1"/>
    <col min="14089" max="14090" width="14.140625" style="669" customWidth="1"/>
    <col min="14091" max="14092" width="9.140625" style="669"/>
    <col min="14093" max="14093" width="11.28515625" style="669" customWidth="1"/>
    <col min="14094" max="14326" width="9.140625" style="669"/>
    <col min="14327" max="14327" width="10.85546875" style="669" customWidth="1"/>
    <col min="14328" max="14328" width="9.140625" style="669"/>
    <col min="14329" max="14329" width="34.140625" style="669" customWidth="1"/>
    <col min="14330" max="14341" width="0" style="669" hidden="1" customWidth="1"/>
    <col min="14342" max="14342" width="15.28515625" style="669" customWidth="1"/>
    <col min="14343" max="14343" width="13.7109375" style="669" customWidth="1"/>
    <col min="14344" max="14344" width="10.5703125" style="669" customWidth="1"/>
    <col min="14345" max="14346" width="14.140625" style="669" customWidth="1"/>
    <col min="14347" max="14348" width="9.140625" style="669"/>
    <col min="14349" max="14349" width="11.28515625" style="669" customWidth="1"/>
    <col min="14350" max="14582" width="9.140625" style="669"/>
    <col min="14583" max="14583" width="10.85546875" style="669" customWidth="1"/>
    <col min="14584" max="14584" width="9.140625" style="669"/>
    <col min="14585" max="14585" width="34.140625" style="669" customWidth="1"/>
    <col min="14586" max="14597" width="0" style="669" hidden="1" customWidth="1"/>
    <col min="14598" max="14598" width="15.28515625" style="669" customWidth="1"/>
    <col min="14599" max="14599" width="13.7109375" style="669" customWidth="1"/>
    <col min="14600" max="14600" width="10.5703125" style="669" customWidth="1"/>
    <col min="14601" max="14602" width="14.140625" style="669" customWidth="1"/>
    <col min="14603" max="14604" width="9.140625" style="669"/>
    <col min="14605" max="14605" width="11.28515625" style="669" customWidth="1"/>
    <col min="14606" max="14838" width="9.140625" style="669"/>
    <col min="14839" max="14839" width="10.85546875" style="669" customWidth="1"/>
    <col min="14840" max="14840" width="9.140625" style="669"/>
    <col min="14841" max="14841" width="34.140625" style="669" customWidth="1"/>
    <col min="14842" max="14853" width="0" style="669" hidden="1" customWidth="1"/>
    <col min="14854" max="14854" width="15.28515625" style="669" customWidth="1"/>
    <col min="14855" max="14855" width="13.7109375" style="669" customWidth="1"/>
    <col min="14856" max="14856" width="10.5703125" style="669" customWidth="1"/>
    <col min="14857" max="14858" width="14.140625" style="669" customWidth="1"/>
    <col min="14859" max="14860" width="9.140625" style="669"/>
    <col min="14861" max="14861" width="11.28515625" style="669" customWidth="1"/>
    <col min="14862" max="15094" width="9.140625" style="669"/>
    <col min="15095" max="15095" width="10.85546875" style="669" customWidth="1"/>
    <col min="15096" max="15096" width="9.140625" style="669"/>
    <col min="15097" max="15097" width="34.140625" style="669" customWidth="1"/>
    <col min="15098" max="15109" width="0" style="669" hidden="1" customWidth="1"/>
    <col min="15110" max="15110" width="15.28515625" style="669" customWidth="1"/>
    <col min="15111" max="15111" width="13.7109375" style="669" customWidth="1"/>
    <col min="15112" max="15112" width="10.5703125" style="669" customWidth="1"/>
    <col min="15113" max="15114" width="14.140625" style="669" customWidth="1"/>
    <col min="15115" max="15116" width="9.140625" style="669"/>
    <col min="15117" max="15117" width="11.28515625" style="669" customWidth="1"/>
    <col min="15118" max="15350" width="9.140625" style="669"/>
    <col min="15351" max="15351" width="10.85546875" style="669" customWidth="1"/>
    <col min="15352" max="15352" width="9.140625" style="669"/>
    <col min="15353" max="15353" width="34.140625" style="669" customWidth="1"/>
    <col min="15354" max="15365" width="0" style="669" hidden="1" customWidth="1"/>
    <col min="15366" max="15366" width="15.28515625" style="669" customWidth="1"/>
    <col min="15367" max="15367" width="13.7109375" style="669" customWidth="1"/>
    <col min="15368" max="15368" width="10.5703125" style="669" customWidth="1"/>
    <col min="15369" max="15370" width="14.140625" style="669" customWidth="1"/>
    <col min="15371" max="15372" width="9.140625" style="669"/>
    <col min="15373" max="15373" width="11.28515625" style="669" customWidth="1"/>
    <col min="15374" max="15606" width="9.140625" style="669"/>
    <col min="15607" max="15607" width="10.85546875" style="669" customWidth="1"/>
    <col min="15608" max="15608" width="9.140625" style="669"/>
    <col min="15609" max="15609" width="34.140625" style="669" customWidth="1"/>
    <col min="15610" max="15621" width="0" style="669" hidden="1" customWidth="1"/>
    <col min="15622" max="15622" width="15.28515625" style="669" customWidth="1"/>
    <col min="15623" max="15623" width="13.7109375" style="669" customWidth="1"/>
    <col min="15624" max="15624" width="10.5703125" style="669" customWidth="1"/>
    <col min="15625" max="15626" width="14.140625" style="669" customWidth="1"/>
    <col min="15627" max="15628" width="9.140625" style="669"/>
    <col min="15629" max="15629" width="11.28515625" style="669" customWidth="1"/>
    <col min="15630" max="15862" width="9.140625" style="669"/>
    <col min="15863" max="15863" width="10.85546875" style="669" customWidth="1"/>
    <col min="15864" max="15864" width="9.140625" style="669"/>
    <col min="15865" max="15865" width="34.140625" style="669" customWidth="1"/>
    <col min="15866" max="15877" width="0" style="669" hidden="1" customWidth="1"/>
    <col min="15878" max="15878" width="15.28515625" style="669" customWidth="1"/>
    <col min="15879" max="15879" width="13.7109375" style="669" customWidth="1"/>
    <col min="15880" max="15880" width="10.5703125" style="669" customWidth="1"/>
    <col min="15881" max="15882" width="14.140625" style="669" customWidth="1"/>
    <col min="15883" max="15884" width="9.140625" style="669"/>
    <col min="15885" max="15885" width="11.28515625" style="669" customWidth="1"/>
    <col min="15886" max="16118" width="9.140625" style="669"/>
    <col min="16119" max="16119" width="10.85546875" style="669" customWidth="1"/>
    <col min="16120" max="16120" width="9.140625" style="669"/>
    <col min="16121" max="16121" width="34.140625" style="669" customWidth="1"/>
    <col min="16122" max="16133" width="0" style="669" hidden="1" customWidth="1"/>
    <col min="16134" max="16134" width="15.28515625" style="669" customWidth="1"/>
    <col min="16135" max="16135" width="13.7109375" style="669" customWidth="1"/>
    <col min="16136" max="16136" width="10.5703125" style="669" customWidth="1"/>
    <col min="16137" max="16138" width="14.140625" style="669" customWidth="1"/>
    <col min="16139" max="16140" width="9.140625" style="669"/>
    <col min="16141" max="16141" width="11.28515625" style="669" customWidth="1"/>
    <col min="16142" max="16384" width="9.140625" style="669"/>
  </cols>
  <sheetData>
    <row r="1" spans="1:22" ht="15.75" thickBot="1" x14ac:dyDescent="0.3">
      <c r="A1" s="821" t="s">
        <v>308</v>
      </c>
      <c r="B1" s="821"/>
      <c r="C1" s="821"/>
      <c r="D1" s="821"/>
      <c r="E1" s="821"/>
      <c r="F1" s="821"/>
      <c r="G1" s="821"/>
      <c r="H1" s="821"/>
      <c r="I1" s="821"/>
      <c r="J1" s="821"/>
      <c r="K1" s="821"/>
      <c r="L1" s="821"/>
      <c r="M1" s="821"/>
      <c r="N1" s="821"/>
      <c r="O1" s="821"/>
      <c r="P1" s="821"/>
      <c r="Q1" s="821"/>
      <c r="R1" s="821"/>
      <c r="S1" s="821"/>
      <c r="T1" s="821"/>
    </row>
    <row r="2" spans="1:22" ht="13.5" customHeight="1" thickTop="1" thickBot="1" x14ac:dyDescent="0.3">
      <c r="A2" s="769" t="s">
        <v>112</v>
      </c>
      <c r="B2" s="825" t="s">
        <v>1</v>
      </c>
      <c r="C2" s="773" t="s">
        <v>113</v>
      </c>
      <c r="D2" s="717" t="s">
        <v>114</v>
      </c>
      <c r="E2" s="717" t="s">
        <v>115</v>
      </c>
      <c r="F2" s="717" t="s">
        <v>116</v>
      </c>
      <c r="G2" s="717" t="s">
        <v>117</v>
      </c>
      <c r="H2" s="717" t="s">
        <v>118</v>
      </c>
      <c r="I2" s="717" t="s">
        <v>8</v>
      </c>
      <c r="J2" s="717" t="s">
        <v>9</v>
      </c>
      <c r="K2" s="717" t="s">
        <v>10</v>
      </c>
      <c r="L2" s="717" t="s">
        <v>11</v>
      </c>
      <c r="M2" s="823" t="s">
        <v>309</v>
      </c>
      <c r="N2" s="823" t="s">
        <v>13</v>
      </c>
      <c r="O2" s="717" t="s">
        <v>14</v>
      </c>
      <c r="P2" s="717" t="s">
        <v>459</v>
      </c>
      <c r="Q2" s="717" t="s">
        <v>440</v>
      </c>
      <c r="R2" s="767" t="s">
        <v>482</v>
      </c>
      <c r="S2" s="768"/>
      <c r="T2" s="723" t="s">
        <v>406</v>
      </c>
      <c r="V2" s="670"/>
    </row>
    <row r="3" spans="1:22" ht="27.75" customHeight="1" thickBot="1" x14ac:dyDescent="0.3">
      <c r="A3" s="770"/>
      <c r="B3" s="826"/>
      <c r="C3" s="774"/>
      <c r="D3" s="718"/>
      <c r="E3" s="718"/>
      <c r="F3" s="718"/>
      <c r="G3" s="718"/>
      <c r="H3" s="718"/>
      <c r="I3" s="718"/>
      <c r="J3" s="718"/>
      <c r="K3" s="718"/>
      <c r="L3" s="718"/>
      <c r="M3" s="824"/>
      <c r="N3" s="824"/>
      <c r="O3" s="718"/>
      <c r="P3" s="718"/>
      <c r="Q3" s="718"/>
      <c r="R3" s="639" t="s">
        <v>18</v>
      </c>
      <c r="S3" s="640" t="s">
        <v>20</v>
      </c>
      <c r="T3" s="724"/>
      <c r="V3" s="670"/>
    </row>
    <row r="4" spans="1:22" ht="16.5" customHeight="1" thickTop="1" thickBot="1" x14ac:dyDescent="0.3">
      <c r="A4" s="226" t="s">
        <v>120</v>
      </c>
      <c r="B4" s="822" t="s">
        <v>310</v>
      </c>
      <c r="C4" s="822"/>
      <c r="D4" s="384">
        <v>372735</v>
      </c>
      <c r="E4" s="384">
        <v>64629</v>
      </c>
      <c r="F4" s="384">
        <v>39833</v>
      </c>
      <c r="G4" s="384">
        <v>3383</v>
      </c>
      <c r="H4" s="384"/>
      <c r="I4" s="385">
        <v>18260</v>
      </c>
      <c r="J4" s="385">
        <v>0</v>
      </c>
      <c r="K4" s="385">
        <v>0</v>
      </c>
      <c r="L4" s="385">
        <v>0</v>
      </c>
      <c r="M4" s="385">
        <v>0</v>
      </c>
      <c r="N4" s="384">
        <v>6946.8</v>
      </c>
      <c r="O4" s="384">
        <v>10541.5</v>
      </c>
      <c r="P4" s="384">
        <v>23813.83</v>
      </c>
      <c r="Q4" s="384">
        <f>Q5</f>
        <v>20000</v>
      </c>
      <c r="R4" s="384">
        <f>R5</f>
        <v>0</v>
      </c>
      <c r="S4" s="384">
        <f>S5</f>
        <v>0</v>
      </c>
      <c r="T4" s="647">
        <f>T5</f>
        <v>20000</v>
      </c>
    </row>
    <row r="5" spans="1:22" ht="15.75" thickBot="1" x14ac:dyDescent="0.3">
      <c r="A5" s="777"/>
      <c r="B5" s="829"/>
      <c r="C5" s="111" t="s">
        <v>443</v>
      </c>
      <c r="D5" s="54"/>
      <c r="E5" s="54"/>
      <c r="F5" s="54"/>
      <c r="G5" s="54"/>
      <c r="H5" s="82"/>
      <c r="I5" s="82"/>
      <c r="J5" s="82"/>
      <c r="K5" s="54"/>
      <c r="L5" s="54"/>
      <c r="M5" s="54"/>
      <c r="N5" s="54"/>
      <c r="O5" s="54"/>
      <c r="P5" s="54"/>
      <c r="Q5" s="83">
        <v>20000</v>
      </c>
      <c r="R5" s="83"/>
      <c r="S5" s="83"/>
      <c r="T5" s="98">
        <f>Q5+R5+S5</f>
        <v>20000</v>
      </c>
    </row>
    <row r="6" spans="1:22" ht="15.75" hidden="1" customHeight="1" thickBot="1" x14ac:dyDescent="0.3">
      <c r="A6" s="778"/>
      <c r="B6" s="830"/>
      <c r="C6" s="111"/>
      <c r="D6" s="54"/>
      <c r="E6" s="54"/>
      <c r="F6" s="54"/>
      <c r="G6" s="54"/>
      <c r="H6" s="82"/>
      <c r="I6" s="82"/>
      <c r="J6" s="82"/>
      <c r="K6" s="54"/>
      <c r="L6" s="54"/>
      <c r="M6" s="54"/>
      <c r="N6" s="54"/>
      <c r="O6" s="54"/>
      <c r="P6" s="54"/>
      <c r="Q6" s="83"/>
      <c r="R6" s="83">
        <v>0</v>
      </c>
      <c r="S6" s="83"/>
      <c r="T6" s="98"/>
    </row>
    <row r="7" spans="1:22" ht="15.75" hidden="1" customHeight="1" thickBot="1" x14ac:dyDescent="0.3">
      <c r="A7" s="778"/>
      <c r="B7" s="830"/>
      <c r="C7" s="111"/>
      <c r="D7" s="54"/>
      <c r="E7" s="54"/>
      <c r="F7" s="54"/>
      <c r="G7" s="54"/>
      <c r="H7" s="82"/>
      <c r="I7" s="82"/>
      <c r="J7" s="82"/>
      <c r="K7" s="54"/>
      <c r="L7" s="54"/>
      <c r="M7" s="54"/>
      <c r="N7" s="54"/>
      <c r="O7" s="54"/>
      <c r="P7" s="54"/>
      <c r="Q7" s="83"/>
      <c r="R7" s="83">
        <v>0</v>
      </c>
      <c r="S7" s="83"/>
      <c r="T7" s="98"/>
    </row>
    <row r="8" spans="1:22" ht="15.75" hidden="1" customHeight="1" thickBot="1" x14ac:dyDescent="0.3">
      <c r="A8" s="779"/>
      <c r="B8" s="831"/>
      <c r="C8" s="111"/>
      <c r="D8" s="54"/>
      <c r="E8" s="54"/>
      <c r="F8" s="54"/>
      <c r="G8" s="54"/>
      <c r="H8" s="82"/>
      <c r="I8" s="82"/>
      <c r="J8" s="82"/>
      <c r="K8" s="54"/>
      <c r="L8" s="54"/>
      <c r="M8" s="54"/>
      <c r="N8" s="54"/>
      <c r="O8" s="54"/>
      <c r="P8" s="54"/>
      <c r="Q8" s="83"/>
      <c r="R8" s="83">
        <v>0</v>
      </c>
      <c r="S8" s="112"/>
      <c r="T8" s="380"/>
    </row>
    <row r="9" spans="1:22" ht="15.75" thickBot="1" x14ac:dyDescent="0.3">
      <c r="A9" s="172" t="s">
        <v>142</v>
      </c>
      <c r="B9" s="832" t="s">
        <v>311</v>
      </c>
      <c r="C9" s="832"/>
      <c r="D9" s="196">
        <v>17958</v>
      </c>
      <c r="E9" s="196">
        <v>0</v>
      </c>
      <c r="F9" s="196">
        <v>19916</v>
      </c>
      <c r="G9" s="196">
        <v>18253</v>
      </c>
      <c r="H9" s="196">
        <v>16675</v>
      </c>
      <c r="I9" s="375">
        <v>3031</v>
      </c>
      <c r="J9" s="375">
        <v>0</v>
      </c>
      <c r="K9" s="102">
        <f>SUM(K10:K11)</f>
        <v>10398</v>
      </c>
      <c r="L9" s="102"/>
      <c r="M9" s="102">
        <f>SUM(M10:M11)</f>
        <v>0</v>
      </c>
      <c r="N9" s="102">
        <v>5666.4</v>
      </c>
      <c r="O9" s="102">
        <v>10703.82</v>
      </c>
      <c r="P9" s="102">
        <v>12513.86</v>
      </c>
      <c r="Q9" s="102">
        <f>Q10</f>
        <v>15000</v>
      </c>
      <c r="R9" s="102">
        <f>R10</f>
        <v>0</v>
      </c>
      <c r="S9" s="102">
        <f>S10</f>
        <v>0</v>
      </c>
      <c r="T9" s="105">
        <f>T10</f>
        <v>15000</v>
      </c>
    </row>
    <row r="10" spans="1:22" ht="15.75" thickBot="1" x14ac:dyDescent="0.3">
      <c r="A10" s="386"/>
      <c r="B10" s="829"/>
      <c r="C10" s="66" t="s">
        <v>312</v>
      </c>
      <c r="D10" s="23"/>
      <c r="E10" s="23"/>
      <c r="F10" s="23"/>
      <c r="G10" s="23"/>
      <c r="H10" s="81"/>
      <c r="I10" s="81"/>
      <c r="J10" s="81"/>
      <c r="K10" s="23">
        <v>10398</v>
      </c>
      <c r="L10" s="23"/>
      <c r="M10" s="23"/>
      <c r="N10" s="23"/>
      <c r="O10" s="23"/>
      <c r="P10" s="23"/>
      <c r="Q10" s="67">
        <v>15000</v>
      </c>
      <c r="R10" s="67"/>
      <c r="S10" s="67"/>
      <c r="T10" s="387">
        <f>Q10+R10+S10</f>
        <v>15000</v>
      </c>
    </row>
    <row r="11" spans="1:22" ht="15.75" hidden="1" customHeight="1" thickBot="1" x14ac:dyDescent="0.3">
      <c r="A11" s="386"/>
      <c r="B11" s="831"/>
      <c r="C11" s="191" t="s">
        <v>313</v>
      </c>
      <c r="D11" s="109"/>
      <c r="E11" s="109"/>
      <c r="F11" s="109"/>
      <c r="G11" s="109"/>
      <c r="H11" s="107"/>
      <c r="I11" s="107"/>
      <c r="J11" s="107"/>
      <c r="K11" s="109"/>
      <c r="L11" s="109"/>
      <c r="M11" s="109"/>
      <c r="N11" s="109"/>
      <c r="O11" s="109"/>
      <c r="P11" s="109"/>
      <c r="Q11" s="83"/>
      <c r="R11" s="83">
        <v>0</v>
      </c>
      <c r="S11" s="83"/>
      <c r="T11" s="98"/>
    </row>
    <row r="12" spans="1:22" ht="15.75" thickBot="1" x14ac:dyDescent="0.3">
      <c r="A12" s="172" t="s">
        <v>152</v>
      </c>
      <c r="B12" s="832" t="s">
        <v>474</v>
      </c>
      <c r="C12" s="832"/>
      <c r="D12" s="196">
        <v>894211</v>
      </c>
      <c r="E12" s="196">
        <v>382958</v>
      </c>
      <c r="F12" s="196">
        <v>343590</v>
      </c>
      <c r="G12" s="196">
        <v>610914</v>
      </c>
      <c r="H12" s="196">
        <v>1718795</v>
      </c>
      <c r="I12" s="375">
        <v>495900</v>
      </c>
      <c r="J12" s="196">
        <v>421522</v>
      </c>
      <c r="K12" s="102">
        <f>SUM(K13:K29)</f>
        <v>2058954</v>
      </c>
      <c r="L12" s="102">
        <v>108548.12</v>
      </c>
      <c r="M12" s="103">
        <f>SUM(M13:M29)</f>
        <v>187078.06</v>
      </c>
      <c r="N12" s="102">
        <v>923357.06</v>
      </c>
      <c r="O12" s="102">
        <v>421573.23</v>
      </c>
      <c r="P12" s="102">
        <v>904828.37</v>
      </c>
      <c r="Q12" s="102">
        <f>SUM(Q13:Q29)</f>
        <v>2144150</v>
      </c>
      <c r="R12" s="102">
        <f>SUM(R13:R29)</f>
        <v>-30995</v>
      </c>
      <c r="S12" s="102">
        <f>SUM(S13:S29)</f>
        <v>0</v>
      </c>
      <c r="T12" s="105">
        <f>SUM(T13:T29)</f>
        <v>2113155</v>
      </c>
    </row>
    <row r="13" spans="1:22" x14ac:dyDescent="0.25">
      <c r="A13" s="778"/>
      <c r="B13" s="827"/>
      <c r="C13" s="68" t="s">
        <v>411</v>
      </c>
      <c r="D13" s="54"/>
      <c r="E13" s="54"/>
      <c r="F13" s="54"/>
      <c r="G13" s="54"/>
      <c r="H13" s="82"/>
      <c r="I13" s="82"/>
      <c r="J13" s="54"/>
      <c r="K13" s="54">
        <v>47371</v>
      </c>
      <c r="L13" s="54">
        <v>31209.200000000001</v>
      </c>
      <c r="M13" s="53">
        <v>11397.78</v>
      </c>
      <c r="N13" s="54"/>
      <c r="O13" s="54"/>
      <c r="P13" s="54"/>
      <c r="Q13" s="83">
        <v>399218</v>
      </c>
      <c r="R13" s="83"/>
      <c r="S13" s="83"/>
      <c r="T13" s="98">
        <f t="shared" ref="T13:T29" si="0">Q13+R13+S13</f>
        <v>399218</v>
      </c>
    </row>
    <row r="14" spans="1:22" ht="15" customHeight="1" x14ac:dyDescent="0.25">
      <c r="A14" s="778"/>
      <c r="B14" s="827"/>
      <c r="C14" s="68" t="s">
        <v>314</v>
      </c>
      <c r="D14" s="54"/>
      <c r="E14" s="54"/>
      <c r="F14" s="54"/>
      <c r="G14" s="54"/>
      <c r="H14" s="82"/>
      <c r="I14" s="82"/>
      <c r="J14" s="54"/>
      <c r="K14" s="54"/>
      <c r="L14" s="54"/>
      <c r="M14" s="53"/>
      <c r="N14" s="54"/>
      <c r="O14" s="54"/>
      <c r="P14" s="54"/>
      <c r="Q14" s="83">
        <v>983501</v>
      </c>
      <c r="R14" s="83"/>
      <c r="S14" s="83"/>
      <c r="T14" s="98">
        <f>Q14+R14+S14</f>
        <v>983501</v>
      </c>
    </row>
    <row r="15" spans="1:22" ht="15" customHeight="1" x14ac:dyDescent="0.25">
      <c r="A15" s="778"/>
      <c r="B15" s="827"/>
      <c r="C15" s="68" t="s">
        <v>470</v>
      </c>
      <c r="D15" s="30"/>
      <c r="E15" s="30"/>
      <c r="F15" s="30"/>
      <c r="G15" s="30"/>
      <c r="H15" s="86"/>
      <c r="I15" s="86"/>
      <c r="J15" s="30"/>
      <c r="K15" s="30"/>
      <c r="L15" s="54"/>
      <c r="M15" s="53">
        <v>4562.8</v>
      </c>
      <c r="N15" s="54"/>
      <c r="O15" s="54"/>
      <c r="P15" s="54"/>
      <c r="Q15" s="83">
        <v>8639</v>
      </c>
      <c r="R15" s="83">
        <v>-8639</v>
      </c>
      <c r="S15" s="83"/>
      <c r="T15" s="98">
        <f t="shared" si="0"/>
        <v>0</v>
      </c>
    </row>
    <row r="16" spans="1:22" ht="15" customHeight="1" x14ac:dyDescent="0.25">
      <c r="A16" s="778"/>
      <c r="B16" s="827"/>
      <c r="C16" s="68" t="s">
        <v>471</v>
      </c>
      <c r="D16" s="57"/>
      <c r="E16" s="57"/>
      <c r="F16" s="57"/>
      <c r="G16" s="57"/>
      <c r="H16" s="100"/>
      <c r="I16" s="100"/>
      <c r="J16" s="57"/>
      <c r="K16" s="57"/>
      <c r="L16" s="54"/>
      <c r="M16" s="53"/>
      <c r="N16" s="54"/>
      <c r="O16" s="54"/>
      <c r="P16" s="54"/>
      <c r="Q16" s="83">
        <v>22356</v>
      </c>
      <c r="R16" s="83">
        <v>-22356</v>
      </c>
      <c r="S16" s="83"/>
      <c r="T16" s="98">
        <f t="shared" si="0"/>
        <v>0</v>
      </c>
    </row>
    <row r="17" spans="1:22" ht="15" customHeight="1" x14ac:dyDescent="0.25">
      <c r="A17" s="778"/>
      <c r="B17" s="827"/>
      <c r="C17" s="68" t="s">
        <v>472</v>
      </c>
      <c r="D17" s="57"/>
      <c r="E17" s="57"/>
      <c r="F17" s="57"/>
      <c r="G17" s="57"/>
      <c r="H17" s="100"/>
      <c r="I17" s="100"/>
      <c r="J17" s="57"/>
      <c r="K17" s="57">
        <v>282056</v>
      </c>
      <c r="L17" s="54"/>
      <c r="M17" s="151">
        <v>0</v>
      </c>
      <c r="N17" s="83"/>
      <c r="O17" s="83"/>
      <c r="P17" s="83"/>
      <c r="Q17" s="83">
        <v>10000</v>
      </c>
      <c r="R17" s="83"/>
      <c r="S17" s="83"/>
      <c r="T17" s="98">
        <f t="shared" si="0"/>
        <v>10000</v>
      </c>
    </row>
    <row r="18" spans="1:22" ht="15" hidden="1" customHeight="1" x14ac:dyDescent="0.25">
      <c r="A18" s="778"/>
      <c r="B18" s="827"/>
      <c r="C18" s="68"/>
      <c r="D18" s="30"/>
      <c r="E18" s="30"/>
      <c r="F18" s="30"/>
      <c r="G18" s="30"/>
      <c r="H18" s="86"/>
      <c r="I18" s="86"/>
      <c r="J18" s="30"/>
      <c r="K18" s="30">
        <v>881052</v>
      </c>
      <c r="L18" s="54">
        <v>70504.899999999994</v>
      </c>
      <c r="M18" s="53"/>
      <c r="N18" s="54"/>
      <c r="O18" s="54"/>
      <c r="P18" s="54"/>
      <c r="Q18" s="83">
        <v>0</v>
      </c>
      <c r="R18" s="83"/>
      <c r="S18" s="83"/>
      <c r="T18" s="98">
        <f t="shared" si="0"/>
        <v>0</v>
      </c>
    </row>
    <row r="19" spans="1:22" ht="15" hidden="1" customHeight="1" x14ac:dyDescent="0.25">
      <c r="A19" s="778"/>
      <c r="B19" s="827"/>
      <c r="C19" s="68"/>
      <c r="D19" s="30"/>
      <c r="E19" s="30"/>
      <c r="F19" s="30"/>
      <c r="G19" s="30"/>
      <c r="H19" s="86"/>
      <c r="I19" s="86"/>
      <c r="J19" s="30"/>
      <c r="K19" s="30">
        <v>100004</v>
      </c>
      <c r="L19" s="54"/>
      <c r="M19" s="53">
        <v>13200</v>
      </c>
      <c r="N19" s="54"/>
      <c r="O19" s="54"/>
      <c r="P19" s="54"/>
      <c r="Q19" s="83">
        <v>0</v>
      </c>
      <c r="R19" s="83"/>
      <c r="S19" s="83"/>
      <c r="T19" s="98">
        <f t="shared" si="0"/>
        <v>0</v>
      </c>
    </row>
    <row r="20" spans="1:22" hidden="1" x14ac:dyDescent="0.25">
      <c r="A20" s="778"/>
      <c r="B20" s="827"/>
      <c r="C20" s="68"/>
      <c r="D20" s="30"/>
      <c r="E20" s="30"/>
      <c r="F20" s="30"/>
      <c r="G20" s="30"/>
      <c r="H20" s="86"/>
      <c r="I20" s="86"/>
      <c r="J20" s="30"/>
      <c r="K20" s="30">
        <v>0</v>
      </c>
      <c r="L20" s="54"/>
      <c r="M20" s="53"/>
      <c r="N20" s="54"/>
      <c r="O20" s="54"/>
      <c r="P20" s="54"/>
      <c r="Q20" s="83">
        <v>0</v>
      </c>
      <c r="R20" s="83"/>
      <c r="S20" s="83"/>
      <c r="T20" s="98">
        <f t="shared" si="0"/>
        <v>0</v>
      </c>
      <c r="V20" s="672"/>
    </row>
    <row r="21" spans="1:22" ht="15.75" customHeight="1" x14ac:dyDescent="0.25">
      <c r="A21" s="778"/>
      <c r="B21" s="827"/>
      <c r="C21" s="68" t="s">
        <v>454</v>
      </c>
      <c r="D21" s="30"/>
      <c r="E21" s="30"/>
      <c r="F21" s="30"/>
      <c r="G21" s="30"/>
      <c r="H21" s="86"/>
      <c r="I21" s="86"/>
      <c r="J21" s="30"/>
      <c r="K21" s="30"/>
      <c r="L21" s="54"/>
      <c r="M21" s="53">
        <v>144897.48000000001</v>
      </c>
      <c r="N21" s="54"/>
      <c r="O21" s="54"/>
      <c r="P21" s="54"/>
      <c r="Q21" s="83">
        <v>99050</v>
      </c>
      <c r="R21" s="83"/>
      <c r="S21" s="83"/>
      <c r="T21" s="98">
        <f t="shared" si="0"/>
        <v>99050</v>
      </c>
    </row>
    <row r="22" spans="1:22" ht="15.75" customHeight="1" x14ac:dyDescent="0.25">
      <c r="A22" s="778"/>
      <c r="B22" s="827"/>
      <c r="C22" s="68" t="s">
        <v>465</v>
      </c>
      <c r="D22" s="30"/>
      <c r="E22" s="30"/>
      <c r="F22" s="30"/>
      <c r="G22" s="30"/>
      <c r="H22" s="86"/>
      <c r="I22" s="86"/>
      <c r="J22" s="30"/>
      <c r="K22" s="30"/>
      <c r="L22" s="54"/>
      <c r="M22" s="53"/>
      <c r="N22" s="54"/>
      <c r="O22" s="54"/>
      <c r="P22" s="54"/>
      <c r="Q22" s="83">
        <v>86823</v>
      </c>
      <c r="R22" s="83"/>
      <c r="S22" s="83"/>
      <c r="T22" s="98">
        <f>Q22+R22+S22</f>
        <v>86823</v>
      </c>
    </row>
    <row r="23" spans="1:22" ht="15.75" customHeight="1" thickBot="1" x14ac:dyDescent="0.3">
      <c r="A23" s="778"/>
      <c r="B23" s="827"/>
      <c r="C23" s="68" t="s">
        <v>392</v>
      </c>
      <c r="D23" s="30"/>
      <c r="E23" s="30"/>
      <c r="F23" s="30"/>
      <c r="G23" s="30"/>
      <c r="H23" s="86"/>
      <c r="I23" s="86"/>
      <c r="J23" s="30"/>
      <c r="K23" s="30"/>
      <c r="L23" s="30"/>
      <c r="M23" s="29"/>
      <c r="N23" s="30"/>
      <c r="O23" s="30"/>
      <c r="P23" s="30"/>
      <c r="Q23" s="30">
        <v>534563</v>
      </c>
      <c r="R23" s="83"/>
      <c r="S23" s="69"/>
      <c r="T23" s="99">
        <f t="shared" si="0"/>
        <v>534563</v>
      </c>
    </row>
    <row r="24" spans="1:22" ht="15.75" hidden="1" customHeight="1" x14ac:dyDescent="0.25">
      <c r="A24" s="778"/>
      <c r="B24" s="827"/>
      <c r="C24" s="68" t="s">
        <v>305</v>
      </c>
      <c r="D24" s="30"/>
      <c r="E24" s="30"/>
      <c r="F24" s="30"/>
      <c r="G24" s="30"/>
      <c r="H24" s="86"/>
      <c r="I24" s="86"/>
      <c r="J24" s="30"/>
      <c r="K24" s="30"/>
      <c r="L24" s="30"/>
      <c r="M24" s="29"/>
      <c r="N24" s="30"/>
      <c r="O24" s="30"/>
      <c r="P24" s="30"/>
      <c r="Q24" s="69"/>
      <c r="R24" s="83"/>
      <c r="S24" s="69"/>
      <c r="T24" s="99">
        <f t="shared" si="0"/>
        <v>0</v>
      </c>
    </row>
    <row r="25" spans="1:22" ht="15.75" hidden="1" customHeight="1" x14ac:dyDescent="0.25">
      <c r="A25" s="778"/>
      <c r="B25" s="827"/>
      <c r="C25" s="68" t="s">
        <v>315</v>
      </c>
      <c r="D25" s="30"/>
      <c r="E25" s="30"/>
      <c r="F25" s="30"/>
      <c r="G25" s="30"/>
      <c r="H25" s="86"/>
      <c r="I25" s="86"/>
      <c r="J25" s="30"/>
      <c r="K25" s="30"/>
      <c r="L25" s="30"/>
      <c r="M25" s="29">
        <v>1500</v>
      </c>
      <c r="N25" s="30"/>
      <c r="O25" s="30"/>
      <c r="P25" s="30"/>
      <c r="Q25" s="69"/>
      <c r="R25" s="69"/>
      <c r="S25" s="69"/>
      <c r="T25" s="99">
        <f t="shared" si="0"/>
        <v>0</v>
      </c>
    </row>
    <row r="26" spans="1:22" ht="15.75" hidden="1" customHeight="1" x14ac:dyDescent="0.25">
      <c r="A26" s="778"/>
      <c r="B26" s="827"/>
      <c r="C26" s="68" t="s">
        <v>154</v>
      </c>
      <c r="D26" s="30"/>
      <c r="E26" s="30"/>
      <c r="F26" s="30"/>
      <c r="G26" s="30"/>
      <c r="H26" s="86"/>
      <c r="I26" s="86"/>
      <c r="J26" s="30"/>
      <c r="K26" s="30"/>
      <c r="L26" s="30"/>
      <c r="M26" s="29"/>
      <c r="N26" s="30"/>
      <c r="O26" s="30"/>
      <c r="P26" s="30"/>
      <c r="Q26" s="69"/>
      <c r="R26" s="69"/>
      <c r="S26" s="83"/>
      <c r="T26" s="98">
        <f t="shared" si="0"/>
        <v>0</v>
      </c>
    </row>
    <row r="27" spans="1:22" ht="15.75" hidden="1" customHeight="1" x14ac:dyDescent="0.25">
      <c r="A27" s="778"/>
      <c r="B27" s="827"/>
      <c r="C27" s="68" t="s">
        <v>316</v>
      </c>
      <c r="D27" s="30"/>
      <c r="E27" s="30"/>
      <c r="F27" s="30"/>
      <c r="G27" s="30"/>
      <c r="H27" s="86"/>
      <c r="I27" s="86"/>
      <c r="J27" s="30"/>
      <c r="K27" s="30"/>
      <c r="L27" s="30"/>
      <c r="M27" s="29"/>
      <c r="N27" s="30"/>
      <c r="O27" s="30"/>
      <c r="P27" s="30"/>
      <c r="Q27" s="69"/>
      <c r="R27" s="69"/>
      <c r="S27" s="83"/>
      <c r="T27" s="98">
        <f t="shared" si="0"/>
        <v>0</v>
      </c>
    </row>
    <row r="28" spans="1:22" ht="15.75" hidden="1" customHeight="1" x14ac:dyDescent="0.25">
      <c r="A28" s="778"/>
      <c r="B28" s="827"/>
      <c r="C28" s="68" t="s">
        <v>305</v>
      </c>
      <c r="D28" s="30"/>
      <c r="E28" s="30"/>
      <c r="F28" s="30"/>
      <c r="G28" s="30"/>
      <c r="H28" s="86"/>
      <c r="I28" s="86"/>
      <c r="J28" s="30"/>
      <c r="K28" s="30"/>
      <c r="L28" s="30"/>
      <c r="M28" s="29"/>
      <c r="N28" s="30"/>
      <c r="O28" s="30"/>
      <c r="P28" s="30"/>
      <c r="Q28" s="69"/>
      <c r="R28" s="69"/>
      <c r="S28" s="83"/>
      <c r="T28" s="98">
        <f t="shared" si="0"/>
        <v>0</v>
      </c>
    </row>
    <row r="29" spans="1:22" ht="15.75" hidden="1" customHeight="1" thickBot="1" x14ac:dyDescent="0.3">
      <c r="A29" s="779"/>
      <c r="B29" s="828"/>
      <c r="C29" s="191" t="s">
        <v>294</v>
      </c>
      <c r="D29" s="109"/>
      <c r="E29" s="109"/>
      <c r="F29" s="109"/>
      <c r="G29" s="109"/>
      <c r="H29" s="107"/>
      <c r="I29" s="107"/>
      <c r="J29" s="109"/>
      <c r="K29" s="109">
        <v>748471</v>
      </c>
      <c r="L29" s="109"/>
      <c r="M29" s="108">
        <v>11520</v>
      </c>
      <c r="N29" s="109"/>
      <c r="O29" s="109"/>
      <c r="P29" s="109"/>
      <c r="Q29" s="83"/>
      <c r="R29" s="83"/>
      <c r="S29" s="83"/>
      <c r="T29" s="98">
        <f t="shared" si="0"/>
        <v>0</v>
      </c>
    </row>
    <row r="30" spans="1:22" ht="15.75" thickBot="1" x14ac:dyDescent="0.3">
      <c r="A30" s="388" t="s">
        <v>155</v>
      </c>
      <c r="B30" s="727" t="s">
        <v>317</v>
      </c>
      <c r="C30" s="728"/>
      <c r="D30" s="196">
        <v>154053</v>
      </c>
      <c r="E30" s="196">
        <v>194317</v>
      </c>
      <c r="F30" s="196">
        <v>340238</v>
      </c>
      <c r="G30" s="196">
        <v>484191</v>
      </c>
      <c r="H30" s="196">
        <v>181309</v>
      </c>
      <c r="I30" s="375">
        <v>33695</v>
      </c>
      <c r="J30" s="196">
        <v>79908</v>
      </c>
      <c r="K30" s="102">
        <f>SUM(K31:K56)</f>
        <v>0</v>
      </c>
      <c r="L30" s="102">
        <f>SUM(L31:L56)</f>
        <v>75693</v>
      </c>
      <c r="M30" s="103">
        <f>SUM(M31:M47)</f>
        <v>107849.53999999998</v>
      </c>
      <c r="N30" s="102">
        <v>206988.84</v>
      </c>
      <c r="O30" s="102">
        <v>350387.76999999996</v>
      </c>
      <c r="P30" s="102">
        <v>405936.13</v>
      </c>
      <c r="Q30" s="102">
        <f>SUM(Q36:Q56)</f>
        <v>968452</v>
      </c>
      <c r="R30" s="102">
        <f>SUM(R36:R56)</f>
        <v>-32850</v>
      </c>
      <c r="S30" s="102">
        <f>SUM(S31:S56)</f>
        <v>0</v>
      </c>
      <c r="T30" s="105">
        <f>SUM(T31:T56)</f>
        <v>935602</v>
      </c>
    </row>
    <row r="31" spans="1:22" ht="15" hidden="1" customHeight="1" x14ac:dyDescent="0.25">
      <c r="A31" s="386"/>
      <c r="B31" s="389"/>
      <c r="C31" s="68" t="s">
        <v>318</v>
      </c>
      <c r="D31" s="30"/>
      <c r="E31" s="30"/>
      <c r="F31" s="30"/>
      <c r="G31" s="30"/>
      <c r="H31" s="86"/>
      <c r="I31" s="390"/>
      <c r="J31" s="391"/>
      <c r="K31" s="30"/>
      <c r="L31" s="54">
        <v>23757.119999999999</v>
      </c>
      <c r="M31" s="53"/>
      <c r="N31" s="54"/>
      <c r="O31" s="54"/>
      <c r="P31" s="54"/>
      <c r="Q31" s="83"/>
      <c r="R31" s="83">
        <v>0</v>
      </c>
      <c r="S31" s="83"/>
      <c r="T31" s="98"/>
    </row>
    <row r="32" spans="1:22" ht="15" hidden="1" customHeight="1" x14ac:dyDescent="0.25">
      <c r="A32" s="386"/>
      <c r="B32" s="389"/>
      <c r="C32" s="68" t="s">
        <v>319</v>
      </c>
      <c r="D32" s="30"/>
      <c r="E32" s="30"/>
      <c r="F32" s="30"/>
      <c r="G32" s="30"/>
      <c r="H32" s="86"/>
      <c r="I32" s="390"/>
      <c r="J32" s="391"/>
      <c r="K32" s="30"/>
      <c r="L32" s="54"/>
      <c r="M32" s="53"/>
      <c r="N32" s="54"/>
      <c r="O32" s="54"/>
      <c r="P32" s="54"/>
      <c r="Q32" s="83"/>
      <c r="R32" s="83">
        <v>0</v>
      </c>
      <c r="S32" s="83"/>
      <c r="T32" s="98"/>
    </row>
    <row r="33" spans="1:23" ht="15" hidden="1" customHeight="1" x14ac:dyDescent="0.25">
      <c r="A33" s="386"/>
      <c r="B33" s="389"/>
      <c r="C33" s="68" t="s">
        <v>320</v>
      </c>
      <c r="D33" s="30"/>
      <c r="E33" s="30"/>
      <c r="F33" s="30"/>
      <c r="G33" s="30"/>
      <c r="H33" s="86"/>
      <c r="I33" s="390"/>
      <c r="J33" s="391"/>
      <c r="K33" s="30"/>
      <c r="L33" s="54"/>
      <c r="M33" s="53"/>
      <c r="N33" s="54"/>
      <c r="O33" s="54"/>
      <c r="P33" s="54"/>
      <c r="Q33" s="83"/>
      <c r="R33" s="83">
        <v>0</v>
      </c>
      <c r="S33" s="83"/>
      <c r="T33" s="98"/>
    </row>
    <row r="34" spans="1:23" ht="15" hidden="1" customHeight="1" x14ac:dyDescent="0.25">
      <c r="A34" s="386"/>
      <c r="B34" s="389"/>
      <c r="C34" s="68" t="s">
        <v>321</v>
      </c>
      <c r="D34" s="30"/>
      <c r="E34" s="30"/>
      <c r="F34" s="30"/>
      <c r="G34" s="30"/>
      <c r="H34" s="86"/>
      <c r="I34" s="390"/>
      <c r="J34" s="391"/>
      <c r="K34" s="30"/>
      <c r="L34" s="54"/>
      <c r="M34" s="53"/>
      <c r="N34" s="54"/>
      <c r="O34" s="54"/>
      <c r="P34" s="54"/>
      <c r="Q34" s="83"/>
      <c r="R34" s="83">
        <v>0</v>
      </c>
      <c r="S34" s="83"/>
      <c r="T34" s="98"/>
    </row>
    <row r="35" spans="1:23" ht="15" hidden="1" customHeight="1" x14ac:dyDescent="0.25">
      <c r="A35" s="386"/>
      <c r="B35" s="389"/>
      <c r="C35" s="68" t="s">
        <v>322</v>
      </c>
      <c r="D35" s="30"/>
      <c r="E35" s="30"/>
      <c r="F35" s="30"/>
      <c r="G35" s="30"/>
      <c r="H35" s="86"/>
      <c r="I35" s="390"/>
      <c r="J35" s="391"/>
      <c r="K35" s="30"/>
      <c r="L35" s="54"/>
      <c r="M35" s="53"/>
      <c r="N35" s="54"/>
      <c r="O35" s="54"/>
      <c r="P35" s="54"/>
      <c r="Q35" s="83"/>
      <c r="R35" s="83">
        <v>0</v>
      </c>
      <c r="S35" s="83"/>
      <c r="T35" s="98"/>
    </row>
    <row r="36" spans="1:23" ht="15" customHeight="1" x14ac:dyDescent="0.25">
      <c r="A36" s="778"/>
      <c r="B36" s="830"/>
      <c r="C36" s="68" t="s">
        <v>451</v>
      </c>
      <c r="D36" s="30"/>
      <c r="E36" s="30"/>
      <c r="F36" s="30"/>
      <c r="G36" s="30"/>
      <c r="H36" s="86"/>
      <c r="I36" s="390"/>
      <c r="J36" s="391"/>
      <c r="K36" s="30"/>
      <c r="L36" s="54"/>
      <c r="M36" s="53"/>
      <c r="N36" s="54"/>
      <c r="O36" s="54"/>
      <c r="P36" s="54"/>
      <c r="Q36" s="83">
        <v>20000</v>
      </c>
      <c r="R36" s="83"/>
      <c r="S36" s="83"/>
      <c r="T36" s="98">
        <f t="shared" ref="T36:T56" si="1">Q36+R36+S36</f>
        <v>20000</v>
      </c>
    </row>
    <row r="37" spans="1:23" x14ac:dyDescent="0.25">
      <c r="A37" s="778"/>
      <c r="B37" s="830"/>
      <c r="C37" s="68" t="s">
        <v>323</v>
      </c>
      <c r="D37" s="30"/>
      <c r="E37" s="30"/>
      <c r="F37" s="30"/>
      <c r="G37" s="30"/>
      <c r="H37" s="86"/>
      <c r="I37" s="390"/>
      <c r="J37" s="391"/>
      <c r="K37" s="30"/>
      <c r="L37" s="54"/>
      <c r="M37" s="53"/>
      <c r="N37" s="54"/>
      <c r="O37" s="54"/>
      <c r="P37" s="54"/>
      <c r="Q37" s="83">
        <v>68000</v>
      </c>
      <c r="R37" s="83"/>
      <c r="S37" s="83"/>
      <c r="T37" s="98">
        <f t="shared" si="1"/>
        <v>68000</v>
      </c>
    </row>
    <row r="38" spans="1:23" ht="15" customHeight="1" x14ac:dyDescent="0.25">
      <c r="A38" s="778"/>
      <c r="B38" s="830"/>
      <c r="C38" s="68" t="s">
        <v>419</v>
      </c>
      <c r="D38" s="30"/>
      <c r="E38" s="30"/>
      <c r="F38" s="30"/>
      <c r="G38" s="30"/>
      <c r="H38" s="86"/>
      <c r="I38" s="390"/>
      <c r="J38" s="391"/>
      <c r="K38" s="30"/>
      <c r="L38" s="54"/>
      <c r="M38" s="53"/>
      <c r="N38" s="54"/>
      <c r="O38" s="54"/>
      <c r="P38" s="54"/>
      <c r="Q38" s="83">
        <v>380000</v>
      </c>
      <c r="R38" s="83"/>
      <c r="S38" s="83"/>
      <c r="T38" s="98">
        <f t="shared" si="1"/>
        <v>380000</v>
      </c>
    </row>
    <row r="39" spans="1:23" ht="15" customHeight="1" x14ac:dyDescent="0.25">
      <c r="A39" s="778"/>
      <c r="B39" s="830"/>
      <c r="C39" s="68" t="s">
        <v>421</v>
      </c>
      <c r="D39" s="30"/>
      <c r="E39" s="30"/>
      <c r="F39" s="30"/>
      <c r="G39" s="30"/>
      <c r="H39" s="86"/>
      <c r="I39" s="390"/>
      <c r="J39" s="391"/>
      <c r="K39" s="30"/>
      <c r="L39" s="54"/>
      <c r="M39" s="53"/>
      <c r="N39" s="54"/>
      <c r="O39" s="54"/>
      <c r="P39" s="54"/>
      <c r="Q39" s="83">
        <v>3870</v>
      </c>
      <c r="R39" s="83"/>
      <c r="S39" s="83"/>
      <c r="T39" s="98">
        <f t="shared" si="1"/>
        <v>3870</v>
      </c>
    </row>
    <row r="40" spans="1:23" ht="15" customHeight="1" x14ac:dyDescent="0.25">
      <c r="A40" s="778"/>
      <c r="B40" s="830"/>
      <c r="C40" s="68" t="s">
        <v>423</v>
      </c>
      <c r="D40" s="30"/>
      <c r="E40" s="30"/>
      <c r="F40" s="30"/>
      <c r="G40" s="30"/>
      <c r="H40" s="86"/>
      <c r="I40" s="390"/>
      <c r="J40" s="391"/>
      <c r="K40" s="30"/>
      <c r="L40" s="54">
        <v>29104.44</v>
      </c>
      <c r="M40" s="53"/>
      <c r="N40" s="54"/>
      <c r="O40" s="54"/>
      <c r="P40" s="54"/>
      <c r="Q40" s="83">
        <v>230000</v>
      </c>
      <c r="R40" s="83"/>
      <c r="S40" s="83"/>
      <c r="T40" s="98">
        <f t="shared" si="1"/>
        <v>230000</v>
      </c>
    </row>
    <row r="41" spans="1:23" ht="15" customHeight="1" x14ac:dyDescent="0.25">
      <c r="A41" s="778"/>
      <c r="B41" s="830"/>
      <c r="C41" s="68" t="s">
        <v>441</v>
      </c>
      <c r="D41" s="30"/>
      <c r="E41" s="30"/>
      <c r="F41" s="30"/>
      <c r="G41" s="30"/>
      <c r="H41" s="86"/>
      <c r="I41" s="390"/>
      <c r="J41" s="391"/>
      <c r="K41" s="30"/>
      <c r="L41" s="54"/>
      <c r="M41" s="53"/>
      <c r="N41" s="54"/>
      <c r="O41" s="54"/>
      <c r="P41" s="54"/>
      <c r="Q41" s="83">
        <v>8000</v>
      </c>
      <c r="R41" s="83"/>
      <c r="S41" s="83"/>
      <c r="T41" s="98">
        <f t="shared" si="1"/>
        <v>8000</v>
      </c>
    </row>
    <row r="42" spans="1:23" ht="15" customHeight="1" x14ac:dyDescent="0.25">
      <c r="A42" s="778"/>
      <c r="B42" s="830"/>
      <c r="C42" s="68" t="s">
        <v>424</v>
      </c>
      <c r="D42" s="30"/>
      <c r="E42" s="30"/>
      <c r="F42" s="30"/>
      <c r="G42" s="30"/>
      <c r="H42" s="86"/>
      <c r="I42" s="390"/>
      <c r="J42" s="391"/>
      <c r="K42" s="30"/>
      <c r="L42" s="54"/>
      <c r="M42" s="53">
        <v>35969.53</v>
      </c>
      <c r="N42" s="54"/>
      <c r="O42" s="54"/>
      <c r="P42" s="54"/>
      <c r="Q42" s="83">
        <v>14129</v>
      </c>
      <c r="R42" s="83"/>
      <c r="S42" s="83"/>
      <c r="T42" s="98">
        <f t="shared" si="1"/>
        <v>14129</v>
      </c>
    </row>
    <row r="43" spans="1:23" ht="15" customHeight="1" x14ac:dyDescent="0.25">
      <c r="A43" s="778"/>
      <c r="B43" s="830"/>
      <c r="C43" s="68" t="s">
        <v>428</v>
      </c>
      <c r="D43" s="57"/>
      <c r="E43" s="57"/>
      <c r="F43" s="57"/>
      <c r="G43" s="57"/>
      <c r="H43" s="100"/>
      <c r="I43" s="392"/>
      <c r="J43" s="393"/>
      <c r="K43" s="57"/>
      <c r="L43" s="57"/>
      <c r="M43" s="53">
        <v>2200</v>
      </c>
      <c r="N43" s="54"/>
      <c r="O43" s="54"/>
      <c r="P43" s="54"/>
      <c r="Q43" s="83">
        <v>3000</v>
      </c>
      <c r="R43" s="83">
        <v>-3000</v>
      </c>
      <c r="S43" s="83"/>
      <c r="T43" s="98">
        <f>Q43+R43+S43</f>
        <v>0</v>
      </c>
    </row>
    <row r="44" spans="1:23" ht="15" customHeight="1" x14ac:dyDescent="0.25">
      <c r="A44" s="778"/>
      <c r="B44" s="830"/>
      <c r="C44" s="68" t="s">
        <v>431</v>
      </c>
      <c r="D44" s="57"/>
      <c r="E44" s="57"/>
      <c r="F44" s="57"/>
      <c r="G44" s="57"/>
      <c r="H44" s="100"/>
      <c r="I44" s="392"/>
      <c r="J44" s="393"/>
      <c r="K44" s="57"/>
      <c r="L44" s="57"/>
      <c r="M44" s="53">
        <v>28928.71</v>
      </c>
      <c r="N44" s="54"/>
      <c r="O44" s="54"/>
      <c r="P44" s="54"/>
      <c r="Q44" s="83">
        <v>29566</v>
      </c>
      <c r="R44" s="83"/>
      <c r="S44" s="83"/>
      <c r="T44" s="98">
        <f t="shared" si="1"/>
        <v>29566</v>
      </c>
    </row>
    <row r="45" spans="1:23" ht="15" customHeight="1" x14ac:dyDescent="0.25">
      <c r="A45" s="778"/>
      <c r="B45" s="830"/>
      <c r="C45" s="68" t="s">
        <v>455</v>
      </c>
      <c r="D45" s="57"/>
      <c r="E45" s="57"/>
      <c r="F45" s="57"/>
      <c r="G45" s="57"/>
      <c r="H45" s="100"/>
      <c r="I45" s="392"/>
      <c r="J45" s="393"/>
      <c r="K45" s="57"/>
      <c r="L45" s="57"/>
      <c r="M45" s="29">
        <v>19756.98</v>
      </c>
      <c r="N45" s="54"/>
      <c r="O45" s="54"/>
      <c r="P45" s="54"/>
      <c r="Q45" s="83">
        <v>6000</v>
      </c>
      <c r="R45" s="83"/>
      <c r="S45" s="83"/>
      <c r="T45" s="98">
        <f t="shared" si="1"/>
        <v>6000</v>
      </c>
    </row>
    <row r="46" spans="1:23" ht="15" customHeight="1" x14ac:dyDescent="0.25">
      <c r="A46" s="778"/>
      <c r="B46" s="830"/>
      <c r="C46" s="68" t="s">
        <v>435</v>
      </c>
      <c r="D46" s="57"/>
      <c r="E46" s="57"/>
      <c r="F46" s="57"/>
      <c r="G46" s="57"/>
      <c r="H46" s="100"/>
      <c r="I46" s="392"/>
      <c r="J46" s="393"/>
      <c r="K46" s="57"/>
      <c r="L46" s="57"/>
      <c r="M46" s="29">
        <v>20994.32</v>
      </c>
      <c r="N46" s="54"/>
      <c r="O46" s="54"/>
      <c r="P46" s="54"/>
      <c r="Q46" s="83">
        <v>0</v>
      </c>
      <c r="R46" s="83"/>
      <c r="S46" s="83"/>
      <c r="T46" s="98">
        <f t="shared" si="1"/>
        <v>0</v>
      </c>
    </row>
    <row r="47" spans="1:23" ht="15" customHeight="1" x14ac:dyDescent="0.25">
      <c r="A47" s="778"/>
      <c r="B47" s="830"/>
      <c r="C47" s="68" t="s">
        <v>436</v>
      </c>
      <c r="D47" s="57"/>
      <c r="E47" s="57"/>
      <c r="F47" s="57"/>
      <c r="G47" s="57"/>
      <c r="H47" s="100"/>
      <c r="I47" s="392"/>
      <c r="J47" s="393"/>
      <c r="K47" s="57"/>
      <c r="L47" s="57">
        <v>22831.440000000002</v>
      </c>
      <c r="M47" s="30">
        <v>0</v>
      </c>
      <c r="N47" s="54"/>
      <c r="O47" s="54"/>
      <c r="P47" s="54"/>
      <c r="Q47" s="83">
        <v>37200</v>
      </c>
      <c r="R47" s="83">
        <v>-37200</v>
      </c>
      <c r="S47" s="83"/>
      <c r="T47" s="98">
        <f t="shared" si="1"/>
        <v>0</v>
      </c>
      <c r="W47" s="671"/>
    </row>
    <row r="48" spans="1:23" ht="15" customHeight="1" x14ac:dyDescent="0.25">
      <c r="A48" s="778"/>
      <c r="B48" s="830"/>
      <c r="C48" s="68" t="s">
        <v>448</v>
      </c>
      <c r="D48" s="57"/>
      <c r="E48" s="57"/>
      <c r="F48" s="57"/>
      <c r="G48" s="57"/>
      <c r="H48" s="100"/>
      <c r="I48" s="392"/>
      <c r="J48" s="393"/>
      <c r="K48" s="57"/>
      <c r="L48" s="57"/>
      <c r="M48" s="30"/>
      <c r="N48" s="54"/>
      <c r="O48" s="54"/>
      <c r="P48" s="54"/>
      <c r="Q48" s="83">
        <v>11000</v>
      </c>
      <c r="R48" s="83"/>
      <c r="S48" s="83"/>
      <c r="T48" s="98">
        <f t="shared" si="1"/>
        <v>11000</v>
      </c>
    </row>
    <row r="49" spans="1:22" ht="15" customHeight="1" x14ac:dyDescent="0.25">
      <c r="A49" s="778"/>
      <c r="B49" s="830"/>
      <c r="C49" s="68" t="s">
        <v>447</v>
      </c>
      <c r="D49" s="57"/>
      <c r="E49" s="57"/>
      <c r="F49" s="57"/>
      <c r="G49" s="57"/>
      <c r="H49" s="100"/>
      <c r="I49" s="392"/>
      <c r="J49" s="393"/>
      <c r="K49" s="57"/>
      <c r="L49" s="57"/>
      <c r="M49" s="30"/>
      <c r="N49" s="54"/>
      <c r="O49" s="54"/>
      <c r="P49" s="54"/>
      <c r="Q49" s="83">
        <v>11400</v>
      </c>
      <c r="R49" s="83">
        <v>1600</v>
      </c>
      <c r="S49" s="83"/>
      <c r="T49" s="98">
        <f t="shared" si="1"/>
        <v>13000</v>
      </c>
    </row>
    <row r="50" spans="1:22" ht="15" customHeight="1" x14ac:dyDescent="0.25">
      <c r="A50" s="778"/>
      <c r="B50" s="830"/>
      <c r="C50" s="68" t="s">
        <v>453</v>
      </c>
      <c r="D50" s="57"/>
      <c r="E50" s="57"/>
      <c r="F50" s="57"/>
      <c r="G50" s="57"/>
      <c r="H50" s="100"/>
      <c r="I50" s="392"/>
      <c r="J50" s="393"/>
      <c r="K50" s="57"/>
      <c r="L50" s="57"/>
      <c r="M50" s="30"/>
      <c r="N50" s="54"/>
      <c r="O50" s="54"/>
      <c r="P50" s="54"/>
      <c r="Q50" s="83">
        <v>18200</v>
      </c>
      <c r="R50" s="83">
        <v>5750</v>
      </c>
      <c r="S50" s="83"/>
      <c r="T50" s="98">
        <f t="shared" si="1"/>
        <v>23950</v>
      </c>
    </row>
    <row r="51" spans="1:22" ht="15" customHeight="1" x14ac:dyDescent="0.25">
      <c r="A51" s="778"/>
      <c r="B51" s="830"/>
      <c r="C51" s="68" t="s">
        <v>446</v>
      </c>
      <c r="D51" s="57"/>
      <c r="E51" s="57"/>
      <c r="F51" s="57"/>
      <c r="G51" s="57"/>
      <c r="H51" s="100"/>
      <c r="I51" s="392"/>
      <c r="J51" s="393"/>
      <c r="K51" s="57"/>
      <c r="L51" s="57"/>
      <c r="M51" s="30"/>
      <c r="N51" s="54"/>
      <c r="O51" s="54"/>
      <c r="P51" s="54"/>
      <c r="Q51" s="83">
        <v>5000</v>
      </c>
      <c r="R51" s="83"/>
      <c r="S51" s="83"/>
      <c r="T51" s="98">
        <f t="shared" si="1"/>
        <v>5000</v>
      </c>
    </row>
    <row r="52" spans="1:22" ht="15" customHeight="1" x14ac:dyDescent="0.25">
      <c r="A52" s="778"/>
      <c r="B52" s="830"/>
      <c r="C52" s="68" t="s">
        <v>445</v>
      </c>
      <c r="D52" s="57"/>
      <c r="E52" s="57"/>
      <c r="F52" s="57"/>
      <c r="G52" s="57"/>
      <c r="H52" s="100"/>
      <c r="I52" s="392"/>
      <c r="J52" s="393"/>
      <c r="K52" s="57"/>
      <c r="L52" s="57"/>
      <c r="M52" s="30"/>
      <c r="N52" s="54"/>
      <c r="O52" s="54"/>
      <c r="P52" s="54"/>
      <c r="Q52" s="83">
        <v>2600</v>
      </c>
      <c r="R52" s="83"/>
      <c r="S52" s="83"/>
      <c r="T52" s="98">
        <f t="shared" si="1"/>
        <v>2600</v>
      </c>
    </row>
    <row r="53" spans="1:22" ht="15" customHeight="1" x14ac:dyDescent="0.25">
      <c r="A53" s="778"/>
      <c r="B53" s="830"/>
      <c r="C53" s="68" t="s">
        <v>444</v>
      </c>
      <c r="D53" s="57"/>
      <c r="E53" s="57"/>
      <c r="F53" s="57"/>
      <c r="G53" s="57"/>
      <c r="H53" s="100"/>
      <c r="I53" s="392"/>
      <c r="J53" s="393"/>
      <c r="K53" s="57"/>
      <c r="L53" s="57"/>
      <c r="M53" s="30"/>
      <c r="N53" s="54"/>
      <c r="O53" s="54"/>
      <c r="P53" s="54"/>
      <c r="Q53" s="83">
        <v>8000</v>
      </c>
      <c r="R53" s="83"/>
      <c r="S53" s="83"/>
      <c r="T53" s="98">
        <f t="shared" si="1"/>
        <v>8000</v>
      </c>
    </row>
    <row r="54" spans="1:22" ht="15" hidden="1" customHeight="1" x14ac:dyDescent="0.25">
      <c r="A54" s="778"/>
      <c r="B54" s="830"/>
      <c r="C54" s="68" t="s">
        <v>324</v>
      </c>
      <c r="D54" s="57"/>
      <c r="E54" s="57"/>
      <c r="F54" s="57"/>
      <c r="G54" s="57"/>
      <c r="H54" s="100"/>
      <c r="I54" s="392"/>
      <c r="J54" s="393"/>
      <c r="K54" s="57"/>
      <c r="L54" s="57"/>
      <c r="M54" s="57"/>
      <c r="N54" s="30"/>
      <c r="O54" s="69"/>
      <c r="P54" s="83"/>
      <c r="Q54" s="83">
        <v>0</v>
      </c>
      <c r="R54" s="83"/>
      <c r="S54" s="83"/>
      <c r="T54" s="98">
        <f t="shared" si="1"/>
        <v>0</v>
      </c>
    </row>
    <row r="55" spans="1:22" x14ac:dyDescent="0.25">
      <c r="A55" s="778"/>
      <c r="B55" s="830"/>
      <c r="C55" s="68" t="s">
        <v>463</v>
      </c>
      <c r="D55" s="57"/>
      <c r="E55" s="57"/>
      <c r="F55" s="57"/>
      <c r="G55" s="57"/>
      <c r="H55" s="100"/>
      <c r="I55" s="392"/>
      <c r="J55" s="393"/>
      <c r="K55" s="57"/>
      <c r="L55" s="57"/>
      <c r="M55" s="57"/>
      <c r="N55" s="30"/>
      <c r="O55" s="69"/>
      <c r="P55" s="83"/>
      <c r="Q55" s="83">
        <v>94738</v>
      </c>
      <c r="R55" s="83"/>
      <c r="S55" s="83"/>
      <c r="T55" s="98">
        <f t="shared" si="1"/>
        <v>94738</v>
      </c>
      <c r="V55" s="671"/>
    </row>
    <row r="56" spans="1:22" ht="15.75" thickBot="1" x14ac:dyDescent="0.3">
      <c r="A56" s="779"/>
      <c r="B56" s="831"/>
      <c r="C56" s="68" t="s">
        <v>393</v>
      </c>
      <c r="D56" s="57"/>
      <c r="E56" s="57"/>
      <c r="F56" s="57"/>
      <c r="G56" s="57"/>
      <c r="H56" s="100"/>
      <c r="I56" s="392"/>
      <c r="J56" s="393"/>
      <c r="K56" s="57"/>
      <c r="L56" s="57"/>
      <c r="M56" s="37"/>
      <c r="N56" s="37"/>
      <c r="O56" s="90"/>
      <c r="P56" s="203"/>
      <c r="Q56" s="83">
        <v>17749</v>
      </c>
      <c r="R56" s="83"/>
      <c r="S56" s="83"/>
      <c r="T56" s="98">
        <f t="shared" si="1"/>
        <v>17749</v>
      </c>
    </row>
    <row r="57" spans="1:22" ht="15.75" thickBot="1" x14ac:dyDescent="0.3">
      <c r="A57" s="394" t="s">
        <v>176</v>
      </c>
      <c r="B57" s="727" t="s">
        <v>325</v>
      </c>
      <c r="C57" s="728"/>
      <c r="D57" s="395">
        <v>80894</v>
      </c>
      <c r="E57" s="196">
        <v>8298</v>
      </c>
      <c r="F57" s="196">
        <v>71666</v>
      </c>
      <c r="G57" s="196">
        <v>1330064</v>
      </c>
      <c r="H57" s="196">
        <v>2147096</v>
      </c>
      <c r="I57" s="375">
        <v>8121</v>
      </c>
      <c r="J57" s="196">
        <v>93729</v>
      </c>
      <c r="K57" s="102">
        <f>SUM(K58:K63)</f>
        <v>28919</v>
      </c>
      <c r="L57" s="102">
        <f>SUM(L58:L63)</f>
        <v>0</v>
      </c>
      <c r="M57" s="103">
        <f>SUM(M58:M63)</f>
        <v>69453.41</v>
      </c>
      <c r="N57" s="102">
        <v>5501</v>
      </c>
      <c r="O57" s="102">
        <v>396374.4</v>
      </c>
      <c r="P57" s="102">
        <v>215644.72</v>
      </c>
      <c r="Q57" s="102">
        <f>Q58</f>
        <v>36876</v>
      </c>
      <c r="R57" s="102">
        <f>R58</f>
        <v>0</v>
      </c>
      <c r="S57" s="102">
        <f>S58</f>
        <v>0</v>
      </c>
      <c r="T57" s="105">
        <f>T58</f>
        <v>36876</v>
      </c>
    </row>
    <row r="58" spans="1:22" ht="15.75" thickBot="1" x14ac:dyDescent="0.3">
      <c r="A58" s="396"/>
      <c r="B58" s="397"/>
      <c r="C58" s="66" t="s">
        <v>98</v>
      </c>
      <c r="D58" s="23"/>
      <c r="E58" s="23"/>
      <c r="F58" s="23"/>
      <c r="G58" s="23"/>
      <c r="H58" s="81"/>
      <c r="I58" s="398"/>
      <c r="J58" s="399"/>
      <c r="K58" s="23">
        <v>28919</v>
      </c>
      <c r="L58" s="54"/>
      <c r="M58" s="53"/>
      <c r="N58" s="54"/>
      <c r="O58" s="54"/>
      <c r="P58" s="54"/>
      <c r="Q58" s="83">
        <v>36876</v>
      </c>
      <c r="R58" s="83"/>
      <c r="S58" s="83"/>
      <c r="T58" s="98">
        <f>Q58+R58+S58</f>
        <v>36876</v>
      </c>
    </row>
    <row r="59" spans="1:22" ht="15.75" hidden="1" customHeight="1" thickBot="1" x14ac:dyDescent="0.3">
      <c r="A59" s="386"/>
      <c r="B59" s="389"/>
      <c r="C59" s="111" t="s">
        <v>298</v>
      </c>
      <c r="D59" s="54"/>
      <c r="E59" s="54"/>
      <c r="F59" s="54"/>
      <c r="G59" s="54"/>
      <c r="H59" s="82"/>
      <c r="I59" s="400"/>
      <c r="J59" s="401"/>
      <c r="K59" s="54"/>
      <c r="L59" s="54"/>
      <c r="M59" s="53">
        <v>69453.41</v>
      </c>
      <c r="N59" s="54"/>
      <c r="O59" s="54"/>
      <c r="P59" s="54"/>
      <c r="Q59" s="83"/>
      <c r="R59" s="83"/>
      <c r="S59" s="83"/>
      <c r="T59" s="98"/>
    </row>
    <row r="60" spans="1:22" ht="15.75" hidden="1" customHeight="1" thickBot="1" x14ac:dyDescent="0.3">
      <c r="A60" s="386"/>
      <c r="B60" s="389"/>
      <c r="C60" s="68" t="s">
        <v>98</v>
      </c>
      <c r="D60" s="54"/>
      <c r="E60" s="54"/>
      <c r="F60" s="54"/>
      <c r="G60" s="54"/>
      <c r="H60" s="82"/>
      <c r="I60" s="400"/>
      <c r="J60" s="401"/>
      <c r="K60" s="54"/>
      <c r="L60" s="54"/>
      <c r="M60" s="54"/>
      <c r="N60" s="54"/>
      <c r="O60" s="54"/>
      <c r="P60" s="54"/>
      <c r="Q60" s="83"/>
      <c r="R60" s="83"/>
      <c r="S60" s="83"/>
      <c r="T60" s="98"/>
    </row>
    <row r="61" spans="1:22" ht="15.75" hidden="1" customHeight="1" thickBot="1" x14ac:dyDescent="0.3">
      <c r="A61" s="386"/>
      <c r="B61" s="389"/>
      <c r="C61" s="68" t="s">
        <v>304</v>
      </c>
      <c r="D61" s="30"/>
      <c r="E61" s="30"/>
      <c r="F61" s="30"/>
      <c r="G61" s="30"/>
      <c r="H61" s="86"/>
      <c r="I61" s="390"/>
      <c r="J61" s="391"/>
      <c r="K61" s="30"/>
      <c r="L61" s="30"/>
      <c r="M61" s="30"/>
      <c r="N61" s="30"/>
      <c r="O61" s="30"/>
      <c r="P61" s="30"/>
      <c r="Q61" s="69"/>
      <c r="R61" s="69"/>
      <c r="S61" s="69"/>
      <c r="T61" s="99"/>
    </row>
    <row r="62" spans="1:22" ht="15.75" hidden="1" customHeight="1" thickBot="1" x14ac:dyDescent="0.3">
      <c r="A62" s="386"/>
      <c r="B62" s="389"/>
      <c r="C62" s="68" t="s">
        <v>326</v>
      </c>
      <c r="D62" s="30"/>
      <c r="E62" s="30"/>
      <c r="F62" s="30"/>
      <c r="G62" s="30"/>
      <c r="H62" s="86"/>
      <c r="I62" s="390"/>
      <c r="J62" s="391"/>
      <c r="K62" s="30"/>
      <c r="L62" s="30"/>
      <c r="M62" s="30"/>
      <c r="N62" s="30"/>
      <c r="O62" s="30"/>
      <c r="P62" s="30"/>
      <c r="Q62" s="69"/>
      <c r="R62" s="69"/>
      <c r="S62" s="69"/>
      <c r="T62" s="99"/>
    </row>
    <row r="63" spans="1:22" ht="15.75" hidden="1" customHeight="1" thickBot="1" x14ac:dyDescent="0.3">
      <c r="A63" s="402"/>
      <c r="B63" s="403"/>
      <c r="C63" s="111" t="s">
        <v>327</v>
      </c>
      <c r="D63" s="109"/>
      <c r="E63" s="109"/>
      <c r="F63" s="109"/>
      <c r="G63" s="109"/>
      <c r="H63" s="107"/>
      <c r="I63" s="404"/>
      <c r="J63" s="405"/>
      <c r="K63" s="117"/>
      <c r="L63" s="109"/>
      <c r="M63" s="109"/>
      <c r="N63" s="109"/>
      <c r="O63" s="109"/>
      <c r="P63" s="109"/>
      <c r="Q63" s="203"/>
      <c r="R63" s="203"/>
      <c r="S63" s="203"/>
      <c r="T63" s="110"/>
    </row>
    <row r="64" spans="1:22" ht="15.75" hidden="1" customHeight="1" thickBot="1" x14ac:dyDescent="0.3">
      <c r="A64" s="406" t="s">
        <v>189</v>
      </c>
      <c r="B64" s="832" t="s">
        <v>328</v>
      </c>
      <c r="C64" s="832"/>
      <c r="D64" s="407"/>
      <c r="E64" s="407"/>
      <c r="F64" s="407"/>
      <c r="G64" s="407"/>
      <c r="H64" s="408">
        <v>182399</v>
      </c>
      <c r="I64" s="408"/>
      <c r="J64" s="409"/>
      <c r="K64" s="104"/>
      <c r="L64" s="104"/>
      <c r="M64" s="104"/>
      <c r="N64" s="104"/>
      <c r="O64" s="104"/>
      <c r="P64" s="104"/>
      <c r="Q64" s="102"/>
      <c r="R64" s="102"/>
      <c r="S64" s="102"/>
      <c r="T64" s="105"/>
    </row>
    <row r="65" spans="1:20" ht="15.75" hidden="1" customHeight="1" thickBot="1" x14ac:dyDescent="0.3">
      <c r="A65" s="386"/>
      <c r="B65" s="389"/>
      <c r="C65" s="107"/>
      <c r="D65" s="109"/>
      <c r="E65" s="109"/>
      <c r="F65" s="109"/>
      <c r="G65" s="109"/>
      <c r="H65" s="107"/>
      <c r="I65" s="404"/>
      <c r="J65" s="405"/>
      <c r="K65" s="109"/>
      <c r="L65" s="109"/>
      <c r="M65" s="109"/>
      <c r="N65" s="109"/>
      <c r="O65" s="109"/>
      <c r="P65" s="109"/>
      <c r="Q65" s="203"/>
      <c r="R65" s="203"/>
      <c r="S65" s="203"/>
      <c r="T65" s="110"/>
    </row>
    <row r="66" spans="1:20" ht="15.75" thickBot="1" x14ac:dyDescent="0.3">
      <c r="A66" s="172" t="s">
        <v>191</v>
      </c>
      <c r="B66" s="727" t="s">
        <v>192</v>
      </c>
      <c r="C66" s="728"/>
      <c r="D66" s="173">
        <v>0</v>
      </c>
      <c r="E66" s="173">
        <v>0</v>
      </c>
      <c r="F66" s="173">
        <v>6639</v>
      </c>
      <c r="G66" s="173">
        <v>113606</v>
      </c>
      <c r="H66" s="173">
        <v>254005</v>
      </c>
      <c r="I66" s="237">
        <v>2699311</v>
      </c>
      <c r="J66" s="173">
        <v>3603230</v>
      </c>
      <c r="K66" s="102">
        <f>SUM(K73:K73)</f>
        <v>1781346</v>
      </c>
      <c r="L66" s="102">
        <f>SUM(L67:L73)</f>
        <v>11891.04</v>
      </c>
      <c r="M66" s="103">
        <f>SUM(M67:M73)</f>
        <v>1099.52</v>
      </c>
      <c r="N66" s="102">
        <v>9688.17</v>
      </c>
      <c r="O66" s="102">
        <v>125008.29000000001</v>
      </c>
      <c r="P66" s="102">
        <v>30038.799999999999</v>
      </c>
      <c r="Q66" s="102">
        <f>Q70</f>
        <v>15000</v>
      </c>
      <c r="R66" s="102">
        <f>R70</f>
        <v>0</v>
      </c>
      <c r="S66" s="102">
        <f>S70</f>
        <v>0</v>
      </c>
      <c r="T66" s="105">
        <f>T70</f>
        <v>15000</v>
      </c>
    </row>
    <row r="67" spans="1:20" hidden="1" x14ac:dyDescent="0.25">
      <c r="A67" s="780"/>
      <c r="B67" s="833"/>
      <c r="C67" s="410"/>
      <c r="D67" s="411"/>
      <c r="E67" s="411"/>
      <c r="F67" s="411"/>
      <c r="G67" s="411"/>
      <c r="H67" s="410"/>
      <c r="I67" s="412"/>
      <c r="J67" s="413"/>
      <c r="K67" s="274"/>
      <c r="L67" s="20">
        <v>11891.04</v>
      </c>
      <c r="M67" s="177">
        <v>1099.52</v>
      </c>
      <c r="N67" s="177"/>
      <c r="O67" s="177"/>
      <c r="P67" s="177"/>
      <c r="Q67" s="20"/>
      <c r="R67" s="20"/>
      <c r="S67" s="414"/>
      <c r="T67" s="415">
        <f>Q67+R67+S67</f>
        <v>0</v>
      </c>
    </row>
    <row r="68" spans="1:20" ht="15.75" hidden="1" customHeight="1" x14ac:dyDescent="0.25">
      <c r="A68" s="781"/>
      <c r="B68" s="834"/>
      <c r="C68" s="416" t="s">
        <v>329</v>
      </c>
      <c r="D68" s="417"/>
      <c r="E68" s="417"/>
      <c r="F68" s="417"/>
      <c r="G68" s="417"/>
      <c r="H68" s="416"/>
      <c r="I68" s="418"/>
      <c r="J68" s="419"/>
      <c r="K68" s="276"/>
      <c r="L68" s="135"/>
      <c r="M68" s="233"/>
      <c r="N68" s="233"/>
      <c r="O68" s="135"/>
      <c r="P68" s="135"/>
      <c r="Q68" s="135"/>
      <c r="R68" s="135">
        <v>0</v>
      </c>
      <c r="S68" s="420"/>
      <c r="T68" s="421"/>
    </row>
    <row r="69" spans="1:20" ht="15.75" hidden="1" customHeight="1" x14ac:dyDescent="0.25">
      <c r="A69" s="781"/>
      <c r="B69" s="834"/>
      <c r="C69" s="416" t="s">
        <v>330</v>
      </c>
      <c r="D69" s="417"/>
      <c r="E69" s="417"/>
      <c r="F69" s="417"/>
      <c r="G69" s="417"/>
      <c r="H69" s="416"/>
      <c r="I69" s="418"/>
      <c r="J69" s="419"/>
      <c r="K69" s="276"/>
      <c r="L69" s="276"/>
      <c r="M69" s="135"/>
      <c r="N69" s="135"/>
      <c r="O69" s="135"/>
      <c r="P69" s="135"/>
      <c r="Q69" s="135"/>
      <c r="R69" s="135">
        <v>0</v>
      </c>
      <c r="S69" s="135"/>
      <c r="T69" s="472"/>
    </row>
    <row r="70" spans="1:20" ht="15.75" customHeight="1" thickBot="1" x14ac:dyDescent="0.3">
      <c r="A70" s="781"/>
      <c r="B70" s="834"/>
      <c r="C70" s="416" t="s">
        <v>331</v>
      </c>
      <c r="D70" s="417"/>
      <c r="E70" s="417"/>
      <c r="F70" s="417"/>
      <c r="G70" s="417"/>
      <c r="H70" s="416"/>
      <c r="I70" s="418"/>
      <c r="J70" s="419"/>
      <c r="K70" s="276"/>
      <c r="L70" s="276"/>
      <c r="M70" s="276"/>
      <c r="N70" s="420"/>
      <c r="O70" s="135"/>
      <c r="P70" s="135"/>
      <c r="Q70" s="135">
        <v>15000</v>
      </c>
      <c r="R70" s="135"/>
      <c r="S70" s="420"/>
      <c r="T70" s="472">
        <f>Q70+R70+S70</f>
        <v>15000</v>
      </c>
    </row>
    <row r="71" spans="1:20" ht="15.75" hidden="1" customHeight="1" x14ac:dyDescent="0.25">
      <c r="A71" s="781"/>
      <c r="B71" s="834"/>
      <c r="C71" s="422" t="s">
        <v>196</v>
      </c>
      <c r="D71" s="423"/>
      <c r="E71" s="423"/>
      <c r="F71" s="423"/>
      <c r="G71" s="423"/>
      <c r="H71" s="422"/>
      <c r="I71" s="424"/>
      <c r="J71" s="425"/>
      <c r="K71" s="426"/>
      <c r="L71" s="426"/>
      <c r="M71" s="426"/>
      <c r="N71" s="426"/>
      <c r="O71" s="426"/>
      <c r="P71" s="426"/>
      <c r="Q71" s="427"/>
      <c r="R71" s="27">
        <v>0</v>
      </c>
      <c r="S71" s="426"/>
      <c r="T71" s="428"/>
    </row>
    <row r="72" spans="1:20" ht="15.75" hidden="1" customHeight="1" x14ac:dyDescent="0.25">
      <c r="A72" s="781"/>
      <c r="B72" s="834"/>
      <c r="C72" s="422" t="s">
        <v>197</v>
      </c>
      <c r="D72" s="423"/>
      <c r="E72" s="423"/>
      <c r="F72" s="423"/>
      <c r="G72" s="423"/>
      <c r="H72" s="422"/>
      <c r="I72" s="424"/>
      <c r="J72" s="425"/>
      <c r="K72" s="426"/>
      <c r="L72" s="426"/>
      <c r="M72" s="426"/>
      <c r="N72" s="426"/>
      <c r="O72" s="426"/>
      <c r="P72" s="426"/>
      <c r="Q72" s="427"/>
      <c r="R72" s="27">
        <v>0</v>
      </c>
      <c r="S72" s="426"/>
      <c r="T72" s="428"/>
    </row>
    <row r="73" spans="1:20" ht="15.75" hidden="1" customHeight="1" thickBot="1" x14ac:dyDescent="0.3">
      <c r="A73" s="782"/>
      <c r="B73" s="835"/>
      <c r="C73" s="70" t="s">
        <v>332</v>
      </c>
      <c r="D73" s="37"/>
      <c r="E73" s="37"/>
      <c r="F73" s="37"/>
      <c r="G73" s="37"/>
      <c r="H73" s="89"/>
      <c r="I73" s="429"/>
      <c r="J73" s="430"/>
      <c r="K73" s="37">
        <v>1781346</v>
      </c>
      <c r="L73" s="117"/>
      <c r="M73" s="117"/>
      <c r="N73" s="117"/>
      <c r="O73" s="117"/>
      <c r="P73" s="117"/>
      <c r="Q73" s="171"/>
      <c r="R73" s="171">
        <v>0</v>
      </c>
      <c r="S73" s="171"/>
      <c r="T73" s="431"/>
    </row>
    <row r="74" spans="1:20" ht="15.75" thickBot="1" x14ac:dyDescent="0.3">
      <c r="A74" s="388" t="s">
        <v>210</v>
      </c>
      <c r="B74" s="832" t="s">
        <v>211</v>
      </c>
      <c r="C74" s="832"/>
      <c r="D74" s="196">
        <v>38040</v>
      </c>
      <c r="E74" s="196">
        <v>144792</v>
      </c>
      <c r="F74" s="196">
        <v>36414</v>
      </c>
      <c r="G74" s="196">
        <v>3228</v>
      </c>
      <c r="H74" s="196">
        <v>15058</v>
      </c>
      <c r="I74" s="408"/>
      <c r="J74" s="409"/>
      <c r="K74" s="104">
        <f>SUM(K75:K79)</f>
        <v>5000</v>
      </c>
      <c r="L74" s="104">
        <f>SUM(L75:L79)</f>
        <v>35480.800000000003</v>
      </c>
      <c r="M74" s="238">
        <f>SUM(M75:M79)</f>
        <v>555131.6</v>
      </c>
      <c r="N74" s="104">
        <v>10197.6</v>
      </c>
      <c r="O74" s="104">
        <v>323.60000000000002</v>
      </c>
      <c r="P74" s="104">
        <v>16171.269999999999</v>
      </c>
      <c r="Q74" s="102">
        <f>Q79+Q78+Q76+Q75+Q77</f>
        <v>64500</v>
      </c>
      <c r="R74" s="102">
        <f>R79+R78+R76+R75</f>
        <v>0</v>
      </c>
      <c r="S74" s="102">
        <f>S79+S78+S76+S75+S77</f>
        <v>0</v>
      </c>
      <c r="T74" s="105">
        <f>T79+T78+T76+T75+T77</f>
        <v>64500</v>
      </c>
    </row>
    <row r="75" spans="1:20" ht="15" customHeight="1" x14ac:dyDescent="0.25">
      <c r="A75" s="780"/>
      <c r="B75" s="836"/>
      <c r="C75" s="66" t="s">
        <v>439</v>
      </c>
      <c r="D75" s="23"/>
      <c r="E75" s="23"/>
      <c r="F75" s="23"/>
      <c r="G75" s="23"/>
      <c r="H75" s="81"/>
      <c r="I75" s="398"/>
      <c r="J75" s="399"/>
      <c r="K75" s="432">
        <v>5000</v>
      </c>
      <c r="L75" s="432">
        <v>20503.12</v>
      </c>
      <c r="M75" s="433"/>
      <c r="N75" s="432"/>
      <c r="O75" s="432"/>
      <c r="P75" s="432"/>
      <c r="Q75" s="434">
        <v>6500</v>
      </c>
      <c r="R75" s="67"/>
      <c r="S75" s="67"/>
      <c r="T75" s="99">
        <f>Q75+R75+S75</f>
        <v>6500</v>
      </c>
    </row>
    <row r="76" spans="1:20" ht="15" customHeight="1" x14ac:dyDescent="0.25">
      <c r="A76" s="781"/>
      <c r="B76" s="837"/>
      <c r="C76" s="111" t="s">
        <v>429</v>
      </c>
      <c r="D76" s="109"/>
      <c r="E76" s="109"/>
      <c r="F76" s="109"/>
      <c r="G76" s="109"/>
      <c r="H76" s="107"/>
      <c r="I76" s="404"/>
      <c r="J76" s="405"/>
      <c r="K76" s="435"/>
      <c r="L76" s="657"/>
      <c r="M76" s="658"/>
      <c r="N76" s="657"/>
      <c r="O76" s="657"/>
      <c r="P76" s="657"/>
      <c r="Q76" s="659">
        <v>1000</v>
      </c>
      <c r="R76" s="83"/>
      <c r="S76" s="83"/>
      <c r="T76" s="99">
        <f>Q76+R76+S76</f>
        <v>1000</v>
      </c>
    </row>
    <row r="77" spans="1:20" ht="15" customHeight="1" x14ac:dyDescent="0.25">
      <c r="A77" s="781"/>
      <c r="B77" s="837"/>
      <c r="C77" s="111" t="s">
        <v>449</v>
      </c>
      <c r="D77" s="109"/>
      <c r="E77" s="109"/>
      <c r="F77" s="109"/>
      <c r="G77" s="109"/>
      <c r="H77" s="107"/>
      <c r="I77" s="404"/>
      <c r="J77" s="405"/>
      <c r="K77" s="435"/>
      <c r="L77" s="657"/>
      <c r="M77" s="658"/>
      <c r="N77" s="657"/>
      <c r="O77" s="657"/>
      <c r="P77" s="657"/>
      <c r="Q77" s="659">
        <v>1000</v>
      </c>
      <c r="R77" s="83"/>
      <c r="S77" s="83"/>
      <c r="T77" s="99">
        <f>Q77+R77+S77</f>
        <v>1000</v>
      </c>
    </row>
    <row r="78" spans="1:20" ht="15" customHeight="1" x14ac:dyDescent="0.25">
      <c r="A78" s="781"/>
      <c r="B78" s="837"/>
      <c r="C78" s="111" t="s">
        <v>426</v>
      </c>
      <c r="D78" s="109"/>
      <c r="E78" s="109"/>
      <c r="F78" s="109"/>
      <c r="G78" s="109"/>
      <c r="H78" s="107"/>
      <c r="I78" s="404"/>
      <c r="J78" s="405"/>
      <c r="K78" s="435"/>
      <c r="L78" s="436"/>
      <c r="M78" s="437">
        <v>555131.6</v>
      </c>
      <c r="N78" s="436"/>
      <c r="O78" s="436"/>
      <c r="P78" s="436"/>
      <c r="Q78" s="69">
        <v>20000</v>
      </c>
      <c r="R78" s="69"/>
      <c r="S78" s="69"/>
      <c r="T78" s="99">
        <f>Q78+R78+S78</f>
        <v>20000</v>
      </c>
    </row>
    <row r="79" spans="1:20" ht="15.75" thickBot="1" x14ac:dyDescent="0.3">
      <c r="A79" s="782"/>
      <c r="B79" s="838"/>
      <c r="C79" s="68" t="s">
        <v>333</v>
      </c>
      <c r="D79" s="109"/>
      <c r="E79" s="109"/>
      <c r="F79" s="109"/>
      <c r="G79" s="109"/>
      <c r="H79" s="107"/>
      <c r="I79" s="404"/>
      <c r="J79" s="405"/>
      <c r="K79" s="109"/>
      <c r="L79" s="109">
        <v>14977.68</v>
      </c>
      <c r="M79" s="108"/>
      <c r="N79" s="109"/>
      <c r="O79" s="109"/>
      <c r="P79" s="109"/>
      <c r="Q79" s="203">
        <v>36000</v>
      </c>
      <c r="R79" s="203"/>
      <c r="S79" s="203"/>
      <c r="T79" s="110">
        <f>Q79+R79+S79</f>
        <v>36000</v>
      </c>
    </row>
    <row r="80" spans="1:20" ht="15.75" thickBot="1" x14ac:dyDescent="0.3">
      <c r="A80" s="388" t="s">
        <v>214</v>
      </c>
      <c r="B80" s="832" t="s">
        <v>215</v>
      </c>
      <c r="C80" s="832"/>
      <c r="D80" s="196">
        <v>326960</v>
      </c>
      <c r="E80" s="196">
        <v>144858</v>
      </c>
      <c r="F80" s="196">
        <v>123880</v>
      </c>
      <c r="G80" s="196">
        <v>20761</v>
      </c>
      <c r="H80" s="196">
        <v>158221</v>
      </c>
      <c r="I80" s="375">
        <v>92051</v>
      </c>
      <c r="J80" s="196">
        <v>68225</v>
      </c>
      <c r="K80" s="102">
        <f>SUM(K81:K102)</f>
        <v>16198</v>
      </c>
      <c r="L80" s="102">
        <f>SUM(L81:L102)</f>
        <v>1305435.6399999999</v>
      </c>
      <c r="M80" s="103">
        <f>SUM(M81:M102)</f>
        <v>139207.66</v>
      </c>
      <c r="N80" s="102">
        <v>44614.21</v>
      </c>
      <c r="O80" s="103">
        <v>60675.760000000009</v>
      </c>
      <c r="P80" s="102">
        <v>54775.5</v>
      </c>
      <c r="Q80" s="102">
        <f>SUM(Q82:Q100)</f>
        <v>1233251</v>
      </c>
      <c r="R80" s="102">
        <f>SUM(R82:R100)</f>
        <v>0</v>
      </c>
      <c r="S80" s="102">
        <f>SUM(S82:S100)</f>
        <v>0</v>
      </c>
      <c r="T80" s="105">
        <f>SUM(T82:T100)</f>
        <v>1233251</v>
      </c>
    </row>
    <row r="81" spans="1:22" ht="15" hidden="1" customHeight="1" x14ac:dyDescent="0.25">
      <c r="A81" s="777"/>
      <c r="B81" s="829"/>
      <c r="C81" s="438" t="s">
        <v>334</v>
      </c>
      <c r="D81" s="439"/>
      <c r="E81" s="439"/>
      <c r="F81" s="439"/>
      <c r="G81" s="439"/>
      <c r="H81" s="440"/>
      <c r="I81" s="441"/>
      <c r="J81" s="442"/>
      <c r="K81" s="23"/>
      <c r="L81" s="23"/>
      <c r="M81" s="22">
        <v>1289.08</v>
      </c>
      <c r="N81" s="54"/>
      <c r="O81" s="54"/>
      <c r="P81" s="54"/>
      <c r="Q81" s="69"/>
      <c r="R81" s="69">
        <v>0</v>
      </c>
      <c r="S81" s="69"/>
      <c r="T81" s="99"/>
    </row>
    <row r="82" spans="1:22" x14ac:dyDescent="0.25">
      <c r="A82" s="778"/>
      <c r="B82" s="830"/>
      <c r="C82" s="188" t="s">
        <v>335</v>
      </c>
      <c r="D82" s="443"/>
      <c r="E82" s="443"/>
      <c r="F82" s="443"/>
      <c r="G82" s="443"/>
      <c r="H82" s="444"/>
      <c r="I82" s="445"/>
      <c r="J82" s="248"/>
      <c r="K82" s="30"/>
      <c r="L82" s="54"/>
      <c r="M82" s="53">
        <v>0</v>
      </c>
      <c r="N82" s="54"/>
      <c r="O82" s="54"/>
      <c r="P82" s="54"/>
      <c r="Q82" s="69">
        <v>29012</v>
      </c>
      <c r="R82" s="69"/>
      <c r="S82" s="69"/>
      <c r="T82" s="99">
        <f t="shared" ref="T82:T100" si="2">Q82+R82+S82</f>
        <v>29012</v>
      </c>
    </row>
    <row r="83" spans="1:22" ht="15" customHeight="1" x14ac:dyDescent="0.25">
      <c r="A83" s="778"/>
      <c r="B83" s="830"/>
      <c r="C83" s="188" t="s">
        <v>414</v>
      </c>
      <c r="D83" s="443"/>
      <c r="E83" s="443"/>
      <c r="F83" s="443"/>
      <c r="G83" s="443"/>
      <c r="H83" s="444"/>
      <c r="I83" s="445"/>
      <c r="J83" s="248"/>
      <c r="K83" s="30"/>
      <c r="L83" s="54"/>
      <c r="M83" s="53">
        <v>0</v>
      </c>
      <c r="N83" s="54"/>
      <c r="O83" s="54"/>
      <c r="P83" s="54"/>
      <c r="Q83" s="69">
        <v>23200</v>
      </c>
      <c r="R83" s="69"/>
      <c r="S83" s="69"/>
      <c r="T83" s="99">
        <f t="shared" si="2"/>
        <v>23200</v>
      </c>
    </row>
    <row r="84" spans="1:22" ht="15" customHeight="1" x14ac:dyDescent="0.25">
      <c r="A84" s="778"/>
      <c r="B84" s="830"/>
      <c r="C84" s="188" t="s">
        <v>415</v>
      </c>
      <c r="D84" s="443"/>
      <c r="E84" s="443"/>
      <c r="F84" s="443"/>
      <c r="G84" s="443"/>
      <c r="H84" s="444"/>
      <c r="I84" s="445"/>
      <c r="J84" s="248"/>
      <c r="K84" s="30"/>
      <c r="L84" s="54"/>
      <c r="M84" s="53">
        <v>0</v>
      </c>
      <c r="N84" s="54"/>
      <c r="O84" s="54"/>
      <c r="P84" s="54"/>
      <c r="Q84" s="69">
        <v>10000</v>
      </c>
      <c r="R84" s="69"/>
      <c r="S84" s="69"/>
      <c r="T84" s="99">
        <f t="shared" si="2"/>
        <v>10000</v>
      </c>
    </row>
    <row r="85" spans="1:22" ht="15" customHeight="1" x14ac:dyDescent="0.25">
      <c r="A85" s="778"/>
      <c r="B85" s="830"/>
      <c r="C85" s="188" t="s">
        <v>478</v>
      </c>
      <c r="D85" s="443"/>
      <c r="E85" s="443"/>
      <c r="F85" s="443"/>
      <c r="G85" s="443"/>
      <c r="H85" s="444"/>
      <c r="I85" s="445"/>
      <c r="J85" s="248"/>
      <c r="K85" s="30"/>
      <c r="L85" s="54"/>
      <c r="M85" s="53">
        <v>0</v>
      </c>
      <c r="N85" s="30"/>
      <c r="O85" s="69"/>
      <c r="P85" s="69"/>
      <c r="Q85" s="69">
        <v>24000</v>
      </c>
      <c r="R85" s="69"/>
      <c r="S85" s="69"/>
      <c r="T85" s="99">
        <f t="shared" si="2"/>
        <v>24000</v>
      </c>
    </row>
    <row r="86" spans="1:22" ht="15" customHeight="1" x14ac:dyDescent="0.25">
      <c r="A86" s="778"/>
      <c r="B86" s="830"/>
      <c r="C86" s="446" t="s">
        <v>418</v>
      </c>
      <c r="D86" s="447"/>
      <c r="E86" s="447"/>
      <c r="F86" s="447"/>
      <c r="G86" s="447"/>
      <c r="H86" s="448"/>
      <c r="I86" s="449"/>
      <c r="J86" s="450"/>
      <c r="K86" s="57"/>
      <c r="L86" s="109"/>
      <c r="M86" s="108">
        <v>0</v>
      </c>
      <c r="N86" s="30"/>
      <c r="O86" s="69"/>
      <c r="P86" s="69"/>
      <c r="Q86" s="69">
        <v>97410</v>
      </c>
      <c r="R86" s="69"/>
      <c r="S86" s="69"/>
      <c r="T86" s="99">
        <f t="shared" si="2"/>
        <v>97410</v>
      </c>
    </row>
    <row r="87" spans="1:22" ht="15" customHeight="1" x14ac:dyDescent="0.25">
      <c r="A87" s="778"/>
      <c r="B87" s="830"/>
      <c r="C87" s="68" t="s">
        <v>417</v>
      </c>
      <c r="D87" s="451"/>
      <c r="E87" s="451"/>
      <c r="F87" s="451"/>
      <c r="G87" s="451"/>
      <c r="H87" s="452"/>
      <c r="I87" s="453"/>
      <c r="J87" s="253"/>
      <c r="K87" s="57"/>
      <c r="L87" s="109"/>
      <c r="M87" s="108">
        <v>0</v>
      </c>
      <c r="N87" s="30"/>
      <c r="O87" s="69"/>
      <c r="P87" s="69"/>
      <c r="Q87" s="69">
        <v>367143</v>
      </c>
      <c r="R87" s="69"/>
      <c r="S87" s="69"/>
      <c r="T87" s="99">
        <f t="shared" si="2"/>
        <v>367143</v>
      </c>
    </row>
    <row r="88" spans="1:22" ht="12.75" customHeight="1" x14ac:dyDescent="0.25">
      <c r="A88" s="778"/>
      <c r="B88" s="830"/>
      <c r="C88" s="188" t="s">
        <v>432</v>
      </c>
      <c r="D88" s="451"/>
      <c r="E88" s="451"/>
      <c r="F88" s="451"/>
      <c r="G88" s="451"/>
      <c r="H88" s="452"/>
      <c r="I88" s="453"/>
      <c r="J88" s="253"/>
      <c r="K88" s="57"/>
      <c r="L88" s="109"/>
      <c r="M88" s="108">
        <v>0</v>
      </c>
      <c r="N88" s="30"/>
      <c r="O88" s="69"/>
      <c r="P88" s="69"/>
      <c r="Q88" s="69">
        <v>450000</v>
      </c>
      <c r="R88" s="69"/>
      <c r="S88" s="69"/>
      <c r="T88" s="99">
        <f t="shared" si="2"/>
        <v>450000</v>
      </c>
    </row>
    <row r="89" spans="1:22" ht="13.5" customHeight="1" x14ac:dyDescent="0.25">
      <c r="A89" s="778"/>
      <c r="B89" s="830"/>
      <c r="C89" s="68" t="s">
        <v>442</v>
      </c>
      <c r="D89" s="30"/>
      <c r="E89" s="30"/>
      <c r="F89" s="30"/>
      <c r="G89" s="30"/>
      <c r="H89" s="86"/>
      <c r="I89" s="390"/>
      <c r="J89" s="391"/>
      <c r="K89" s="30"/>
      <c r="L89" s="30"/>
      <c r="M89" s="29">
        <v>0</v>
      </c>
      <c r="N89" s="30"/>
      <c r="O89" s="69"/>
      <c r="P89" s="69"/>
      <c r="Q89" s="69">
        <v>100000</v>
      </c>
      <c r="R89" s="69"/>
      <c r="S89" s="69"/>
      <c r="T89" s="99">
        <f t="shared" si="2"/>
        <v>100000</v>
      </c>
    </row>
    <row r="90" spans="1:22" ht="13.5" customHeight="1" x14ac:dyDescent="0.25">
      <c r="A90" s="778"/>
      <c r="B90" s="830"/>
      <c r="C90" s="68" t="s">
        <v>466</v>
      </c>
      <c r="D90" s="30"/>
      <c r="E90" s="30"/>
      <c r="F90" s="30"/>
      <c r="G90" s="30"/>
      <c r="H90" s="86"/>
      <c r="I90" s="390"/>
      <c r="J90" s="391"/>
      <c r="K90" s="30">
        <v>7632</v>
      </c>
      <c r="L90" s="30"/>
      <c r="M90" s="29">
        <v>0</v>
      </c>
      <c r="N90" s="30"/>
      <c r="O90" s="69"/>
      <c r="P90" s="69"/>
      <c r="Q90" s="69">
        <v>82000</v>
      </c>
      <c r="R90" s="69"/>
      <c r="S90" s="69"/>
      <c r="T90" s="99">
        <f t="shared" si="2"/>
        <v>82000</v>
      </c>
      <c r="V90" s="671"/>
    </row>
    <row r="91" spans="1:22" ht="15" customHeight="1" x14ac:dyDescent="0.25">
      <c r="A91" s="778"/>
      <c r="B91" s="830"/>
      <c r="C91" s="68" t="s">
        <v>468</v>
      </c>
      <c r="D91" s="30"/>
      <c r="E91" s="30"/>
      <c r="F91" s="30"/>
      <c r="G91" s="30"/>
      <c r="H91" s="86"/>
      <c r="I91" s="390"/>
      <c r="J91" s="391"/>
      <c r="K91" s="30"/>
      <c r="L91" s="30"/>
      <c r="M91" s="29">
        <v>0</v>
      </c>
      <c r="N91" s="30"/>
      <c r="O91" s="69"/>
      <c r="P91" s="69"/>
      <c r="Q91" s="69">
        <v>14652</v>
      </c>
      <c r="R91" s="69"/>
      <c r="S91" s="69"/>
      <c r="T91" s="99">
        <f t="shared" si="2"/>
        <v>14652</v>
      </c>
    </row>
    <row r="92" spans="1:22" ht="12.75" hidden="1" customHeight="1" x14ac:dyDescent="0.25">
      <c r="A92" s="778"/>
      <c r="B92" s="830"/>
      <c r="C92" s="68" t="s">
        <v>337</v>
      </c>
      <c r="D92" s="30"/>
      <c r="E92" s="30"/>
      <c r="F92" s="30"/>
      <c r="G92" s="30"/>
      <c r="H92" s="86"/>
      <c r="I92" s="390"/>
      <c r="J92" s="391"/>
      <c r="K92" s="30">
        <v>0</v>
      </c>
      <c r="L92" s="30"/>
      <c r="M92" s="29">
        <v>0</v>
      </c>
      <c r="N92" s="30"/>
      <c r="O92" s="30"/>
      <c r="P92" s="30"/>
      <c r="Q92" s="69">
        <v>0</v>
      </c>
      <c r="R92" s="69"/>
      <c r="S92" s="69"/>
      <c r="T92" s="99">
        <f t="shared" si="2"/>
        <v>0</v>
      </c>
    </row>
    <row r="93" spans="1:22" ht="15" hidden="1" customHeight="1" x14ac:dyDescent="0.25">
      <c r="A93" s="778"/>
      <c r="B93" s="830"/>
      <c r="C93" s="68" t="s">
        <v>338</v>
      </c>
      <c r="D93" s="30"/>
      <c r="E93" s="30"/>
      <c r="F93" s="30"/>
      <c r="G93" s="30"/>
      <c r="H93" s="86"/>
      <c r="I93" s="390"/>
      <c r="J93" s="391"/>
      <c r="K93" s="30">
        <v>0</v>
      </c>
      <c r="L93" s="30">
        <v>1302435.6399999999</v>
      </c>
      <c r="M93" s="29">
        <v>95467.839999999997</v>
      </c>
      <c r="N93" s="30"/>
      <c r="O93" s="30"/>
      <c r="P93" s="30"/>
      <c r="Q93" s="69">
        <v>0</v>
      </c>
      <c r="R93" s="69"/>
      <c r="S93" s="69"/>
      <c r="T93" s="99">
        <f t="shared" si="2"/>
        <v>0</v>
      </c>
    </row>
    <row r="94" spans="1:22" ht="15" hidden="1" customHeight="1" x14ac:dyDescent="0.25">
      <c r="A94" s="778"/>
      <c r="B94" s="830"/>
      <c r="C94" s="68" t="s">
        <v>339</v>
      </c>
      <c r="D94" s="30"/>
      <c r="E94" s="30"/>
      <c r="F94" s="30"/>
      <c r="G94" s="30"/>
      <c r="H94" s="86"/>
      <c r="I94" s="390"/>
      <c r="J94" s="391"/>
      <c r="K94" s="30"/>
      <c r="L94" s="30"/>
      <c r="M94" s="29">
        <v>38905.74</v>
      </c>
      <c r="N94" s="30"/>
      <c r="O94" s="30"/>
      <c r="P94" s="30"/>
      <c r="Q94" s="69">
        <v>0</v>
      </c>
      <c r="R94" s="69"/>
      <c r="S94" s="69"/>
      <c r="T94" s="99">
        <f t="shared" si="2"/>
        <v>0</v>
      </c>
    </row>
    <row r="95" spans="1:22" ht="12.75" hidden="1" customHeight="1" x14ac:dyDescent="0.25">
      <c r="A95" s="778"/>
      <c r="B95" s="830"/>
      <c r="C95" s="68" t="s">
        <v>340</v>
      </c>
      <c r="D95" s="30"/>
      <c r="E95" s="30"/>
      <c r="F95" s="30"/>
      <c r="G95" s="30"/>
      <c r="H95" s="86"/>
      <c r="I95" s="390"/>
      <c r="J95" s="391"/>
      <c r="K95" s="30"/>
      <c r="L95" s="30"/>
      <c r="M95" s="29">
        <v>0</v>
      </c>
      <c r="N95" s="30"/>
      <c r="O95" s="30"/>
      <c r="P95" s="30"/>
      <c r="Q95" s="69">
        <v>0</v>
      </c>
      <c r="R95" s="69"/>
      <c r="S95" s="69"/>
      <c r="T95" s="99">
        <f t="shared" si="2"/>
        <v>0</v>
      </c>
    </row>
    <row r="96" spans="1:22" ht="12.75" hidden="1" customHeight="1" x14ac:dyDescent="0.25">
      <c r="A96" s="778"/>
      <c r="B96" s="830"/>
      <c r="C96" s="68" t="s">
        <v>341</v>
      </c>
      <c r="D96" s="30"/>
      <c r="E96" s="30"/>
      <c r="F96" s="30"/>
      <c r="G96" s="30"/>
      <c r="H96" s="86"/>
      <c r="I96" s="390"/>
      <c r="J96" s="391"/>
      <c r="K96" s="30"/>
      <c r="L96" s="30"/>
      <c r="M96" s="29">
        <v>0</v>
      </c>
      <c r="N96" s="30"/>
      <c r="O96" s="30"/>
      <c r="P96" s="30"/>
      <c r="Q96" s="69">
        <v>0</v>
      </c>
      <c r="R96" s="69"/>
      <c r="S96" s="69"/>
      <c r="T96" s="99">
        <f t="shared" si="2"/>
        <v>0</v>
      </c>
    </row>
    <row r="97" spans="1:20" ht="12.75" hidden="1" customHeight="1" x14ac:dyDescent="0.25">
      <c r="A97" s="778"/>
      <c r="B97" s="830"/>
      <c r="C97" s="68" t="s">
        <v>342</v>
      </c>
      <c r="D97" s="30"/>
      <c r="E97" s="30"/>
      <c r="F97" s="30"/>
      <c r="G97" s="30"/>
      <c r="H97" s="86"/>
      <c r="I97" s="390"/>
      <c r="J97" s="391"/>
      <c r="K97" s="30">
        <v>8090</v>
      </c>
      <c r="L97" s="30"/>
      <c r="M97" s="29">
        <v>0</v>
      </c>
      <c r="N97" s="30"/>
      <c r="O97" s="30"/>
      <c r="P97" s="30"/>
      <c r="Q97" s="69">
        <v>0</v>
      </c>
      <c r="R97" s="69"/>
      <c r="S97" s="69"/>
      <c r="T97" s="99">
        <f t="shared" si="2"/>
        <v>0</v>
      </c>
    </row>
    <row r="98" spans="1:20" ht="15" hidden="1" customHeight="1" x14ac:dyDescent="0.25">
      <c r="A98" s="778"/>
      <c r="B98" s="830"/>
      <c r="C98" s="68" t="s">
        <v>336</v>
      </c>
      <c r="D98" s="30"/>
      <c r="E98" s="30"/>
      <c r="F98" s="30"/>
      <c r="G98" s="30"/>
      <c r="H98" s="86"/>
      <c r="I98" s="390"/>
      <c r="J98" s="391"/>
      <c r="K98" s="30"/>
      <c r="L98" s="30"/>
      <c r="M98" s="29"/>
      <c r="N98" s="30"/>
      <c r="O98" s="30"/>
      <c r="P98" s="30"/>
      <c r="Q98" s="69">
        <v>0</v>
      </c>
      <c r="R98" s="69"/>
      <c r="S98" s="69"/>
      <c r="T98" s="99">
        <f t="shared" si="2"/>
        <v>0</v>
      </c>
    </row>
    <row r="99" spans="1:20" ht="15" customHeight="1" x14ac:dyDescent="0.25">
      <c r="A99" s="778"/>
      <c r="B99" s="830"/>
      <c r="C99" s="68" t="s">
        <v>425</v>
      </c>
      <c r="D99" s="57"/>
      <c r="E99" s="57"/>
      <c r="F99" s="57"/>
      <c r="G99" s="57"/>
      <c r="H99" s="100"/>
      <c r="I99" s="392"/>
      <c r="J99" s="393"/>
      <c r="K99" s="57"/>
      <c r="L99" s="57"/>
      <c r="M99" s="56"/>
      <c r="N99" s="57"/>
      <c r="O99" s="57"/>
      <c r="P99" s="57"/>
      <c r="Q99" s="69">
        <v>10000</v>
      </c>
      <c r="R99" s="69"/>
      <c r="S99" s="69"/>
      <c r="T99" s="99">
        <f t="shared" si="2"/>
        <v>10000</v>
      </c>
    </row>
    <row r="100" spans="1:20" ht="15.75" thickBot="1" x14ac:dyDescent="0.3">
      <c r="A100" s="779"/>
      <c r="B100" s="831"/>
      <c r="C100" s="191" t="s">
        <v>394</v>
      </c>
      <c r="D100" s="57"/>
      <c r="E100" s="57"/>
      <c r="F100" s="57"/>
      <c r="G100" s="57"/>
      <c r="H100" s="100"/>
      <c r="I100" s="392"/>
      <c r="J100" s="393"/>
      <c r="K100" s="57"/>
      <c r="L100" s="57"/>
      <c r="M100" s="56"/>
      <c r="N100" s="57"/>
      <c r="O100" s="57"/>
      <c r="P100" s="57"/>
      <c r="Q100" s="113">
        <v>25834</v>
      </c>
      <c r="R100" s="69"/>
      <c r="S100" s="113"/>
      <c r="T100" s="101">
        <f t="shared" si="2"/>
        <v>25834</v>
      </c>
    </row>
    <row r="101" spans="1:20" s="459" customFormat="1" ht="15.75" thickBot="1" x14ac:dyDescent="0.3">
      <c r="A101" s="259" t="s">
        <v>343</v>
      </c>
      <c r="B101" s="839" t="s">
        <v>344</v>
      </c>
      <c r="C101" s="791"/>
      <c r="D101" s="454"/>
      <c r="E101" s="454"/>
      <c r="F101" s="454"/>
      <c r="G101" s="454"/>
      <c r="H101" s="455"/>
      <c r="I101" s="456"/>
      <c r="J101" s="457"/>
      <c r="K101" s="454"/>
      <c r="L101" s="454"/>
      <c r="M101" s="458"/>
      <c r="N101" s="104"/>
      <c r="O101" s="104"/>
      <c r="P101" s="104">
        <v>5880</v>
      </c>
      <c r="Q101" s="102">
        <f>Q102</f>
        <v>41760</v>
      </c>
      <c r="R101" s="102">
        <f>R102</f>
        <v>0</v>
      </c>
      <c r="S101" s="102">
        <f>S102</f>
        <v>0</v>
      </c>
      <c r="T101" s="105">
        <f>T102</f>
        <v>41760</v>
      </c>
    </row>
    <row r="102" spans="1:20" ht="15.75" thickBot="1" x14ac:dyDescent="0.3">
      <c r="A102" s="402"/>
      <c r="B102" s="403"/>
      <c r="C102" s="207" t="s">
        <v>345</v>
      </c>
      <c r="D102" s="37"/>
      <c r="E102" s="37"/>
      <c r="F102" s="37"/>
      <c r="G102" s="37"/>
      <c r="H102" s="89"/>
      <c r="I102" s="429"/>
      <c r="J102" s="430"/>
      <c r="K102" s="37">
        <v>476</v>
      </c>
      <c r="L102" s="37">
        <v>3000</v>
      </c>
      <c r="M102" s="36">
        <v>3545</v>
      </c>
      <c r="N102" s="16"/>
      <c r="O102" s="16"/>
      <c r="P102" s="125">
        <v>5880</v>
      </c>
      <c r="Q102" s="203">
        <v>41760</v>
      </c>
      <c r="R102" s="203"/>
      <c r="S102" s="203"/>
      <c r="T102" s="110">
        <f>Q102+R102+S102</f>
        <v>41760</v>
      </c>
    </row>
    <row r="103" spans="1:20" ht="15.75" hidden="1" thickBot="1" x14ac:dyDescent="0.3">
      <c r="A103" s="259" t="s">
        <v>346</v>
      </c>
      <c r="B103" s="758" t="s">
        <v>239</v>
      </c>
      <c r="C103" s="759"/>
      <c r="D103" s="460"/>
      <c r="E103" s="460"/>
      <c r="F103" s="460"/>
      <c r="G103" s="460"/>
      <c r="H103" s="668"/>
      <c r="I103" s="461"/>
      <c r="J103" s="462"/>
      <c r="K103" s="121"/>
      <c r="L103" s="121"/>
      <c r="M103" s="121"/>
      <c r="N103" s="121"/>
      <c r="O103" s="121"/>
      <c r="P103" s="121"/>
      <c r="Q103" s="102">
        <f>Q104</f>
        <v>0</v>
      </c>
      <c r="R103" s="102">
        <f>R104</f>
        <v>0</v>
      </c>
      <c r="S103" s="102">
        <f>S104</f>
        <v>0</v>
      </c>
      <c r="T103" s="105">
        <f>T104</f>
        <v>0</v>
      </c>
    </row>
    <row r="104" spans="1:20" ht="15.75" hidden="1" thickBot="1" x14ac:dyDescent="0.3">
      <c r="A104" s="386"/>
      <c r="B104" s="389"/>
      <c r="C104" s="68"/>
      <c r="D104" s="30"/>
      <c r="E104" s="30"/>
      <c r="F104" s="30"/>
      <c r="G104" s="30"/>
      <c r="H104" s="86"/>
      <c r="I104" s="390"/>
      <c r="J104" s="391"/>
      <c r="K104" s="30"/>
      <c r="L104" s="30"/>
      <c r="M104" s="30"/>
      <c r="N104" s="30"/>
      <c r="O104" s="30"/>
      <c r="P104" s="30"/>
      <c r="Q104" s="69"/>
      <c r="R104" s="69"/>
      <c r="S104" s="69"/>
      <c r="T104" s="99">
        <f>Q104+R104+S104</f>
        <v>0</v>
      </c>
    </row>
    <row r="105" spans="1:20" ht="15.75" hidden="1" customHeight="1" thickBot="1" x14ac:dyDescent="0.3">
      <c r="A105" s="386"/>
      <c r="B105" s="389"/>
      <c r="C105" s="68"/>
      <c r="D105" s="30"/>
      <c r="E105" s="30"/>
      <c r="F105" s="30"/>
      <c r="G105" s="30"/>
      <c r="H105" s="86"/>
      <c r="I105" s="390"/>
      <c r="J105" s="391"/>
      <c r="K105" s="30"/>
      <c r="L105" s="30"/>
      <c r="M105" s="30"/>
      <c r="N105" s="30"/>
      <c r="O105" s="30"/>
      <c r="P105" s="30"/>
      <c r="Q105" s="69"/>
      <c r="R105" s="69"/>
      <c r="S105" s="69"/>
      <c r="T105" s="99"/>
    </row>
    <row r="106" spans="1:20" ht="15.75" hidden="1" customHeight="1" thickBot="1" x14ac:dyDescent="0.3">
      <c r="A106" s="386"/>
      <c r="B106" s="389"/>
      <c r="C106" s="71"/>
      <c r="D106" s="57"/>
      <c r="E106" s="57"/>
      <c r="F106" s="57"/>
      <c r="G106" s="57"/>
      <c r="H106" s="100"/>
      <c r="I106" s="392"/>
      <c r="J106" s="393"/>
      <c r="K106" s="57"/>
      <c r="L106" s="57"/>
      <c r="M106" s="57"/>
      <c r="N106" s="57"/>
      <c r="O106" s="57"/>
      <c r="P106" s="57"/>
      <c r="Q106" s="113"/>
      <c r="R106" s="113"/>
      <c r="S106" s="113"/>
      <c r="T106" s="101"/>
    </row>
    <row r="107" spans="1:20" ht="15.75" thickBot="1" x14ac:dyDescent="0.3">
      <c r="A107" s="388" t="s">
        <v>217</v>
      </c>
      <c r="B107" s="832" t="s">
        <v>347</v>
      </c>
      <c r="C107" s="832"/>
      <c r="D107" s="196">
        <v>8298</v>
      </c>
      <c r="E107" s="196">
        <v>3983</v>
      </c>
      <c r="F107" s="196">
        <v>175065</v>
      </c>
      <c r="G107" s="196">
        <v>138049</v>
      </c>
      <c r="H107" s="196">
        <v>127764</v>
      </c>
      <c r="I107" s="375">
        <v>149292</v>
      </c>
      <c r="J107" s="196">
        <v>3000</v>
      </c>
      <c r="K107" s="102">
        <f>SUM(K112:K114)</f>
        <v>6455</v>
      </c>
      <c r="L107" s="102">
        <f>SUM(L108:L114)</f>
        <v>131475.39000000001</v>
      </c>
      <c r="M107" s="103">
        <f>SUM(M108:M114)</f>
        <v>1775474.1500000001</v>
      </c>
      <c r="N107" s="102">
        <v>12967.75</v>
      </c>
      <c r="O107" s="103">
        <v>2000</v>
      </c>
      <c r="P107" s="102">
        <v>138793.75</v>
      </c>
      <c r="Q107" s="102">
        <f>Q108+Q109+Q110+Q111</f>
        <v>37479</v>
      </c>
      <c r="R107" s="102">
        <f>R108+R109+R110+R111</f>
        <v>0</v>
      </c>
      <c r="S107" s="102">
        <f>S108+S109+S110+S111</f>
        <v>0</v>
      </c>
      <c r="T107" s="105">
        <f>T108+T109+T110+T111</f>
        <v>37479</v>
      </c>
    </row>
    <row r="108" spans="1:20" x14ac:dyDescent="0.25">
      <c r="A108" s="780"/>
      <c r="B108" s="833"/>
      <c r="C108" s="410" t="s">
        <v>326</v>
      </c>
      <c r="D108" s="463"/>
      <c r="E108" s="463"/>
      <c r="F108" s="463"/>
      <c r="G108" s="463"/>
      <c r="H108" s="464"/>
      <c r="I108" s="465"/>
      <c r="J108" s="466"/>
      <c r="K108" s="21"/>
      <c r="L108" s="21">
        <v>123141.28</v>
      </c>
      <c r="M108" s="178">
        <v>1602434.8900000001</v>
      </c>
      <c r="N108" s="21"/>
      <c r="O108" s="21"/>
      <c r="P108" s="21"/>
      <c r="Q108" s="20">
        <v>1500</v>
      </c>
      <c r="R108" s="20"/>
      <c r="S108" s="20"/>
      <c r="T108" s="467">
        <f>Q108+R108+S108</f>
        <v>1500</v>
      </c>
    </row>
    <row r="109" spans="1:20" ht="15.75" hidden="1" customHeight="1" x14ac:dyDescent="0.25">
      <c r="A109" s="781"/>
      <c r="B109" s="834"/>
      <c r="C109" s="416" t="s">
        <v>464</v>
      </c>
      <c r="D109" s="468"/>
      <c r="E109" s="468"/>
      <c r="F109" s="468"/>
      <c r="G109" s="468"/>
      <c r="H109" s="469"/>
      <c r="I109" s="470"/>
      <c r="J109" s="471"/>
      <c r="K109" s="52"/>
      <c r="L109" s="52"/>
      <c r="M109" s="222">
        <v>18092.39</v>
      </c>
      <c r="N109" s="52"/>
      <c r="O109" s="52"/>
      <c r="P109" s="52"/>
      <c r="Q109" s="135">
        <v>0</v>
      </c>
      <c r="R109" s="135"/>
      <c r="S109" s="135"/>
      <c r="T109" s="472">
        <f>Q109+R109+S109</f>
        <v>0</v>
      </c>
    </row>
    <row r="110" spans="1:20" ht="15.75" customHeight="1" x14ac:dyDescent="0.25">
      <c r="A110" s="781"/>
      <c r="B110" s="834"/>
      <c r="C110" s="416" t="s">
        <v>438</v>
      </c>
      <c r="D110" s="468"/>
      <c r="E110" s="468"/>
      <c r="F110" s="468"/>
      <c r="G110" s="468"/>
      <c r="H110" s="469"/>
      <c r="I110" s="470"/>
      <c r="J110" s="471"/>
      <c r="K110" s="52"/>
      <c r="L110" s="52"/>
      <c r="M110" s="222">
        <v>16624.5</v>
      </c>
      <c r="N110" s="52"/>
      <c r="O110" s="52"/>
      <c r="P110" s="52"/>
      <c r="Q110" s="135">
        <v>5979</v>
      </c>
      <c r="R110" s="135"/>
      <c r="S110" s="135"/>
      <c r="T110" s="472">
        <f>Q110+R110+S110</f>
        <v>5979</v>
      </c>
    </row>
    <row r="111" spans="1:20" ht="15.75" customHeight="1" thickBot="1" x14ac:dyDescent="0.3">
      <c r="A111" s="781"/>
      <c r="B111" s="834"/>
      <c r="C111" s="416" t="s">
        <v>452</v>
      </c>
      <c r="D111" s="468"/>
      <c r="E111" s="468"/>
      <c r="F111" s="468"/>
      <c r="G111" s="468"/>
      <c r="H111" s="469"/>
      <c r="I111" s="470"/>
      <c r="J111" s="471"/>
      <c r="K111" s="52"/>
      <c r="L111" s="52"/>
      <c r="M111" s="222">
        <v>120000</v>
      </c>
      <c r="N111" s="52"/>
      <c r="O111" s="52"/>
      <c r="P111" s="52"/>
      <c r="Q111" s="135">
        <v>30000</v>
      </c>
      <c r="R111" s="135"/>
      <c r="S111" s="135"/>
      <c r="T111" s="472">
        <f>Q111+R111+S111</f>
        <v>30000</v>
      </c>
    </row>
    <row r="112" spans="1:20" ht="15.75" hidden="1" customHeight="1" x14ac:dyDescent="0.25">
      <c r="A112" s="781"/>
      <c r="B112" s="834"/>
      <c r="C112" s="111"/>
      <c r="D112" s="54"/>
      <c r="E112" s="54"/>
      <c r="F112" s="54"/>
      <c r="G112" s="54"/>
      <c r="H112" s="82"/>
      <c r="I112" s="400"/>
      <c r="J112" s="401"/>
      <c r="K112" s="54">
        <v>6455</v>
      </c>
      <c r="L112" s="54"/>
      <c r="M112" s="53">
        <v>14992.37</v>
      </c>
      <c r="N112" s="54"/>
      <c r="O112" s="54"/>
      <c r="P112" s="54"/>
      <c r="Q112" s="83"/>
      <c r="R112" s="83"/>
      <c r="S112" s="83"/>
      <c r="T112" s="98"/>
    </row>
    <row r="113" spans="1:20" ht="15.75" hidden="1" customHeight="1" x14ac:dyDescent="0.25">
      <c r="A113" s="781"/>
      <c r="B113" s="834"/>
      <c r="C113" s="191"/>
      <c r="D113" s="109"/>
      <c r="E113" s="109"/>
      <c r="F113" s="109"/>
      <c r="G113" s="109"/>
      <c r="H113" s="107"/>
      <c r="I113" s="404"/>
      <c r="J113" s="405"/>
      <c r="K113" s="109"/>
      <c r="L113" s="69"/>
      <c r="M113" s="29"/>
      <c r="N113" s="54"/>
      <c r="O113" s="54"/>
      <c r="P113" s="54"/>
      <c r="Q113" s="83"/>
      <c r="R113" s="83"/>
      <c r="S113" s="83"/>
      <c r="T113" s="98"/>
    </row>
    <row r="114" spans="1:20" ht="15.75" hidden="1" customHeight="1" thickBot="1" x14ac:dyDescent="0.3">
      <c r="A114" s="782"/>
      <c r="B114" s="835"/>
      <c r="C114" s="70"/>
      <c r="D114" s="37"/>
      <c r="E114" s="37"/>
      <c r="F114" s="37"/>
      <c r="G114" s="37"/>
      <c r="H114" s="89"/>
      <c r="I114" s="429"/>
      <c r="J114" s="430"/>
      <c r="K114" s="37"/>
      <c r="L114" s="117">
        <v>8334.11</v>
      </c>
      <c r="M114" s="116">
        <v>3330</v>
      </c>
      <c r="N114" s="117"/>
      <c r="O114" s="117"/>
      <c r="P114" s="117"/>
      <c r="Q114" s="171"/>
      <c r="R114" s="171"/>
      <c r="S114" s="171"/>
      <c r="T114" s="431"/>
    </row>
    <row r="115" spans="1:20" ht="15.75" thickBot="1" x14ac:dyDescent="0.3">
      <c r="A115" s="388" t="s">
        <v>348</v>
      </c>
      <c r="B115" s="832" t="s">
        <v>223</v>
      </c>
      <c r="C115" s="832"/>
      <c r="D115" s="196"/>
      <c r="E115" s="196">
        <v>22472</v>
      </c>
      <c r="F115" s="196">
        <v>20713</v>
      </c>
      <c r="G115" s="196">
        <v>11074</v>
      </c>
      <c r="H115" s="196">
        <v>15914</v>
      </c>
      <c r="I115" s="375">
        <v>116842</v>
      </c>
      <c r="J115" s="196">
        <v>38905</v>
      </c>
      <c r="K115" s="102">
        <f>SUM(K116:K121)</f>
        <v>15848</v>
      </c>
      <c r="L115" s="102">
        <f>SUM(L116:L121)</f>
        <v>26915.190000000002</v>
      </c>
      <c r="M115" s="103">
        <f>SUM(M116:M121)</f>
        <v>9771.24</v>
      </c>
      <c r="N115" s="102">
        <v>62531.63</v>
      </c>
      <c r="O115" s="103">
        <v>193266.02</v>
      </c>
      <c r="P115" s="102">
        <v>3920.81</v>
      </c>
      <c r="Q115" s="102">
        <f>Q116</f>
        <v>0</v>
      </c>
      <c r="R115" s="102">
        <f>R116</f>
        <v>0</v>
      </c>
      <c r="S115" s="102">
        <f>S116</f>
        <v>0</v>
      </c>
      <c r="T115" s="105">
        <f>T116</f>
        <v>0</v>
      </c>
    </row>
    <row r="116" spans="1:20" ht="15.75" hidden="1" thickBot="1" x14ac:dyDescent="0.3">
      <c r="A116" s="777"/>
      <c r="B116" s="829"/>
      <c r="C116" s="66"/>
      <c r="D116" s="23"/>
      <c r="E116" s="23"/>
      <c r="F116" s="23"/>
      <c r="G116" s="23"/>
      <c r="H116" s="81"/>
      <c r="I116" s="398"/>
      <c r="J116" s="399"/>
      <c r="K116" s="23">
        <v>7000</v>
      </c>
      <c r="L116" s="54">
        <v>16662.2</v>
      </c>
      <c r="M116" s="53"/>
      <c r="N116" s="54"/>
      <c r="O116" s="54"/>
      <c r="P116" s="54"/>
      <c r="Q116" s="83"/>
      <c r="R116" s="83"/>
      <c r="S116" s="83"/>
      <c r="T116" s="98">
        <f>Q116+R116+S116</f>
        <v>0</v>
      </c>
    </row>
    <row r="117" spans="1:20" ht="15.75" hidden="1" customHeight="1" x14ac:dyDescent="0.25">
      <c r="A117" s="778"/>
      <c r="B117" s="830"/>
      <c r="C117" s="68"/>
      <c r="D117" s="30"/>
      <c r="E117" s="30"/>
      <c r="F117" s="30"/>
      <c r="G117" s="30"/>
      <c r="H117" s="86"/>
      <c r="I117" s="390"/>
      <c r="J117" s="391"/>
      <c r="K117" s="30"/>
      <c r="L117" s="30"/>
      <c r="M117" s="29"/>
      <c r="N117" s="30"/>
      <c r="O117" s="30"/>
      <c r="P117" s="30"/>
      <c r="Q117" s="69"/>
      <c r="R117" s="69"/>
      <c r="S117" s="69"/>
      <c r="T117" s="99"/>
    </row>
    <row r="118" spans="1:20" ht="15.75" hidden="1" customHeight="1" x14ac:dyDescent="0.25">
      <c r="A118" s="778"/>
      <c r="B118" s="830"/>
      <c r="C118" s="68"/>
      <c r="D118" s="30"/>
      <c r="E118" s="30"/>
      <c r="F118" s="30"/>
      <c r="G118" s="30"/>
      <c r="H118" s="86"/>
      <c r="I118" s="390"/>
      <c r="J118" s="391"/>
      <c r="K118" s="30"/>
      <c r="L118" s="30"/>
      <c r="M118" s="29"/>
      <c r="N118" s="30"/>
      <c r="O118" s="30"/>
      <c r="P118" s="30"/>
      <c r="Q118" s="69"/>
      <c r="R118" s="69"/>
      <c r="S118" s="69"/>
      <c r="T118" s="99"/>
    </row>
    <row r="119" spans="1:20" ht="15.75" hidden="1" customHeight="1" x14ac:dyDescent="0.25">
      <c r="A119" s="778"/>
      <c r="B119" s="830"/>
      <c r="C119" s="68"/>
      <c r="D119" s="30"/>
      <c r="E119" s="30"/>
      <c r="F119" s="30"/>
      <c r="G119" s="30"/>
      <c r="H119" s="86"/>
      <c r="I119" s="390"/>
      <c r="J119" s="391"/>
      <c r="K119" s="30"/>
      <c r="L119" s="30"/>
      <c r="M119" s="29"/>
      <c r="N119" s="30"/>
      <c r="O119" s="30"/>
      <c r="P119" s="30"/>
      <c r="Q119" s="69"/>
      <c r="R119" s="69"/>
      <c r="S119" s="69"/>
      <c r="T119" s="99"/>
    </row>
    <row r="120" spans="1:20" ht="15.75" hidden="1" customHeight="1" thickBot="1" x14ac:dyDescent="0.3">
      <c r="A120" s="778"/>
      <c r="B120" s="830"/>
      <c r="C120" s="70"/>
      <c r="D120" s="37"/>
      <c r="E120" s="37"/>
      <c r="F120" s="37"/>
      <c r="G120" s="37"/>
      <c r="H120" s="89"/>
      <c r="I120" s="429"/>
      <c r="J120" s="430"/>
      <c r="K120" s="37"/>
      <c r="L120" s="37"/>
      <c r="M120" s="36">
        <v>9771.24</v>
      </c>
      <c r="N120" s="37"/>
      <c r="O120" s="37"/>
      <c r="P120" s="37"/>
      <c r="Q120" s="34"/>
      <c r="R120" s="34"/>
      <c r="S120" s="34"/>
      <c r="T120" s="473"/>
    </row>
    <row r="121" spans="1:20" ht="15.75" hidden="1" customHeight="1" thickBot="1" x14ac:dyDescent="0.3">
      <c r="A121" s="779"/>
      <c r="B121" s="831"/>
      <c r="C121" s="207" t="s">
        <v>349</v>
      </c>
      <c r="D121" s="117"/>
      <c r="E121" s="117"/>
      <c r="F121" s="117"/>
      <c r="G121" s="117"/>
      <c r="H121" s="115"/>
      <c r="I121" s="474"/>
      <c r="J121" s="475"/>
      <c r="K121" s="117">
        <v>8848</v>
      </c>
      <c r="L121" s="117">
        <v>10252.99</v>
      </c>
      <c r="M121" s="116"/>
      <c r="N121" s="117"/>
      <c r="O121" s="117"/>
      <c r="P121" s="117"/>
      <c r="Q121" s="171"/>
      <c r="R121" s="171"/>
      <c r="S121" s="171"/>
      <c r="T121" s="431"/>
    </row>
    <row r="122" spans="1:20" ht="17.25" customHeight="1" thickBot="1" x14ac:dyDescent="0.3">
      <c r="A122" s="388" t="s">
        <v>350</v>
      </c>
      <c r="B122" s="727" t="s">
        <v>243</v>
      </c>
      <c r="C122" s="728"/>
      <c r="D122" s="460"/>
      <c r="E122" s="460"/>
      <c r="F122" s="460"/>
      <c r="G122" s="460"/>
      <c r="H122" s="668"/>
      <c r="I122" s="461"/>
      <c r="J122" s="462"/>
      <c r="K122" s="121">
        <v>5500</v>
      </c>
      <c r="L122" s="121"/>
      <c r="M122" s="121">
        <f>M123</f>
        <v>0</v>
      </c>
      <c r="N122" s="104"/>
      <c r="O122" s="238">
        <v>10000</v>
      </c>
      <c r="P122" s="104">
        <v>2238</v>
      </c>
      <c r="Q122" s="102">
        <f>Q123</f>
        <v>19876</v>
      </c>
      <c r="R122" s="102">
        <f>R123</f>
        <v>2950</v>
      </c>
      <c r="S122" s="102">
        <f>S123</f>
        <v>0</v>
      </c>
      <c r="T122" s="105">
        <f>T123</f>
        <v>22826</v>
      </c>
    </row>
    <row r="123" spans="1:20" ht="17.25" customHeight="1" thickBot="1" x14ac:dyDescent="0.3">
      <c r="A123" s="386"/>
      <c r="B123" s="389"/>
      <c r="C123" s="207" t="s">
        <v>437</v>
      </c>
      <c r="D123" s="109"/>
      <c r="E123" s="109"/>
      <c r="F123" s="109"/>
      <c r="G123" s="109"/>
      <c r="H123" s="107"/>
      <c r="I123" s="404"/>
      <c r="J123" s="405"/>
      <c r="K123" s="109">
        <v>5500</v>
      </c>
      <c r="L123" s="109"/>
      <c r="M123" s="109"/>
      <c r="N123" s="109"/>
      <c r="O123" s="108"/>
      <c r="P123" s="109"/>
      <c r="Q123" s="69">
        <v>19876</v>
      </c>
      <c r="R123" s="69">
        <v>2950</v>
      </c>
      <c r="S123" s="69"/>
      <c r="T123" s="99">
        <f>Q123+R123+S123</f>
        <v>22826</v>
      </c>
    </row>
    <row r="124" spans="1:20" ht="17.25" customHeight="1" thickBot="1" x14ac:dyDescent="0.3">
      <c r="A124" s="477" t="s">
        <v>247</v>
      </c>
      <c r="B124" s="844" t="s">
        <v>248</v>
      </c>
      <c r="C124" s="844"/>
      <c r="D124" s="196">
        <v>666567</v>
      </c>
      <c r="E124" s="196">
        <v>223164</v>
      </c>
      <c r="F124" s="196">
        <v>527019</v>
      </c>
      <c r="G124" s="196">
        <v>279677</v>
      </c>
      <c r="H124" s="196">
        <v>1160065</v>
      </c>
      <c r="I124" s="478">
        <v>2097438</v>
      </c>
      <c r="J124" s="196">
        <v>344577</v>
      </c>
      <c r="K124" s="102">
        <f>SUM(K125:K140)</f>
        <v>11076</v>
      </c>
      <c r="L124" s="102">
        <f>SUM(L125:L140)</f>
        <v>22611.84</v>
      </c>
      <c r="M124" s="103">
        <f>SUM(M125:M140)</f>
        <v>52135.360000000001</v>
      </c>
      <c r="N124" s="102">
        <v>60359.19</v>
      </c>
      <c r="O124" s="103">
        <v>319793.28999999998</v>
      </c>
      <c r="P124" s="102">
        <v>478985.9</v>
      </c>
      <c r="Q124" s="102">
        <f>Q127+Q128+Q135+Q131+Q129+Q130</f>
        <v>528733</v>
      </c>
      <c r="R124" s="102">
        <f>R127+R128+R135+R129+R131</f>
        <v>-69076</v>
      </c>
      <c r="S124" s="102">
        <f>S127+S128+S135+S129+S130</f>
        <v>0</v>
      </c>
      <c r="T124" s="105">
        <f>T127+T128+T135+T131+T129+T130</f>
        <v>459657</v>
      </c>
    </row>
    <row r="125" spans="1:20" ht="15" hidden="1" customHeight="1" x14ac:dyDescent="0.25">
      <c r="A125" s="777"/>
      <c r="B125" s="829"/>
      <c r="C125" s="68"/>
      <c r="D125" s="86"/>
      <c r="E125" s="86"/>
      <c r="F125" s="86"/>
      <c r="G125" s="86"/>
      <c r="H125" s="86"/>
      <c r="I125" s="390"/>
      <c r="J125" s="391"/>
      <c r="K125" s="30">
        <v>11076</v>
      </c>
      <c r="L125" s="54"/>
      <c r="M125" s="54"/>
      <c r="N125" s="54"/>
      <c r="O125" s="54"/>
      <c r="P125" s="54"/>
      <c r="Q125" s="83"/>
      <c r="R125" s="83">
        <v>0</v>
      </c>
      <c r="S125" s="83"/>
      <c r="T125" s="98"/>
    </row>
    <row r="126" spans="1:20" ht="15" hidden="1" customHeight="1" x14ac:dyDescent="0.25">
      <c r="A126" s="778"/>
      <c r="B126" s="830"/>
      <c r="C126" s="68"/>
      <c r="D126" s="86"/>
      <c r="E126" s="86"/>
      <c r="F126" s="86"/>
      <c r="G126" s="86"/>
      <c r="H126" s="86"/>
      <c r="I126" s="390"/>
      <c r="J126" s="391"/>
      <c r="K126" s="30"/>
      <c r="L126" s="54"/>
      <c r="M126" s="54"/>
      <c r="N126" s="54"/>
      <c r="O126" s="54"/>
      <c r="P126" s="54"/>
      <c r="Q126" s="83"/>
      <c r="R126" s="83">
        <v>0</v>
      </c>
      <c r="S126" s="83"/>
      <c r="T126" s="98"/>
    </row>
    <row r="127" spans="1:20" x14ac:dyDescent="0.25">
      <c r="A127" s="778"/>
      <c r="B127" s="830"/>
      <c r="C127" s="68" t="s">
        <v>351</v>
      </c>
      <c r="D127" s="86"/>
      <c r="E127" s="86"/>
      <c r="F127" s="86"/>
      <c r="G127" s="86"/>
      <c r="H127" s="86"/>
      <c r="I127" s="390"/>
      <c r="J127" s="391"/>
      <c r="K127" s="30"/>
      <c r="L127" s="54"/>
      <c r="M127" s="54"/>
      <c r="N127" s="54"/>
      <c r="O127" s="54"/>
      <c r="P127" s="54"/>
      <c r="Q127" s="83">
        <v>1700</v>
      </c>
      <c r="R127" s="83"/>
      <c r="S127" s="83"/>
      <c r="T127" s="98">
        <f t="shared" ref="T127:T135" si="3">Q127+R127+S127</f>
        <v>1700</v>
      </c>
    </row>
    <row r="128" spans="1:20" ht="15" customHeight="1" x14ac:dyDescent="0.25">
      <c r="A128" s="778"/>
      <c r="B128" s="830"/>
      <c r="C128" s="68" t="s">
        <v>395</v>
      </c>
      <c r="D128" s="86"/>
      <c r="E128" s="86"/>
      <c r="F128" s="86"/>
      <c r="G128" s="86"/>
      <c r="H128" s="86"/>
      <c r="I128" s="390"/>
      <c r="J128" s="391"/>
      <c r="K128" s="30"/>
      <c r="L128" s="54"/>
      <c r="M128" s="54"/>
      <c r="N128" s="54"/>
      <c r="O128" s="54"/>
      <c r="P128" s="54"/>
      <c r="Q128" s="83">
        <v>181507</v>
      </c>
      <c r="R128" s="83">
        <v>-9076</v>
      </c>
      <c r="S128" s="83"/>
      <c r="T128" s="98">
        <f t="shared" si="3"/>
        <v>172431</v>
      </c>
    </row>
    <row r="129" spans="1:20" ht="15" customHeight="1" x14ac:dyDescent="0.25">
      <c r="A129" s="778"/>
      <c r="B129" s="830"/>
      <c r="C129" s="68" t="s">
        <v>409</v>
      </c>
      <c r="D129" s="86"/>
      <c r="E129" s="86"/>
      <c r="F129" s="86"/>
      <c r="G129" s="86"/>
      <c r="H129" s="86"/>
      <c r="I129" s="390"/>
      <c r="J129" s="391"/>
      <c r="K129" s="30"/>
      <c r="L129" s="54"/>
      <c r="M129" s="54"/>
      <c r="N129" s="54"/>
      <c r="O129" s="54"/>
      <c r="P129" s="54"/>
      <c r="Q129" s="83">
        <v>210526</v>
      </c>
      <c r="R129" s="83"/>
      <c r="S129" s="83"/>
      <c r="T129" s="98">
        <f t="shared" si="3"/>
        <v>210526</v>
      </c>
    </row>
    <row r="130" spans="1:20" ht="15" hidden="1" customHeight="1" x14ac:dyDescent="0.25">
      <c r="A130" s="778"/>
      <c r="B130" s="830"/>
      <c r="C130" s="68" t="s">
        <v>473</v>
      </c>
      <c r="D130" s="86"/>
      <c r="E130" s="86"/>
      <c r="F130" s="86"/>
      <c r="G130" s="86"/>
      <c r="H130" s="86"/>
      <c r="I130" s="390"/>
      <c r="J130" s="391"/>
      <c r="K130" s="30"/>
      <c r="L130" s="54"/>
      <c r="M130" s="54"/>
      <c r="N130" s="54"/>
      <c r="O130" s="54"/>
      <c r="P130" s="54"/>
      <c r="Q130" s="83">
        <v>0</v>
      </c>
      <c r="R130" s="83"/>
      <c r="S130" s="83"/>
      <c r="T130" s="98">
        <f>Q130+R130+S130</f>
        <v>0</v>
      </c>
    </row>
    <row r="131" spans="1:20" ht="15" customHeight="1" x14ac:dyDescent="0.25">
      <c r="A131" s="778"/>
      <c r="B131" s="830"/>
      <c r="C131" s="68" t="s">
        <v>410</v>
      </c>
      <c r="D131" s="86"/>
      <c r="E131" s="86"/>
      <c r="F131" s="86"/>
      <c r="G131" s="86"/>
      <c r="H131" s="86"/>
      <c r="I131" s="390"/>
      <c r="J131" s="391"/>
      <c r="K131" s="30"/>
      <c r="L131" s="54"/>
      <c r="M131" s="54"/>
      <c r="N131" s="54"/>
      <c r="O131" s="54"/>
      <c r="P131" s="54"/>
      <c r="Q131" s="83">
        <v>15000</v>
      </c>
      <c r="R131" s="83"/>
      <c r="S131" s="83"/>
      <c r="T131" s="98">
        <f t="shared" si="3"/>
        <v>15000</v>
      </c>
    </row>
    <row r="132" spans="1:20" ht="15" hidden="1" customHeight="1" x14ac:dyDescent="0.25">
      <c r="A132" s="778"/>
      <c r="B132" s="830"/>
      <c r="C132" s="68"/>
      <c r="D132" s="86"/>
      <c r="E132" s="86"/>
      <c r="F132" s="86"/>
      <c r="G132" s="86"/>
      <c r="H132" s="86"/>
      <c r="I132" s="390"/>
      <c r="J132" s="391"/>
      <c r="K132" s="30"/>
      <c r="L132" s="54"/>
      <c r="M132" s="54"/>
      <c r="N132" s="54"/>
      <c r="O132" s="54"/>
      <c r="P132" s="54"/>
      <c r="Q132" s="83">
        <v>0</v>
      </c>
      <c r="R132" s="83"/>
      <c r="S132" s="83"/>
      <c r="T132" s="98">
        <f t="shared" si="3"/>
        <v>0</v>
      </c>
    </row>
    <row r="133" spans="1:20" ht="15" hidden="1" customHeight="1" x14ac:dyDescent="0.25">
      <c r="A133" s="778"/>
      <c r="B133" s="830"/>
      <c r="C133" s="68"/>
      <c r="D133" s="86"/>
      <c r="E133" s="86"/>
      <c r="F133" s="86"/>
      <c r="G133" s="86"/>
      <c r="H133" s="86"/>
      <c r="I133" s="390"/>
      <c r="J133" s="391"/>
      <c r="K133" s="30"/>
      <c r="L133" s="54">
        <v>22611.84</v>
      </c>
      <c r="M133" s="53"/>
      <c r="N133" s="54"/>
      <c r="O133" s="54"/>
      <c r="P133" s="54"/>
      <c r="Q133" s="83">
        <v>0</v>
      </c>
      <c r="R133" s="83"/>
      <c r="S133" s="83"/>
      <c r="T133" s="98">
        <f t="shared" si="3"/>
        <v>0</v>
      </c>
    </row>
    <row r="134" spans="1:20" ht="15" hidden="1" customHeight="1" x14ac:dyDescent="0.25">
      <c r="A134" s="778"/>
      <c r="B134" s="830"/>
      <c r="C134" s="68"/>
      <c r="D134" s="86"/>
      <c r="E134" s="86"/>
      <c r="F134" s="86"/>
      <c r="G134" s="86"/>
      <c r="H134" s="86"/>
      <c r="I134" s="390"/>
      <c r="J134" s="391"/>
      <c r="K134" s="30"/>
      <c r="L134" s="54"/>
      <c r="M134" s="53"/>
      <c r="N134" s="54"/>
      <c r="O134" s="54"/>
      <c r="P134" s="54"/>
      <c r="Q134" s="83">
        <v>0</v>
      </c>
      <c r="R134" s="83"/>
      <c r="S134" s="83"/>
      <c r="T134" s="98">
        <f t="shared" si="3"/>
        <v>0</v>
      </c>
    </row>
    <row r="135" spans="1:20" ht="15.75" thickBot="1" x14ac:dyDescent="0.3">
      <c r="A135" s="778"/>
      <c r="B135" s="830"/>
      <c r="C135" s="68" t="s">
        <v>352</v>
      </c>
      <c r="D135" s="86"/>
      <c r="E135" s="86"/>
      <c r="F135" s="86"/>
      <c r="G135" s="86"/>
      <c r="H135" s="86"/>
      <c r="I135" s="390"/>
      <c r="J135" s="391"/>
      <c r="K135" s="30"/>
      <c r="L135" s="54"/>
      <c r="M135" s="53">
        <v>31200</v>
      </c>
      <c r="N135" s="54"/>
      <c r="O135" s="54"/>
      <c r="P135" s="54"/>
      <c r="Q135" s="83">
        <v>120000</v>
      </c>
      <c r="R135" s="83">
        <v>-60000</v>
      </c>
      <c r="S135" s="83"/>
      <c r="T135" s="98">
        <f t="shared" si="3"/>
        <v>60000</v>
      </c>
    </row>
    <row r="136" spans="1:20" ht="15.75" hidden="1" customHeight="1" thickBot="1" x14ac:dyDescent="0.3">
      <c r="A136" s="778"/>
      <c r="B136" s="830"/>
      <c r="C136" s="68" t="s">
        <v>353</v>
      </c>
      <c r="D136" s="86"/>
      <c r="E136" s="86"/>
      <c r="F136" s="86"/>
      <c r="G136" s="86"/>
      <c r="H136" s="86"/>
      <c r="I136" s="390"/>
      <c r="J136" s="391"/>
      <c r="K136" s="30"/>
      <c r="L136" s="54"/>
      <c r="M136" s="53">
        <v>12085.36</v>
      </c>
      <c r="N136" s="54"/>
      <c r="O136" s="54"/>
      <c r="P136" s="54"/>
      <c r="Q136" s="83"/>
      <c r="R136" s="112">
        <v>0</v>
      </c>
      <c r="S136" s="83"/>
      <c r="T136" s="98"/>
    </row>
    <row r="137" spans="1:20" ht="15.75" hidden="1" customHeight="1" thickBot="1" x14ac:dyDescent="0.3">
      <c r="A137" s="778"/>
      <c r="B137" s="830"/>
      <c r="C137" s="68"/>
      <c r="D137" s="100"/>
      <c r="E137" s="100"/>
      <c r="F137" s="100"/>
      <c r="G137" s="100"/>
      <c r="H137" s="100"/>
      <c r="I137" s="392"/>
      <c r="J137" s="393"/>
      <c r="K137" s="57"/>
      <c r="L137" s="54"/>
      <c r="M137" s="53"/>
      <c r="N137" s="54"/>
      <c r="O137" s="54"/>
      <c r="P137" s="54"/>
      <c r="Q137" s="83"/>
      <c r="R137" s="112">
        <v>0</v>
      </c>
      <c r="S137" s="83"/>
      <c r="T137" s="98"/>
    </row>
    <row r="138" spans="1:20" ht="15.75" hidden="1" customHeight="1" thickBot="1" x14ac:dyDescent="0.3">
      <c r="A138" s="778"/>
      <c r="B138" s="830"/>
      <c r="C138" s="68"/>
      <c r="D138" s="100"/>
      <c r="E138" s="100"/>
      <c r="F138" s="100"/>
      <c r="G138" s="100"/>
      <c r="H138" s="100"/>
      <c r="I138" s="392"/>
      <c r="J138" s="393"/>
      <c r="K138" s="57"/>
      <c r="L138" s="30"/>
      <c r="M138" s="29">
        <v>8850</v>
      </c>
      <c r="N138" s="69"/>
      <c r="O138" s="83"/>
      <c r="P138" s="83"/>
      <c r="Q138" s="83"/>
      <c r="R138" s="112">
        <v>0</v>
      </c>
      <c r="S138" s="83"/>
      <c r="T138" s="98"/>
    </row>
    <row r="139" spans="1:20" ht="15.75" hidden="1" customHeight="1" thickBot="1" x14ac:dyDescent="0.3">
      <c r="A139" s="778"/>
      <c r="B139" s="830"/>
      <c r="C139" s="71"/>
      <c r="D139" s="100"/>
      <c r="E139" s="100"/>
      <c r="F139" s="100"/>
      <c r="G139" s="100"/>
      <c r="H139" s="100"/>
      <c r="I139" s="392"/>
      <c r="J139" s="393"/>
      <c r="K139" s="57"/>
      <c r="L139" s="109"/>
      <c r="M139" s="108"/>
      <c r="N139" s="109"/>
      <c r="O139" s="109"/>
      <c r="P139" s="109"/>
      <c r="Q139" s="83"/>
      <c r="R139" s="112">
        <v>0</v>
      </c>
      <c r="S139" s="83"/>
      <c r="T139" s="98"/>
    </row>
    <row r="140" spans="1:20" ht="15.75" hidden="1" customHeight="1" thickBot="1" x14ac:dyDescent="0.3">
      <c r="A140" s="779"/>
      <c r="B140" s="831"/>
      <c r="C140" s="71"/>
      <c r="D140" s="100"/>
      <c r="E140" s="100"/>
      <c r="F140" s="100"/>
      <c r="G140" s="100"/>
      <c r="H140" s="100"/>
      <c r="I140" s="392"/>
      <c r="J140" s="393"/>
      <c r="K140" s="57"/>
      <c r="L140" s="57"/>
      <c r="M140" s="56"/>
      <c r="N140" s="57"/>
      <c r="O140" s="57"/>
      <c r="P140" s="57"/>
      <c r="Q140" s="69"/>
      <c r="R140" s="151">
        <v>0</v>
      </c>
      <c r="S140" s="69"/>
      <c r="T140" s="99"/>
    </row>
    <row r="141" spans="1:20" ht="15.75" thickBot="1" x14ac:dyDescent="0.3">
      <c r="A141" s="172" t="s">
        <v>259</v>
      </c>
      <c r="B141" s="727" t="s">
        <v>260</v>
      </c>
      <c r="C141" s="728"/>
      <c r="D141" s="667"/>
      <c r="E141" s="667"/>
      <c r="F141" s="667"/>
      <c r="G141" s="667"/>
      <c r="H141" s="667"/>
      <c r="I141" s="237">
        <v>104542</v>
      </c>
      <c r="J141" s="173">
        <v>66000</v>
      </c>
      <c r="K141" s="102">
        <f>K142+K143</f>
        <v>0</v>
      </c>
      <c r="L141" s="104"/>
      <c r="M141" s="104"/>
      <c r="N141" s="104"/>
      <c r="O141" s="104"/>
      <c r="P141" s="104">
        <v>35641.19</v>
      </c>
      <c r="Q141" s="102">
        <f>Q143</f>
        <v>0</v>
      </c>
      <c r="R141" s="102">
        <f>R143</f>
        <v>0</v>
      </c>
      <c r="S141" s="102">
        <f>S143</f>
        <v>0</v>
      </c>
      <c r="T141" s="105">
        <f>T143</f>
        <v>0</v>
      </c>
    </row>
    <row r="142" spans="1:20" ht="15.75" hidden="1" customHeight="1" thickBot="1" x14ac:dyDescent="0.3">
      <c r="A142" s="479"/>
      <c r="B142" s="480"/>
      <c r="C142" s="655"/>
      <c r="D142" s="480"/>
      <c r="E142" s="480"/>
      <c r="F142" s="480"/>
      <c r="G142" s="480"/>
      <c r="H142" s="480"/>
      <c r="I142" s="480"/>
      <c r="J142" s="480"/>
      <c r="K142" s="480"/>
      <c r="L142" s="482"/>
      <c r="M142" s="481"/>
      <c r="N142" s="483"/>
      <c r="O142" s="483"/>
      <c r="P142" s="483"/>
      <c r="Q142" s="481"/>
      <c r="R142" s="484">
        <v>0</v>
      </c>
      <c r="S142" s="481"/>
      <c r="T142" s="485"/>
    </row>
    <row r="143" spans="1:20" ht="15.75" thickBot="1" x14ac:dyDescent="0.3">
      <c r="A143" s="386"/>
      <c r="B143" s="656"/>
      <c r="C143" s="114" t="s">
        <v>397</v>
      </c>
      <c r="D143" s="107"/>
      <c r="E143" s="107"/>
      <c r="F143" s="107"/>
      <c r="G143" s="107"/>
      <c r="H143" s="107"/>
      <c r="I143" s="107"/>
      <c r="J143" s="107"/>
      <c r="K143" s="109"/>
      <c r="L143" s="109"/>
      <c r="M143" s="109"/>
      <c r="N143" s="109"/>
      <c r="O143" s="109"/>
      <c r="P143" s="109">
        <v>35641.19</v>
      </c>
      <c r="Q143" s="203">
        <v>0</v>
      </c>
      <c r="R143" s="203"/>
      <c r="S143" s="203"/>
      <c r="T143" s="110">
        <f>Q143+R143+S143</f>
        <v>0</v>
      </c>
    </row>
    <row r="144" spans="1:20" ht="15.75" thickBot="1" x14ac:dyDescent="0.3">
      <c r="A144" s="477" t="s">
        <v>265</v>
      </c>
      <c r="B144" s="785" t="s">
        <v>266</v>
      </c>
      <c r="C144" s="759"/>
      <c r="D144" s="667"/>
      <c r="E144" s="667"/>
      <c r="F144" s="667"/>
      <c r="G144" s="667"/>
      <c r="H144" s="667"/>
      <c r="I144" s="237">
        <v>104542</v>
      </c>
      <c r="J144" s="173">
        <v>66000</v>
      </c>
      <c r="K144" s="102">
        <f>K146+K147</f>
        <v>0</v>
      </c>
      <c r="L144" s="104"/>
      <c r="M144" s="104"/>
      <c r="N144" s="104"/>
      <c r="O144" s="104"/>
      <c r="P144" s="104"/>
      <c r="Q144" s="102">
        <f>Q146+Q145</f>
        <v>15050</v>
      </c>
      <c r="R144" s="102">
        <f>R146+R145</f>
        <v>-1600</v>
      </c>
      <c r="S144" s="102">
        <f>S146+S145</f>
        <v>0</v>
      </c>
      <c r="T144" s="105">
        <f>T146+T145</f>
        <v>13450</v>
      </c>
    </row>
    <row r="145" spans="1:20" x14ac:dyDescent="0.25">
      <c r="A145" s="809"/>
      <c r="B145" s="677"/>
      <c r="C145" s="216" t="s">
        <v>456</v>
      </c>
      <c r="D145" s="683"/>
      <c r="E145" s="683"/>
      <c r="F145" s="683"/>
      <c r="G145" s="683"/>
      <c r="H145" s="683"/>
      <c r="I145" s="684"/>
      <c r="J145" s="685"/>
      <c r="K145" s="686"/>
      <c r="L145" s="21"/>
      <c r="M145" s="21"/>
      <c r="N145" s="686"/>
      <c r="O145" s="686"/>
      <c r="P145" s="686"/>
      <c r="Q145" s="20">
        <v>9000</v>
      </c>
      <c r="R145" s="20">
        <v>-1600</v>
      </c>
      <c r="S145" s="20"/>
      <c r="T145" s="467">
        <f>Q145+R145+S145</f>
        <v>7400</v>
      </c>
    </row>
    <row r="146" spans="1:20" ht="15.75" thickBot="1" x14ac:dyDescent="0.3">
      <c r="A146" s="811"/>
      <c r="B146" s="678"/>
      <c r="C146" s="678" t="s">
        <v>416</v>
      </c>
      <c r="D146" s="679"/>
      <c r="E146" s="679"/>
      <c r="F146" s="679"/>
      <c r="G146" s="679"/>
      <c r="H146" s="679"/>
      <c r="I146" s="679"/>
      <c r="J146" s="679"/>
      <c r="K146" s="679"/>
      <c r="L146" s="680"/>
      <c r="M146" s="678"/>
      <c r="N146" s="679"/>
      <c r="O146" s="679"/>
      <c r="P146" s="679"/>
      <c r="Q146" s="678">
        <v>6050</v>
      </c>
      <c r="R146" s="681"/>
      <c r="S146" s="678"/>
      <c r="T146" s="682">
        <f>Q146+R146+S146</f>
        <v>6050</v>
      </c>
    </row>
    <row r="147" spans="1:20" ht="15.75" thickBot="1" x14ac:dyDescent="0.3">
      <c r="A147" s="486" t="s">
        <v>354</v>
      </c>
      <c r="B147" s="840" t="s">
        <v>268</v>
      </c>
      <c r="C147" s="841"/>
      <c r="D147" s="487"/>
      <c r="E147" s="487"/>
      <c r="F147" s="487"/>
      <c r="G147" s="487"/>
      <c r="H147" s="487"/>
      <c r="I147" s="64">
        <f>I148</f>
        <v>0</v>
      </c>
      <c r="J147" s="64">
        <f>J148</f>
        <v>0</v>
      </c>
      <c r="K147" s="64">
        <f>K148</f>
        <v>0</v>
      </c>
      <c r="L147" s="64">
        <f>L148</f>
        <v>82887.77</v>
      </c>
      <c r="M147" s="149">
        <v>7399.64</v>
      </c>
      <c r="N147" s="488">
        <v>0</v>
      </c>
      <c r="O147" s="488">
        <f>O148</f>
        <v>0</v>
      </c>
      <c r="P147" s="488">
        <v>0</v>
      </c>
      <c r="Q147" s="488">
        <f>Q148</f>
        <v>0</v>
      </c>
      <c r="R147" s="488">
        <f>R148</f>
        <v>0</v>
      </c>
      <c r="S147" s="488">
        <f>S148</f>
        <v>0</v>
      </c>
      <c r="T147" s="489">
        <f>T148</f>
        <v>0</v>
      </c>
    </row>
    <row r="148" spans="1:20" ht="15.75" thickBot="1" x14ac:dyDescent="0.3">
      <c r="A148" s="386"/>
      <c r="B148" s="389"/>
      <c r="C148" s="480" t="s">
        <v>293</v>
      </c>
      <c r="D148" s="480"/>
      <c r="E148" s="480"/>
      <c r="F148" s="480"/>
      <c r="G148" s="480"/>
      <c r="H148" s="480"/>
      <c r="I148" s="107"/>
      <c r="J148" s="107"/>
      <c r="K148" s="109"/>
      <c r="L148" s="109">
        <v>82887.77</v>
      </c>
      <c r="M148" s="108">
        <v>7399.64</v>
      </c>
      <c r="N148" s="109"/>
      <c r="O148" s="109"/>
      <c r="P148" s="109"/>
      <c r="Q148" s="203"/>
      <c r="R148" s="203"/>
      <c r="S148" s="203"/>
      <c r="T148" s="110">
        <f>Q148+R148+S148</f>
        <v>0</v>
      </c>
    </row>
    <row r="149" spans="1:20" ht="17.25" thickTop="1" thickBot="1" x14ac:dyDescent="0.3">
      <c r="A149" s="842" t="s">
        <v>355</v>
      </c>
      <c r="B149" s="843"/>
      <c r="C149" s="843"/>
      <c r="D149" s="160">
        <v>2988050</v>
      </c>
      <c r="E149" s="160">
        <v>1793069</v>
      </c>
      <c r="F149" s="160">
        <v>2942409</v>
      </c>
      <c r="G149" s="160">
        <v>4880528</v>
      </c>
      <c r="H149" s="160">
        <f t="shared" ref="H149:O149" si="4">H124+H107+H115+H103+H80+H74+H66+H64+H57+H30+H12+H9+H4+H122+H141+H147</f>
        <v>5977301</v>
      </c>
      <c r="I149" s="160">
        <f t="shared" si="4"/>
        <v>5818483</v>
      </c>
      <c r="J149" s="160">
        <f t="shared" si="4"/>
        <v>4719096</v>
      </c>
      <c r="K149" s="160">
        <f t="shared" si="4"/>
        <v>3939694</v>
      </c>
      <c r="L149" s="160">
        <f t="shared" si="4"/>
        <v>1800938.79</v>
      </c>
      <c r="M149" s="161">
        <f t="shared" si="4"/>
        <v>2904600.1800000006</v>
      </c>
      <c r="N149" s="160">
        <f t="shared" si="4"/>
        <v>1348818.6500000001</v>
      </c>
      <c r="O149" s="161">
        <f t="shared" si="4"/>
        <v>1900647.68</v>
      </c>
      <c r="P149" s="160">
        <f>P147+P141+P124+P122+P115+P107+P103+P101+P80+P74+P66+P57+P30+P12+P9+P4+P144</f>
        <v>2329182.13</v>
      </c>
      <c r="Q149" s="160">
        <f>Q147+Q141+Q124+Q122+Q115+Q107+Q103+Q101+Q80+Q74+Q66+Q57+Q30+Q12+Q9+Q4+Q144</f>
        <v>5140127</v>
      </c>
      <c r="R149" s="160">
        <f>R147+R141+R124+R122+R115+R107+R103+R101+R80+R74+R66+R57+R30+R12+R9+R4+R144</f>
        <v>-131571</v>
      </c>
      <c r="S149" s="160">
        <f>S147+S141+S124+S122+S115+S107+S103+S101+S80+S74+S66+S57+S30+S12+S9+S4+S144</f>
        <v>0</v>
      </c>
      <c r="T149" s="383">
        <f>T147+T141+T124+T122+T115+T107+T103+T101+T80+T74+T66+T57+T30+T12+T9+T4+T144</f>
        <v>5008556</v>
      </c>
    </row>
    <row r="150" spans="1:20" ht="15.75" thickTop="1" x14ac:dyDescent="0.25"/>
    <row r="151" spans="1:20" x14ac:dyDescent="0.25">
      <c r="R151" s="671"/>
    </row>
    <row r="152" spans="1:20" x14ac:dyDescent="0.25">
      <c r="Q152" s="671"/>
      <c r="R152" s="671"/>
      <c r="S152" s="671"/>
      <c r="T152" s="671"/>
    </row>
    <row r="153" spans="1:20" x14ac:dyDescent="0.25">
      <c r="S153" s="671"/>
      <c r="T153" s="671"/>
    </row>
    <row r="155" spans="1:20" x14ac:dyDescent="0.25">
      <c r="Q155" s="671"/>
      <c r="R155" s="671"/>
      <c r="S155" s="671"/>
      <c r="T155" s="671"/>
    </row>
  </sheetData>
  <mergeCells count="59">
    <mergeCell ref="B141:C141"/>
    <mergeCell ref="B147:C147"/>
    <mergeCell ref="A149:C149"/>
    <mergeCell ref="A116:A121"/>
    <mergeCell ref="B116:B121"/>
    <mergeCell ref="B122:C122"/>
    <mergeCell ref="B124:C124"/>
    <mergeCell ref="A125:A140"/>
    <mergeCell ref="B125:B140"/>
    <mergeCell ref="B144:C144"/>
    <mergeCell ref="A145:A146"/>
    <mergeCell ref="B115:C115"/>
    <mergeCell ref="B74:C74"/>
    <mergeCell ref="A75:A79"/>
    <mergeCell ref="B75:B79"/>
    <mergeCell ref="B80:C80"/>
    <mergeCell ref="A81:A100"/>
    <mergeCell ref="B81:B100"/>
    <mergeCell ref="B101:C101"/>
    <mergeCell ref="B103:C103"/>
    <mergeCell ref="B107:C107"/>
    <mergeCell ref="A108:A114"/>
    <mergeCell ref="B108:B114"/>
    <mergeCell ref="B30:C30"/>
    <mergeCell ref="B57:C57"/>
    <mergeCell ref="B64:C64"/>
    <mergeCell ref="B66:C66"/>
    <mergeCell ref="A67:A73"/>
    <mergeCell ref="B67:B73"/>
    <mergeCell ref="B36:B56"/>
    <mergeCell ref="A36:A56"/>
    <mergeCell ref="H2:H3"/>
    <mergeCell ref="A13:A29"/>
    <mergeCell ref="B13:B29"/>
    <mergeCell ref="P2:P3"/>
    <mergeCell ref="Q2:Q3"/>
    <mergeCell ref="A5:A8"/>
    <mergeCell ref="B5:B8"/>
    <mergeCell ref="B9:C9"/>
    <mergeCell ref="B10:B11"/>
    <mergeCell ref="B12:C12"/>
    <mergeCell ref="A2:A3"/>
    <mergeCell ref="I2:I3"/>
    <mergeCell ref="A1:T1"/>
    <mergeCell ref="T2:T3"/>
    <mergeCell ref="B4:C4"/>
    <mergeCell ref="J2:J3"/>
    <mergeCell ref="K2:K3"/>
    <mergeCell ref="L2:L3"/>
    <mergeCell ref="M2:M3"/>
    <mergeCell ref="N2:N3"/>
    <mergeCell ref="O2:O3"/>
    <mergeCell ref="R2:S2"/>
    <mergeCell ref="B2:B3"/>
    <mergeCell ref="C2:C3"/>
    <mergeCell ref="D2:D3"/>
    <mergeCell ref="E2:E3"/>
    <mergeCell ref="F2:F3"/>
    <mergeCell ref="G2:G3"/>
  </mergeCells>
  <pageMargins left="3.937007874015748E-2" right="3.937007874015748E-2" top="3.937007874015748E-2" bottom="3.937007874015748E-2" header="0" footer="0"/>
  <pageSetup paperSize="9" scale="88" orientation="portrait" r:id="rId1"/>
  <ignoredErrors>
    <ignoredError sqref="R80" formulaRange="1"/>
    <ignoredError sqref="T146:T147 T101:T103 T57:T7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zoomScaleNormal="100" workbookViewId="0">
      <selection activeCell="Q22" sqref="Q22"/>
    </sheetView>
  </sheetViews>
  <sheetFormatPr defaultRowHeight="15" x14ac:dyDescent="0.25"/>
  <cols>
    <col min="3" max="3" width="36" customWidth="1"/>
    <col min="4" max="10" width="11.7109375" hidden="1" customWidth="1"/>
    <col min="11" max="11" width="10.5703125" hidden="1" customWidth="1"/>
    <col min="12" max="12" width="13.7109375" hidden="1" customWidth="1"/>
    <col min="13" max="15" width="13.5703125" hidden="1" customWidth="1"/>
    <col min="16" max="16" width="13.5703125" customWidth="1"/>
    <col min="17" max="17" width="11.42578125" customWidth="1"/>
    <col min="18" max="19" width="11.7109375" customWidth="1"/>
    <col min="258" max="258" width="36" customWidth="1"/>
    <col min="259" max="270" width="0" hidden="1" customWidth="1"/>
    <col min="271" max="271" width="13.5703125" customWidth="1"/>
    <col min="272" max="272" width="11.42578125" customWidth="1"/>
    <col min="273" max="273" width="8.42578125" customWidth="1"/>
    <col min="274" max="275" width="11.7109375" customWidth="1"/>
    <col min="514" max="514" width="36" customWidth="1"/>
    <col min="515" max="526" width="0" hidden="1" customWidth="1"/>
    <col min="527" max="527" width="13.5703125" customWidth="1"/>
    <col min="528" max="528" width="11.42578125" customWidth="1"/>
    <col min="529" max="529" width="8.42578125" customWidth="1"/>
    <col min="530" max="531" width="11.7109375" customWidth="1"/>
    <col min="770" max="770" width="36" customWidth="1"/>
    <col min="771" max="782" width="0" hidden="1" customWidth="1"/>
    <col min="783" max="783" width="13.5703125" customWidth="1"/>
    <col min="784" max="784" width="11.42578125" customWidth="1"/>
    <col min="785" max="785" width="8.42578125" customWidth="1"/>
    <col min="786" max="787" width="11.7109375" customWidth="1"/>
    <col min="1026" max="1026" width="36" customWidth="1"/>
    <col min="1027" max="1038" width="0" hidden="1" customWidth="1"/>
    <col min="1039" max="1039" width="13.5703125" customWidth="1"/>
    <col min="1040" max="1040" width="11.42578125" customWidth="1"/>
    <col min="1041" max="1041" width="8.42578125" customWidth="1"/>
    <col min="1042" max="1043" width="11.7109375" customWidth="1"/>
    <col min="1282" max="1282" width="36" customWidth="1"/>
    <col min="1283" max="1294" width="0" hidden="1" customWidth="1"/>
    <col min="1295" max="1295" width="13.5703125" customWidth="1"/>
    <col min="1296" max="1296" width="11.42578125" customWidth="1"/>
    <col min="1297" max="1297" width="8.42578125" customWidth="1"/>
    <col min="1298" max="1299" width="11.7109375" customWidth="1"/>
    <col min="1538" max="1538" width="36" customWidth="1"/>
    <col min="1539" max="1550" width="0" hidden="1" customWidth="1"/>
    <col min="1551" max="1551" width="13.5703125" customWidth="1"/>
    <col min="1552" max="1552" width="11.42578125" customWidth="1"/>
    <col min="1553" max="1553" width="8.42578125" customWidth="1"/>
    <col min="1554" max="1555" width="11.7109375" customWidth="1"/>
    <col min="1794" max="1794" width="36" customWidth="1"/>
    <col min="1795" max="1806" width="0" hidden="1" customWidth="1"/>
    <col min="1807" max="1807" width="13.5703125" customWidth="1"/>
    <col min="1808" max="1808" width="11.42578125" customWidth="1"/>
    <col min="1809" max="1809" width="8.42578125" customWidth="1"/>
    <col min="1810" max="1811" width="11.7109375" customWidth="1"/>
    <col min="2050" max="2050" width="36" customWidth="1"/>
    <col min="2051" max="2062" width="0" hidden="1" customWidth="1"/>
    <col min="2063" max="2063" width="13.5703125" customWidth="1"/>
    <col min="2064" max="2064" width="11.42578125" customWidth="1"/>
    <col min="2065" max="2065" width="8.42578125" customWidth="1"/>
    <col min="2066" max="2067" width="11.7109375" customWidth="1"/>
    <col min="2306" max="2306" width="36" customWidth="1"/>
    <col min="2307" max="2318" width="0" hidden="1" customWidth="1"/>
    <col min="2319" max="2319" width="13.5703125" customWidth="1"/>
    <col min="2320" max="2320" width="11.42578125" customWidth="1"/>
    <col min="2321" max="2321" width="8.42578125" customWidth="1"/>
    <col min="2322" max="2323" width="11.7109375" customWidth="1"/>
    <col min="2562" max="2562" width="36" customWidth="1"/>
    <col min="2563" max="2574" width="0" hidden="1" customWidth="1"/>
    <col min="2575" max="2575" width="13.5703125" customWidth="1"/>
    <col min="2576" max="2576" width="11.42578125" customWidth="1"/>
    <col min="2577" max="2577" width="8.42578125" customWidth="1"/>
    <col min="2578" max="2579" width="11.7109375" customWidth="1"/>
    <col min="2818" max="2818" width="36" customWidth="1"/>
    <col min="2819" max="2830" width="0" hidden="1" customWidth="1"/>
    <col min="2831" max="2831" width="13.5703125" customWidth="1"/>
    <col min="2832" max="2832" width="11.42578125" customWidth="1"/>
    <col min="2833" max="2833" width="8.42578125" customWidth="1"/>
    <col min="2834" max="2835" width="11.7109375" customWidth="1"/>
    <col min="3074" max="3074" width="36" customWidth="1"/>
    <col min="3075" max="3086" width="0" hidden="1" customWidth="1"/>
    <col min="3087" max="3087" width="13.5703125" customWidth="1"/>
    <col min="3088" max="3088" width="11.42578125" customWidth="1"/>
    <col min="3089" max="3089" width="8.42578125" customWidth="1"/>
    <col min="3090" max="3091" width="11.7109375" customWidth="1"/>
    <col min="3330" max="3330" width="36" customWidth="1"/>
    <col min="3331" max="3342" width="0" hidden="1" customWidth="1"/>
    <col min="3343" max="3343" width="13.5703125" customWidth="1"/>
    <col min="3344" max="3344" width="11.42578125" customWidth="1"/>
    <col min="3345" max="3345" width="8.42578125" customWidth="1"/>
    <col min="3346" max="3347" width="11.7109375" customWidth="1"/>
    <col min="3586" max="3586" width="36" customWidth="1"/>
    <col min="3587" max="3598" width="0" hidden="1" customWidth="1"/>
    <col min="3599" max="3599" width="13.5703125" customWidth="1"/>
    <col min="3600" max="3600" width="11.42578125" customWidth="1"/>
    <col min="3601" max="3601" width="8.42578125" customWidth="1"/>
    <col min="3602" max="3603" width="11.7109375" customWidth="1"/>
    <col min="3842" max="3842" width="36" customWidth="1"/>
    <col min="3843" max="3854" width="0" hidden="1" customWidth="1"/>
    <col min="3855" max="3855" width="13.5703125" customWidth="1"/>
    <col min="3856" max="3856" width="11.42578125" customWidth="1"/>
    <col min="3857" max="3857" width="8.42578125" customWidth="1"/>
    <col min="3858" max="3859" width="11.7109375" customWidth="1"/>
    <col min="4098" max="4098" width="36" customWidth="1"/>
    <col min="4099" max="4110" width="0" hidden="1" customWidth="1"/>
    <col min="4111" max="4111" width="13.5703125" customWidth="1"/>
    <col min="4112" max="4112" width="11.42578125" customWidth="1"/>
    <col min="4113" max="4113" width="8.42578125" customWidth="1"/>
    <col min="4114" max="4115" width="11.7109375" customWidth="1"/>
    <col min="4354" max="4354" width="36" customWidth="1"/>
    <col min="4355" max="4366" width="0" hidden="1" customWidth="1"/>
    <col min="4367" max="4367" width="13.5703125" customWidth="1"/>
    <col min="4368" max="4368" width="11.42578125" customWidth="1"/>
    <col min="4369" max="4369" width="8.42578125" customWidth="1"/>
    <col min="4370" max="4371" width="11.7109375" customWidth="1"/>
    <col min="4610" max="4610" width="36" customWidth="1"/>
    <col min="4611" max="4622" width="0" hidden="1" customWidth="1"/>
    <col min="4623" max="4623" width="13.5703125" customWidth="1"/>
    <col min="4624" max="4624" width="11.42578125" customWidth="1"/>
    <col min="4625" max="4625" width="8.42578125" customWidth="1"/>
    <col min="4626" max="4627" width="11.7109375" customWidth="1"/>
    <col min="4866" max="4866" width="36" customWidth="1"/>
    <col min="4867" max="4878" width="0" hidden="1" customWidth="1"/>
    <col min="4879" max="4879" width="13.5703125" customWidth="1"/>
    <col min="4880" max="4880" width="11.42578125" customWidth="1"/>
    <col min="4881" max="4881" width="8.42578125" customWidth="1"/>
    <col min="4882" max="4883" width="11.7109375" customWidth="1"/>
    <col min="5122" max="5122" width="36" customWidth="1"/>
    <col min="5123" max="5134" width="0" hidden="1" customWidth="1"/>
    <col min="5135" max="5135" width="13.5703125" customWidth="1"/>
    <col min="5136" max="5136" width="11.42578125" customWidth="1"/>
    <col min="5137" max="5137" width="8.42578125" customWidth="1"/>
    <col min="5138" max="5139" width="11.7109375" customWidth="1"/>
    <col min="5378" max="5378" width="36" customWidth="1"/>
    <col min="5379" max="5390" width="0" hidden="1" customWidth="1"/>
    <col min="5391" max="5391" width="13.5703125" customWidth="1"/>
    <col min="5392" max="5392" width="11.42578125" customWidth="1"/>
    <col min="5393" max="5393" width="8.42578125" customWidth="1"/>
    <col min="5394" max="5395" width="11.7109375" customWidth="1"/>
    <col min="5634" max="5634" width="36" customWidth="1"/>
    <col min="5635" max="5646" width="0" hidden="1" customWidth="1"/>
    <col min="5647" max="5647" width="13.5703125" customWidth="1"/>
    <col min="5648" max="5648" width="11.42578125" customWidth="1"/>
    <col min="5649" max="5649" width="8.42578125" customWidth="1"/>
    <col min="5650" max="5651" width="11.7109375" customWidth="1"/>
    <col min="5890" max="5890" width="36" customWidth="1"/>
    <col min="5891" max="5902" width="0" hidden="1" customWidth="1"/>
    <col min="5903" max="5903" width="13.5703125" customWidth="1"/>
    <col min="5904" max="5904" width="11.42578125" customWidth="1"/>
    <col min="5905" max="5905" width="8.42578125" customWidth="1"/>
    <col min="5906" max="5907" width="11.7109375" customWidth="1"/>
    <col min="6146" max="6146" width="36" customWidth="1"/>
    <col min="6147" max="6158" width="0" hidden="1" customWidth="1"/>
    <col min="6159" max="6159" width="13.5703125" customWidth="1"/>
    <col min="6160" max="6160" width="11.42578125" customWidth="1"/>
    <col min="6161" max="6161" width="8.42578125" customWidth="1"/>
    <col min="6162" max="6163" width="11.7109375" customWidth="1"/>
    <col min="6402" max="6402" width="36" customWidth="1"/>
    <col min="6403" max="6414" width="0" hidden="1" customWidth="1"/>
    <col min="6415" max="6415" width="13.5703125" customWidth="1"/>
    <col min="6416" max="6416" width="11.42578125" customWidth="1"/>
    <col min="6417" max="6417" width="8.42578125" customWidth="1"/>
    <col min="6418" max="6419" width="11.7109375" customWidth="1"/>
    <col min="6658" max="6658" width="36" customWidth="1"/>
    <col min="6659" max="6670" width="0" hidden="1" customWidth="1"/>
    <col min="6671" max="6671" width="13.5703125" customWidth="1"/>
    <col min="6672" max="6672" width="11.42578125" customWidth="1"/>
    <col min="6673" max="6673" width="8.42578125" customWidth="1"/>
    <col min="6674" max="6675" width="11.7109375" customWidth="1"/>
    <col min="6914" max="6914" width="36" customWidth="1"/>
    <col min="6915" max="6926" width="0" hidden="1" customWidth="1"/>
    <col min="6927" max="6927" width="13.5703125" customWidth="1"/>
    <col min="6928" max="6928" width="11.42578125" customWidth="1"/>
    <col min="6929" max="6929" width="8.42578125" customWidth="1"/>
    <col min="6930" max="6931" width="11.7109375" customWidth="1"/>
    <col min="7170" max="7170" width="36" customWidth="1"/>
    <col min="7171" max="7182" width="0" hidden="1" customWidth="1"/>
    <col min="7183" max="7183" width="13.5703125" customWidth="1"/>
    <col min="7184" max="7184" width="11.42578125" customWidth="1"/>
    <col min="7185" max="7185" width="8.42578125" customWidth="1"/>
    <col min="7186" max="7187" width="11.7109375" customWidth="1"/>
    <col min="7426" max="7426" width="36" customWidth="1"/>
    <col min="7427" max="7438" width="0" hidden="1" customWidth="1"/>
    <col min="7439" max="7439" width="13.5703125" customWidth="1"/>
    <col min="7440" max="7440" width="11.42578125" customWidth="1"/>
    <col min="7441" max="7441" width="8.42578125" customWidth="1"/>
    <col min="7442" max="7443" width="11.7109375" customWidth="1"/>
    <col min="7682" max="7682" width="36" customWidth="1"/>
    <col min="7683" max="7694" width="0" hidden="1" customWidth="1"/>
    <col min="7695" max="7695" width="13.5703125" customWidth="1"/>
    <col min="7696" max="7696" width="11.42578125" customWidth="1"/>
    <col min="7697" max="7697" width="8.42578125" customWidth="1"/>
    <col min="7698" max="7699" width="11.7109375" customWidth="1"/>
    <col min="7938" max="7938" width="36" customWidth="1"/>
    <col min="7939" max="7950" width="0" hidden="1" customWidth="1"/>
    <col min="7951" max="7951" width="13.5703125" customWidth="1"/>
    <col min="7952" max="7952" width="11.42578125" customWidth="1"/>
    <col min="7953" max="7953" width="8.42578125" customWidth="1"/>
    <col min="7954" max="7955" width="11.7109375" customWidth="1"/>
    <col min="8194" max="8194" width="36" customWidth="1"/>
    <col min="8195" max="8206" width="0" hidden="1" customWidth="1"/>
    <col min="8207" max="8207" width="13.5703125" customWidth="1"/>
    <col min="8208" max="8208" width="11.42578125" customWidth="1"/>
    <col min="8209" max="8209" width="8.42578125" customWidth="1"/>
    <col min="8210" max="8211" width="11.7109375" customWidth="1"/>
    <col min="8450" max="8450" width="36" customWidth="1"/>
    <col min="8451" max="8462" width="0" hidden="1" customWidth="1"/>
    <col min="8463" max="8463" width="13.5703125" customWidth="1"/>
    <col min="8464" max="8464" width="11.42578125" customWidth="1"/>
    <col min="8465" max="8465" width="8.42578125" customWidth="1"/>
    <col min="8466" max="8467" width="11.7109375" customWidth="1"/>
    <col min="8706" max="8706" width="36" customWidth="1"/>
    <col min="8707" max="8718" width="0" hidden="1" customWidth="1"/>
    <col min="8719" max="8719" width="13.5703125" customWidth="1"/>
    <col min="8720" max="8720" width="11.42578125" customWidth="1"/>
    <col min="8721" max="8721" width="8.42578125" customWidth="1"/>
    <col min="8722" max="8723" width="11.7109375" customWidth="1"/>
    <col min="8962" max="8962" width="36" customWidth="1"/>
    <col min="8963" max="8974" width="0" hidden="1" customWidth="1"/>
    <col min="8975" max="8975" width="13.5703125" customWidth="1"/>
    <col min="8976" max="8976" width="11.42578125" customWidth="1"/>
    <col min="8977" max="8977" width="8.42578125" customWidth="1"/>
    <col min="8978" max="8979" width="11.7109375" customWidth="1"/>
    <col min="9218" max="9218" width="36" customWidth="1"/>
    <col min="9219" max="9230" width="0" hidden="1" customWidth="1"/>
    <col min="9231" max="9231" width="13.5703125" customWidth="1"/>
    <col min="9232" max="9232" width="11.42578125" customWidth="1"/>
    <col min="9233" max="9233" width="8.42578125" customWidth="1"/>
    <col min="9234" max="9235" width="11.7109375" customWidth="1"/>
    <col min="9474" max="9474" width="36" customWidth="1"/>
    <col min="9475" max="9486" width="0" hidden="1" customWidth="1"/>
    <col min="9487" max="9487" width="13.5703125" customWidth="1"/>
    <col min="9488" max="9488" width="11.42578125" customWidth="1"/>
    <col min="9489" max="9489" width="8.42578125" customWidth="1"/>
    <col min="9490" max="9491" width="11.7109375" customWidth="1"/>
    <col min="9730" max="9730" width="36" customWidth="1"/>
    <col min="9731" max="9742" width="0" hidden="1" customWidth="1"/>
    <col min="9743" max="9743" width="13.5703125" customWidth="1"/>
    <col min="9744" max="9744" width="11.42578125" customWidth="1"/>
    <col min="9745" max="9745" width="8.42578125" customWidth="1"/>
    <col min="9746" max="9747" width="11.7109375" customWidth="1"/>
    <col min="9986" max="9986" width="36" customWidth="1"/>
    <col min="9987" max="9998" width="0" hidden="1" customWidth="1"/>
    <col min="9999" max="9999" width="13.5703125" customWidth="1"/>
    <col min="10000" max="10000" width="11.42578125" customWidth="1"/>
    <col min="10001" max="10001" width="8.42578125" customWidth="1"/>
    <col min="10002" max="10003" width="11.7109375" customWidth="1"/>
    <col min="10242" max="10242" width="36" customWidth="1"/>
    <col min="10243" max="10254" width="0" hidden="1" customWidth="1"/>
    <col min="10255" max="10255" width="13.5703125" customWidth="1"/>
    <col min="10256" max="10256" width="11.42578125" customWidth="1"/>
    <col min="10257" max="10257" width="8.42578125" customWidth="1"/>
    <col min="10258" max="10259" width="11.7109375" customWidth="1"/>
    <col min="10498" max="10498" width="36" customWidth="1"/>
    <col min="10499" max="10510" width="0" hidden="1" customWidth="1"/>
    <col min="10511" max="10511" width="13.5703125" customWidth="1"/>
    <col min="10512" max="10512" width="11.42578125" customWidth="1"/>
    <col min="10513" max="10513" width="8.42578125" customWidth="1"/>
    <col min="10514" max="10515" width="11.7109375" customWidth="1"/>
    <col min="10754" max="10754" width="36" customWidth="1"/>
    <col min="10755" max="10766" width="0" hidden="1" customWidth="1"/>
    <col min="10767" max="10767" width="13.5703125" customWidth="1"/>
    <col min="10768" max="10768" width="11.42578125" customWidth="1"/>
    <col min="10769" max="10769" width="8.42578125" customWidth="1"/>
    <col min="10770" max="10771" width="11.7109375" customWidth="1"/>
    <col min="11010" max="11010" width="36" customWidth="1"/>
    <col min="11011" max="11022" width="0" hidden="1" customWidth="1"/>
    <col min="11023" max="11023" width="13.5703125" customWidth="1"/>
    <col min="11024" max="11024" width="11.42578125" customWidth="1"/>
    <col min="11025" max="11025" width="8.42578125" customWidth="1"/>
    <col min="11026" max="11027" width="11.7109375" customWidth="1"/>
    <col min="11266" max="11266" width="36" customWidth="1"/>
    <col min="11267" max="11278" width="0" hidden="1" customWidth="1"/>
    <col min="11279" max="11279" width="13.5703125" customWidth="1"/>
    <col min="11280" max="11280" width="11.42578125" customWidth="1"/>
    <col min="11281" max="11281" width="8.42578125" customWidth="1"/>
    <col min="11282" max="11283" width="11.7109375" customWidth="1"/>
    <col min="11522" max="11522" width="36" customWidth="1"/>
    <col min="11523" max="11534" width="0" hidden="1" customWidth="1"/>
    <col min="11535" max="11535" width="13.5703125" customWidth="1"/>
    <col min="11536" max="11536" width="11.42578125" customWidth="1"/>
    <col min="11537" max="11537" width="8.42578125" customWidth="1"/>
    <col min="11538" max="11539" width="11.7109375" customWidth="1"/>
    <col min="11778" max="11778" width="36" customWidth="1"/>
    <col min="11779" max="11790" width="0" hidden="1" customWidth="1"/>
    <col min="11791" max="11791" width="13.5703125" customWidth="1"/>
    <col min="11792" max="11792" width="11.42578125" customWidth="1"/>
    <col min="11793" max="11793" width="8.42578125" customWidth="1"/>
    <col min="11794" max="11795" width="11.7109375" customWidth="1"/>
    <col min="12034" max="12034" width="36" customWidth="1"/>
    <col min="12035" max="12046" width="0" hidden="1" customWidth="1"/>
    <col min="12047" max="12047" width="13.5703125" customWidth="1"/>
    <col min="12048" max="12048" width="11.42578125" customWidth="1"/>
    <col min="12049" max="12049" width="8.42578125" customWidth="1"/>
    <col min="12050" max="12051" width="11.7109375" customWidth="1"/>
    <col min="12290" max="12290" width="36" customWidth="1"/>
    <col min="12291" max="12302" width="0" hidden="1" customWidth="1"/>
    <col min="12303" max="12303" width="13.5703125" customWidth="1"/>
    <col min="12304" max="12304" width="11.42578125" customWidth="1"/>
    <col min="12305" max="12305" width="8.42578125" customWidth="1"/>
    <col min="12306" max="12307" width="11.7109375" customWidth="1"/>
    <col min="12546" max="12546" width="36" customWidth="1"/>
    <col min="12547" max="12558" width="0" hidden="1" customWidth="1"/>
    <col min="12559" max="12559" width="13.5703125" customWidth="1"/>
    <col min="12560" max="12560" width="11.42578125" customWidth="1"/>
    <col min="12561" max="12561" width="8.42578125" customWidth="1"/>
    <col min="12562" max="12563" width="11.7109375" customWidth="1"/>
    <col min="12802" max="12802" width="36" customWidth="1"/>
    <col min="12803" max="12814" width="0" hidden="1" customWidth="1"/>
    <col min="12815" max="12815" width="13.5703125" customWidth="1"/>
    <col min="12816" max="12816" width="11.42578125" customWidth="1"/>
    <col min="12817" max="12817" width="8.42578125" customWidth="1"/>
    <col min="12818" max="12819" width="11.7109375" customWidth="1"/>
    <col min="13058" max="13058" width="36" customWidth="1"/>
    <col min="13059" max="13070" width="0" hidden="1" customWidth="1"/>
    <col min="13071" max="13071" width="13.5703125" customWidth="1"/>
    <col min="13072" max="13072" width="11.42578125" customWidth="1"/>
    <col min="13073" max="13073" width="8.42578125" customWidth="1"/>
    <col min="13074" max="13075" width="11.7109375" customWidth="1"/>
    <col min="13314" max="13314" width="36" customWidth="1"/>
    <col min="13315" max="13326" width="0" hidden="1" customWidth="1"/>
    <col min="13327" max="13327" width="13.5703125" customWidth="1"/>
    <col min="13328" max="13328" width="11.42578125" customWidth="1"/>
    <col min="13329" max="13329" width="8.42578125" customWidth="1"/>
    <col min="13330" max="13331" width="11.7109375" customWidth="1"/>
    <col min="13570" max="13570" width="36" customWidth="1"/>
    <col min="13571" max="13582" width="0" hidden="1" customWidth="1"/>
    <col min="13583" max="13583" width="13.5703125" customWidth="1"/>
    <col min="13584" max="13584" width="11.42578125" customWidth="1"/>
    <col min="13585" max="13585" width="8.42578125" customWidth="1"/>
    <col min="13586" max="13587" width="11.7109375" customWidth="1"/>
    <col min="13826" max="13826" width="36" customWidth="1"/>
    <col min="13827" max="13838" width="0" hidden="1" customWidth="1"/>
    <col min="13839" max="13839" width="13.5703125" customWidth="1"/>
    <col min="13840" max="13840" width="11.42578125" customWidth="1"/>
    <col min="13841" max="13841" width="8.42578125" customWidth="1"/>
    <col min="13842" max="13843" width="11.7109375" customWidth="1"/>
    <col min="14082" max="14082" width="36" customWidth="1"/>
    <col min="14083" max="14094" width="0" hidden="1" customWidth="1"/>
    <col min="14095" max="14095" width="13.5703125" customWidth="1"/>
    <col min="14096" max="14096" width="11.42578125" customWidth="1"/>
    <col min="14097" max="14097" width="8.42578125" customWidth="1"/>
    <col min="14098" max="14099" width="11.7109375" customWidth="1"/>
    <col min="14338" max="14338" width="36" customWidth="1"/>
    <col min="14339" max="14350" width="0" hidden="1" customWidth="1"/>
    <col min="14351" max="14351" width="13.5703125" customWidth="1"/>
    <col min="14352" max="14352" width="11.42578125" customWidth="1"/>
    <col min="14353" max="14353" width="8.42578125" customWidth="1"/>
    <col min="14354" max="14355" width="11.7109375" customWidth="1"/>
    <col min="14594" max="14594" width="36" customWidth="1"/>
    <col min="14595" max="14606" width="0" hidden="1" customWidth="1"/>
    <col min="14607" max="14607" width="13.5703125" customWidth="1"/>
    <col min="14608" max="14608" width="11.42578125" customWidth="1"/>
    <col min="14609" max="14609" width="8.42578125" customWidth="1"/>
    <col min="14610" max="14611" width="11.7109375" customWidth="1"/>
    <col min="14850" max="14850" width="36" customWidth="1"/>
    <col min="14851" max="14862" width="0" hidden="1" customWidth="1"/>
    <col min="14863" max="14863" width="13.5703125" customWidth="1"/>
    <col min="14864" max="14864" width="11.42578125" customWidth="1"/>
    <col min="14865" max="14865" width="8.42578125" customWidth="1"/>
    <col min="14866" max="14867" width="11.7109375" customWidth="1"/>
    <col min="15106" max="15106" width="36" customWidth="1"/>
    <col min="15107" max="15118" width="0" hidden="1" customWidth="1"/>
    <col min="15119" max="15119" width="13.5703125" customWidth="1"/>
    <col min="15120" max="15120" width="11.42578125" customWidth="1"/>
    <col min="15121" max="15121" width="8.42578125" customWidth="1"/>
    <col min="15122" max="15123" width="11.7109375" customWidth="1"/>
    <col min="15362" max="15362" width="36" customWidth="1"/>
    <col min="15363" max="15374" width="0" hidden="1" customWidth="1"/>
    <col min="15375" max="15375" width="13.5703125" customWidth="1"/>
    <col min="15376" max="15376" width="11.42578125" customWidth="1"/>
    <col min="15377" max="15377" width="8.42578125" customWidth="1"/>
    <col min="15378" max="15379" width="11.7109375" customWidth="1"/>
    <col min="15618" max="15618" width="36" customWidth="1"/>
    <col min="15619" max="15630" width="0" hidden="1" customWidth="1"/>
    <col min="15631" max="15631" width="13.5703125" customWidth="1"/>
    <col min="15632" max="15632" width="11.42578125" customWidth="1"/>
    <col min="15633" max="15633" width="8.42578125" customWidth="1"/>
    <col min="15634" max="15635" width="11.7109375" customWidth="1"/>
    <col min="15874" max="15874" width="36" customWidth="1"/>
    <col min="15875" max="15886" width="0" hidden="1" customWidth="1"/>
    <col min="15887" max="15887" width="13.5703125" customWidth="1"/>
    <col min="15888" max="15888" width="11.42578125" customWidth="1"/>
    <col min="15889" max="15889" width="8.42578125" customWidth="1"/>
    <col min="15890" max="15891" width="11.7109375" customWidth="1"/>
    <col min="16130" max="16130" width="36" customWidth="1"/>
    <col min="16131" max="16142" width="0" hidden="1" customWidth="1"/>
    <col min="16143" max="16143" width="13.5703125" customWidth="1"/>
    <col min="16144" max="16144" width="11.42578125" customWidth="1"/>
    <col min="16145" max="16145" width="8.42578125" customWidth="1"/>
    <col min="16146" max="16147" width="11.7109375" customWidth="1"/>
  </cols>
  <sheetData>
    <row r="1" spans="1:23" x14ac:dyDescent="0.25">
      <c r="A1" s="631" t="s">
        <v>404</v>
      </c>
    </row>
    <row r="2" spans="1:23" ht="15.75" thickBot="1" x14ac:dyDescent="0.3">
      <c r="A2" s="632" t="s">
        <v>405</v>
      </c>
    </row>
    <row r="3" spans="1:23" ht="15.75" customHeight="1" thickTop="1" x14ac:dyDescent="0.25">
      <c r="A3" s="719" t="s">
        <v>0</v>
      </c>
      <c r="B3" s="721" t="s">
        <v>1</v>
      </c>
      <c r="C3" s="717" t="s">
        <v>2</v>
      </c>
      <c r="D3" s="717" t="s">
        <v>114</v>
      </c>
      <c r="E3" s="717" t="s">
        <v>115</v>
      </c>
      <c r="F3" s="717" t="s">
        <v>116</v>
      </c>
      <c r="G3" s="717" t="s">
        <v>117</v>
      </c>
      <c r="H3" s="717" t="s">
        <v>118</v>
      </c>
      <c r="I3" s="717" t="s">
        <v>8</v>
      </c>
      <c r="J3" s="717" t="s">
        <v>9</v>
      </c>
      <c r="K3" s="717" t="s">
        <v>10</v>
      </c>
      <c r="L3" s="717" t="s">
        <v>11</v>
      </c>
      <c r="M3" s="717" t="s">
        <v>12</v>
      </c>
      <c r="N3" s="717" t="s">
        <v>13</v>
      </c>
      <c r="O3" s="717" t="s">
        <v>14</v>
      </c>
      <c r="P3" s="717" t="s">
        <v>459</v>
      </c>
      <c r="Q3" s="815" t="s">
        <v>440</v>
      </c>
      <c r="R3" s="637" t="s">
        <v>482</v>
      </c>
      <c r="S3" s="723" t="s">
        <v>406</v>
      </c>
    </row>
    <row r="4" spans="1:23" ht="24" customHeight="1" thickBot="1" x14ac:dyDescent="0.3">
      <c r="A4" s="720"/>
      <c r="B4" s="722"/>
      <c r="C4" s="718"/>
      <c r="D4" s="718"/>
      <c r="E4" s="718"/>
      <c r="F4" s="718"/>
      <c r="G4" s="718"/>
      <c r="H4" s="718"/>
      <c r="I4" s="718"/>
      <c r="J4" s="718"/>
      <c r="K4" s="718"/>
      <c r="L4" s="718"/>
      <c r="M4" s="718"/>
      <c r="N4" s="718"/>
      <c r="O4" s="718"/>
      <c r="P4" s="718"/>
      <c r="Q4" s="816"/>
      <c r="R4" s="635" t="s">
        <v>19</v>
      </c>
      <c r="S4" s="724"/>
    </row>
    <row r="5" spans="1:23" ht="16.5" thickTop="1" thickBot="1" x14ac:dyDescent="0.3">
      <c r="A5" s="558">
        <v>519</v>
      </c>
      <c r="B5" s="849" t="s">
        <v>356</v>
      </c>
      <c r="C5" s="850"/>
      <c r="D5" s="46">
        <f t="shared" ref="D5:M5" si="0">SUM(D6:D7)</f>
        <v>0</v>
      </c>
      <c r="E5" s="46">
        <f t="shared" si="0"/>
        <v>0</v>
      </c>
      <c r="F5" s="46">
        <f t="shared" si="0"/>
        <v>806731</v>
      </c>
      <c r="G5" s="46">
        <f t="shared" si="0"/>
        <v>1932030</v>
      </c>
      <c r="H5" s="46">
        <f t="shared" si="0"/>
        <v>1218758</v>
      </c>
      <c r="I5" s="46">
        <f t="shared" si="0"/>
        <v>1712805</v>
      </c>
      <c r="J5" s="46">
        <f t="shared" si="0"/>
        <v>796126</v>
      </c>
      <c r="K5" s="46">
        <f t="shared" si="0"/>
        <v>889265</v>
      </c>
      <c r="L5" s="47">
        <f t="shared" si="0"/>
        <v>1041848.1</v>
      </c>
      <c r="M5" s="47">
        <f t="shared" si="0"/>
        <v>1842801.75</v>
      </c>
      <c r="N5" s="46">
        <f>SUM(N6:N7)</f>
        <v>1578149.94</v>
      </c>
      <c r="O5" s="47">
        <f>SUM(O6:O7)</f>
        <v>597135.81999999995</v>
      </c>
      <c r="P5" s="46">
        <v>61339.119999999995</v>
      </c>
      <c r="Q5" s="46">
        <f>SUM(Q6:Q7)</f>
        <v>1387460</v>
      </c>
      <c r="R5" s="46">
        <f>SUM(R6:R7)</f>
        <v>0</v>
      </c>
      <c r="S5" s="49">
        <f>SUM(S6:S7)</f>
        <v>1387460</v>
      </c>
    </row>
    <row r="6" spans="1:23" x14ac:dyDescent="0.25">
      <c r="A6" s="747"/>
      <c r="B6" s="490"/>
      <c r="C6" s="66" t="s">
        <v>433</v>
      </c>
      <c r="D6" s="66"/>
      <c r="E6" s="66"/>
      <c r="F6" s="66"/>
      <c r="G6" s="66">
        <v>186636</v>
      </c>
      <c r="H6" s="66">
        <v>1102901</v>
      </c>
      <c r="I6" s="66">
        <v>1052724</v>
      </c>
      <c r="J6" s="67">
        <v>232649</v>
      </c>
      <c r="K6" s="67">
        <v>638944</v>
      </c>
      <c r="L6" s="150">
        <v>96973.2</v>
      </c>
      <c r="M6" s="150">
        <v>633655.25</v>
      </c>
      <c r="N6" s="67">
        <v>1495900</v>
      </c>
      <c r="O6" s="150">
        <v>363308.49</v>
      </c>
      <c r="P6" s="67">
        <v>47962.559999999998</v>
      </c>
      <c r="Q6" s="67">
        <v>450000</v>
      </c>
      <c r="R6" s="67"/>
      <c r="S6" s="387">
        <f>Q6+R6</f>
        <v>450000</v>
      </c>
    </row>
    <row r="7" spans="1:23" ht="15.75" thickBot="1" x14ac:dyDescent="0.3">
      <c r="A7" s="749"/>
      <c r="B7" s="491"/>
      <c r="C7" s="70" t="s">
        <v>357</v>
      </c>
      <c r="D7" s="70"/>
      <c r="E7" s="70"/>
      <c r="F7" s="70">
        <v>806731</v>
      </c>
      <c r="G7" s="70">
        <v>1745394</v>
      </c>
      <c r="H7" s="70">
        <v>115857</v>
      </c>
      <c r="I7" s="70">
        <v>660081</v>
      </c>
      <c r="J7" s="90">
        <v>563477</v>
      </c>
      <c r="K7" s="213">
        <v>250321</v>
      </c>
      <c r="L7" s="258">
        <v>944874.9</v>
      </c>
      <c r="M7" s="258">
        <v>1209146.5</v>
      </c>
      <c r="N7" s="213">
        <v>82249.94</v>
      </c>
      <c r="O7" s="258">
        <v>233827.33</v>
      </c>
      <c r="P7" s="213">
        <v>13376.56</v>
      </c>
      <c r="Q7" s="90">
        <v>937460</v>
      </c>
      <c r="R7" s="90"/>
      <c r="S7" s="492">
        <f>Q7+R7</f>
        <v>937460</v>
      </c>
      <c r="U7" s="165"/>
      <c r="V7" s="165"/>
    </row>
    <row r="8" spans="1:23" ht="15.75" thickBot="1" x14ac:dyDescent="0.3">
      <c r="A8" s="559">
        <v>450</v>
      </c>
      <c r="B8" s="851" t="s">
        <v>71</v>
      </c>
      <c r="C8" s="799"/>
      <c r="D8" s="94">
        <f>SUM(D9:D16)</f>
        <v>499436</v>
      </c>
      <c r="E8" s="94">
        <v>313085</v>
      </c>
      <c r="F8" s="94">
        <v>834018</v>
      </c>
      <c r="G8" s="94">
        <f t="shared" ref="G8:M8" si="1">SUM(G9:G16)</f>
        <v>822908</v>
      </c>
      <c r="H8" s="94">
        <f t="shared" si="1"/>
        <v>3260676</v>
      </c>
      <c r="I8" s="94">
        <f t="shared" si="1"/>
        <v>553863</v>
      </c>
      <c r="J8" s="94">
        <f t="shared" si="1"/>
        <v>509280</v>
      </c>
      <c r="K8" s="94">
        <f t="shared" si="1"/>
        <v>620269</v>
      </c>
      <c r="L8" s="95">
        <f t="shared" si="1"/>
        <v>259121.03000000003</v>
      </c>
      <c r="M8" s="95">
        <f t="shared" si="1"/>
        <v>923759.61</v>
      </c>
      <c r="N8" s="94">
        <f>SUM(N9:N16)</f>
        <v>913983.99</v>
      </c>
      <c r="O8" s="95">
        <f>SUM(O9:O16)</f>
        <v>670041.30000000005</v>
      </c>
      <c r="P8" s="94">
        <v>1328239.53</v>
      </c>
      <c r="Q8" s="94">
        <f>SUM(Q9:Q16)</f>
        <v>1516903</v>
      </c>
      <c r="R8" s="94">
        <f>SUM(R9:R16)</f>
        <v>0</v>
      </c>
      <c r="S8" s="97">
        <f>SUM(S9:S16)</f>
        <v>1516903</v>
      </c>
    </row>
    <row r="9" spans="1:23" x14ac:dyDescent="0.25">
      <c r="A9" s="747"/>
      <c r="B9" s="490"/>
      <c r="C9" s="493" t="s">
        <v>358</v>
      </c>
      <c r="D9" s="493">
        <v>190367</v>
      </c>
      <c r="E9" s="493"/>
      <c r="F9" s="493"/>
      <c r="G9" s="67">
        <f>265551+398</f>
        <v>265949</v>
      </c>
      <c r="H9" s="493">
        <v>1534133</v>
      </c>
      <c r="I9" s="493">
        <v>43800</v>
      </c>
      <c r="J9" s="494"/>
      <c r="K9" s="201">
        <v>9775</v>
      </c>
      <c r="L9" s="495">
        <v>16185.64</v>
      </c>
      <c r="M9" s="495"/>
      <c r="N9" s="201">
        <v>191699.89</v>
      </c>
      <c r="O9" s="495"/>
      <c r="P9" s="201">
        <v>0</v>
      </c>
      <c r="Q9" s="67">
        <v>45000</v>
      </c>
      <c r="R9" s="67"/>
      <c r="S9" s="387">
        <f t="shared" ref="S9:S16" si="2">Q9+R9</f>
        <v>45000</v>
      </c>
    </row>
    <row r="10" spans="1:23" x14ac:dyDescent="0.25">
      <c r="A10" s="748"/>
      <c r="B10" s="496"/>
      <c r="C10" s="497" t="s">
        <v>359</v>
      </c>
      <c r="D10" s="497"/>
      <c r="E10" s="497"/>
      <c r="F10" s="497"/>
      <c r="G10" s="83"/>
      <c r="H10" s="497">
        <v>921499</v>
      </c>
      <c r="I10" s="497">
        <v>220604</v>
      </c>
      <c r="J10" s="498">
        <v>192501</v>
      </c>
      <c r="K10" s="499">
        <v>494</v>
      </c>
      <c r="L10" s="249">
        <v>208144.39</v>
      </c>
      <c r="M10" s="249">
        <v>907789.61</v>
      </c>
      <c r="N10" s="499">
        <v>686557.48</v>
      </c>
      <c r="O10" s="249">
        <v>142213.04</v>
      </c>
      <c r="P10" s="499">
        <v>663985.27</v>
      </c>
      <c r="Q10" s="83">
        <v>1095877</v>
      </c>
      <c r="R10" s="83"/>
      <c r="S10" s="98">
        <f t="shared" si="2"/>
        <v>1095877</v>
      </c>
    </row>
    <row r="11" spans="1:23" x14ac:dyDescent="0.25">
      <c r="A11" s="748"/>
      <c r="B11" s="496"/>
      <c r="C11" s="497" t="s">
        <v>360</v>
      </c>
      <c r="D11" s="497"/>
      <c r="E11" s="497"/>
      <c r="F11" s="497"/>
      <c r="G11" s="83">
        <v>545044</v>
      </c>
      <c r="H11" s="497">
        <v>545044</v>
      </c>
      <c r="I11" s="497"/>
      <c r="J11" s="498"/>
      <c r="K11" s="499"/>
      <c r="L11" s="249"/>
      <c r="M11" s="249">
        <v>12870</v>
      </c>
      <c r="N11" s="499">
        <v>1275.2</v>
      </c>
      <c r="O11" s="249">
        <v>132643.71</v>
      </c>
      <c r="P11" s="499">
        <v>34091.29</v>
      </c>
      <c r="Q11" s="83">
        <v>0</v>
      </c>
      <c r="R11" s="83"/>
      <c r="S11" s="98">
        <f t="shared" si="2"/>
        <v>0</v>
      </c>
    </row>
    <row r="12" spans="1:23" x14ac:dyDescent="0.25">
      <c r="A12" s="748"/>
      <c r="B12" s="496"/>
      <c r="C12" s="497" t="s">
        <v>361</v>
      </c>
      <c r="D12" s="497"/>
      <c r="E12" s="497"/>
      <c r="F12" s="497"/>
      <c r="G12" s="83"/>
      <c r="H12" s="497"/>
      <c r="I12" s="497"/>
      <c r="J12" s="498"/>
      <c r="K12" s="499"/>
      <c r="L12" s="249"/>
      <c r="M12" s="249"/>
      <c r="N12" s="499">
        <v>34451.42</v>
      </c>
      <c r="O12" s="249"/>
      <c r="P12" s="499">
        <v>38214.900000000009</v>
      </c>
      <c r="Q12" s="83">
        <v>0</v>
      </c>
      <c r="R12" s="83"/>
      <c r="S12" s="98">
        <f t="shared" si="2"/>
        <v>0</v>
      </c>
    </row>
    <row r="13" spans="1:23" x14ac:dyDescent="0.25">
      <c r="A13" s="748"/>
      <c r="B13" s="496"/>
      <c r="C13" s="497" t="s">
        <v>362</v>
      </c>
      <c r="D13" s="497">
        <v>309069</v>
      </c>
      <c r="E13" s="497"/>
      <c r="F13" s="497"/>
      <c r="G13" s="83"/>
      <c r="H13" s="497">
        <v>260000</v>
      </c>
      <c r="I13" s="497">
        <v>277803</v>
      </c>
      <c r="J13" s="498">
        <v>316779</v>
      </c>
      <c r="K13" s="499">
        <v>610000</v>
      </c>
      <c r="L13" s="249">
        <v>34791</v>
      </c>
      <c r="M13" s="249">
        <v>3100</v>
      </c>
      <c r="N13" s="499"/>
      <c r="O13" s="249">
        <v>365184.55000000005</v>
      </c>
      <c r="P13" s="499">
        <v>591948.06999999995</v>
      </c>
      <c r="Q13" s="83">
        <v>341026</v>
      </c>
      <c r="R13" s="83"/>
      <c r="S13" s="98">
        <f t="shared" si="2"/>
        <v>341026</v>
      </c>
      <c r="U13" s="693"/>
      <c r="V13" s="165"/>
      <c r="W13" s="165"/>
    </row>
    <row r="14" spans="1:23" x14ac:dyDescent="0.25">
      <c r="A14" s="748"/>
      <c r="B14" s="496"/>
      <c r="C14" s="497" t="s">
        <v>396</v>
      </c>
      <c r="D14" s="497"/>
      <c r="E14" s="497"/>
      <c r="F14" s="497"/>
      <c r="G14" s="497">
        <v>11915</v>
      </c>
      <c r="H14" s="497"/>
      <c r="I14" s="497">
        <v>11656</v>
      </c>
      <c r="J14" s="498"/>
      <c r="K14" s="83"/>
      <c r="L14" s="112"/>
      <c r="M14" s="112">
        <v>0</v>
      </c>
      <c r="N14" s="83"/>
      <c r="O14" s="112">
        <v>30000</v>
      </c>
      <c r="P14" s="83">
        <v>0</v>
      </c>
      <c r="Q14" s="83">
        <v>35000</v>
      </c>
      <c r="R14" s="83"/>
      <c r="S14" s="98">
        <f t="shared" si="2"/>
        <v>35000</v>
      </c>
    </row>
    <row r="15" spans="1:23" x14ac:dyDescent="0.25">
      <c r="A15" s="748"/>
      <c r="B15" s="500"/>
      <c r="C15" s="501"/>
      <c r="D15" s="501"/>
      <c r="E15" s="501"/>
      <c r="F15" s="501"/>
      <c r="G15" s="501"/>
      <c r="H15" s="501"/>
      <c r="I15" s="501"/>
      <c r="J15" s="501"/>
      <c r="K15" s="69"/>
      <c r="L15" s="151"/>
      <c r="M15" s="151"/>
      <c r="N15" s="69"/>
      <c r="O15" s="151"/>
      <c r="P15" s="69">
        <v>0</v>
      </c>
      <c r="Q15" s="69"/>
      <c r="R15" s="69"/>
      <c r="S15" s="99">
        <f t="shared" si="2"/>
        <v>0</v>
      </c>
    </row>
    <row r="16" spans="1:23" ht="15.75" thickBot="1" x14ac:dyDescent="0.3">
      <c r="A16" s="852"/>
      <c r="B16" s="500"/>
      <c r="C16" s="501"/>
      <c r="D16" s="501"/>
      <c r="E16" s="501"/>
      <c r="F16" s="501"/>
      <c r="G16" s="501"/>
      <c r="H16" s="501"/>
      <c r="I16" s="501"/>
      <c r="J16" s="501"/>
      <c r="K16" s="69"/>
      <c r="L16" s="151"/>
      <c r="M16" s="151"/>
      <c r="N16" s="69"/>
      <c r="O16" s="151"/>
      <c r="P16" s="69">
        <v>0</v>
      </c>
      <c r="Q16" s="69"/>
      <c r="R16" s="69"/>
      <c r="S16" s="99">
        <f t="shared" si="2"/>
        <v>0</v>
      </c>
    </row>
    <row r="17" spans="1:19" ht="16.5" thickTop="1" thickBot="1" x14ac:dyDescent="0.3">
      <c r="A17" s="845" t="s">
        <v>363</v>
      </c>
      <c r="B17" s="846"/>
      <c r="C17" s="847"/>
      <c r="D17" s="502">
        <f t="shared" ref="D17:M17" si="3">D8+D5</f>
        <v>499436</v>
      </c>
      <c r="E17" s="502">
        <f t="shared" si="3"/>
        <v>313085</v>
      </c>
      <c r="F17" s="502">
        <f t="shared" si="3"/>
        <v>1640749</v>
      </c>
      <c r="G17" s="502">
        <f t="shared" si="3"/>
        <v>2754938</v>
      </c>
      <c r="H17" s="502">
        <f t="shared" si="3"/>
        <v>4479434</v>
      </c>
      <c r="I17" s="502">
        <f t="shared" si="3"/>
        <v>2266668</v>
      </c>
      <c r="J17" s="502">
        <f t="shared" si="3"/>
        <v>1305406</v>
      </c>
      <c r="K17" s="502">
        <f t="shared" si="3"/>
        <v>1509534</v>
      </c>
      <c r="L17" s="503">
        <f t="shared" si="3"/>
        <v>1300969.1299999999</v>
      </c>
      <c r="M17" s="503">
        <f t="shared" si="3"/>
        <v>2766561.36</v>
      </c>
      <c r="N17" s="502">
        <f>N8+N5</f>
        <v>2492133.9299999997</v>
      </c>
      <c r="O17" s="503">
        <f>O8+O5</f>
        <v>1267177.1200000001</v>
      </c>
      <c r="P17" s="502">
        <v>1389578.65</v>
      </c>
      <c r="Q17" s="502">
        <f>Q8+Q5</f>
        <v>2904363</v>
      </c>
      <c r="R17" s="502">
        <f>R8+R5</f>
        <v>0</v>
      </c>
      <c r="S17" s="504">
        <f>S8+S5</f>
        <v>2904363</v>
      </c>
    </row>
    <row r="18" spans="1:19" ht="15.75" thickTop="1" x14ac:dyDescent="0.25">
      <c r="A18" s="848"/>
      <c r="B18" s="848"/>
      <c r="C18" s="848"/>
      <c r="D18" s="848"/>
      <c r="E18" s="848"/>
      <c r="F18" s="848"/>
      <c r="G18" s="848"/>
      <c r="H18" s="848"/>
      <c r="I18" s="848"/>
      <c r="J18" s="848"/>
      <c r="K18" s="505"/>
      <c r="L18" s="505"/>
      <c r="M18" s="505"/>
      <c r="N18" s="505"/>
      <c r="O18" s="505"/>
      <c r="P18" s="505"/>
      <c r="Q18" s="506"/>
    </row>
    <row r="22" spans="1:19" x14ac:dyDescent="0.25">
      <c r="Q22" s="165"/>
    </row>
  </sheetData>
  <mergeCells count="24">
    <mergeCell ref="A17:C17"/>
    <mergeCell ref="A18:J18"/>
    <mergeCell ref="S3:S4"/>
    <mergeCell ref="B5:C5"/>
    <mergeCell ref="A6:A7"/>
    <mergeCell ref="B8:C8"/>
    <mergeCell ref="A9:A16"/>
    <mergeCell ref="M3:M4"/>
    <mergeCell ref="N3:N4"/>
    <mergeCell ref="O3:O4"/>
    <mergeCell ref="P3:P4"/>
    <mergeCell ref="Q3:Q4"/>
    <mergeCell ref="G3:G4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  <mergeCell ref="F3:F4"/>
  </mergeCells>
  <pageMargins left="3.937007874015748E-2" right="3.937007874015748E-2" top="3.937007874015748E-2" bottom="3.937007874015748E-2" header="0.31496062992125984" footer="0.31496062992125984"/>
  <pageSetup paperSize="9"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zoomScaleNormal="100" workbookViewId="0">
      <selection activeCell="Y12" sqref="Y12"/>
    </sheetView>
  </sheetViews>
  <sheetFormatPr defaultRowHeight="15" x14ac:dyDescent="0.25"/>
  <cols>
    <col min="1" max="1" width="9.85546875" customWidth="1"/>
    <col min="2" max="2" width="8" customWidth="1"/>
    <col min="3" max="3" width="31.42578125" customWidth="1"/>
    <col min="4" max="13" width="9.140625" hidden="1" customWidth="1"/>
    <col min="14" max="15" width="13.85546875" hidden="1" customWidth="1"/>
    <col min="16" max="16" width="11.7109375" customWidth="1"/>
    <col min="17" max="17" width="11.28515625" customWidth="1"/>
    <col min="18" max="18" width="9.28515625" customWidth="1"/>
    <col min="19" max="19" width="9.5703125" customWidth="1"/>
    <col min="20" max="20" width="11.5703125" customWidth="1"/>
    <col min="22" max="22" width="12.85546875" customWidth="1"/>
  </cols>
  <sheetData>
    <row r="1" spans="1:23" ht="15.75" thickBot="1" x14ac:dyDescent="0.3">
      <c r="A1" s="821" t="s">
        <v>364</v>
      </c>
      <c r="B1" s="821"/>
      <c r="C1" s="821"/>
      <c r="D1" s="821"/>
      <c r="E1" s="821"/>
      <c r="F1" s="821"/>
      <c r="G1" s="821"/>
      <c r="H1" s="821"/>
      <c r="I1" s="821"/>
      <c r="J1" s="821"/>
      <c r="K1" s="507"/>
      <c r="L1" s="507"/>
      <c r="M1" s="507"/>
      <c r="N1" s="507"/>
      <c r="O1" s="507"/>
      <c r="P1" s="507"/>
      <c r="Q1" s="506"/>
      <c r="R1" s="506"/>
    </row>
    <row r="2" spans="1:23" ht="15.75" customHeight="1" thickTop="1" thickBot="1" x14ac:dyDescent="0.3">
      <c r="A2" s="853" t="s">
        <v>112</v>
      </c>
      <c r="B2" s="825" t="s">
        <v>1</v>
      </c>
      <c r="C2" s="773" t="s">
        <v>113</v>
      </c>
      <c r="D2" s="717" t="s">
        <v>114</v>
      </c>
      <c r="E2" s="717" t="s">
        <v>115</v>
      </c>
      <c r="F2" s="717" t="s">
        <v>116</v>
      </c>
      <c r="G2" s="717" t="s">
        <v>117</v>
      </c>
      <c r="H2" s="717" t="s">
        <v>118</v>
      </c>
      <c r="I2" s="717" t="s">
        <v>8</v>
      </c>
      <c r="J2" s="717" t="s">
        <v>9</v>
      </c>
      <c r="K2" s="717" t="s">
        <v>10</v>
      </c>
      <c r="L2" s="717" t="s">
        <v>11</v>
      </c>
      <c r="M2" s="717" t="s">
        <v>12</v>
      </c>
      <c r="N2" s="717" t="s">
        <v>13</v>
      </c>
      <c r="O2" s="717" t="s">
        <v>14</v>
      </c>
      <c r="P2" s="717" t="s">
        <v>459</v>
      </c>
      <c r="Q2" s="815" t="s">
        <v>440</v>
      </c>
      <c r="R2" s="767" t="s">
        <v>482</v>
      </c>
      <c r="S2" s="768"/>
      <c r="T2" s="858" t="s">
        <v>406</v>
      </c>
    </row>
    <row r="3" spans="1:23" ht="27" customHeight="1" thickBot="1" x14ac:dyDescent="0.3">
      <c r="A3" s="854"/>
      <c r="B3" s="826"/>
      <c r="C3" s="774"/>
      <c r="D3" s="718"/>
      <c r="E3" s="718"/>
      <c r="F3" s="718"/>
      <c r="G3" s="718"/>
      <c r="H3" s="718"/>
      <c r="I3" s="718"/>
      <c r="J3" s="718"/>
      <c r="K3" s="718"/>
      <c r="L3" s="718"/>
      <c r="M3" s="718"/>
      <c r="N3" s="718"/>
      <c r="O3" s="718"/>
      <c r="P3" s="718"/>
      <c r="Q3" s="816"/>
      <c r="R3" s="639" t="s">
        <v>18</v>
      </c>
      <c r="S3" s="640" t="s">
        <v>21</v>
      </c>
      <c r="T3" s="859"/>
    </row>
    <row r="4" spans="1:23" ht="16.5" thickTop="1" thickBot="1" x14ac:dyDescent="0.3">
      <c r="A4" s="508" t="s">
        <v>365</v>
      </c>
      <c r="B4" s="849" t="s">
        <v>356</v>
      </c>
      <c r="C4" s="850"/>
      <c r="D4" s="509">
        <f t="shared" ref="D4:M4" si="0">SUM(D5:D11)</f>
        <v>477793</v>
      </c>
      <c r="E4" s="509">
        <f t="shared" si="0"/>
        <v>470856</v>
      </c>
      <c r="F4" s="509">
        <f t="shared" si="0"/>
        <v>334085</v>
      </c>
      <c r="G4" s="509">
        <f t="shared" si="0"/>
        <v>1303204</v>
      </c>
      <c r="H4" s="509">
        <f t="shared" si="0"/>
        <v>978096</v>
      </c>
      <c r="I4" s="509">
        <f t="shared" si="0"/>
        <v>1356608</v>
      </c>
      <c r="J4" s="509">
        <f t="shared" si="0"/>
        <v>1191263</v>
      </c>
      <c r="K4" s="509">
        <f t="shared" si="0"/>
        <v>977990</v>
      </c>
      <c r="L4" s="510">
        <f t="shared" si="0"/>
        <v>439019.94999999995</v>
      </c>
      <c r="M4" s="510">
        <f t="shared" si="0"/>
        <v>540080.30000000005</v>
      </c>
      <c r="N4" s="511">
        <f>SUM(N5:N11)</f>
        <v>2548753.6599999997</v>
      </c>
      <c r="O4" s="511">
        <f>SUM(O5:O11)</f>
        <v>484835.82</v>
      </c>
      <c r="P4" s="512">
        <v>849215.54</v>
      </c>
      <c r="Q4" s="512">
        <f>SUM(Q5:Q11)</f>
        <v>456000</v>
      </c>
      <c r="R4" s="512">
        <f>SUM(R5:R11)</f>
        <v>0</v>
      </c>
      <c r="S4" s="512">
        <f>SUM(S5:S11)</f>
        <v>0</v>
      </c>
      <c r="T4" s="660">
        <f>SUM(T5:T11)</f>
        <v>456000</v>
      </c>
    </row>
    <row r="5" spans="1:23" ht="15.75" x14ac:dyDescent="0.25">
      <c r="A5" s="855"/>
      <c r="B5" s="513"/>
      <c r="C5" s="513" t="s">
        <v>366</v>
      </c>
      <c r="D5" s="513">
        <v>307741</v>
      </c>
      <c r="E5" s="513">
        <v>188873</v>
      </c>
      <c r="F5" s="513">
        <v>209516</v>
      </c>
      <c r="G5" s="513">
        <v>326854</v>
      </c>
      <c r="H5" s="513">
        <v>199897</v>
      </c>
      <c r="I5" s="513">
        <v>22394</v>
      </c>
      <c r="J5" s="514">
        <v>122620</v>
      </c>
      <c r="K5" s="515">
        <v>207083</v>
      </c>
      <c r="L5" s="516">
        <v>173080.99</v>
      </c>
      <c r="M5" s="516">
        <v>233161.19</v>
      </c>
      <c r="N5" s="517">
        <v>1839260.43</v>
      </c>
      <c r="O5" s="517">
        <v>338571.97</v>
      </c>
      <c r="P5" s="518">
        <v>367612.56</v>
      </c>
      <c r="Q5" s="519">
        <f>341000+35000</f>
        <v>376000</v>
      </c>
      <c r="R5" s="649"/>
      <c r="S5" s="519"/>
      <c r="T5" s="520">
        <f>Q5+R5+S5</f>
        <v>376000</v>
      </c>
      <c r="V5" s="666"/>
      <c r="W5" s="165"/>
    </row>
    <row r="6" spans="1:23" x14ac:dyDescent="0.25">
      <c r="A6" s="856"/>
      <c r="B6" s="521"/>
      <c r="C6" s="522" t="s">
        <v>367</v>
      </c>
      <c r="D6" s="522"/>
      <c r="E6" s="522"/>
      <c r="F6" s="522"/>
      <c r="G6" s="522"/>
      <c r="H6" s="522">
        <v>490783</v>
      </c>
      <c r="I6" s="522">
        <v>1098574</v>
      </c>
      <c r="J6" s="358">
        <v>733308</v>
      </c>
      <c r="K6" s="523">
        <v>631012</v>
      </c>
      <c r="L6" s="524">
        <v>171789.61</v>
      </c>
      <c r="M6" s="524">
        <v>233027.7</v>
      </c>
      <c r="N6" s="525">
        <v>497600.75</v>
      </c>
      <c r="O6" s="525"/>
      <c r="P6" s="526">
        <v>363308.49</v>
      </c>
      <c r="Q6" s="152"/>
      <c r="R6" s="650"/>
      <c r="S6" s="152"/>
      <c r="T6" s="527">
        <f t="shared" ref="T6:T11" si="1">Q6+R6+S6</f>
        <v>0</v>
      </c>
      <c r="W6" s="165"/>
    </row>
    <row r="7" spans="1:23" x14ac:dyDescent="0.25">
      <c r="A7" s="856"/>
      <c r="B7" s="528"/>
      <c r="C7" s="354" t="s">
        <v>368</v>
      </c>
      <c r="D7" s="354"/>
      <c r="E7" s="354"/>
      <c r="F7" s="354"/>
      <c r="G7" s="354"/>
      <c r="H7" s="354">
        <v>52527</v>
      </c>
      <c r="I7" s="354">
        <v>53214</v>
      </c>
      <c r="J7" s="152">
        <v>53736</v>
      </c>
      <c r="K7" s="523">
        <v>54692</v>
      </c>
      <c r="L7" s="524">
        <v>59829.25</v>
      </c>
      <c r="M7" s="524">
        <v>73891.41</v>
      </c>
      <c r="N7" s="525">
        <v>74759.429999999993</v>
      </c>
      <c r="O7" s="525">
        <v>75808.05</v>
      </c>
      <c r="P7" s="526">
        <v>76653.59</v>
      </c>
      <c r="Q7" s="523">
        <v>75000</v>
      </c>
      <c r="R7" s="651"/>
      <c r="S7" s="523"/>
      <c r="T7" s="529">
        <f t="shared" si="1"/>
        <v>75000</v>
      </c>
      <c r="V7" s="165"/>
    </row>
    <row r="8" spans="1:23" x14ac:dyDescent="0.25">
      <c r="A8" s="856"/>
      <c r="B8" s="530"/>
      <c r="C8" s="531" t="s">
        <v>369</v>
      </c>
      <c r="D8" s="532">
        <v>2622</v>
      </c>
      <c r="E8" s="532">
        <v>6805</v>
      </c>
      <c r="F8" s="532">
        <v>5206</v>
      </c>
      <c r="G8" s="532">
        <v>73230</v>
      </c>
      <c r="H8" s="532">
        <v>22330</v>
      </c>
      <c r="I8" s="532">
        <v>7462</v>
      </c>
      <c r="J8" s="533"/>
      <c r="K8" s="152"/>
      <c r="L8" s="301"/>
      <c r="M8" s="301"/>
      <c r="N8" s="302">
        <v>114400.25</v>
      </c>
      <c r="O8" s="302"/>
      <c r="P8" s="153"/>
      <c r="Q8" s="152"/>
      <c r="R8" s="650"/>
      <c r="S8" s="152"/>
      <c r="T8" s="527">
        <f t="shared" si="1"/>
        <v>0</v>
      </c>
    </row>
    <row r="9" spans="1:23" x14ac:dyDescent="0.25">
      <c r="A9" s="856"/>
      <c r="B9" s="530"/>
      <c r="C9" s="531" t="s">
        <v>370</v>
      </c>
      <c r="D9" s="532"/>
      <c r="E9" s="532"/>
      <c r="F9" s="532"/>
      <c r="G9" s="532"/>
      <c r="H9" s="532"/>
      <c r="I9" s="532"/>
      <c r="J9" s="533"/>
      <c r="K9" s="152"/>
      <c r="L9" s="301"/>
      <c r="M9" s="301"/>
      <c r="N9" s="302">
        <v>11332.8</v>
      </c>
      <c r="O9" s="302"/>
      <c r="P9" s="153">
        <v>14992.5</v>
      </c>
      <c r="Q9" s="152"/>
      <c r="R9" s="650"/>
      <c r="S9" s="152"/>
      <c r="T9" s="527">
        <f t="shared" si="1"/>
        <v>0</v>
      </c>
    </row>
    <row r="10" spans="1:23" x14ac:dyDescent="0.25">
      <c r="A10" s="856"/>
      <c r="B10" s="528"/>
      <c r="C10" s="528" t="s">
        <v>371</v>
      </c>
      <c r="D10" s="528"/>
      <c r="E10" s="528">
        <v>275178</v>
      </c>
      <c r="F10" s="528"/>
      <c r="G10" s="528">
        <v>903120</v>
      </c>
      <c r="H10" s="528">
        <v>212559</v>
      </c>
      <c r="I10" s="528">
        <v>174964</v>
      </c>
      <c r="J10" s="534">
        <v>281599</v>
      </c>
      <c r="K10" s="534">
        <v>85203</v>
      </c>
      <c r="L10" s="535">
        <v>34320.1</v>
      </c>
      <c r="M10" s="535">
        <v>0</v>
      </c>
      <c r="N10" s="536"/>
      <c r="O10" s="536">
        <v>70455.800000000047</v>
      </c>
      <c r="P10" s="537"/>
      <c r="Q10" s="534"/>
      <c r="R10" s="652"/>
      <c r="S10" s="534"/>
      <c r="T10" s="538">
        <f t="shared" si="1"/>
        <v>0</v>
      </c>
    </row>
    <row r="11" spans="1:23" ht="15.75" thickBot="1" x14ac:dyDescent="0.3">
      <c r="A11" s="857"/>
      <c r="B11" s="539"/>
      <c r="C11" s="528" t="s">
        <v>462</v>
      </c>
      <c r="D11" s="539">
        <v>167430</v>
      </c>
      <c r="E11" s="539">
        <v>0</v>
      </c>
      <c r="F11" s="539">
        <v>119363</v>
      </c>
      <c r="G11" s="539"/>
      <c r="H11" s="539"/>
      <c r="I11" s="539"/>
      <c r="J11" s="540"/>
      <c r="K11" s="540"/>
      <c r="L11" s="541"/>
      <c r="M11" s="541">
        <v>0</v>
      </c>
      <c r="N11" s="542">
        <v>11400</v>
      </c>
      <c r="O11" s="542"/>
      <c r="P11" s="543">
        <v>26648.400000000001</v>
      </c>
      <c r="Q11" s="540">
        <v>5000</v>
      </c>
      <c r="R11" s="653"/>
      <c r="S11" s="540"/>
      <c r="T11" s="544">
        <f t="shared" si="1"/>
        <v>5000</v>
      </c>
    </row>
    <row r="12" spans="1:23" ht="16.5" thickTop="1" thickBot="1" x14ac:dyDescent="0.3">
      <c r="A12" s="845" t="s">
        <v>363</v>
      </c>
      <c r="B12" s="846"/>
      <c r="C12" s="847"/>
      <c r="D12" s="502">
        <f t="shared" ref="D12:O12" si="2">D4</f>
        <v>477793</v>
      </c>
      <c r="E12" s="502">
        <f t="shared" si="2"/>
        <v>470856</v>
      </c>
      <c r="F12" s="502">
        <f t="shared" si="2"/>
        <v>334085</v>
      </c>
      <c r="G12" s="502">
        <f t="shared" si="2"/>
        <v>1303204</v>
      </c>
      <c r="H12" s="502">
        <f t="shared" si="2"/>
        <v>978096</v>
      </c>
      <c r="I12" s="502">
        <f t="shared" si="2"/>
        <v>1356608</v>
      </c>
      <c r="J12" s="502">
        <f t="shared" si="2"/>
        <v>1191263</v>
      </c>
      <c r="K12" s="502">
        <f t="shared" si="2"/>
        <v>977990</v>
      </c>
      <c r="L12" s="503">
        <f t="shared" si="2"/>
        <v>439019.94999999995</v>
      </c>
      <c r="M12" s="503">
        <f t="shared" si="2"/>
        <v>540080.30000000005</v>
      </c>
      <c r="N12" s="545">
        <f t="shared" si="2"/>
        <v>2548753.6599999997</v>
      </c>
      <c r="O12" s="503">
        <f t="shared" si="2"/>
        <v>484835.82</v>
      </c>
      <c r="P12" s="546">
        <v>849215.54</v>
      </c>
      <c r="Q12" s="502">
        <f>Q4</f>
        <v>456000</v>
      </c>
      <c r="R12" s="502">
        <f>R4</f>
        <v>0</v>
      </c>
      <c r="S12" s="502">
        <f>S4</f>
        <v>0</v>
      </c>
      <c r="T12" s="504">
        <f>T4</f>
        <v>456000</v>
      </c>
    </row>
    <row r="13" spans="1:23" ht="15.75" thickTop="1" x14ac:dyDescent="0.25"/>
  </sheetData>
  <mergeCells count="23">
    <mergeCell ref="A5:A11"/>
    <mergeCell ref="A12:C12"/>
    <mergeCell ref="P2:P3"/>
    <mergeCell ref="Q2:Q3"/>
    <mergeCell ref="T2:T3"/>
    <mergeCell ref="B4:C4"/>
    <mergeCell ref="J2:J3"/>
    <mergeCell ref="K2:K3"/>
    <mergeCell ref="L2:L3"/>
    <mergeCell ref="M2:M3"/>
    <mergeCell ref="N2:N3"/>
    <mergeCell ref="O2:O3"/>
    <mergeCell ref="R2:S2"/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3.937007874015748E-2" right="3.937007874015748E-2" top="3.937007874015748E-2" bottom="0.74803149606299213" header="0.31496062992125984" footer="0.31496062992125984"/>
  <pageSetup paperSize="9" scale="9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abSelected="1" workbookViewId="0">
      <selection activeCell="A25" sqref="A25"/>
    </sheetView>
  </sheetViews>
  <sheetFormatPr defaultRowHeight="15" x14ac:dyDescent="0.25"/>
  <cols>
    <col min="1" max="1" width="45.85546875" customWidth="1"/>
    <col min="2" max="13" width="14.42578125" hidden="1" customWidth="1"/>
    <col min="14" max="14" width="14.42578125" customWidth="1"/>
    <col min="15" max="15" width="14.85546875" customWidth="1"/>
    <col min="16" max="18" width="11.28515625" customWidth="1"/>
    <col min="19" max="19" width="14.5703125" customWidth="1"/>
    <col min="20" max="20" width="9.85546875" bestFit="1" customWidth="1"/>
    <col min="21" max="21" width="11.28515625" customWidth="1"/>
    <col min="22" max="22" width="9.5703125" bestFit="1" customWidth="1"/>
    <col min="252" max="252" width="47" customWidth="1"/>
    <col min="253" max="264" width="0" hidden="1" customWidth="1"/>
    <col min="265" max="265" width="14.42578125" customWidth="1"/>
    <col min="266" max="266" width="13.140625" customWidth="1"/>
    <col min="267" max="267" width="10.85546875" customWidth="1"/>
    <col min="268" max="269" width="13.28515625" customWidth="1"/>
    <col min="272" max="272" width="10.140625" bestFit="1" customWidth="1"/>
    <col min="273" max="273" width="11.42578125" bestFit="1" customWidth="1"/>
    <col min="275" max="275" width="12.140625" customWidth="1"/>
    <col min="508" max="508" width="47" customWidth="1"/>
    <col min="509" max="520" width="0" hidden="1" customWidth="1"/>
    <col min="521" max="521" width="14.42578125" customWidth="1"/>
    <col min="522" max="522" width="13.140625" customWidth="1"/>
    <col min="523" max="523" width="10.85546875" customWidth="1"/>
    <col min="524" max="525" width="13.28515625" customWidth="1"/>
    <col min="528" max="528" width="10.140625" bestFit="1" customWidth="1"/>
    <col min="529" max="529" width="11.42578125" bestFit="1" customWidth="1"/>
    <col min="531" max="531" width="12.140625" customWidth="1"/>
    <col min="764" max="764" width="47" customWidth="1"/>
    <col min="765" max="776" width="0" hidden="1" customWidth="1"/>
    <col min="777" max="777" width="14.42578125" customWidth="1"/>
    <col min="778" max="778" width="13.140625" customWidth="1"/>
    <col min="779" max="779" width="10.85546875" customWidth="1"/>
    <col min="780" max="781" width="13.28515625" customWidth="1"/>
    <col min="784" max="784" width="10.140625" bestFit="1" customWidth="1"/>
    <col min="785" max="785" width="11.42578125" bestFit="1" customWidth="1"/>
    <col min="787" max="787" width="12.140625" customWidth="1"/>
    <col min="1020" max="1020" width="47" customWidth="1"/>
    <col min="1021" max="1032" width="0" hidden="1" customWidth="1"/>
    <col min="1033" max="1033" width="14.42578125" customWidth="1"/>
    <col min="1034" max="1034" width="13.140625" customWidth="1"/>
    <col min="1035" max="1035" width="10.85546875" customWidth="1"/>
    <col min="1036" max="1037" width="13.28515625" customWidth="1"/>
    <col min="1040" max="1040" width="10.140625" bestFit="1" customWidth="1"/>
    <col min="1041" max="1041" width="11.42578125" bestFit="1" customWidth="1"/>
    <col min="1043" max="1043" width="12.140625" customWidth="1"/>
    <col min="1276" max="1276" width="47" customWidth="1"/>
    <col min="1277" max="1288" width="0" hidden="1" customWidth="1"/>
    <col min="1289" max="1289" width="14.42578125" customWidth="1"/>
    <col min="1290" max="1290" width="13.140625" customWidth="1"/>
    <col min="1291" max="1291" width="10.85546875" customWidth="1"/>
    <col min="1292" max="1293" width="13.28515625" customWidth="1"/>
    <col min="1296" max="1296" width="10.140625" bestFit="1" customWidth="1"/>
    <col min="1297" max="1297" width="11.42578125" bestFit="1" customWidth="1"/>
    <col min="1299" max="1299" width="12.140625" customWidth="1"/>
    <col min="1532" max="1532" width="47" customWidth="1"/>
    <col min="1533" max="1544" width="0" hidden="1" customWidth="1"/>
    <col min="1545" max="1545" width="14.42578125" customWidth="1"/>
    <col min="1546" max="1546" width="13.140625" customWidth="1"/>
    <col min="1547" max="1547" width="10.85546875" customWidth="1"/>
    <col min="1548" max="1549" width="13.28515625" customWidth="1"/>
    <col min="1552" max="1552" width="10.140625" bestFit="1" customWidth="1"/>
    <col min="1553" max="1553" width="11.42578125" bestFit="1" customWidth="1"/>
    <col min="1555" max="1555" width="12.140625" customWidth="1"/>
    <col min="1788" max="1788" width="47" customWidth="1"/>
    <col min="1789" max="1800" width="0" hidden="1" customWidth="1"/>
    <col min="1801" max="1801" width="14.42578125" customWidth="1"/>
    <col min="1802" max="1802" width="13.140625" customWidth="1"/>
    <col min="1803" max="1803" width="10.85546875" customWidth="1"/>
    <col min="1804" max="1805" width="13.28515625" customWidth="1"/>
    <col min="1808" max="1808" width="10.140625" bestFit="1" customWidth="1"/>
    <col min="1809" max="1809" width="11.42578125" bestFit="1" customWidth="1"/>
    <col min="1811" max="1811" width="12.140625" customWidth="1"/>
    <col min="2044" max="2044" width="47" customWidth="1"/>
    <col min="2045" max="2056" width="0" hidden="1" customWidth="1"/>
    <col min="2057" max="2057" width="14.42578125" customWidth="1"/>
    <col min="2058" max="2058" width="13.140625" customWidth="1"/>
    <col min="2059" max="2059" width="10.85546875" customWidth="1"/>
    <col min="2060" max="2061" width="13.28515625" customWidth="1"/>
    <col min="2064" max="2064" width="10.140625" bestFit="1" customWidth="1"/>
    <col min="2065" max="2065" width="11.42578125" bestFit="1" customWidth="1"/>
    <col min="2067" max="2067" width="12.140625" customWidth="1"/>
    <col min="2300" max="2300" width="47" customWidth="1"/>
    <col min="2301" max="2312" width="0" hidden="1" customWidth="1"/>
    <col min="2313" max="2313" width="14.42578125" customWidth="1"/>
    <col min="2314" max="2314" width="13.140625" customWidth="1"/>
    <col min="2315" max="2315" width="10.85546875" customWidth="1"/>
    <col min="2316" max="2317" width="13.28515625" customWidth="1"/>
    <col min="2320" max="2320" width="10.140625" bestFit="1" customWidth="1"/>
    <col min="2321" max="2321" width="11.42578125" bestFit="1" customWidth="1"/>
    <col min="2323" max="2323" width="12.140625" customWidth="1"/>
    <col min="2556" max="2556" width="47" customWidth="1"/>
    <col min="2557" max="2568" width="0" hidden="1" customWidth="1"/>
    <col min="2569" max="2569" width="14.42578125" customWidth="1"/>
    <col min="2570" max="2570" width="13.140625" customWidth="1"/>
    <col min="2571" max="2571" width="10.85546875" customWidth="1"/>
    <col min="2572" max="2573" width="13.28515625" customWidth="1"/>
    <col min="2576" max="2576" width="10.140625" bestFit="1" customWidth="1"/>
    <col min="2577" max="2577" width="11.42578125" bestFit="1" customWidth="1"/>
    <col min="2579" max="2579" width="12.140625" customWidth="1"/>
    <col min="2812" max="2812" width="47" customWidth="1"/>
    <col min="2813" max="2824" width="0" hidden="1" customWidth="1"/>
    <col min="2825" max="2825" width="14.42578125" customWidth="1"/>
    <col min="2826" max="2826" width="13.140625" customWidth="1"/>
    <col min="2827" max="2827" width="10.85546875" customWidth="1"/>
    <col min="2828" max="2829" width="13.28515625" customWidth="1"/>
    <col min="2832" max="2832" width="10.140625" bestFit="1" customWidth="1"/>
    <col min="2833" max="2833" width="11.42578125" bestFit="1" customWidth="1"/>
    <col min="2835" max="2835" width="12.140625" customWidth="1"/>
    <col min="3068" max="3068" width="47" customWidth="1"/>
    <col min="3069" max="3080" width="0" hidden="1" customWidth="1"/>
    <col min="3081" max="3081" width="14.42578125" customWidth="1"/>
    <col min="3082" max="3082" width="13.140625" customWidth="1"/>
    <col min="3083" max="3083" width="10.85546875" customWidth="1"/>
    <col min="3084" max="3085" width="13.28515625" customWidth="1"/>
    <col min="3088" max="3088" width="10.140625" bestFit="1" customWidth="1"/>
    <col min="3089" max="3089" width="11.42578125" bestFit="1" customWidth="1"/>
    <col min="3091" max="3091" width="12.140625" customWidth="1"/>
    <col min="3324" max="3324" width="47" customWidth="1"/>
    <col min="3325" max="3336" width="0" hidden="1" customWidth="1"/>
    <col min="3337" max="3337" width="14.42578125" customWidth="1"/>
    <col min="3338" max="3338" width="13.140625" customWidth="1"/>
    <col min="3339" max="3339" width="10.85546875" customWidth="1"/>
    <col min="3340" max="3341" width="13.28515625" customWidth="1"/>
    <col min="3344" max="3344" width="10.140625" bestFit="1" customWidth="1"/>
    <col min="3345" max="3345" width="11.42578125" bestFit="1" customWidth="1"/>
    <col min="3347" max="3347" width="12.140625" customWidth="1"/>
    <col min="3580" max="3580" width="47" customWidth="1"/>
    <col min="3581" max="3592" width="0" hidden="1" customWidth="1"/>
    <col min="3593" max="3593" width="14.42578125" customWidth="1"/>
    <col min="3594" max="3594" width="13.140625" customWidth="1"/>
    <col min="3595" max="3595" width="10.85546875" customWidth="1"/>
    <col min="3596" max="3597" width="13.28515625" customWidth="1"/>
    <col min="3600" max="3600" width="10.140625" bestFit="1" customWidth="1"/>
    <col min="3601" max="3601" width="11.42578125" bestFit="1" customWidth="1"/>
    <col min="3603" max="3603" width="12.140625" customWidth="1"/>
    <col min="3836" max="3836" width="47" customWidth="1"/>
    <col min="3837" max="3848" width="0" hidden="1" customWidth="1"/>
    <col min="3849" max="3849" width="14.42578125" customWidth="1"/>
    <col min="3850" max="3850" width="13.140625" customWidth="1"/>
    <col min="3851" max="3851" width="10.85546875" customWidth="1"/>
    <col min="3852" max="3853" width="13.28515625" customWidth="1"/>
    <col min="3856" max="3856" width="10.140625" bestFit="1" customWidth="1"/>
    <col min="3857" max="3857" width="11.42578125" bestFit="1" customWidth="1"/>
    <col min="3859" max="3859" width="12.140625" customWidth="1"/>
    <col min="4092" max="4092" width="47" customWidth="1"/>
    <col min="4093" max="4104" width="0" hidden="1" customWidth="1"/>
    <col min="4105" max="4105" width="14.42578125" customWidth="1"/>
    <col min="4106" max="4106" width="13.140625" customWidth="1"/>
    <col min="4107" max="4107" width="10.85546875" customWidth="1"/>
    <col min="4108" max="4109" width="13.28515625" customWidth="1"/>
    <col min="4112" max="4112" width="10.140625" bestFit="1" customWidth="1"/>
    <col min="4113" max="4113" width="11.42578125" bestFit="1" customWidth="1"/>
    <col min="4115" max="4115" width="12.140625" customWidth="1"/>
    <col min="4348" max="4348" width="47" customWidth="1"/>
    <col min="4349" max="4360" width="0" hidden="1" customWidth="1"/>
    <col min="4361" max="4361" width="14.42578125" customWidth="1"/>
    <col min="4362" max="4362" width="13.140625" customWidth="1"/>
    <col min="4363" max="4363" width="10.85546875" customWidth="1"/>
    <col min="4364" max="4365" width="13.28515625" customWidth="1"/>
    <col min="4368" max="4368" width="10.140625" bestFit="1" customWidth="1"/>
    <col min="4369" max="4369" width="11.42578125" bestFit="1" customWidth="1"/>
    <col min="4371" max="4371" width="12.140625" customWidth="1"/>
    <col min="4604" max="4604" width="47" customWidth="1"/>
    <col min="4605" max="4616" width="0" hidden="1" customWidth="1"/>
    <col min="4617" max="4617" width="14.42578125" customWidth="1"/>
    <col min="4618" max="4618" width="13.140625" customWidth="1"/>
    <col min="4619" max="4619" width="10.85546875" customWidth="1"/>
    <col min="4620" max="4621" width="13.28515625" customWidth="1"/>
    <col min="4624" max="4624" width="10.140625" bestFit="1" customWidth="1"/>
    <col min="4625" max="4625" width="11.42578125" bestFit="1" customWidth="1"/>
    <col min="4627" max="4627" width="12.140625" customWidth="1"/>
    <col min="4860" max="4860" width="47" customWidth="1"/>
    <col min="4861" max="4872" width="0" hidden="1" customWidth="1"/>
    <col min="4873" max="4873" width="14.42578125" customWidth="1"/>
    <col min="4874" max="4874" width="13.140625" customWidth="1"/>
    <col min="4875" max="4875" width="10.85546875" customWidth="1"/>
    <col min="4876" max="4877" width="13.28515625" customWidth="1"/>
    <col min="4880" max="4880" width="10.140625" bestFit="1" customWidth="1"/>
    <col min="4881" max="4881" width="11.42578125" bestFit="1" customWidth="1"/>
    <col min="4883" max="4883" width="12.140625" customWidth="1"/>
    <col min="5116" max="5116" width="47" customWidth="1"/>
    <col min="5117" max="5128" width="0" hidden="1" customWidth="1"/>
    <col min="5129" max="5129" width="14.42578125" customWidth="1"/>
    <col min="5130" max="5130" width="13.140625" customWidth="1"/>
    <col min="5131" max="5131" width="10.85546875" customWidth="1"/>
    <col min="5132" max="5133" width="13.28515625" customWidth="1"/>
    <col min="5136" max="5136" width="10.140625" bestFit="1" customWidth="1"/>
    <col min="5137" max="5137" width="11.42578125" bestFit="1" customWidth="1"/>
    <col min="5139" max="5139" width="12.140625" customWidth="1"/>
    <col min="5372" max="5372" width="47" customWidth="1"/>
    <col min="5373" max="5384" width="0" hidden="1" customWidth="1"/>
    <col min="5385" max="5385" width="14.42578125" customWidth="1"/>
    <col min="5386" max="5386" width="13.140625" customWidth="1"/>
    <col min="5387" max="5387" width="10.85546875" customWidth="1"/>
    <col min="5388" max="5389" width="13.28515625" customWidth="1"/>
    <col min="5392" max="5392" width="10.140625" bestFit="1" customWidth="1"/>
    <col min="5393" max="5393" width="11.42578125" bestFit="1" customWidth="1"/>
    <col min="5395" max="5395" width="12.140625" customWidth="1"/>
    <col min="5628" max="5628" width="47" customWidth="1"/>
    <col min="5629" max="5640" width="0" hidden="1" customWidth="1"/>
    <col min="5641" max="5641" width="14.42578125" customWidth="1"/>
    <col min="5642" max="5642" width="13.140625" customWidth="1"/>
    <col min="5643" max="5643" width="10.85546875" customWidth="1"/>
    <col min="5644" max="5645" width="13.28515625" customWidth="1"/>
    <col min="5648" max="5648" width="10.140625" bestFit="1" customWidth="1"/>
    <col min="5649" max="5649" width="11.42578125" bestFit="1" customWidth="1"/>
    <col min="5651" max="5651" width="12.140625" customWidth="1"/>
    <col min="5884" max="5884" width="47" customWidth="1"/>
    <col min="5885" max="5896" width="0" hidden="1" customWidth="1"/>
    <col min="5897" max="5897" width="14.42578125" customWidth="1"/>
    <col min="5898" max="5898" width="13.140625" customWidth="1"/>
    <col min="5899" max="5899" width="10.85546875" customWidth="1"/>
    <col min="5900" max="5901" width="13.28515625" customWidth="1"/>
    <col min="5904" max="5904" width="10.140625" bestFit="1" customWidth="1"/>
    <col min="5905" max="5905" width="11.42578125" bestFit="1" customWidth="1"/>
    <col min="5907" max="5907" width="12.140625" customWidth="1"/>
    <col min="6140" max="6140" width="47" customWidth="1"/>
    <col min="6141" max="6152" width="0" hidden="1" customWidth="1"/>
    <col min="6153" max="6153" width="14.42578125" customWidth="1"/>
    <col min="6154" max="6154" width="13.140625" customWidth="1"/>
    <col min="6155" max="6155" width="10.85546875" customWidth="1"/>
    <col min="6156" max="6157" width="13.28515625" customWidth="1"/>
    <col min="6160" max="6160" width="10.140625" bestFit="1" customWidth="1"/>
    <col min="6161" max="6161" width="11.42578125" bestFit="1" customWidth="1"/>
    <col min="6163" max="6163" width="12.140625" customWidth="1"/>
    <col min="6396" max="6396" width="47" customWidth="1"/>
    <col min="6397" max="6408" width="0" hidden="1" customWidth="1"/>
    <col min="6409" max="6409" width="14.42578125" customWidth="1"/>
    <col min="6410" max="6410" width="13.140625" customWidth="1"/>
    <col min="6411" max="6411" width="10.85546875" customWidth="1"/>
    <col min="6412" max="6413" width="13.28515625" customWidth="1"/>
    <col min="6416" max="6416" width="10.140625" bestFit="1" customWidth="1"/>
    <col min="6417" max="6417" width="11.42578125" bestFit="1" customWidth="1"/>
    <col min="6419" max="6419" width="12.140625" customWidth="1"/>
    <col min="6652" max="6652" width="47" customWidth="1"/>
    <col min="6653" max="6664" width="0" hidden="1" customWidth="1"/>
    <col min="6665" max="6665" width="14.42578125" customWidth="1"/>
    <col min="6666" max="6666" width="13.140625" customWidth="1"/>
    <col min="6667" max="6667" width="10.85546875" customWidth="1"/>
    <col min="6668" max="6669" width="13.28515625" customWidth="1"/>
    <col min="6672" max="6672" width="10.140625" bestFit="1" customWidth="1"/>
    <col min="6673" max="6673" width="11.42578125" bestFit="1" customWidth="1"/>
    <col min="6675" max="6675" width="12.140625" customWidth="1"/>
    <col min="6908" max="6908" width="47" customWidth="1"/>
    <col min="6909" max="6920" width="0" hidden="1" customWidth="1"/>
    <col min="6921" max="6921" width="14.42578125" customWidth="1"/>
    <col min="6922" max="6922" width="13.140625" customWidth="1"/>
    <col min="6923" max="6923" width="10.85546875" customWidth="1"/>
    <col min="6924" max="6925" width="13.28515625" customWidth="1"/>
    <col min="6928" max="6928" width="10.140625" bestFit="1" customWidth="1"/>
    <col min="6929" max="6929" width="11.42578125" bestFit="1" customWidth="1"/>
    <col min="6931" max="6931" width="12.140625" customWidth="1"/>
    <col min="7164" max="7164" width="47" customWidth="1"/>
    <col min="7165" max="7176" width="0" hidden="1" customWidth="1"/>
    <col min="7177" max="7177" width="14.42578125" customWidth="1"/>
    <col min="7178" max="7178" width="13.140625" customWidth="1"/>
    <col min="7179" max="7179" width="10.85546875" customWidth="1"/>
    <col min="7180" max="7181" width="13.28515625" customWidth="1"/>
    <col min="7184" max="7184" width="10.140625" bestFit="1" customWidth="1"/>
    <col min="7185" max="7185" width="11.42578125" bestFit="1" customWidth="1"/>
    <col min="7187" max="7187" width="12.140625" customWidth="1"/>
    <col min="7420" max="7420" width="47" customWidth="1"/>
    <col min="7421" max="7432" width="0" hidden="1" customWidth="1"/>
    <col min="7433" max="7433" width="14.42578125" customWidth="1"/>
    <col min="7434" max="7434" width="13.140625" customWidth="1"/>
    <col min="7435" max="7435" width="10.85546875" customWidth="1"/>
    <col min="7436" max="7437" width="13.28515625" customWidth="1"/>
    <col min="7440" max="7440" width="10.140625" bestFit="1" customWidth="1"/>
    <col min="7441" max="7441" width="11.42578125" bestFit="1" customWidth="1"/>
    <col min="7443" max="7443" width="12.140625" customWidth="1"/>
    <col min="7676" max="7676" width="47" customWidth="1"/>
    <col min="7677" max="7688" width="0" hidden="1" customWidth="1"/>
    <col min="7689" max="7689" width="14.42578125" customWidth="1"/>
    <col min="7690" max="7690" width="13.140625" customWidth="1"/>
    <col min="7691" max="7691" width="10.85546875" customWidth="1"/>
    <col min="7692" max="7693" width="13.28515625" customWidth="1"/>
    <col min="7696" max="7696" width="10.140625" bestFit="1" customWidth="1"/>
    <col min="7697" max="7697" width="11.42578125" bestFit="1" customWidth="1"/>
    <col min="7699" max="7699" width="12.140625" customWidth="1"/>
    <col min="7932" max="7932" width="47" customWidth="1"/>
    <col min="7933" max="7944" width="0" hidden="1" customWidth="1"/>
    <col min="7945" max="7945" width="14.42578125" customWidth="1"/>
    <col min="7946" max="7946" width="13.140625" customWidth="1"/>
    <col min="7947" max="7947" width="10.85546875" customWidth="1"/>
    <col min="7948" max="7949" width="13.28515625" customWidth="1"/>
    <col min="7952" max="7952" width="10.140625" bestFit="1" customWidth="1"/>
    <col min="7953" max="7953" width="11.42578125" bestFit="1" customWidth="1"/>
    <col min="7955" max="7955" width="12.140625" customWidth="1"/>
    <col min="8188" max="8188" width="47" customWidth="1"/>
    <col min="8189" max="8200" width="0" hidden="1" customWidth="1"/>
    <col min="8201" max="8201" width="14.42578125" customWidth="1"/>
    <col min="8202" max="8202" width="13.140625" customWidth="1"/>
    <col min="8203" max="8203" width="10.85546875" customWidth="1"/>
    <col min="8204" max="8205" width="13.28515625" customWidth="1"/>
    <col min="8208" max="8208" width="10.140625" bestFit="1" customWidth="1"/>
    <col min="8209" max="8209" width="11.42578125" bestFit="1" customWidth="1"/>
    <col min="8211" max="8211" width="12.140625" customWidth="1"/>
    <col min="8444" max="8444" width="47" customWidth="1"/>
    <col min="8445" max="8456" width="0" hidden="1" customWidth="1"/>
    <col min="8457" max="8457" width="14.42578125" customWidth="1"/>
    <col min="8458" max="8458" width="13.140625" customWidth="1"/>
    <col min="8459" max="8459" width="10.85546875" customWidth="1"/>
    <col min="8460" max="8461" width="13.28515625" customWidth="1"/>
    <col min="8464" max="8464" width="10.140625" bestFit="1" customWidth="1"/>
    <col min="8465" max="8465" width="11.42578125" bestFit="1" customWidth="1"/>
    <col min="8467" max="8467" width="12.140625" customWidth="1"/>
    <col min="8700" max="8700" width="47" customWidth="1"/>
    <col min="8701" max="8712" width="0" hidden="1" customWidth="1"/>
    <col min="8713" max="8713" width="14.42578125" customWidth="1"/>
    <col min="8714" max="8714" width="13.140625" customWidth="1"/>
    <col min="8715" max="8715" width="10.85546875" customWidth="1"/>
    <col min="8716" max="8717" width="13.28515625" customWidth="1"/>
    <col min="8720" max="8720" width="10.140625" bestFit="1" customWidth="1"/>
    <col min="8721" max="8721" width="11.42578125" bestFit="1" customWidth="1"/>
    <col min="8723" max="8723" width="12.140625" customWidth="1"/>
    <col min="8956" max="8956" width="47" customWidth="1"/>
    <col min="8957" max="8968" width="0" hidden="1" customWidth="1"/>
    <col min="8969" max="8969" width="14.42578125" customWidth="1"/>
    <col min="8970" max="8970" width="13.140625" customWidth="1"/>
    <col min="8971" max="8971" width="10.85546875" customWidth="1"/>
    <col min="8972" max="8973" width="13.28515625" customWidth="1"/>
    <col min="8976" max="8976" width="10.140625" bestFit="1" customWidth="1"/>
    <col min="8977" max="8977" width="11.42578125" bestFit="1" customWidth="1"/>
    <col min="8979" max="8979" width="12.140625" customWidth="1"/>
    <col min="9212" max="9212" width="47" customWidth="1"/>
    <col min="9213" max="9224" width="0" hidden="1" customWidth="1"/>
    <col min="9225" max="9225" width="14.42578125" customWidth="1"/>
    <col min="9226" max="9226" width="13.140625" customWidth="1"/>
    <col min="9227" max="9227" width="10.85546875" customWidth="1"/>
    <col min="9228" max="9229" width="13.28515625" customWidth="1"/>
    <col min="9232" max="9232" width="10.140625" bestFit="1" customWidth="1"/>
    <col min="9233" max="9233" width="11.42578125" bestFit="1" customWidth="1"/>
    <col min="9235" max="9235" width="12.140625" customWidth="1"/>
    <col min="9468" max="9468" width="47" customWidth="1"/>
    <col min="9469" max="9480" width="0" hidden="1" customWidth="1"/>
    <col min="9481" max="9481" width="14.42578125" customWidth="1"/>
    <col min="9482" max="9482" width="13.140625" customWidth="1"/>
    <col min="9483" max="9483" width="10.85546875" customWidth="1"/>
    <col min="9484" max="9485" width="13.28515625" customWidth="1"/>
    <col min="9488" max="9488" width="10.140625" bestFit="1" customWidth="1"/>
    <col min="9489" max="9489" width="11.42578125" bestFit="1" customWidth="1"/>
    <col min="9491" max="9491" width="12.140625" customWidth="1"/>
    <col min="9724" max="9724" width="47" customWidth="1"/>
    <col min="9725" max="9736" width="0" hidden="1" customWidth="1"/>
    <col min="9737" max="9737" width="14.42578125" customWidth="1"/>
    <col min="9738" max="9738" width="13.140625" customWidth="1"/>
    <col min="9739" max="9739" width="10.85546875" customWidth="1"/>
    <col min="9740" max="9741" width="13.28515625" customWidth="1"/>
    <col min="9744" max="9744" width="10.140625" bestFit="1" customWidth="1"/>
    <col min="9745" max="9745" width="11.42578125" bestFit="1" customWidth="1"/>
    <col min="9747" max="9747" width="12.140625" customWidth="1"/>
    <col min="9980" max="9980" width="47" customWidth="1"/>
    <col min="9981" max="9992" width="0" hidden="1" customWidth="1"/>
    <col min="9993" max="9993" width="14.42578125" customWidth="1"/>
    <col min="9994" max="9994" width="13.140625" customWidth="1"/>
    <col min="9995" max="9995" width="10.85546875" customWidth="1"/>
    <col min="9996" max="9997" width="13.28515625" customWidth="1"/>
    <col min="10000" max="10000" width="10.140625" bestFit="1" customWidth="1"/>
    <col min="10001" max="10001" width="11.42578125" bestFit="1" customWidth="1"/>
    <col min="10003" max="10003" width="12.140625" customWidth="1"/>
    <col min="10236" max="10236" width="47" customWidth="1"/>
    <col min="10237" max="10248" width="0" hidden="1" customWidth="1"/>
    <col min="10249" max="10249" width="14.42578125" customWidth="1"/>
    <col min="10250" max="10250" width="13.140625" customWidth="1"/>
    <col min="10251" max="10251" width="10.85546875" customWidth="1"/>
    <col min="10252" max="10253" width="13.28515625" customWidth="1"/>
    <col min="10256" max="10256" width="10.140625" bestFit="1" customWidth="1"/>
    <col min="10257" max="10257" width="11.42578125" bestFit="1" customWidth="1"/>
    <col min="10259" max="10259" width="12.140625" customWidth="1"/>
    <col min="10492" max="10492" width="47" customWidth="1"/>
    <col min="10493" max="10504" width="0" hidden="1" customWidth="1"/>
    <col min="10505" max="10505" width="14.42578125" customWidth="1"/>
    <col min="10506" max="10506" width="13.140625" customWidth="1"/>
    <col min="10507" max="10507" width="10.85546875" customWidth="1"/>
    <col min="10508" max="10509" width="13.28515625" customWidth="1"/>
    <col min="10512" max="10512" width="10.140625" bestFit="1" customWidth="1"/>
    <col min="10513" max="10513" width="11.42578125" bestFit="1" customWidth="1"/>
    <col min="10515" max="10515" width="12.140625" customWidth="1"/>
    <col min="10748" max="10748" width="47" customWidth="1"/>
    <col min="10749" max="10760" width="0" hidden="1" customWidth="1"/>
    <col min="10761" max="10761" width="14.42578125" customWidth="1"/>
    <col min="10762" max="10762" width="13.140625" customWidth="1"/>
    <col min="10763" max="10763" width="10.85546875" customWidth="1"/>
    <col min="10764" max="10765" width="13.28515625" customWidth="1"/>
    <col min="10768" max="10768" width="10.140625" bestFit="1" customWidth="1"/>
    <col min="10769" max="10769" width="11.42578125" bestFit="1" customWidth="1"/>
    <col min="10771" max="10771" width="12.140625" customWidth="1"/>
    <col min="11004" max="11004" width="47" customWidth="1"/>
    <col min="11005" max="11016" width="0" hidden="1" customWidth="1"/>
    <col min="11017" max="11017" width="14.42578125" customWidth="1"/>
    <col min="11018" max="11018" width="13.140625" customWidth="1"/>
    <col min="11019" max="11019" width="10.85546875" customWidth="1"/>
    <col min="11020" max="11021" width="13.28515625" customWidth="1"/>
    <col min="11024" max="11024" width="10.140625" bestFit="1" customWidth="1"/>
    <col min="11025" max="11025" width="11.42578125" bestFit="1" customWidth="1"/>
    <col min="11027" max="11027" width="12.140625" customWidth="1"/>
    <col min="11260" max="11260" width="47" customWidth="1"/>
    <col min="11261" max="11272" width="0" hidden="1" customWidth="1"/>
    <col min="11273" max="11273" width="14.42578125" customWidth="1"/>
    <col min="11274" max="11274" width="13.140625" customWidth="1"/>
    <col min="11275" max="11275" width="10.85546875" customWidth="1"/>
    <col min="11276" max="11277" width="13.28515625" customWidth="1"/>
    <col min="11280" max="11280" width="10.140625" bestFit="1" customWidth="1"/>
    <col min="11281" max="11281" width="11.42578125" bestFit="1" customWidth="1"/>
    <col min="11283" max="11283" width="12.140625" customWidth="1"/>
    <col min="11516" max="11516" width="47" customWidth="1"/>
    <col min="11517" max="11528" width="0" hidden="1" customWidth="1"/>
    <col min="11529" max="11529" width="14.42578125" customWidth="1"/>
    <col min="11530" max="11530" width="13.140625" customWidth="1"/>
    <col min="11531" max="11531" width="10.85546875" customWidth="1"/>
    <col min="11532" max="11533" width="13.28515625" customWidth="1"/>
    <col min="11536" max="11536" width="10.140625" bestFit="1" customWidth="1"/>
    <col min="11537" max="11537" width="11.42578125" bestFit="1" customWidth="1"/>
    <col min="11539" max="11539" width="12.140625" customWidth="1"/>
    <col min="11772" max="11772" width="47" customWidth="1"/>
    <col min="11773" max="11784" width="0" hidden="1" customWidth="1"/>
    <col min="11785" max="11785" width="14.42578125" customWidth="1"/>
    <col min="11786" max="11786" width="13.140625" customWidth="1"/>
    <col min="11787" max="11787" width="10.85546875" customWidth="1"/>
    <col min="11788" max="11789" width="13.28515625" customWidth="1"/>
    <col min="11792" max="11792" width="10.140625" bestFit="1" customWidth="1"/>
    <col min="11793" max="11793" width="11.42578125" bestFit="1" customWidth="1"/>
    <col min="11795" max="11795" width="12.140625" customWidth="1"/>
    <col min="12028" max="12028" width="47" customWidth="1"/>
    <col min="12029" max="12040" width="0" hidden="1" customWidth="1"/>
    <col min="12041" max="12041" width="14.42578125" customWidth="1"/>
    <col min="12042" max="12042" width="13.140625" customWidth="1"/>
    <col min="12043" max="12043" width="10.85546875" customWidth="1"/>
    <col min="12044" max="12045" width="13.28515625" customWidth="1"/>
    <col min="12048" max="12048" width="10.140625" bestFit="1" customWidth="1"/>
    <col min="12049" max="12049" width="11.42578125" bestFit="1" customWidth="1"/>
    <col min="12051" max="12051" width="12.140625" customWidth="1"/>
    <col min="12284" max="12284" width="47" customWidth="1"/>
    <col min="12285" max="12296" width="0" hidden="1" customWidth="1"/>
    <col min="12297" max="12297" width="14.42578125" customWidth="1"/>
    <col min="12298" max="12298" width="13.140625" customWidth="1"/>
    <col min="12299" max="12299" width="10.85546875" customWidth="1"/>
    <col min="12300" max="12301" width="13.28515625" customWidth="1"/>
    <col min="12304" max="12304" width="10.140625" bestFit="1" customWidth="1"/>
    <col min="12305" max="12305" width="11.42578125" bestFit="1" customWidth="1"/>
    <col min="12307" max="12307" width="12.140625" customWidth="1"/>
    <col min="12540" max="12540" width="47" customWidth="1"/>
    <col min="12541" max="12552" width="0" hidden="1" customWidth="1"/>
    <col min="12553" max="12553" width="14.42578125" customWidth="1"/>
    <col min="12554" max="12554" width="13.140625" customWidth="1"/>
    <col min="12555" max="12555" width="10.85546875" customWidth="1"/>
    <col min="12556" max="12557" width="13.28515625" customWidth="1"/>
    <col min="12560" max="12560" width="10.140625" bestFit="1" customWidth="1"/>
    <col min="12561" max="12561" width="11.42578125" bestFit="1" customWidth="1"/>
    <col min="12563" max="12563" width="12.140625" customWidth="1"/>
    <col min="12796" max="12796" width="47" customWidth="1"/>
    <col min="12797" max="12808" width="0" hidden="1" customWidth="1"/>
    <col min="12809" max="12809" width="14.42578125" customWidth="1"/>
    <col min="12810" max="12810" width="13.140625" customWidth="1"/>
    <col min="12811" max="12811" width="10.85546875" customWidth="1"/>
    <col min="12812" max="12813" width="13.28515625" customWidth="1"/>
    <col min="12816" max="12816" width="10.140625" bestFit="1" customWidth="1"/>
    <col min="12817" max="12817" width="11.42578125" bestFit="1" customWidth="1"/>
    <col min="12819" max="12819" width="12.140625" customWidth="1"/>
    <col min="13052" max="13052" width="47" customWidth="1"/>
    <col min="13053" max="13064" width="0" hidden="1" customWidth="1"/>
    <col min="13065" max="13065" width="14.42578125" customWidth="1"/>
    <col min="13066" max="13066" width="13.140625" customWidth="1"/>
    <col min="13067" max="13067" width="10.85546875" customWidth="1"/>
    <col min="13068" max="13069" width="13.28515625" customWidth="1"/>
    <col min="13072" max="13072" width="10.140625" bestFit="1" customWidth="1"/>
    <col min="13073" max="13073" width="11.42578125" bestFit="1" customWidth="1"/>
    <col min="13075" max="13075" width="12.140625" customWidth="1"/>
    <col min="13308" max="13308" width="47" customWidth="1"/>
    <col min="13309" max="13320" width="0" hidden="1" customWidth="1"/>
    <col min="13321" max="13321" width="14.42578125" customWidth="1"/>
    <col min="13322" max="13322" width="13.140625" customWidth="1"/>
    <col min="13323" max="13323" width="10.85546875" customWidth="1"/>
    <col min="13324" max="13325" width="13.28515625" customWidth="1"/>
    <col min="13328" max="13328" width="10.140625" bestFit="1" customWidth="1"/>
    <col min="13329" max="13329" width="11.42578125" bestFit="1" customWidth="1"/>
    <col min="13331" max="13331" width="12.140625" customWidth="1"/>
    <col min="13564" max="13564" width="47" customWidth="1"/>
    <col min="13565" max="13576" width="0" hidden="1" customWidth="1"/>
    <col min="13577" max="13577" width="14.42578125" customWidth="1"/>
    <col min="13578" max="13578" width="13.140625" customWidth="1"/>
    <col min="13579" max="13579" width="10.85546875" customWidth="1"/>
    <col min="13580" max="13581" width="13.28515625" customWidth="1"/>
    <col min="13584" max="13584" width="10.140625" bestFit="1" customWidth="1"/>
    <col min="13585" max="13585" width="11.42578125" bestFit="1" customWidth="1"/>
    <col min="13587" max="13587" width="12.140625" customWidth="1"/>
    <col min="13820" max="13820" width="47" customWidth="1"/>
    <col min="13821" max="13832" width="0" hidden="1" customWidth="1"/>
    <col min="13833" max="13833" width="14.42578125" customWidth="1"/>
    <col min="13834" max="13834" width="13.140625" customWidth="1"/>
    <col min="13835" max="13835" width="10.85546875" customWidth="1"/>
    <col min="13836" max="13837" width="13.28515625" customWidth="1"/>
    <col min="13840" max="13840" width="10.140625" bestFit="1" customWidth="1"/>
    <col min="13841" max="13841" width="11.42578125" bestFit="1" customWidth="1"/>
    <col min="13843" max="13843" width="12.140625" customWidth="1"/>
    <col min="14076" max="14076" width="47" customWidth="1"/>
    <col min="14077" max="14088" width="0" hidden="1" customWidth="1"/>
    <col min="14089" max="14089" width="14.42578125" customWidth="1"/>
    <col min="14090" max="14090" width="13.140625" customWidth="1"/>
    <col min="14091" max="14091" width="10.85546875" customWidth="1"/>
    <col min="14092" max="14093" width="13.28515625" customWidth="1"/>
    <col min="14096" max="14096" width="10.140625" bestFit="1" customWidth="1"/>
    <col min="14097" max="14097" width="11.42578125" bestFit="1" customWidth="1"/>
    <col min="14099" max="14099" width="12.140625" customWidth="1"/>
    <col min="14332" max="14332" width="47" customWidth="1"/>
    <col min="14333" max="14344" width="0" hidden="1" customWidth="1"/>
    <col min="14345" max="14345" width="14.42578125" customWidth="1"/>
    <col min="14346" max="14346" width="13.140625" customWidth="1"/>
    <col min="14347" max="14347" width="10.85546875" customWidth="1"/>
    <col min="14348" max="14349" width="13.28515625" customWidth="1"/>
    <col min="14352" max="14352" width="10.140625" bestFit="1" customWidth="1"/>
    <col min="14353" max="14353" width="11.42578125" bestFit="1" customWidth="1"/>
    <col min="14355" max="14355" width="12.140625" customWidth="1"/>
    <col min="14588" max="14588" width="47" customWidth="1"/>
    <col min="14589" max="14600" width="0" hidden="1" customWidth="1"/>
    <col min="14601" max="14601" width="14.42578125" customWidth="1"/>
    <col min="14602" max="14602" width="13.140625" customWidth="1"/>
    <col min="14603" max="14603" width="10.85546875" customWidth="1"/>
    <col min="14604" max="14605" width="13.28515625" customWidth="1"/>
    <col min="14608" max="14608" width="10.140625" bestFit="1" customWidth="1"/>
    <col min="14609" max="14609" width="11.42578125" bestFit="1" customWidth="1"/>
    <col min="14611" max="14611" width="12.140625" customWidth="1"/>
    <col min="14844" max="14844" width="47" customWidth="1"/>
    <col min="14845" max="14856" width="0" hidden="1" customWidth="1"/>
    <col min="14857" max="14857" width="14.42578125" customWidth="1"/>
    <col min="14858" max="14858" width="13.140625" customWidth="1"/>
    <col min="14859" max="14859" width="10.85546875" customWidth="1"/>
    <col min="14860" max="14861" width="13.28515625" customWidth="1"/>
    <col min="14864" max="14864" width="10.140625" bestFit="1" customWidth="1"/>
    <col min="14865" max="14865" width="11.42578125" bestFit="1" customWidth="1"/>
    <col min="14867" max="14867" width="12.140625" customWidth="1"/>
    <col min="15100" max="15100" width="47" customWidth="1"/>
    <col min="15101" max="15112" width="0" hidden="1" customWidth="1"/>
    <col min="15113" max="15113" width="14.42578125" customWidth="1"/>
    <col min="15114" max="15114" width="13.140625" customWidth="1"/>
    <col min="15115" max="15115" width="10.85546875" customWidth="1"/>
    <col min="15116" max="15117" width="13.28515625" customWidth="1"/>
    <col min="15120" max="15120" width="10.140625" bestFit="1" customWidth="1"/>
    <col min="15121" max="15121" width="11.42578125" bestFit="1" customWidth="1"/>
    <col min="15123" max="15123" width="12.140625" customWidth="1"/>
    <col min="15356" max="15356" width="47" customWidth="1"/>
    <col min="15357" max="15368" width="0" hidden="1" customWidth="1"/>
    <col min="15369" max="15369" width="14.42578125" customWidth="1"/>
    <col min="15370" max="15370" width="13.140625" customWidth="1"/>
    <col min="15371" max="15371" width="10.85546875" customWidth="1"/>
    <col min="15372" max="15373" width="13.28515625" customWidth="1"/>
    <col min="15376" max="15376" width="10.140625" bestFit="1" customWidth="1"/>
    <col min="15377" max="15377" width="11.42578125" bestFit="1" customWidth="1"/>
    <col min="15379" max="15379" width="12.140625" customWidth="1"/>
    <col min="15612" max="15612" width="47" customWidth="1"/>
    <col min="15613" max="15624" width="0" hidden="1" customWidth="1"/>
    <col min="15625" max="15625" width="14.42578125" customWidth="1"/>
    <col min="15626" max="15626" width="13.140625" customWidth="1"/>
    <col min="15627" max="15627" width="10.85546875" customWidth="1"/>
    <col min="15628" max="15629" width="13.28515625" customWidth="1"/>
    <col min="15632" max="15632" width="10.140625" bestFit="1" customWidth="1"/>
    <col min="15633" max="15633" width="11.42578125" bestFit="1" customWidth="1"/>
    <col min="15635" max="15635" width="12.140625" customWidth="1"/>
    <col min="15868" max="15868" width="47" customWidth="1"/>
    <col min="15869" max="15880" width="0" hidden="1" customWidth="1"/>
    <col min="15881" max="15881" width="14.42578125" customWidth="1"/>
    <col min="15882" max="15882" width="13.140625" customWidth="1"/>
    <col min="15883" max="15883" width="10.85546875" customWidth="1"/>
    <col min="15884" max="15885" width="13.28515625" customWidth="1"/>
    <col min="15888" max="15888" width="10.140625" bestFit="1" customWidth="1"/>
    <col min="15889" max="15889" width="11.42578125" bestFit="1" customWidth="1"/>
    <col min="15891" max="15891" width="12.140625" customWidth="1"/>
    <col min="16124" max="16124" width="47" customWidth="1"/>
    <col min="16125" max="16136" width="0" hidden="1" customWidth="1"/>
    <col min="16137" max="16137" width="14.42578125" customWidth="1"/>
    <col min="16138" max="16138" width="13.140625" customWidth="1"/>
    <col min="16139" max="16139" width="10.85546875" customWidth="1"/>
    <col min="16140" max="16141" width="13.28515625" customWidth="1"/>
    <col min="16144" max="16144" width="10.140625" bestFit="1" customWidth="1"/>
    <col min="16145" max="16145" width="11.42578125" bestFit="1" customWidth="1"/>
    <col min="16147" max="16147" width="12.140625" customWidth="1"/>
  </cols>
  <sheetData>
    <row r="1" spans="1:26" ht="15.75" x14ac:dyDescent="0.25">
      <c r="A1" s="878" t="s">
        <v>372</v>
      </c>
      <c r="B1" s="878"/>
      <c r="C1" s="878"/>
      <c r="D1" s="878"/>
      <c r="E1" s="878"/>
      <c r="F1" s="878"/>
      <c r="G1" s="878"/>
      <c r="H1" s="878"/>
      <c r="I1" s="878"/>
      <c r="J1" s="878"/>
      <c r="K1" s="878"/>
      <c r="L1" s="878"/>
      <c r="M1" s="878"/>
      <c r="N1" s="878"/>
      <c r="O1" s="878"/>
      <c r="P1" s="878"/>
      <c r="Q1" s="878"/>
      <c r="R1" s="878"/>
      <c r="S1" s="878"/>
    </row>
    <row r="2" spans="1:26" ht="15.75" thickBot="1" x14ac:dyDescent="0.3">
      <c r="A2" s="602"/>
      <c r="B2" s="602"/>
      <c r="C2" s="602"/>
      <c r="D2" s="602"/>
      <c r="E2" s="602"/>
      <c r="F2" s="602"/>
      <c r="G2" s="602"/>
      <c r="H2" s="602"/>
      <c r="I2" s="602"/>
      <c r="J2" s="602"/>
      <c r="K2" s="602"/>
      <c r="L2" s="505"/>
      <c r="M2" s="505"/>
      <c r="N2" s="505"/>
      <c r="O2" s="506"/>
    </row>
    <row r="3" spans="1:26" ht="13.5" customHeight="1" thickTop="1" x14ac:dyDescent="0.25">
      <c r="A3" s="881" t="s">
        <v>2</v>
      </c>
      <c r="B3" s="717" t="s">
        <v>114</v>
      </c>
      <c r="C3" s="717" t="s">
        <v>115</v>
      </c>
      <c r="D3" s="717" t="s">
        <v>116</v>
      </c>
      <c r="E3" s="717" t="s">
        <v>117</v>
      </c>
      <c r="F3" s="717" t="s">
        <v>118</v>
      </c>
      <c r="G3" s="717" t="s">
        <v>8</v>
      </c>
      <c r="H3" s="717" t="s">
        <v>9</v>
      </c>
      <c r="I3" s="717" t="s">
        <v>10</v>
      </c>
      <c r="J3" s="717" t="s">
        <v>11</v>
      </c>
      <c r="K3" s="717" t="s">
        <v>12</v>
      </c>
      <c r="L3" s="717" t="s">
        <v>13</v>
      </c>
      <c r="M3" s="717" t="s">
        <v>14</v>
      </c>
      <c r="N3" s="717" t="s">
        <v>459</v>
      </c>
      <c r="O3" s="815" t="s">
        <v>440</v>
      </c>
      <c r="P3" s="737" t="s">
        <v>482</v>
      </c>
      <c r="Q3" s="883"/>
      <c r="R3" s="823"/>
      <c r="S3" s="858" t="s">
        <v>406</v>
      </c>
      <c r="T3" s="636"/>
    </row>
    <row r="4" spans="1:26" x14ac:dyDescent="0.25">
      <c r="A4" s="882"/>
      <c r="B4" s="879"/>
      <c r="C4" s="879"/>
      <c r="D4" s="879"/>
      <c r="E4" s="879"/>
      <c r="F4" s="879"/>
      <c r="G4" s="879"/>
      <c r="H4" s="879"/>
      <c r="I4" s="879"/>
      <c r="J4" s="879"/>
      <c r="K4" s="879"/>
      <c r="L4" s="879"/>
      <c r="M4" s="879"/>
      <c r="N4" s="879"/>
      <c r="O4" s="880"/>
      <c r="P4" s="885" t="s">
        <v>19</v>
      </c>
      <c r="Q4" s="886"/>
      <c r="R4" s="887"/>
      <c r="S4" s="884"/>
      <c r="T4" s="165"/>
    </row>
    <row r="5" spans="1:26" ht="15.75" thickBot="1" x14ac:dyDescent="0.3">
      <c r="A5" s="882"/>
      <c r="B5" s="718"/>
      <c r="C5" s="718"/>
      <c r="D5" s="718"/>
      <c r="E5" s="718"/>
      <c r="F5" s="718"/>
      <c r="G5" s="718"/>
      <c r="H5" s="718"/>
      <c r="I5" s="718"/>
      <c r="J5" s="718"/>
      <c r="K5" s="718"/>
      <c r="L5" s="718"/>
      <c r="M5" s="718"/>
      <c r="N5" s="718"/>
      <c r="O5" s="816"/>
      <c r="P5" s="634" t="s">
        <v>18</v>
      </c>
      <c r="Q5" s="633" t="s">
        <v>20</v>
      </c>
      <c r="R5" s="648" t="s">
        <v>21</v>
      </c>
      <c r="S5" s="859"/>
      <c r="T5" s="165"/>
    </row>
    <row r="6" spans="1:26" ht="15.75" thickTop="1" x14ac:dyDescent="0.25">
      <c r="A6" s="619" t="s">
        <v>373</v>
      </c>
      <c r="B6" s="547">
        <v>7125871</v>
      </c>
      <c r="C6" s="547">
        <v>7561840</v>
      </c>
      <c r="D6" s="547">
        <v>9082354</v>
      </c>
      <c r="E6" s="547">
        <v>9080838</v>
      </c>
      <c r="F6" s="547">
        <v>8537685</v>
      </c>
      <c r="G6" s="547">
        <v>9096722</v>
      </c>
      <c r="H6" s="547">
        <v>9201831</v>
      </c>
      <c r="I6" s="547">
        <v>9722622</v>
      </c>
      <c r="J6" s="547">
        <v>9640328.2399999984</v>
      </c>
      <c r="K6" s="548">
        <v>10178626.01</v>
      </c>
      <c r="L6" s="548">
        <v>10784511.560000002</v>
      </c>
      <c r="M6" s="548">
        <v>10947354.260000002</v>
      </c>
      <c r="N6" s="547">
        <f>'Bežné príjmy'!P110</f>
        <v>11835790.83</v>
      </c>
      <c r="O6" s="547">
        <f>'Bežné príjmy'!Q110</f>
        <v>12693131</v>
      </c>
      <c r="P6" s="860">
        <f>'Bežné príjmy'!R110</f>
        <v>24540</v>
      </c>
      <c r="Q6" s="861"/>
      <c r="R6" s="862"/>
      <c r="S6" s="620">
        <f>'Bežné príjmy'!S110</f>
        <v>12717671</v>
      </c>
      <c r="T6" s="165"/>
      <c r="U6" s="165"/>
    </row>
    <row r="7" spans="1:26" ht="15.75" thickBot="1" x14ac:dyDescent="0.3">
      <c r="A7" s="621" t="s">
        <v>374</v>
      </c>
      <c r="B7" s="540">
        <v>5867125</v>
      </c>
      <c r="C7" s="540">
        <v>6460200</v>
      </c>
      <c r="D7" s="540">
        <v>7832271</v>
      </c>
      <c r="E7" s="540">
        <v>8716285.4299999997</v>
      </c>
      <c r="F7" s="540">
        <v>9309387</v>
      </c>
      <c r="G7" s="540">
        <v>8743512.1999999993</v>
      </c>
      <c r="H7" s="540">
        <v>8908071</v>
      </c>
      <c r="I7" s="540">
        <v>8934542</v>
      </c>
      <c r="J7" s="540">
        <v>9572545.3800000008</v>
      </c>
      <c r="K7" s="541">
        <v>9554914.7999999989</v>
      </c>
      <c r="L7" s="541">
        <v>9695081.3400000017</v>
      </c>
      <c r="M7" s="541">
        <v>10029034.879999999</v>
      </c>
      <c r="N7" s="540">
        <f>'bežné výdavky'!P208</f>
        <v>10815176.07</v>
      </c>
      <c r="O7" s="540">
        <f>'bežné výdavky'!Q208</f>
        <v>11853099</v>
      </c>
      <c r="P7" s="540">
        <f>'bežné výdavky'!R208</f>
        <v>131571</v>
      </c>
      <c r="Q7" s="540">
        <f>'bežné výdavky'!S208</f>
        <v>57040</v>
      </c>
      <c r="R7" s="540"/>
      <c r="S7" s="544">
        <f>'bežné výdavky'!T208</f>
        <v>12041710</v>
      </c>
      <c r="T7" s="165"/>
      <c r="U7" s="165"/>
    </row>
    <row r="8" spans="1:26" ht="15.75" thickBot="1" x14ac:dyDescent="0.3">
      <c r="A8" s="622" t="s">
        <v>375</v>
      </c>
      <c r="B8" s="549">
        <f t="shared" ref="B8:K8" si="0">B6-B7</f>
        <v>1258746</v>
      </c>
      <c r="C8" s="549">
        <f t="shared" si="0"/>
        <v>1101640</v>
      </c>
      <c r="D8" s="549">
        <f t="shared" si="0"/>
        <v>1250083</v>
      </c>
      <c r="E8" s="549">
        <f t="shared" si="0"/>
        <v>364552.5700000003</v>
      </c>
      <c r="F8" s="549">
        <f t="shared" si="0"/>
        <v>-771702</v>
      </c>
      <c r="G8" s="549">
        <f t="shared" si="0"/>
        <v>353209.80000000075</v>
      </c>
      <c r="H8" s="549">
        <f t="shared" si="0"/>
        <v>293760</v>
      </c>
      <c r="I8" s="549">
        <f t="shared" si="0"/>
        <v>788080</v>
      </c>
      <c r="J8" s="550">
        <f t="shared" si="0"/>
        <v>67782.859999997541</v>
      </c>
      <c r="K8" s="550">
        <f t="shared" si="0"/>
        <v>623711.21000000089</v>
      </c>
      <c r="L8" s="550">
        <f>L6-L7</f>
        <v>1089430.2200000007</v>
      </c>
      <c r="M8" s="550">
        <f>M6-M7</f>
        <v>918319.38000000268</v>
      </c>
      <c r="N8" s="549">
        <f>N6-N7</f>
        <v>1020614.7599999998</v>
      </c>
      <c r="O8" s="549">
        <f>O6-O7</f>
        <v>840032</v>
      </c>
      <c r="P8" s="888">
        <f>P6-P7-Q7</f>
        <v>-164071</v>
      </c>
      <c r="Q8" s="889"/>
      <c r="R8" s="890"/>
      <c r="S8" s="623">
        <f>S6-S7</f>
        <v>675961</v>
      </c>
      <c r="T8" s="165"/>
      <c r="U8" s="165"/>
      <c r="V8" s="165"/>
      <c r="X8" s="165"/>
    </row>
    <row r="9" spans="1:26" ht="16.5" thickTop="1" thickBot="1" x14ac:dyDescent="0.3">
      <c r="A9" s="875"/>
      <c r="B9" s="876"/>
      <c r="C9" s="876"/>
      <c r="D9" s="876"/>
      <c r="E9" s="876"/>
      <c r="F9" s="876"/>
      <c r="G9" s="876"/>
      <c r="H9" s="876"/>
      <c r="I9" s="876"/>
      <c r="J9" s="876"/>
      <c r="K9" s="876"/>
      <c r="L9" s="876"/>
      <c r="M9" s="876"/>
      <c r="N9" s="876"/>
      <c r="O9" s="876"/>
      <c r="P9" s="876"/>
      <c r="Q9" s="876"/>
      <c r="R9" s="876"/>
      <c r="S9" s="877"/>
      <c r="T9" s="165"/>
      <c r="U9" s="165"/>
      <c r="V9" s="165"/>
    </row>
    <row r="10" spans="1:26" ht="15.75" thickTop="1" x14ac:dyDescent="0.25">
      <c r="A10" s="619" t="s">
        <v>376</v>
      </c>
      <c r="B10" s="547">
        <v>2113092</v>
      </c>
      <c r="C10" s="547">
        <v>1017958</v>
      </c>
      <c r="D10" s="547">
        <v>1245369</v>
      </c>
      <c r="E10" s="547">
        <v>4391413</v>
      </c>
      <c r="F10" s="547">
        <v>3456141</v>
      </c>
      <c r="G10" s="547">
        <v>4649713</v>
      </c>
      <c r="H10" s="547">
        <v>4502774.0599999996</v>
      </c>
      <c r="I10" s="547">
        <v>3678497</v>
      </c>
      <c r="J10" s="547">
        <v>1218338.5899999999</v>
      </c>
      <c r="K10" s="548">
        <v>752297.52</v>
      </c>
      <c r="L10" s="548">
        <v>935536.18</v>
      </c>
      <c r="M10" s="548">
        <v>1696241.7999999998</v>
      </c>
      <c r="N10" s="547">
        <f>'Kapitálové príjmy'!P54</f>
        <v>2123247.52</v>
      </c>
      <c r="O10" s="547">
        <f>'Kapitálové príjmy'!Q54</f>
        <v>1851732</v>
      </c>
      <c r="P10" s="860">
        <f>'Kapitálové príjmy'!R54</f>
        <v>32500</v>
      </c>
      <c r="Q10" s="861"/>
      <c r="R10" s="862"/>
      <c r="S10" s="620">
        <f>'Kapitálové príjmy'!S54</f>
        <v>1884232</v>
      </c>
      <c r="T10" s="165"/>
      <c r="U10" s="165"/>
      <c r="V10" s="165"/>
      <c r="X10" s="165"/>
    </row>
    <row r="11" spans="1:26" ht="15.75" thickBot="1" x14ac:dyDescent="0.3">
      <c r="A11" s="621" t="s">
        <v>377</v>
      </c>
      <c r="B11" s="540">
        <v>2988050</v>
      </c>
      <c r="C11" s="540">
        <v>1793069</v>
      </c>
      <c r="D11" s="540">
        <v>2942409</v>
      </c>
      <c r="E11" s="540">
        <v>4880528</v>
      </c>
      <c r="F11" s="540">
        <v>5977301</v>
      </c>
      <c r="G11" s="540">
        <v>5818483</v>
      </c>
      <c r="H11" s="540">
        <v>4719096</v>
      </c>
      <c r="I11" s="540">
        <v>3939694</v>
      </c>
      <c r="J11" s="540">
        <v>1800938.79</v>
      </c>
      <c r="K11" s="541">
        <v>2904600.1800000006</v>
      </c>
      <c r="L11" s="541">
        <v>1348818.6500000001</v>
      </c>
      <c r="M11" s="541">
        <v>1900647.68</v>
      </c>
      <c r="N11" s="540">
        <f>'Kapitálové výdavky'!P149</f>
        <v>2329182.13</v>
      </c>
      <c r="O11" s="540">
        <f>'Kapitálové výdavky'!Q149</f>
        <v>5140127</v>
      </c>
      <c r="P11" s="540">
        <f>'Kapitálové výdavky'!R149</f>
        <v>-131571</v>
      </c>
      <c r="Q11" s="540">
        <f>'Kapitálové výdavky'!S149</f>
        <v>0</v>
      </c>
      <c r="R11" s="540"/>
      <c r="S11" s="544">
        <f>'Kapitálové výdavky'!T149</f>
        <v>5008556</v>
      </c>
      <c r="T11" s="165"/>
      <c r="U11" s="165"/>
      <c r="V11" s="165"/>
      <c r="X11" s="165"/>
      <c r="Z11" s="165"/>
    </row>
    <row r="12" spans="1:26" ht="15.75" thickBot="1" x14ac:dyDescent="0.3">
      <c r="A12" s="624" t="s">
        <v>378</v>
      </c>
      <c r="B12" s="551">
        <f t="shared" ref="B12:K12" si="1">B10-B11</f>
        <v>-874958</v>
      </c>
      <c r="C12" s="551">
        <f t="shared" si="1"/>
        <v>-775111</v>
      </c>
      <c r="D12" s="551">
        <f t="shared" si="1"/>
        <v>-1697040</v>
      </c>
      <c r="E12" s="551">
        <f t="shared" si="1"/>
        <v>-489115</v>
      </c>
      <c r="F12" s="551">
        <f t="shared" si="1"/>
        <v>-2521160</v>
      </c>
      <c r="G12" s="551">
        <f t="shared" si="1"/>
        <v>-1168770</v>
      </c>
      <c r="H12" s="551">
        <f t="shared" si="1"/>
        <v>-216321.94000000041</v>
      </c>
      <c r="I12" s="551">
        <f t="shared" si="1"/>
        <v>-261197</v>
      </c>
      <c r="J12" s="552">
        <f t="shared" si="1"/>
        <v>-582600.20000000019</v>
      </c>
      <c r="K12" s="552">
        <f t="shared" si="1"/>
        <v>-2152302.6600000006</v>
      </c>
      <c r="L12" s="552">
        <f>L10-L11</f>
        <v>-413282.47000000009</v>
      </c>
      <c r="M12" s="552">
        <f>M10-M11</f>
        <v>-204405.88000000012</v>
      </c>
      <c r="N12" s="551">
        <f>N10-N11</f>
        <v>-205934.60999999987</v>
      </c>
      <c r="O12" s="551">
        <f>O10-O11</f>
        <v>-3288395</v>
      </c>
      <c r="P12" s="863">
        <f>P10-P11-Q11</f>
        <v>164071</v>
      </c>
      <c r="Q12" s="864"/>
      <c r="R12" s="865"/>
      <c r="S12" s="625">
        <f>S10-S11</f>
        <v>-3124324</v>
      </c>
    </row>
    <row r="13" spans="1:26" ht="16.5" thickTop="1" thickBot="1" x14ac:dyDescent="0.3">
      <c r="A13" s="875"/>
      <c r="B13" s="876"/>
      <c r="C13" s="876"/>
      <c r="D13" s="876"/>
      <c r="E13" s="876"/>
      <c r="F13" s="876"/>
      <c r="G13" s="876"/>
      <c r="H13" s="876"/>
      <c r="I13" s="876"/>
      <c r="J13" s="876"/>
      <c r="K13" s="876"/>
      <c r="L13" s="876"/>
      <c r="M13" s="876"/>
      <c r="N13" s="876"/>
      <c r="O13" s="876"/>
      <c r="P13" s="876"/>
      <c r="Q13" s="876"/>
      <c r="R13" s="876"/>
      <c r="S13" s="877"/>
      <c r="T13" s="165"/>
      <c r="U13" s="165"/>
    </row>
    <row r="14" spans="1:26" ht="15.75" thickTop="1" x14ac:dyDescent="0.25">
      <c r="A14" s="619" t="s">
        <v>379</v>
      </c>
      <c r="B14" s="547">
        <v>499436</v>
      </c>
      <c r="C14" s="547">
        <v>313085</v>
      </c>
      <c r="D14" s="547">
        <v>1640749</v>
      </c>
      <c r="E14" s="547">
        <v>2754938</v>
      </c>
      <c r="F14" s="547">
        <v>4479434</v>
      </c>
      <c r="G14" s="547">
        <v>2266668</v>
      </c>
      <c r="H14" s="547">
        <v>1305406</v>
      </c>
      <c r="I14" s="547">
        <v>1509534</v>
      </c>
      <c r="J14" s="547">
        <v>1300969.1299999999</v>
      </c>
      <c r="K14" s="548">
        <v>2766561.36</v>
      </c>
      <c r="L14" s="548">
        <v>2492133.9299999997</v>
      </c>
      <c r="M14" s="548">
        <v>1267177.1200000001</v>
      </c>
      <c r="N14" s="547">
        <f>'Fin operácie - príjmy'!P17</f>
        <v>1389578.65</v>
      </c>
      <c r="O14" s="547">
        <f>'Fin operácie - príjmy'!Q17</f>
        <v>2904363</v>
      </c>
      <c r="P14" s="860">
        <f>'Fin operácie - príjmy'!R17</f>
        <v>0</v>
      </c>
      <c r="Q14" s="861"/>
      <c r="R14" s="862"/>
      <c r="S14" s="620">
        <f>'Fin operácie - príjmy'!S17</f>
        <v>2904363</v>
      </c>
      <c r="T14" s="165"/>
      <c r="U14" s="165"/>
    </row>
    <row r="15" spans="1:26" ht="15.75" thickBot="1" x14ac:dyDescent="0.3">
      <c r="A15" s="621" t="s">
        <v>380</v>
      </c>
      <c r="B15" s="540">
        <v>477793</v>
      </c>
      <c r="C15" s="540">
        <v>470856</v>
      </c>
      <c r="D15" s="540">
        <v>334085</v>
      </c>
      <c r="E15" s="540">
        <v>1303204</v>
      </c>
      <c r="F15" s="540">
        <v>978096</v>
      </c>
      <c r="G15" s="540">
        <v>1356608</v>
      </c>
      <c r="H15" s="540">
        <v>1191263</v>
      </c>
      <c r="I15" s="540">
        <v>977990</v>
      </c>
      <c r="J15" s="540">
        <v>439019.94999999995</v>
      </c>
      <c r="K15" s="541">
        <v>540080.30000000005</v>
      </c>
      <c r="L15" s="541">
        <v>2548753.6599999997</v>
      </c>
      <c r="M15" s="541">
        <v>484835.82</v>
      </c>
      <c r="N15" s="540">
        <f>'Finančné operácie - výdavky'!P12</f>
        <v>849215.54</v>
      </c>
      <c r="O15" s="540">
        <f>'Finančné operácie - výdavky'!Q12</f>
        <v>456000</v>
      </c>
      <c r="P15" s="540">
        <f>'Finančné operácie - výdavky'!R12</f>
        <v>0</v>
      </c>
      <c r="Q15" s="540"/>
      <c r="R15" s="540">
        <f>'Finančné operácie - výdavky'!S12</f>
        <v>0</v>
      </c>
      <c r="S15" s="544">
        <f>'Finančné operácie - výdavky'!T12</f>
        <v>456000</v>
      </c>
      <c r="T15" s="165"/>
      <c r="U15" s="165"/>
    </row>
    <row r="16" spans="1:26" ht="15.75" thickBot="1" x14ac:dyDescent="0.3">
      <c r="A16" s="624" t="s">
        <v>381</v>
      </c>
      <c r="B16" s="551">
        <f t="shared" ref="B16:K16" si="2">B14-B15</f>
        <v>21643</v>
      </c>
      <c r="C16" s="551">
        <f t="shared" si="2"/>
        <v>-157771</v>
      </c>
      <c r="D16" s="551">
        <f t="shared" si="2"/>
        <v>1306664</v>
      </c>
      <c r="E16" s="551">
        <f t="shared" si="2"/>
        <v>1451734</v>
      </c>
      <c r="F16" s="551">
        <f t="shared" si="2"/>
        <v>3501338</v>
      </c>
      <c r="G16" s="551">
        <f t="shared" si="2"/>
        <v>910060</v>
      </c>
      <c r="H16" s="551">
        <f t="shared" si="2"/>
        <v>114143</v>
      </c>
      <c r="I16" s="551">
        <f t="shared" si="2"/>
        <v>531544</v>
      </c>
      <c r="J16" s="552">
        <f t="shared" si="2"/>
        <v>861949.17999999993</v>
      </c>
      <c r="K16" s="552">
        <f t="shared" si="2"/>
        <v>2226481.0599999996</v>
      </c>
      <c r="L16" s="552">
        <f>L14-L15</f>
        <v>-56619.729999999981</v>
      </c>
      <c r="M16" s="552">
        <f>M14-M15</f>
        <v>782341.3</v>
      </c>
      <c r="N16" s="551">
        <f>N14-N15</f>
        <v>540363.10999999987</v>
      </c>
      <c r="O16" s="551">
        <f>O14-O15</f>
        <v>2448363</v>
      </c>
      <c r="P16" s="863">
        <f>P14-P15-R15</f>
        <v>0</v>
      </c>
      <c r="Q16" s="864"/>
      <c r="R16" s="865"/>
      <c r="S16" s="625">
        <f>S14-S15</f>
        <v>2448363</v>
      </c>
      <c r="T16" s="165"/>
      <c r="U16" s="165"/>
    </row>
    <row r="17" spans="1:22" ht="16.5" thickTop="1" thickBot="1" x14ac:dyDescent="0.3">
      <c r="A17" s="875"/>
      <c r="B17" s="876"/>
      <c r="C17" s="876"/>
      <c r="D17" s="876"/>
      <c r="E17" s="876"/>
      <c r="F17" s="876"/>
      <c r="G17" s="876"/>
      <c r="H17" s="876"/>
      <c r="I17" s="876"/>
      <c r="J17" s="876"/>
      <c r="K17" s="876"/>
      <c r="L17" s="876"/>
      <c r="M17" s="876"/>
      <c r="N17" s="876"/>
      <c r="O17" s="876"/>
      <c r="P17" s="876"/>
      <c r="Q17" s="876"/>
      <c r="R17" s="876"/>
      <c r="S17" s="877"/>
      <c r="T17" s="165"/>
      <c r="U17" s="165"/>
    </row>
    <row r="18" spans="1:22" ht="16.5" customHeight="1" thickTop="1" x14ac:dyDescent="0.25">
      <c r="A18" s="869" t="s">
        <v>382</v>
      </c>
      <c r="B18" s="870"/>
      <c r="C18" s="870"/>
      <c r="D18" s="870"/>
      <c r="E18" s="870"/>
      <c r="F18" s="870"/>
      <c r="G18" s="870"/>
      <c r="H18" s="870"/>
      <c r="I18" s="870"/>
      <c r="J18" s="870"/>
      <c r="K18" s="870"/>
      <c r="L18" s="870"/>
      <c r="M18" s="870"/>
      <c r="N18" s="870"/>
      <c r="O18" s="870"/>
      <c r="P18" s="870"/>
      <c r="Q18" s="870"/>
      <c r="R18" s="870"/>
      <c r="S18" s="871"/>
      <c r="T18" s="165"/>
    </row>
    <row r="19" spans="1:22" ht="15.75" customHeight="1" thickBot="1" x14ac:dyDescent="0.3">
      <c r="A19" s="872"/>
      <c r="B19" s="873"/>
      <c r="C19" s="873"/>
      <c r="D19" s="873"/>
      <c r="E19" s="873"/>
      <c r="F19" s="873"/>
      <c r="G19" s="873"/>
      <c r="H19" s="873"/>
      <c r="I19" s="873"/>
      <c r="J19" s="873"/>
      <c r="K19" s="873"/>
      <c r="L19" s="873"/>
      <c r="M19" s="873"/>
      <c r="N19" s="873"/>
      <c r="O19" s="873"/>
      <c r="P19" s="873"/>
      <c r="Q19" s="873"/>
      <c r="R19" s="873"/>
      <c r="S19" s="874"/>
      <c r="U19" t="s">
        <v>38</v>
      </c>
    </row>
    <row r="20" spans="1:22" ht="17.25" thickTop="1" thickBot="1" x14ac:dyDescent="0.3">
      <c r="A20" s="626" t="s">
        <v>383</v>
      </c>
      <c r="B20" s="627">
        <f t="shared" ref="B20:J20" si="3">B8+B12+B16</f>
        <v>405431</v>
      </c>
      <c r="C20" s="627">
        <f t="shared" si="3"/>
        <v>168758</v>
      </c>
      <c r="D20" s="627">
        <f t="shared" si="3"/>
        <v>859707</v>
      </c>
      <c r="E20" s="627">
        <f t="shared" si="3"/>
        <v>1327171.5700000003</v>
      </c>
      <c r="F20" s="627">
        <f t="shared" si="3"/>
        <v>208476</v>
      </c>
      <c r="G20" s="627">
        <f t="shared" si="3"/>
        <v>94499.800000000745</v>
      </c>
      <c r="H20" s="627">
        <f t="shared" si="3"/>
        <v>191581.05999999959</v>
      </c>
      <c r="I20" s="627">
        <f t="shared" si="3"/>
        <v>1058427</v>
      </c>
      <c r="J20" s="628">
        <f t="shared" si="3"/>
        <v>347131.83999999729</v>
      </c>
      <c r="K20" s="628">
        <f>K8+K12+K16</f>
        <v>697889.60999999987</v>
      </c>
      <c r="L20" s="628">
        <f>L8+L12+L16</f>
        <v>619528.0200000006</v>
      </c>
      <c r="M20" s="628">
        <f>M8+M12+M16</f>
        <v>1496254.8000000026</v>
      </c>
      <c r="N20" s="627">
        <f>N8+N12+N16</f>
        <v>1355043.2599999998</v>
      </c>
      <c r="O20" s="629">
        <f>O16+O12+O8</f>
        <v>0</v>
      </c>
      <c r="P20" s="866">
        <f>P8+P12+P16</f>
        <v>0</v>
      </c>
      <c r="Q20" s="867"/>
      <c r="R20" s="868"/>
      <c r="S20" s="630">
        <f>S16+S12+S8</f>
        <v>0</v>
      </c>
    </row>
    <row r="21" spans="1:22" ht="15.75" thickTop="1" x14ac:dyDescent="0.25">
      <c r="S21" s="165"/>
      <c r="V21" s="165"/>
    </row>
    <row r="22" spans="1:22" ht="15" customHeight="1" x14ac:dyDescent="0.25">
      <c r="A22" t="s">
        <v>486</v>
      </c>
      <c r="P22" s="165"/>
      <c r="R22" s="165"/>
    </row>
    <row r="23" spans="1:22" ht="15" customHeight="1" x14ac:dyDescent="0.25">
      <c r="O23" s="553"/>
      <c r="Q23" s="165"/>
      <c r="S23" s="165"/>
    </row>
    <row r="24" spans="1:22" ht="15" customHeight="1" x14ac:dyDescent="0.25">
      <c r="A24" t="s">
        <v>484</v>
      </c>
      <c r="O24" s="553"/>
      <c r="S24" s="165"/>
      <c r="U24" s="165"/>
    </row>
    <row r="25" spans="1:22" ht="15" customHeight="1" x14ac:dyDescent="0.25">
      <c r="A25" t="s">
        <v>485</v>
      </c>
      <c r="K25" s="165"/>
      <c r="M25" s="165"/>
      <c r="N25" s="165"/>
      <c r="O25" s="165"/>
    </row>
    <row r="26" spans="1:22" ht="15" customHeight="1" x14ac:dyDescent="0.25">
      <c r="R26" s="654" t="s">
        <v>420</v>
      </c>
    </row>
    <row r="27" spans="1:22" ht="15.75" customHeight="1" x14ac:dyDescent="0.25">
      <c r="R27" s="654" t="s">
        <v>407</v>
      </c>
    </row>
    <row r="28" spans="1:22" x14ac:dyDescent="0.25">
      <c r="O28" s="165"/>
      <c r="S28" s="165"/>
    </row>
    <row r="29" spans="1:22" x14ac:dyDescent="0.25">
      <c r="O29" s="165"/>
      <c r="S29" s="165"/>
      <c r="V29" s="165"/>
    </row>
    <row r="30" spans="1:22" x14ac:dyDescent="0.25">
      <c r="S30" s="165"/>
      <c r="U30" s="165"/>
      <c r="V30" s="165"/>
    </row>
    <row r="31" spans="1:22" ht="15.75" x14ac:dyDescent="0.25">
      <c r="J31" s="554"/>
      <c r="N31" s="165"/>
      <c r="O31" s="165"/>
      <c r="S31" s="165"/>
      <c r="U31" s="165"/>
    </row>
    <row r="32" spans="1:22" x14ac:dyDescent="0.25">
      <c r="N32" s="165"/>
      <c r="O32" s="165"/>
      <c r="R32" s="165"/>
      <c r="S32" s="165"/>
    </row>
    <row r="33" spans="1:19" x14ac:dyDescent="0.25">
      <c r="A33" s="661"/>
      <c r="B33" s="661"/>
      <c r="C33" s="661"/>
      <c r="D33" s="661"/>
      <c r="E33" s="661"/>
      <c r="F33" s="661"/>
      <c r="G33" s="661"/>
      <c r="H33" s="661"/>
      <c r="I33" s="661"/>
      <c r="J33" s="661"/>
      <c r="K33" s="661"/>
      <c r="L33" s="661"/>
      <c r="M33" s="661"/>
      <c r="N33" s="661"/>
      <c r="O33" s="661"/>
      <c r="P33" s="661"/>
      <c r="Q33" s="661"/>
      <c r="R33" s="661"/>
      <c r="S33" s="661"/>
    </row>
    <row r="34" spans="1:19" x14ac:dyDescent="0.25">
      <c r="J34" s="165"/>
    </row>
    <row r="38" spans="1:19" x14ac:dyDescent="0.25">
      <c r="O38" s="165"/>
    </row>
    <row r="44" spans="1:19" x14ac:dyDescent="0.25">
      <c r="J44">
        <f>SUM(J40:J43)</f>
        <v>0</v>
      </c>
    </row>
  </sheetData>
  <mergeCells count="30">
    <mergeCell ref="A9:S9"/>
    <mergeCell ref="F3:F5"/>
    <mergeCell ref="G3:G5"/>
    <mergeCell ref="H3:H5"/>
    <mergeCell ref="I3:I5"/>
    <mergeCell ref="P6:R6"/>
    <mergeCell ref="P8:R8"/>
    <mergeCell ref="A1:S1"/>
    <mergeCell ref="J3:J5"/>
    <mergeCell ref="K3:K5"/>
    <mergeCell ref="L3:L5"/>
    <mergeCell ref="M3:M5"/>
    <mergeCell ref="N3:N5"/>
    <mergeCell ref="O3:O5"/>
    <mergeCell ref="A3:A5"/>
    <mergeCell ref="B3:B5"/>
    <mergeCell ref="C3:C5"/>
    <mergeCell ref="D3:D5"/>
    <mergeCell ref="E3:E5"/>
    <mergeCell ref="P3:R3"/>
    <mergeCell ref="S3:S5"/>
    <mergeCell ref="P4:R4"/>
    <mergeCell ref="P10:R10"/>
    <mergeCell ref="P12:R12"/>
    <mergeCell ref="P14:R14"/>
    <mergeCell ref="P16:R16"/>
    <mergeCell ref="P20:R20"/>
    <mergeCell ref="A18:S19"/>
    <mergeCell ref="A13:S13"/>
    <mergeCell ref="A17:S17"/>
  </mergeCells>
  <pageMargins left="3.937007874015748E-2" right="3.937007874015748E-2" top="3.937007874015748E-2" bottom="0.74803149606299213" header="0" footer="0"/>
  <pageSetup paperSize="9" orientation="landscape" r:id="rId1"/>
  <ignoredErrors>
    <ignoredError sqref="O2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topLeftCell="A21" workbookViewId="0">
      <selection activeCell="C57" sqref="C57"/>
    </sheetView>
  </sheetViews>
  <sheetFormatPr defaultRowHeight="15" x14ac:dyDescent="0.25"/>
  <cols>
    <col min="1" max="1" width="31.140625" style="669" customWidth="1"/>
    <col min="2" max="2" width="12.85546875" style="669" customWidth="1"/>
    <col min="3" max="3" width="13.7109375" style="669" customWidth="1"/>
    <col min="4" max="4" width="12.42578125" style="669" customWidth="1"/>
    <col min="5" max="5" width="11.7109375" style="669" hidden="1" customWidth="1"/>
    <col min="6" max="6" width="12.85546875" style="669" customWidth="1"/>
    <col min="7" max="7" width="15.5703125" style="669" customWidth="1"/>
    <col min="8" max="8" width="11.5703125" style="669" customWidth="1"/>
    <col min="9" max="9" width="12.42578125" style="669" customWidth="1"/>
    <col min="10" max="10" width="14.140625" style="669" customWidth="1"/>
    <col min="11" max="11" width="9.140625" style="669"/>
    <col min="12" max="12" width="11.85546875" style="669" bestFit="1" customWidth="1"/>
    <col min="13" max="220" width="9.140625" style="669"/>
    <col min="221" max="221" width="10.85546875" style="669" customWidth="1"/>
    <col min="222" max="222" width="9.140625" style="669"/>
    <col min="223" max="223" width="34.140625" style="669" customWidth="1"/>
    <col min="224" max="235" width="0" style="669" hidden="1" customWidth="1"/>
    <col min="236" max="236" width="15.28515625" style="669" customWidth="1"/>
    <col min="237" max="237" width="13.7109375" style="669" customWidth="1"/>
    <col min="238" max="238" width="10.5703125" style="669" customWidth="1"/>
    <col min="239" max="240" width="14.140625" style="669" customWidth="1"/>
    <col min="241" max="242" width="9.140625" style="669"/>
    <col min="243" max="243" width="11.28515625" style="669" customWidth="1"/>
    <col min="244" max="476" width="9.140625" style="669"/>
    <col min="477" max="477" width="10.85546875" style="669" customWidth="1"/>
    <col min="478" max="478" width="9.140625" style="669"/>
    <col min="479" max="479" width="34.140625" style="669" customWidth="1"/>
    <col min="480" max="491" width="0" style="669" hidden="1" customWidth="1"/>
    <col min="492" max="492" width="15.28515625" style="669" customWidth="1"/>
    <col min="493" max="493" width="13.7109375" style="669" customWidth="1"/>
    <col min="494" max="494" width="10.5703125" style="669" customWidth="1"/>
    <col min="495" max="496" width="14.140625" style="669" customWidth="1"/>
    <col min="497" max="498" width="9.140625" style="669"/>
    <col min="499" max="499" width="11.28515625" style="669" customWidth="1"/>
    <col min="500" max="732" width="9.140625" style="669"/>
    <col min="733" max="733" width="10.85546875" style="669" customWidth="1"/>
    <col min="734" max="734" width="9.140625" style="669"/>
    <col min="735" max="735" width="34.140625" style="669" customWidth="1"/>
    <col min="736" max="747" width="0" style="669" hidden="1" customWidth="1"/>
    <col min="748" max="748" width="15.28515625" style="669" customWidth="1"/>
    <col min="749" max="749" width="13.7109375" style="669" customWidth="1"/>
    <col min="750" max="750" width="10.5703125" style="669" customWidth="1"/>
    <col min="751" max="752" width="14.140625" style="669" customWidth="1"/>
    <col min="753" max="754" width="9.140625" style="669"/>
    <col min="755" max="755" width="11.28515625" style="669" customWidth="1"/>
    <col min="756" max="988" width="9.140625" style="669"/>
    <col min="989" max="989" width="10.85546875" style="669" customWidth="1"/>
    <col min="990" max="990" width="9.140625" style="669"/>
    <col min="991" max="991" width="34.140625" style="669" customWidth="1"/>
    <col min="992" max="1003" width="0" style="669" hidden="1" customWidth="1"/>
    <col min="1004" max="1004" width="15.28515625" style="669" customWidth="1"/>
    <col min="1005" max="1005" width="13.7109375" style="669" customWidth="1"/>
    <col min="1006" max="1006" width="10.5703125" style="669" customWidth="1"/>
    <col min="1007" max="1008" width="14.140625" style="669" customWidth="1"/>
    <col min="1009" max="1010" width="9.140625" style="669"/>
    <col min="1011" max="1011" width="11.28515625" style="669" customWidth="1"/>
    <col min="1012" max="1244" width="9.140625" style="669"/>
    <col min="1245" max="1245" width="10.85546875" style="669" customWidth="1"/>
    <col min="1246" max="1246" width="9.140625" style="669"/>
    <col min="1247" max="1247" width="34.140625" style="669" customWidth="1"/>
    <col min="1248" max="1259" width="0" style="669" hidden="1" customWidth="1"/>
    <col min="1260" max="1260" width="15.28515625" style="669" customWidth="1"/>
    <col min="1261" max="1261" width="13.7109375" style="669" customWidth="1"/>
    <col min="1262" max="1262" width="10.5703125" style="669" customWidth="1"/>
    <col min="1263" max="1264" width="14.140625" style="669" customWidth="1"/>
    <col min="1265" max="1266" width="9.140625" style="669"/>
    <col min="1267" max="1267" width="11.28515625" style="669" customWidth="1"/>
    <col min="1268" max="1500" width="9.140625" style="669"/>
    <col min="1501" max="1501" width="10.85546875" style="669" customWidth="1"/>
    <col min="1502" max="1502" width="9.140625" style="669"/>
    <col min="1503" max="1503" width="34.140625" style="669" customWidth="1"/>
    <col min="1504" max="1515" width="0" style="669" hidden="1" customWidth="1"/>
    <col min="1516" max="1516" width="15.28515625" style="669" customWidth="1"/>
    <col min="1517" max="1517" width="13.7109375" style="669" customWidth="1"/>
    <col min="1518" max="1518" width="10.5703125" style="669" customWidth="1"/>
    <col min="1519" max="1520" width="14.140625" style="669" customWidth="1"/>
    <col min="1521" max="1522" width="9.140625" style="669"/>
    <col min="1523" max="1523" width="11.28515625" style="669" customWidth="1"/>
    <col min="1524" max="1756" width="9.140625" style="669"/>
    <col min="1757" max="1757" width="10.85546875" style="669" customWidth="1"/>
    <col min="1758" max="1758" width="9.140625" style="669"/>
    <col min="1759" max="1759" width="34.140625" style="669" customWidth="1"/>
    <col min="1760" max="1771" width="0" style="669" hidden="1" customWidth="1"/>
    <col min="1772" max="1772" width="15.28515625" style="669" customWidth="1"/>
    <col min="1773" max="1773" width="13.7109375" style="669" customWidth="1"/>
    <col min="1774" max="1774" width="10.5703125" style="669" customWidth="1"/>
    <col min="1775" max="1776" width="14.140625" style="669" customWidth="1"/>
    <col min="1777" max="1778" width="9.140625" style="669"/>
    <col min="1779" max="1779" width="11.28515625" style="669" customWidth="1"/>
    <col min="1780" max="2012" width="9.140625" style="669"/>
    <col min="2013" max="2013" width="10.85546875" style="669" customWidth="1"/>
    <col min="2014" max="2014" width="9.140625" style="669"/>
    <col min="2015" max="2015" width="34.140625" style="669" customWidth="1"/>
    <col min="2016" max="2027" width="0" style="669" hidden="1" customWidth="1"/>
    <col min="2028" max="2028" width="15.28515625" style="669" customWidth="1"/>
    <col min="2029" max="2029" width="13.7109375" style="669" customWidth="1"/>
    <col min="2030" max="2030" width="10.5703125" style="669" customWidth="1"/>
    <col min="2031" max="2032" width="14.140625" style="669" customWidth="1"/>
    <col min="2033" max="2034" width="9.140625" style="669"/>
    <col min="2035" max="2035" width="11.28515625" style="669" customWidth="1"/>
    <col min="2036" max="2268" width="9.140625" style="669"/>
    <col min="2269" max="2269" width="10.85546875" style="669" customWidth="1"/>
    <col min="2270" max="2270" width="9.140625" style="669"/>
    <col min="2271" max="2271" width="34.140625" style="669" customWidth="1"/>
    <col min="2272" max="2283" width="0" style="669" hidden="1" customWidth="1"/>
    <col min="2284" max="2284" width="15.28515625" style="669" customWidth="1"/>
    <col min="2285" max="2285" width="13.7109375" style="669" customWidth="1"/>
    <col min="2286" max="2286" width="10.5703125" style="669" customWidth="1"/>
    <col min="2287" max="2288" width="14.140625" style="669" customWidth="1"/>
    <col min="2289" max="2290" width="9.140625" style="669"/>
    <col min="2291" max="2291" width="11.28515625" style="669" customWidth="1"/>
    <col min="2292" max="2524" width="9.140625" style="669"/>
    <col min="2525" max="2525" width="10.85546875" style="669" customWidth="1"/>
    <col min="2526" max="2526" width="9.140625" style="669"/>
    <col min="2527" max="2527" width="34.140625" style="669" customWidth="1"/>
    <col min="2528" max="2539" width="0" style="669" hidden="1" customWidth="1"/>
    <col min="2540" max="2540" width="15.28515625" style="669" customWidth="1"/>
    <col min="2541" max="2541" width="13.7109375" style="669" customWidth="1"/>
    <col min="2542" max="2542" width="10.5703125" style="669" customWidth="1"/>
    <col min="2543" max="2544" width="14.140625" style="669" customWidth="1"/>
    <col min="2545" max="2546" width="9.140625" style="669"/>
    <col min="2547" max="2547" width="11.28515625" style="669" customWidth="1"/>
    <col min="2548" max="2780" width="9.140625" style="669"/>
    <col min="2781" max="2781" width="10.85546875" style="669" customWidth="1"/>
    <col min="2782" max="2782" width="9.140625" style="669"/>
    <col min="2783" max="2783" width="34.140625" style="669" customWidth="1"/>
    <col min="2784" max="2795" width="0" style="669" hidden="1" customWidth="1"/>
    <col min="2796" max="2796" width="15.28515625" style="669" customWidth="1"/>
    <col min="2797" max="2797" width="13.7109375" style="669" customWidth="1"/>
    <col min="2798" max="2798" width="10.5703125" style="669" customWidth="1"/>
    <col min="2799" max="2800" width="14.140625" style="669" customWidth="1"/>
    <col min="2801" max="2802" width="9.140625" style="669"/>
    <col min="2803" max="2803" width="11.28515625" style="669" customWidth="1"/>
    <col min="2804" max="3036" width="9.140625" style="669"/>
    <col min="3037" max="3037" width="10.85546875" style="669" customWidth="1"/>
    <col min="3038" max="3038" width="9.140625" style="669"/>
    <col min="3039" max="3039" width="34.140625" style="669" customWidth="1"/>
    <col min="3040" max="3051" width="0" style="669" hidden="1" customWidth="1"/>
    <col min="3052" max="3052" width="15.28515625" style="669" customWidth="1"/>
    <col min="3053" max="3053" width="13.7109375" style="669" customWidth="1"/>
    <col min="3054" max="3054" width="10.5703125" style="669" customWidth="1"/>
    <col min="3055" max="3056" width="14.140625" style="669" customWidth="1"/>
    <col min="3057" max="3058" width="9.140625" style="669"/>
    <col min="3059" max="3059" width="11.28515625" style="669" customWidth="1"/>
    <col min="3060" max="3292" width="9.140625" style="669"/>
    <col min="3293" max="3293" width="10.85546875" style="669" customWidth="1"/>
    <col min="3294" max="3294" width="9.140625" style="669"/>
    <col min="3295" max="3295" width="34.140625" style="669" customWidth="1"/>
    <col min="3296" max="3307" width="0" style="669" hidden="1" customWidth="1"/>
    <col min="3308" max="3308" width="15.28515625" style="669" customWidth="1"/>
    <col min="3309" max="3309" width="13.7109375" style="669" customWidth="1"/>
    <col min="3310" max="3310" width="10.5703125" style="669" customWidth="1"/>
    <col min="3311" max="3312" width="14.140625" style="669" customWidth="1"/>
    <col min="3313" max="3314" width="9.140625" style="669"/>
    <col min="3315" max="3315" width="11.28515625" style="669" customWidth="1"/>
    <col min="3316" max="3548" width="9.140625" style="669"/>
    <col min="3549" max="3549" width="10.85546875" style="669" customWidth="1"/>
    <col min="3550" max="3550" width="9.140625" style="669"/>
    <col min="3551" max="3551" width="34.140625" style="669" customWidth="1"/>
    <col min="3552" max="3563" width="0" style="669" hidden="1" customWidth="1"/>
    <col min="3564" max="3564" width="15.28515625" style="669" customWidth="1"/>
    <col min="3565" max="3565" width="13.7109375" style="669" customWidth="1"/>
    <col min="3566" max="3566" width="10.5703125" style="669" customWidth="1"/>
    <col min="3567" max="3568" width="14.140625" style="669" customWidth="1"/>
    <col min="3569" max="3570" width="9.140625" style="669"/>
    <col min="3571" max="3571" width="11.28515625" style="669" customWidth="1"/>
    <col min="3572" max="3804" width="9.140625" style="669"/>
    <col min="3805" max="3805" width="10.85546875" style="669" customWidth="1"/>
    <col min="3806" max="3806" width="9.140625" style="669"/>
    <col min="3807" max="3807" width="34.140625" style="669" customWidth="1"/>
    <col min="3808" max="3819" width="0" style="669" hidden="1" customWidth="1"/>
    <col min="3820" max="3820" width="15.28515625" style="669" customWidth="1"/>
    <col min="3821" max="3821" width="13.7109375" style="669" customWidth="1"/>
    <col min="3822" max="3822" width="10.5703125" style="669" customWidth="1"/>
    <col min="3823" max="3824" width="14.140625" style="669" customWidth="1"/>
    <col min="3825" max="3826" width="9.140625" style="669"/>
    <col min="3827" max="3827" width="11.28515625" style="669" customWidth="1"/>
    <col min="3828" max="4060" width="9.140625" style="669"/>
    <col min="4061" max="4061" width="10.85546875" style="669" customWidth="1"/>
    <col min="4062" max="4062" width="9.140625" style="669"/>
    <col min="4063" max="4063" width="34.140625" style="669" customWidth="1"/>
    <col min="4064" max="4075" width="0" style="669" hidden="1" customWidth="1"/>
    <col min="4076" max="4076" width="15.28515625" style="669" customWidth="1"/>
    <col min="4077" max="4077" width="13.7109375" style="669" customWidth="1"/>
    <col min="4078" max="4078" width="10.5703125" style="669" customWidth="1"/>
    <col min="4079" max="4080" width="14.140625" style="669" customWidth="1"/>
    <col min="4081" max="4082" width="9.140625" style="669"/>
    <col min="4083" max="4083" width="11.28515625" style="669" customWidth="1"/>
    <col min="4084" max="4316" width="9.140625" style="669"/>
    <col min="4317" max="4317" width="10.85546875" style="669" customWidth="1"/>
    <col min="4318" max="4318" width="9.140625" style="669"/>
    <col min="4319" max="4319" width="34.140625" style="669" customWidth="1"/>
    <col min="4320" max="4331" width="0" style="669" hidden="1" customWidth="1"/>
    <col min="4332" max="4332" width="15.28515625" style="669" customWidth="1"/>
    <col min="4333" max="4333" width="13.7109375" style="669" customWidth="1"/>
    <col min="4334" max="4334" width="10.5703125" style="669" customWidth="1"/>
    <col min="4335" max="4336" width="14.140625" style="669" customWidth="1"/>
    <col min="4337" max="4338" width="9.140625" style="669"/>
    <col min="4339" max="4339" width="11.28515625" style="669" customWidth="1"/>
    <col min="4340" max="4572" width="9.140625" style="669"/>
    <col min="4573" max="4573" width="10.85546875" style="669" customWidth="1"/>
    <col min="4574" max="4574" width="9.140625" style="669"/>
    <col min="4575" max="4575" width="34.140625" style="669" customWidth="1"/>
    <col min="4576" max="4587" width="0" style="669" hidden="1" customWidth="1"/>
    <col min="4588" max="4588" width="15.28515625" style="669" customWidth="1"/>
    <col min="4589" max="4589" width="13.7109375" style="669" customWidth="1"/>
    <col min="4590" max="4590" width="10.5703125" style="669" customWidth="1"/>
    <col min="4591" max="4592" width="14.140625" style="669" customWidth="1"/>
    <col min="4593" max="4594" width="9.140625" style="669"/>
    <col min="4595" max="4595" width="11.28515625" style="669" customWidth="1"/>
    <col min="4596" max="4828" width="9.140625" style="669"/>
    <col min="4829" max="4829" width="10.85546875" style="669" customWidth="1"/>
    <col min="4830" max="4830" width="9.140625" style="669"/>
    <col min="4831" max="4831" width="34.140625" style="669" customWidth="1"/>
    <col min="4832" max="4843" width="0" style="669" hidden="1" customWidth="1"/>
    <col min="4844" max="4844" width="15.28515625" style="669" customWidth="1"/>
    <col min="4845" max="4845" width="13.7109375" style="669" customWidth="1"/>
    <col min="4846" max="4846" width="10.5703125" style="669" customWidth="1"/>
    <col min="4847" max="4848" width="14.140625" style="669" customWidth="1"/>
    <col min="4849" max="4850" width="9.140625" style="669"/>
    <col min="4851" max="4851" width="11.28515625" style="669" customWidth="1"/>
    <col min="4852" max="5084" width="9.140625" style="669"/>
    <col min="5085" max="5085" width="10.85546875" style="669" customWidth="1"/>
    <col min="5086" max="5086" width="9.140625" style="669"/>
    <col min="5087" max="5087" width="34.140625" style="669" customWidth="1"/>
    <col min="5088" max="5099" width="0" style="669" hidden="1" customWidth="1"/>
    <col min="5100" max="5100" width="15.28515625" style="669" customWidth="1"/>
    <col min="5101" max="5101" width="13.7109375" style="669" customWidth="1"/>
    <col min="5102" max="5102" width="10.5703125" style="669" customWidth="1"/>
    <col min="5103" max="5104" width="14.140625" style="669" customWidth="1"/>
    <col min="5105" max="5106" width="9.140625" style="669"/>
    <col min="5107" max="5107" width="11.28515625" style="669" customWidth="1"/>
    <col min="5108" max="5340" width="9.140625" style="669"/>
    <col min="5341" max="5341" width="10.85546875" style="669" customWidth="1"/>
    <col min="5342" max="5342" width="9.140625" style="669"/>
    <col min="5343" max="5343" width="34.140625" style="669" customWidth="1"/>
    <col min="5344" max="5355" width="0" style="669" hidden="1" customWidth="1"/>
    <col min="5356" max="5356" width="15.28515625" style="669" customWidth="1"/>
    <col min="5357" max="5357" width="13.7109375" style="669" customWidth="1"/>
    <col min="5358" max="5358" width="10.5703125" style="669" customWidth="1"/>
    <col min="5359" max="5360" width="14.140625" style="669" customWidth="1"/>
    <col min="5361" max="5362" width="9.140625" style="669"/>
    <col min="5363" max="5363" width="11.28515625" style="669" customWidth="1"/>
    <col min="5364" max="5596" width="9.140625" style="669"/>
    <col min="5597" max="5597" width="10.85546875" style="669" customWidth="1"/>
    <col min="5598" max="5598" width="9.140625" style="669"/>
    <col min="5599" max="5599" width="34.140625" style="669" customWidth="1"/>
    <col min="5600" max="5611" width="0" style="669" hidden="1" customWidth="1"/>
    <col min="5612" max="5612" width="15.28515625" style="669" customWidth="1"/>
    <col min="5613" max="5613" width="13.7109375" style="669" customWidth="1"/>
    <col min="5614" max="5614" width="10.5703125" style="669" customWidth="1"/>
    <col min="5615" max="5616" width="14.140625" style="669" customWidth="1"/>
    <col min="5617" max="5618" width="9.140625" style="669"/>
    <col min="5619" max="5619" width="11.28515625" style="669" customWidth="1"/>
    <col min="5620" max="5852" width="9.140625" style="669"/>
    <col min="5853" max="5853" width="10.85546875" style="669" customWidth="1"/>
    <col min="5854" max="5854" width="9.140625" style="669"/>
    <col min="5855" max="5855" width="34.140625" style="669" customWidth="1"/>
    <col min="5856" max="5867" width="0" style="669" hidden="1" customWidth="1"/>
    <col min="5868" max="5868" width="15.28515625" style="669" customWidth="1"/>
    <col min="5869" max="5869" width="13.7109375" style="669" customWidth="1"/>
    <col min="5870" max="5870" width="10.5703125" style="669" customWidth="1"/>
    <col min="5871" max="5872" width="14.140625" style="669" customWidth="1"/>
    <col min="5873" max="5874" width="9.140625" style="669"/>
    <col min="5875" max="5875" width="11.28515625" style="669" customWidth="1"/>
    <col min="5876" max="6108" width="9.140625" style="669"/>
    <col min="6109" max="6109" width="10.85546875" style="669" customWidth="1"/>
    <col min="6110" max="6110" width="9.140625" style="669"/>
    <col min="6111" max="6111" width="34.140625" style="669" customWidth="1"/>
    <col min="6112" max="6123" width="0" style="669" hidden="1" customWidth="1"/>
    <col min="6124" max="6124" width="15.28515625" style="669" customWidth="1"/>
    <col min="6125" max="6125" width="13.7109375" style="669" customWidth="1"/>
    <col min="6126" max="6126" width="10.5703125" style="669" customWidth="1"/>
    <col min="6127" max="6128" width="14.140625" style="669" customWidth="1"/>
    <col min="6129" max="6130" width="9.140625" style="669"/>
    <col min="6131" max="6131" width="11.28515625" style="669" customWidth="1"/>
    <col min="6132" max="6364" width="9.140625" style="669"/>
    <col min="6365" max="6365" width="10.85546875" style="669" customWidth="1"/>
    <col min="6366" max="6366" width="9.140625" style="669"/>
    <col min="6367" max="6367" width="34.140625" style="669" customWidth="1"/>
    <col min="6368" max="6379" width="0" style="669" hidden="1" customWidth="1"/>
    <col min="6380" max="6380" width="15.28515625" style="669" customWidth="1"/>
    <col min="6381" max="6381" width="13.7109375" style="669" customWidth="1"/>
    <col min="6382" max="6382" width="10.5703125" style="669" customWidth="1"/>
    <col min="6383" max="6384" width="14.140625" style="669" customWidth="1"/>
    <col min="6385" max="6386" width="9.140625" style="669"/>
    <col min="6387" max="6387" width="11.28515625" style="669" customWidth="1"/>
    <col min="6388" max="6620" width="9.140625" style="669"/>
    <col min="6621" max="6621" width="10.85546875" style="669" customWidth="1"/>
    <col min="6622" max="6622" width="9.140625" style="669"/>
    <col min="6623" max="6623" width="34.140625" style="669" customWidth="1"/>
    <col min="6624" max="6635" width="0" style="669" hidden="1" customWidth="1"/>
    <col min="6636" max="6636" width="15.28515625" style="669" customWidth="1"/>
    <col min="6637" max="6637" width="13.7109375" style="669" customWidth="1"/>
    <col min="6638" max="6638" width="10.5703125" style="669" customWidth="1"/>
    <col min="6639" max="6640" width="14.140625" style="669" customWidth="1"/>
    <col min="6641" max="6642" width="9.140625" style="669"/>
    <col min="6643" max="6643" width="11.28515625" style="669" customWidth="1"/>
    <col min="6644" max="6876" width="9.140625" style="669"/>
    <col min="6877" max="6877" width="10.85546875" style="669" customWidth="1"/>
    <col min="6878" max="6878" width="9.140625" style="669"/>
    <col min="6879" max="6879" width="34.140625" style="669" customWidth="1"/>
    <col min="6880" max="6891" width="0" style="669" hidden="1" customWidth="1"/>
    <col min="6892" max="6892" width="15.28515625" style="669" customWidth="1"/>
    <col min="6893" max="6893" width="13.7109375" style="669" customWidth="1"/>
    <col min="6894" max="6894" width="10.5703125" style="669" customWidth="1"/>
    <col min="6895" max="6896" width="14.140625" style="669" customWidth="1"/>
    <col min="6897" max="6898" width="9.140625" style="669"/>
    <col min="6899" max="6899" width="11.28515625" style="669" customWidth="1"/>
    <col min="6900" max="7132" width="9.140625" style="669"/>
    <col min="7133" max="7133" width="10.85546875" style="669" customWidth="1"/>
    <col min="7134" max="7134" width="9.140625" style="669"/>
    <col min="7135" max="7135" width="34.140625" style="669" customWidth="1"/>
    <col min="7136" max="7147" width="0" style="669" hidden="1" customWidth="1"/>
    <col min="7148" max="7148" width="15.28515625" style="669" customWidth="1"/>
    <col min="7149" max="7149" width="13.7109375" style="669" customWidth="1"/>
    <col min="7150" max="7150" width="10.5703125" style="669" customWidth="1"/>
    <col min="7151" max="7152" width="14.140625" style="669" customWidth="1"/>
    <col min="7153" max="7154" width="9.140625" style="669"/>
    <col min="7155" max="7155" width="11.28515625" style="669" customWidth="1"/>
    <col min="7156" max="7388" width="9.140625" style="669"/>
    <col min="7389" max="7389" width="10.85546875" style="669" customWidth="1"/>
    <col min="7390" max="7390" width="9.140625" style="669"/>
    <col min="7391" max="7391" width="34.140625" style="669" customWidth="1"/>
    <col min="7392" max="7403" width="0" style="669" hidden="1" customWidth="1"/>
    <col min="7404" max="7404" width="15.28515625" style="669" customWidth="1"/>
    <col min="7405" max="7405" width="13.7109375" style="669" customWidth="1"/>
    <col min="7406" max="7406" width="10.5703125" style="669" customWidth="1"/>
    <col min="7407" max="7408" width="14.140625" style="669" customWidth="1"/>
    <col min="7409" max="7410" width="9.140625" style="669"/>
    <col min="7411" max="7411" width="11.28515625" style="669" customWidth="1"/>
    <col min="7412" max="7644" width="9.140625" style="669"/>
    <col min="7645" max="7645" width="10.85546875" style="669" customWidth="1"/>
    <col min="7646" max="7646" width="9.140625" style="669"/>
    <col min="7647" max="7647" width="34.140625" style="669" customWidth="1"/>
    <col min="7648" max="7659" width="0" style="669" hidden="1" customWidth="1"/>
    <col min="7660" max="7660" width="15.28515625" style="669" customWidth="1"/>
    <col min="7661" max="7661" width="13.7109375" style="669" customWidth="1"/>
    <col min="7662" max="7662" width="10.5703125" style="669" customWidth="1"/>
    <col min="7663" max="7664" width="14.140625" style="669" customWidth="1"/>
    <col min="7665" max="7666" width="9.140625" style="669"/>
    <col min="7667" max="7667" width="11.28515625" style="669" customWidth="1"/>
    <col min="7668" max="7900" width="9.140625" style="669"/>
    <col min="7901" max="7901" width="10.85546875" style="669" customWidth="1"/>
    <col min="7902" max="7902" width="9.140625" style="669"/>
    <col min="7903" max="7903" width="34.140625" style="669" customWidth="1"/>
    <col min="7904" max="7915" width="0" style="669" hidden="1" customWidth="1"/>
    <col min="7916" max="7916" width="15.28515625" style="669" customWidth="1"/>
    <col min="7917" max="7917" width="13.7109375" style="669" customWidth="1"/>
    <col min="7918" max="7918" width="10.5703125" style="669" customWidth="1"/>
    <col min="7919" max="7920" width="14.140625" style="669" customWidth="1"/>
    <col min="7921" max="7922" width="9.140625" style="669"/>
    <col min="7923" max="7923" width="11.28515625" style="669" customWidth="1"/>
    <col min="7924" max="8156" width="9.140625" style="669"/>
    <col min="8157" max="8157" width="10.85546875" style="669" customWidth="1"/>
    <col min="8158" max="8158" width="9.140625" style="669"/>
    <col min="8159" max="8159" width="34.140625" style="669" customWidth="1"/>
    <col min="8160" max="8171" width="0" style="669" hidden="1" customWidth="1"/>
    <col min="8172" max="8172" width="15.28515625" style="669" customWidth="1"/>
    <col min="8173" max="8173" width="13.7109375" style="669" customWidth="1"/>
    <col min="8174" max="8174" width="10.5703125" style="669" customWidth="1"/>
    <col min="8175" max="8176" width="14.140625" style="669" customWidth="1"/>
    <col min="8177" max="8178" width="9.140625" style="669"/>
    <col min="8179" max="8179" width="11.28515625" style="669" customWidth="1"/>
    <col min="8180" max="8412" width="9.140625" style="669"/>
    <col min="8413" max="8413" width="10.85546875" style="669" customWidth="1"/>
    <col min="8414" max="8414" width="9.140625" style="669"/>
    <col min="8415" max="8415" width="34.140625" style="669" customWidth="1"/>
    <col min="8416" max="8427" width="0" style="669" hidden="1" customWidth="1"/>
    <col min="8428" max="8428" width="15.28515625" style="669" customWidth="1"/>
    <col min="8429" max="8429" width="13.7109375" style="669" customWidth="1"/>
    <col min="8430" max="8430" width="10.5703125" style="669" customWidth="1"/>
    <col min="8431" max="8432" width="14.140625" style="669" customWidth="1"/>
    <col min="8433" max="8434" width="9.140625" style="669"/>
    <col min="8435" max="8435" width="11.28515625" style="669" customWidth="1"/>
    <col min="8436" max="8668" width="9.140625" style="669"/>
    <col min="8669" max="8669" width="10.85546875" style="669" customWidth="1"/>
    <col min="8670" max="8670" width="9.140625" style="669"/>
    <col min="8671" max="8671" width="34.140625" style="669" customWidth="1"/>
    <col min="8672" max="8683" width="0" style="669" hidden="1" customWidth="1"/>
    <col min="8684" max="8684" width="15.28515625" style="669" customWidth="1"/>
    <col min="8685" max="8685" width="13.7109375" style="669" customWidth="1"/>
    <col min="8686" max="8686" width="10.5703125" style="669" customWidth="1"/>
    <col min="8687" max="8688" width="14.140625" style="669" customWidth="1"/>
    <col min="8689" max="8690" width="9.140625" style="669"/>
    <col min="8691" max="8691" width="11.28515625" style="669" customWidth="1"/>
    <col min="8692" max="8924" width="9.140625" style="669"/>
    <col min="8925" max="8925" width="10.85546875" style="669" customWidth="1"/>
    <col min="8926" max="8926" width="9.140625" style="669"/>
    <col min="8927" max="8927" width="34.140625" style="669" customWidth="1"/>
    <col min="8928" max="8939" width="0" style="669" hidden="1" customWidth="1"/>
    <col min="8940" max="8940" width="15.28515625" style="669" customWidth="1"/>
    <col min="8941" max="8941" width="13.7109375" style="669" customWidth="1"/>
    <col min="8942" max="8942" width="10.5703125" style="669" customWidth="1"/>
    <col min="8943" max="8944" width="14.140625" style="669" customWidth="1"/>
    <col min="8945" max="8946" width="9.140625" style="669"/>
    <col min="8947" max="8947" width="11.28515625" style="669" customWidth="1"/>
    <col min="8948" max="9180" width="9.140625" style="669"/>
    <col min="9181" max="9181" width="10.85546875" style="669" customWidth="1"/>
    <col min="9182" max="9182" width="9.140625" style="669"/>
    <col min="9183" max="9183" width="34.140625" style="669" customWidth="1"/>
    <col min="9184" max="9195" width="0" style="669" hidden="1" customWidth="1"/>
    <col min="9196" max="9196" width="15.28515625" style="669" customWidth="1"/>
    <col min="9197" max="9197" width="13.7109375" style="669" customWidth="1"/>
    <col min="9198" max="9198" width="10.5703125" style="669" customWidth="1"/>
    <col min="9199" max="9200" width="14.140625" style="669" customWidth="1"/>
    <col min="9201" max="9202" width="9.140625" style="669"/>
    <col min="9203" max="9203" width="11.28515625" style="669" customWidth="1"/>
    <col min="9204" max="9436" width="9.140625" style="669"/>
    <col min="9437" max="9437" width="10.85546875" style="669" customWidth="1"/>
    <col min="9438" max="9438" width="9.140625" style="669"/>
    <col min="9439" max="9439" width="34.140625" style="669" customWidth="1"/>
    <col min="9440" max="9451" width="0" style="669" hidden="1" customWidth="1"/>
    <col min="9452" max="9452" width="15.28515625" style="669" customWidth="1"/>
    <col min="9453" max="9453" width="13.7109375" style="669" customWidth="1"/>
    <col min="9454" max="9454" width="10.5703125" style="669" customWidth="1"/>
    <col min="9455" max="9456" width="14.140625" style="669" customWidth="1"/>
    <col min="9457" max="9458" width="9.140625" style="669"/>
    <col min="9459" max="9459" width="11.28515625" style="669" customWidth="1"/>
    <col min="9460" max="9692" width="9.140625" style="669"/>
    <col min="9693" max="9693" width="10.85546875" style="669" customWidth="1"/>
    <col min="9694" max="9694" width="9.140625" style="669"/>
    <col min="9695" max="9695" width="34.140625" style="669" customWidth="1"/>
    <col min="9696" max="9707" width="0" style="669" hidden="1" customWidth="1"/>
    <col min="9708" max="9708" width="15.28515625" style="669" customWidth="1"/>
    <col min="9709" max="9709" width="13.7109375" style="669" customWidth="1"/>
    <col min="9710" max="9710" width="10.5703125" style="669" customWidth="1"/>
    <col min="9711" max="9712" width="14.140625" style="669" customWidth="1"/>
    <col min="9713" max="9714" width="9.140625" style="669"/>
    <col min="9715" max="9715" width="11.28515625" style="669" customWidth="1"/>
    <col min="9716" max="9948" width="9.140625" style="669"/>
    <col min="9949" max="9949" width="10.85546875" style="669" customWidth="1"/>
    <col min="9950" max="9950" width="9.140625" style="669"/>
    <col min="9951" max="9951" width="34.140625" style="669" customWidth="1"/>
    <col min="9952" max="9963" width="0" style="669" hidden="1" customWidth="1"/>
    <col min="9964" max="9964" width="15.28515625" style="669" customWidth="1"/>
    <col min="9965" max="9965" width="13.7109375" style="669" customWidth="1"/>
    <col min="9966" max="9966" width="10.5703125" style="669" customWidth="1"/>
    <col min="9967" max="9968" width="14.140625" style="669" customWidth="1"/>
    <col min="9969" max="9970" width="9.140625" style="669"/>
    <col min="9971" max="9971" width="11.28515625" style="669" customWidth="1"/>
    <col min="9972" max="10204" width="9.140625" style="669"/>
    <col min="10205" max="10205" width="10.85546875" style="669" customWidth="1"/>
    <col min="10206" max="10206" width="9.140625" style="669"/>
    <col min="10207" max="10207" width="34.140625" style="669" customWidth="1"/>
    <col min="10208" max="10219" width="0" style="669" hidden="1" customWidth="1"/>
    <col min="10220" max="10220" width="15.28515625" style="669" customWidth="1"/>
    <col min="10221" max="10221" width="13.7109375" style="669" customWidth="1"/>
    <col min="10222" max="10222" width="10.5703125" style="669" customWidth="1"/>
    <col min="10223" max="10224" width="14.140625" style="669" customWidth="1"/>
    <col min="10225" max="10226" width="9.140625" style="669"/>
    <col min="10227" max="10227" width="11.28515625" style="669" customWidth="1"/>
    <col min="10228" max="10460" width="9.140625" style="669"/>
    <col min="10461" max="10461" width="10.85546875" style="669" customWidth="1"/>
    <col min="10462" max="10462" width="9.140625" style="669"/>
    <col min="10463" max="10463" width="34.140625" style="669" customWidth="1"/>
    <col min="10464" max="10475" width="0" style="669" hidden="1" customWidth="1"/>
    <col min="10476" max="10476" width="15.28515625" style="669" customWidth="1"/>
    <col min="10477" max="10477" width="13.7109375" style="669" customWidth="1"/>
    <col min="10478" max="10478" width="10.5703125" style="669" customWidth="1"/>
    <col min="10479" max="10480" width="14.140625" style="669" customWidth="1"/>
    <col min="10481" max="10482" width="9.140625" style="669"/>
    <col min="10483" max="10483" width="11.28515625" style="669" customWidth="1"/>
    <col min="10484" max="10716" width="9.140625" style="669"/>
    <col min="10717" max="10717" width="10.85546875" style="669" customWidth="1"/>
    <col min="10718" max="10718" width="9.140625" style="669"/>
    <col min="10719" max="10719" width="34.140625" style="669" customWidth="1"/>
    <col min="10720" max="10731" width="0" style="669" hidden="1" customWidth="1"/>
    <col min="10732" max="10732" width="15.28515625" style="669" customWidth="1"/>
    <col min="10733" max="10733" width="13.7109375" style="669" customWidth="1"/>
    <col min="10734" max="10734" width="10.5703125" style="669" customWidth="1"/>
    <col min="10735" max="10736" width="14.140625" style="669" customWidth="1"/>
    <col min="10737" max="10738" width="9.140625" style="669"/>
    <col min="10739" max="10739" width="11.28515625" style="669" customWidth="1"/>
    <col min="10740" max="10972" width="9.140625" style="669"/>
    <col min="10973" max="10973" width="10.85546875" style="669" customWidth="1"/>
    <col min="10974" max="10974" width="9.140625" style="669"/>
    <col min="10975" max="10975" width="34.140625" style="669" customWidth="1"/>
    <col min="10976" max="10987" width="0" style="669" hidden="1" customWidth="1"/>
    <col min="10988" max="10988" width="15.28515625" style="669" customWidth="1"/>
    <col min="10989" max="10989" width="13.7109375" style="669" customWidth="1"/>
    <col min="10990" max="10990" width="10.5703125" style="669" customWidth="1"/>
    <col min="10991" max="10992" width="14.140625" style="669" customWidth="1"/>
    <col min="10993" max="10994" width="9.140625" style="669"/>
    <col min="10995" max="10995" width="11.28515625" style="669" customWidth="1"/>
    <col min="10996" max="11228" width="9.140625" style="669"/>
    <col min="11229" max="11229" width="10.85546875" style="669" customWidth="1"/>
    <col min="11230" max="11230" width="9.140625" style="669"/>
    <col min="11231" max="11231" width="34.140625" style="669" customWidth="1"/>
    <col min="11232" max="11243" width="0" style="669" hidden="1" customWidth="1"/>
    <col min="11244" max="11244" width="15.28515625" style="669" customWidth="1"/>
    <col min="11245" max="11245" width="13.7109375" style="669" customWidth="1"/>
    <col min="11246" max="11246" width="10.5703125" style="669" customWidth="1"/>
    <col min="11247" max="11248" width="14.140625" style="669" customWidth="1"/>
    <col min="11249" max="11250" width="9.140625" style="669"/>
    <col min="11251" max="11251" width="11.28515625" style="669" customWidth="1"/>
    <col min="11252" max="11484" width="9.140625" style="669"/>
    <col min="11485" max="11485" width="10.85546875" style="669" customWidth="1"/>
    <col min="11486" max="11486" width="9.140625" style="669"/>
    <col min="11487" max="11487" width="34.140625" style="669" customWidth="1"/>
    <col min="11488" max="11499" width="0" style="669" hidden="1" customWidth="1"/>
    <col min="11500" max="11500" width="15.28515625" style="669" customWidth="1"/>
    <col min="11501" max="11501" width="13.7109375" style="669" customWidth="1"/>
    <col min="11502" max="11502" width="10.5703125" style="669" customWidth="1"/>
    <col min="11503" max="11504" width="14.140625" style="669" customWidth="1"/>
    <col min="11505" max="11506" width="9.140625" style="669"/>
    <col min="11507" max="11507" width="11.28515625" style="669" customWidth="1"/>
    <col min="11508" max="11740" width="9.140625" style="669"/>
    <col min="11741" max="11741" width="10.85546875" style="669" customWidth="1"/>
    <col min="11742" max="11742" width="9.140625" style="669"/>
    <col min="11743" max="11743" width="34.140625" style="669" customWidth="1"/>
    <col min="11744" max="11755" width="0" style="669" hidden="1" customWidth="1"/>
    <col min="11756" max="11756" width="15.28515625" style="669" customWidth="1"/>
    <col min="11757" max="11757" width="13.7109375" style="669" customWidth="1"/>
    <col min="11758" max="11758" width="10.5703125" style="669" customWidth="1"/>
    <col min="11759" max="11760" width="14.140625" style="669" customWidth="1"/>
    <col min="11761" max="11762" width="9.140625" style="669"/>
    <col min="11763" max="11763" width="11.28515625" style="669" customWidth="1"/>
    <col min="11764" max="11996" width="9.140625" style="669"/>
    <col min="11997" max="11997" width="10.85546875" style="669" customWidth="1"/>
    <col min="11998" max="11998" width="9.140625" style="669"/>
    <col min="11999" max="11999" width="34.140625" style="669" customWidth="1"/>
    <col min="12000" max="12011" width="0" style="669" hidden="1" customWidth="1"/>
    <col min="12012" max="12012" width="15.28515625" style="669" customWidth="1"/>
    <col min="12013" max="12013" width="13.7109375" style="669" customWidth="1"/>
    <col min="12014" max="12014" width="10.5703125" style="669" customWidth="1"/>
    <col min="12015" max="12016" width="14.140625" style="669" customWidth="1"/>
    <col min="12017" max="12018" width="9.140625" style="669"/>
    <col min="12019" max="12019" width="11.28515625" style="669" customWidth="1"/>
    <col min="12020" max="12252" width="9.140625" style="669"/>
    <col min="12253" max="12253" width="10.85546875" style="669" customWidth="1"/>
    <col min="12254" max="12254" width="9.140625" style="669"/>
    <col min="12255" max="12255" width="34.140625" style="669" customWidth="1"/>
    <col min="12256" max="12267" width="0" style="669" hidden="1" customWidth="1"/>
    <col min="12268" max="12268" width="15.28515625" style="669" customWidth="1"/>
    <col min="12269" max="12269" width="13.7109375" style="669" customWidth="1"/>
    <col min="12270" max="12270" width="10.5703125" style="669" customWidth="1"/>
    <col min="12271" max="12272" width="14.140625" style="669" customWidth="1"/>
    <col min="12273" max="12274" width="9.140625" style="669"/>
    <col min="12275" max="12275" width="11.28515625" style="669" customWidth="1"/>
    <col min="12276" max="12508" width="9.140625" style="669"/>
    <col min="12509" max="12509" width="10.85546875" style="669" customWidth="1"/>
    <col min="12510" max="12510" width="9.140625" style="669"/>
    <col min="12511" max="12511" width="34.140625" style="669" customWidth="1"/>
    <col min="12512" max="12523" width="0" style="669" hidden="1" customWidth="1"/>
    <col min="12524" max="12524" width="15.28515625" style="669" customWidth="1"/>
    <col min="12525" max="12525" width="13.7109375" style="669" customWidth="1"/>
    <col min="12526" max="12526" width="10.5703125" style="669" customWidth="1"/>
    <col min="12527" max="12528" width="14.140625" style="669" customWidth="1"/>
    <col min="12529" max="12530" width="9.140625" style="669"/>
    <col min="12531" max="12531" width="11.28515625" style="669" customWidth="1"/>
    <col min="12532" max="12764" width="9.140625" style="669"/>
    <col min="12765" max="12765" width="10.85546875" style="669" customWidth="1"/>
    <col min="12766" max="12766" width="9.140625" style="669"/>
    <col min="12767" max="12767" width="34.140625" style="669" customWidth="1"/>
    <col min="12768" max="12779" width="0" style="669" hidden="1" customWidth="1"/>
    <col min="12780" max="12780" width="15.28515625" style="669" customWidth="1"/>
    <col min="12781" max="12781" width="13.7109375" style="669" customWidth="1"/>
    <col min="12782" max="12782" width="10.5703125" style="669" customWidth="1"/>
    <col min="12783" max="12784" width="14.140625" style="669" customWidth="1"/>
    <col min="12785" max="12786" width="9.140625" style="669"/>
    <col min="12787" max="12787" width="11.28515625" style="669" customWidth="1"/>
    <col min="12788" max="13020" width="9.140625" style="669"/>
    <col min="13021" max="13021" width="10.85546875" style="669" customWidth="1"/>
    <col min="13022" max="13022" width="9.140625" style="669"/>
    <col min="13023" max="13023" width="34.140625" style="669" customWidth="1"/>
    <col min="13024" max="13035" width="0" style="669" hidden="1" customWidth="1"/>
    <col min="13036" max="13036" width="15.28515625" style="669" customWidth="1"/>
    <col min="13037" max="13037" width="13.7109375" style="669" customWidth="1"/>
    <col min="13038" max="13038" width="10.5703125" style="669" customWidth="1"/>
    <col min="13039" max="13040" width="14.140625" style="669" customWidth="1"/>
    <col min="13041" max="13042" width="9.140625" style="669"/>
    <col min="13043" max="13043" width="11.28515625" style="669" customWidth="1"/>
    <col min="13044" max="13276" width="9.140625" style="669"/>
    <col min="13277" max="13277" width="10.85546875" style="669" customWidth="1"/>
    <col min="13278" max="13278" width="9.140625" style="669"/>
    <col min="13279" max="13279" width="34.140625" style="669" customWidth="1"/>
    <col min="13280" max="13291" width="0" style="669" hidden="1" customWidth="1"/>
    <col min="13292" max="13292" width="15.28515625" style="669" customWidth="1"/>
    <col min="13293" max="13293" width="13.7109375" style="669" customWidth="1"/>
    <col min="13294" max="13294" width="10.5703125" style="669" customWidth="1"/>
    <col min="13295" max="13296" width="14.140625" style="669" customWidth="1"/>
    <col min="13297" max="13298" width="9.140625" style="669"/>
    <col min="13299" max="13299" width="11.28515625" style="669" customWidth="1"/>
    <col min="13300" max="13532" width="9.140625" style="669"/>
    <col min="13533" max="13533" width="10.85546875" style="669" customWidth="1"/>
    <col min="13534" max="13534" width="9.140625" style="669"/>
    <col min="13535" max="13535" width="34.140625" style="669" customWidth="1"/>
    <col min="13536" max="13547" width="0" style="669" hidden="1" customWidth="1"/>
    <col min="13548" max="13548" width="15.28515625" style="669" customWidth="1"/>
    <col min="13549" max="13549" width="13.7109375" style="669" customWidth="1"/>
    <col min="13550" max="13550" width="10.5703125" style="669" customWidth="1"/>
    <col min="13551" max="13552" width="14.140625" style="669" customWidth="1"/>
    <col min="13553" max="13554" width="9.140625" style="669"/>
    <col min="13555" max="13555" width="11.28515625" style="669" customWidth="1"/>
    <col min="13556" max="13788" width="9.140625" style="669"/>
    <col min="13789" max="13789" width="10.85546875" style="669" customWidth="1"/>
    <col min="13790" max="13790" width="9.140625" style="669"/>
    <col min="13791" max="13791" width="34.140625" style="669" customWidth="1"/>
    <col min="13792" max="13803" width="0" style="669" hidden="1" customWidth="1"/>
    <col min="13804" max="13804" width="15.28515625" style="669" customWidth="1"/>
    <col min="13805" max="13805" width="13.7109375" style="669" customWidth="1"/>
    <col min="13806" max="13806" width="10.5703125" style="669" customWidth="1"/>
    <col min="13807" max="13808" width="14.140625" style="669" customWidth="1"/>
    <col min="13809" max="13810" width="9.140625" style="669"/>
    <col min="13811" max="13811" width="11.28515625" style="669" customWidth="1"/>
    <col min="13812" max="14044" width="9.140625" style="669"/>
    <col min="14045" max="14045" width="10.85546875" style="669" customWidth="1"/>
    <col min="14046" max="14046" width="9.140625" style="669"/>
    <col min="14047" max="14047" width="34.140625" style="669" customWidth="1"/>
    <col min="14048" max="14059" width="0" style="669" hidden="1" customWidth="1"/>
    <col min="14060" max="14060" width="15.28515625" style="669" customWidth="1"/>
    <col min="14061" max="14061" width="13.7109375" style="669" customWidth="1"/>
    <col min="14062" max="14062" width="10.5703125" style="669" customWidth="1"/>
    <col min="14063" max="14064" width="14.140625" style="669" customWidth="1"/>
    <col min="14065" max="14066" width="9.140625" style="669"/>
    <col min="14067" max="14067" width="11.28515625" style="669" customWidth="1"/>
    <col min="14068" max="14300" width="9.140625" style="669"/>
    <col min="14301" max="14301" width="10.85546875" style="669" customWidth="1"/>
    <col min="14302" max="14302" width="9.140625" style="669"/>
    <col min="14303" max="14303" width="34.140625" style="669" customWidth="1"/>
    <col min="14304" max="14315" width="0" style="669" hidden="1" customWidth="1"/>
    <col min="14316" max="14316" width="15.28515625" style="669" customWidth="1"/>
    <col min="14317" max="14317" width="13.7109375" style="669" customWidth="1"/>
    <col min="14318" max="14318" width="10.5703125" style="669" customWidth="1"/>
    <col min="14319" max="14320" width="14.140625" style="669" customWidth="1"/>
    <col min="14321" max="14322" width="9.140625" style="669"/>
    <col min="14323" max="14323" width="11.28515625" style="669" customWidth="1"/>
    <col min="14324" max="14556" width="9.140625" style="669"/>
    <col min="14557" max="14557" width="10.85546875" style="669" customWidth="1"/>
    <col min="14558" max="14558" width="9.140625" style="669"/>
    <col min="14559" max="14559" width="34.140625" style="669" customWidth="1"/>
    <col min="14560" max="14571" width="0" style="669" hidden="1" customWidth="1"/>
    <col min="14572" max="14572" width="15.28515625" style="669" customWidth="1"/>
    <col min="14573" max="14573" width="13.7109375" style="669" customWidth="1"/>
    <col min="14574" max="14574" width="10.5703125" style="669" customWidth="1"/>
    <col min="14575" max="14576" width="14.140625" style="669" customWidth="1"/>
    <col min="14577" max="14578" width="9.140625" style="669"/>
    <col min="14579" max="14579" width="11.28515625" style="669" customWidth="1"/>
    <col min="14580" max="14812" width="9.140625" style="669"/>
    <col min="14813" max="14813" width="10.85546875" style="669" customWidth="1"/>
    <col min="14814" max="14814" width="9.140625" style="669"/>
    <col min="14815" max="14815" width="34.140625" style="669" customWidth="1"/>
    <col min="14816" max="14827" width="0" style="669" hidden="1" customWidth="1"/>
    <col min="14828" max="14828" width="15.28515625" style="669" customWidth="1"/>
    <col min="14829" max="14829" width="13.7109375" style="669" customWidth="1"/>
    <col min="14830" max="14830" width="10.5703125" style="669" customWidth="1"/>
    <col min="14831" max="14832" width="14.140625" style="669" customWidth="1"/>
    <col min="14833" max="14834" width="9.140625" style="669"/>
    <col min="14835" max="14835" width="11.28515625" style="669" customWidth="1"/>
    <col min="14836" max="15068" width="9.140625" style="669"/>
    <col min="15069" max="15069" width="10.85546875" style="669" customWidth="1"/>
    <col min="15070" max="15070" width="9.140625" style="669"/>
    <col min="15071" max="15071" width="34.140625" style="669" customWidth="1"/>
    <col min="15072" max="15083" width="0" style="669" hidden="1" customWidth="1"/>
    <col min="15084" max="15084" width="15.28515625" style="669" customWidth="1"/>
    <col min="15085" max="15085" width="13.7109375" style="669" customWidth="1"/>
    <col min="15086" max="15086" width="10.5703125" style="669" customWidth="1"/>
    <col min="15087" max="15088" width="14.140625" style="669" customWidth="1"/>
    <col min="15089" max="15090" width="9.140625" style="669"/>
    <col min="15091" max="15091" width="11.28515625" style="669" customWidth="1"/>
    <col min="15092" max="15324" width="9.140625" style="669"/>
    <col min="15325" max="15325" width="10.85546875" style="669" customWidth="1"/>
    <col min="15326" max="15326" width="9.140625" style="669"/>
    <col min="15327" max="15327" width="34.140625" style="669" customWidth="1"/>
    <col min="15328" max="15339" width="0" style="669" hidden="1" customWidth="1"/>
    <col min="15340" max="15340" width="15.28515625" style="669" customWidth="1"/>
    <col min="15341" max="15341" width="13.7109375" style="669" customWidth="1"/>
    <col min="15342" max="15342" width="10.5703125" style="669" customWidth="1"/>
    <col min="15343" max="15344" width="14.140625" style="669" customWidth="1"/>
    <col min="15345" max="15346" width="9.140625" style="669"/>
    <col min="15347" max="15347" width="11.28515625" style="669" customWidth="1"/>
    <col min="15348" max="15580" width="9.140625" style="669"/>
    <col min="15581" max="15581" width="10.85546875" style="669" customWidth="1"/>
    <col min="15582" max="15582" width="9.140625" style="669"/>
    <col min="15583" max="15583" width="34.140625" style="669" customWidth="1"/>
    <col min="15584" max="15595" width="0" style="669" hidden="1" customWidth="1"/>
    <col min="15596" max="15596" width="15.28515625" style="669" customWidth="1"/>
    <col min="15597" max="15597" width="13.7109375" style="669" customWidth="1"/>
    <col min="15598" max="15598" width="10.5703125" style="669" customWidth="1"/>
    <col min="15599" max="15600" width="14.140625" style="669" customWidth="1"/>
    <col min="15601" max="15602" width="9.140625" style="669"/>
    <col min="15603" max="15603" width="11.28515625" style="669" customWidth="1"/>
    <col min="15604" max="15836" width="9.140625" style="669"/>
    <col min="15837" max="15837" width="10.85546875" style="669" customWidth="1"/>
    <col min="15838" max="15838" width="9.140625" style="669"/>
    <col min="15839" max="15839" width="34.140625" style="669" customWidth="1"/>
    <col min="15840" max="15851" width="0" style="669" hidden="1" customWidth="1"/>
    <col min="15852" max="15852" width="15.28515625" style="669" customWidth="1"/>
    <col min="15853" max="15853" width="13.7109375" style="669" customWidth="1"/>
    <col min="15854" max="15854" width="10.5703125" style="669" customWidth="1"/>
    <col min="15855" max="15856" width="14.140625" style="669" customWidth="1"/>
    <col min="15857" max="15858" width="9.140625" style="669"/>
    <col min="15859" max="15859" width="11.28515625" style="669" customWidth="1"/>
    <col min="15860" max="16092" width="9.140625" style="669"/>
    <col min="16093" max="16093" width="10.85546875" style="669" customWidth="1"/>
    <col min="16094" max="16094" width="9.140625" style="669"/>
    <col min="16095" max="16095" width="34.140625" style="669" customWidth="1"/>
    <col min="16096" max="16107" width="0" style="669" hidden="1" customWidth="1"/>
    <col min="16108" max="16108" width="15.28515625" style="669" customWidth="1"/>
    <col min="16109" max="16109" width="13.7109375" style="669" customWidth="1"/>
    <col min="16110" max="16110" width="10.5703125" style="669" customWidth="1"/>
    <col min="16111" max="16112" width="14.140625" style="669" customWidth="1"/>
    <col min="16113" max="16114" width="9.140625" style="669"/>
    <col min="16115" max="16115" width="11.28515625" style="669" customWidth="1"/>
    <col min="16116" max="16384" width="9.140625" style="669"/>
  </cols>
  <sheetData>
    <row r="1" spans="1:14" ht="16.5" customHeight="1" thickTop="1" thickBot="1" x14ac:dyDescent="0.3">
      <c r="A1" s="896" t="s">
        <v>113</v>
      </c>
      <c r="B1" s="894" t="s">
        <v>119</v>
      </c>
      <c r="C1" s="893" t="s">
        <v>384</v>
      </c>
      <c r="D1" s="893"/>
      <c r="E1" s="893"/>
      <c r="F1" s="893"/>
      <c r="G1" s="893"/>
      <c r="H1" s="893"/>
      <c r="I1" s="893"/>
      <c r="J1" s="891" t="s">
        <v>385</v>
      </c>
    </row>
    <row r="2" spans="1:14" ht="39" thickBot="1" x14ac:dyDescent="0.3">
      <c r="A2" s="897"/>
      <c r="B2" s="895"/>
      <c r="C2" s="555" t="s">
        <v>386</v>
      </c>
      <c r="D2" s="556" t="s">
        <v>387</v>
      </c>
      <c r="E2" s="556" t="s">
        <v>388</v>
      </c>
      <c r="F2" s="556" t="s">
        <v>389</v>
      </c>
      <c r="G2" s="556" t="s">
        <v>390</v>
      </c>
      <c r="H2" s="556" t="s">
        <v>457</v>
      </c>
      <c r="I2" s="556" t="s">
        <v>391</v>
      </c>
      <c r="J2" s="892"/>
    </row>
    <row r="3" spans="1:14" ht="15.75" thickTop="1" x14ac:dyDescent="0.25">
      <c r="A3" s="694" t="s">
        <v>443</v>
      </c>
      <c r="B3" s="695">
        <v>20000</v>
      </c>
      <c r="C3" s="700"/>
      <c r="D3" s="700"/>
      <c r="E3" s="700"/>
      <c r="F3" s="700"/>
      <c r="G3" s="700"/>
      <c r="H3" s="700">
        <v>20000</v>
      </c>
      <c r="I3" s="700"/>
      <c r="J3" s="701">
        <f>SUM(C3:I3)</f>
        <v>20000</v>
      </c>
      <c r="L3" s="671"/>
      <c r="M3" s="671"/>
    </row>
    <row r="4" spans="1:14" x14ac:dyDescent="0.25">
      <c r="A4" s="557" t="s">
        <v>312</v>
      </c>
      <c r="B4" s="69">
        <v>15000</v>
      </c>
      <c r="C4" s="564">
        <v>5000</v>
      </c>
      <c r="D4" s="564"/>
      <c r="E4" s="564"/>
      <c r="F4" s="564"/>
      <c r="G4" s="564">
        <v>10000</v>
      </c>
      <c r="H4" s="564"/>
      <c r="I4" s="564"/>
      <c r="J4" s="565">
        <f t="shared" ref="J4:J64" si="0">SUM(C4:I4)</f>
        <v>15000</v>
      </c>
      <c r="L4" s="671"/>
      <c r="M4" s="671"/>
    </row>
    <row r="5" spans="1:14" x14ac:dyDescent="0.25">
      <c r="A5" s="557" t="s">
        <v>411</v>
      </c>
      <c r="B5" s="69">
        <v>399218</v>
      </c>
      <c r="C5" s="564"/>
      <c r="D5" s="564"/>
      <c r="E5" s="564"/>
      <c r="F5" s="564"/>
      <c r="G5" s="564">
        <v>399218</v>
      </c>
      <c r="H5" s="564"/>
      <c r="I5" s="564"/>
      <c r="J5" s="565">
        <f t="shared" si="0"/>
        <v>399218</v>
      </c>
      <c r="L5" s="671"/>
      <c r="M5" s="671"/>
    </row>
    <row r="6" spans="1:14" x14ac:dyDescent="0.25">
      <c r="A6" s="557" t="s">
        <v>314</v>
      </c>
      <c r="B6" s="69">
        <v>983501</v>
      </c>
      <c r="C6" s="564"/>
      <c r="D6" s="564"/>
      <c r="E6" s="564"/>
      <c r="F6" s="564">
        <v>518155</v>
      </c>
      <c r="G6" s="564">
        <f>486000-20654</f>
        <v>465346</v>
      </c>
      <c r="H6" s="564"/>
      <c r="I6" s="564"/>
      <c r="J6" s="565">
        <f t="shared" si="0"/>
        <v>983501</v>
      </c>
      <c r="L6" s="671"/>
      <c r="M6" s="671"/>
    </row>
    <row r="7" spans="1:14" s="710" customFormat="1" hidden="1" x14ac:dyDescent="0.25">
      <c r="A7" s="706" t="s">
        <v>470</v>
      </c>
      <c r="B7" s="707">
        <v>0</v>
      </c>
      <c r="C7" s="708"/>
      <c r="D7" s="708"/>
      <c r="E7" s="708"/>
      <c r="F7" s="708">
        <v>0</v>
      </c>
      <c r="G7" s="708"/>
      <c r="H7" s="708"/>
      <c r="I7" s="708"/>
      <c r="J7" s="709">
        <f t="shared" si="0"/>
        <v>0</v>
      </c>
      <c r="L7" s="711"/>
      <c r="M7" s="711"/>
      <c r="N7" s="669"/>
    </row>
    <row r="8" spans="1:14" s="710" customFormat="1" hidden="1" x14ac:dyDescent="0.25">
      <c r="A8" s="706" t="s">
        <v>471</v>
      </c>
      <c r="B8" s="707">
        <v>0</v>
      </c>
      <c r="C8" s="708"/>
      <c r="D8" s="708"/>
      <c r="E8" s="708"/>
      <c r="F8" s="708">
        <v>0</v>
      </c>
      <c r="G8" s="708"/>
      <c r="H8" s="708"/>
      <c r="I8" s="708"/>
      <c r="J8" s="709">
        <f t="shared" si="0"/>
        <v>0</v>
      </c>
      <c r="L8" s="711"/>
      <c r="M8" s="711"/>
      <c r="N8" s="669"/>
    </row>
    <row r="9" spans="1:14" x14ac:dyDescent="0.25">
      <c r="A9" s="557" t="s">
        <v>472</v>
      </c>
      <c r="B9" s="69">
        <v>10000</v>
      </c>
      <c r="C9" s="564"/>
      <c r="D9" s="564"/>
      <c r="E9" s="564"/>
      <c r="F9" s="564"/>
      <c r="G9" s="564"/>
      <c r="H9" s="564">
        <v>10000</v>
      </c>
      <c r="I9" s="564"/>
      <c r="J9" s="565">
        <f t="shared" si="0"/>
        <v>10000</v>
      </c>
      <c r="L9" s="671"/>
      <c r="M9" s="671"/>
    </row>
    <row r="10" spans="1:14" x14ac:dyDescent="0.25">
      <c r="A10" s="557" t="s">
        <v>454</v>
      </c>
      <c r="B10" s="69">
        <v>99050</v>
      </c>
      <c r="C10" s="564">
        <f>63920+4000+13000</f>
        <v>80920</v>
      </c>
      <c r="D10" s="564">
        <v>8000</v>
      </c>
      <c r="E10" s="564"/>
      <c r="F10" s="564"/>
      <c r="G10" s="564" t="s">
        <v>38</v>
      </c>
      <c r="H10" s="564">
        <f>3130+7000</f>
        <v>10130</v>
      </c>
      <c r="I10" s="564"/>
      <c r="J10" s="565">
        <f t="shared" si="0"/>
        <v>99050</v>
      </c>
      <c r="L10" s="671"/>
      <c r="M10" s="671"/>
    </row>
    <row r="11" spans="1:14" x14ac:dyDescent="0.25">
      <c r="A11" s="557" t="s">
        <v>465</v>
      </c>
      <c r="B11" s="69">
        <v>86823</v>
      </c>
      <c r="C11" s="564"/>
      <c r="D11" s="564"/>
      <c r="E11" s="564"/>
      <c r="F11" s="564">
        <f>30000+31845</f>
        <v>61845</v>
      </c>
      <c r="G11" s="564"/>
      <c r="H11" s="564"/>
      <c r="I11" s="564">
        <v>24978</v>
      </c>
      <c r="J11" s="565">
        <f t="shared" si="0"/>
        <v>86823</v>
      </c>
      <c r="L11" s="671"/>
      <c r="M11" s="671"/>
    </row>
    <row r="12" spans="1:14" x14ac:dyDescent="0.25">
      <c r="A12" s="557" t="s">
        <v>392</v>
      </c>
      <c r="B12" s="69">
        <v>319250</v>
      </c>
      <c r="C12" s="564"/>
      <c r="D12" s="564"/>
      <c r="E12" s="564"/>
      <c r="F12" s="564">
        <v>284550</v>
      </c>
      <c r="G12" s="564">
        <v>6000</v>
      </c>
      <c r="H12" s="564">
        <v>28700</v>
      </c>
      <c r="I12" s="564"/>
      <c r="J12" s="565">
        <f t="shared" si="0"/>
        <v>319250</v>
      </c>
      <c r="L12" s="671"/>
      <c r="M12" s="671"/>
    </row>
    <row r="13" spans="1:14" x14ac:dyDescent="0.25">
      <c r="A13" s="557" t="s">
        <v>412</v>
      </c>
      <c r="B13" s="69">
        <v>215313</v>
      </c>
      <c r="C13" s="564"/>
      <c r="D13" s="564"/>
      <c r="E13" s="564"/>
      <c r="F13" s="564"/>
      <c r="G13" s="564">
        <v>215313</v>
      </c>
      <c r="H13" s="564"/>
      <c r="I13" s="564"/>
      <c r="J13" s="565">
        <f t="shared" si="0"/>
        <v>215313</v>
      </c>
      <c r="L13" s="671"/>
      <c r="M13" s="671"/>
    </row>
    <row r="14" spans="1:14" x14ac:dyDescent="0.25">
      <c r="A14" s="557" t="s">
        <v>451</v>
      </c>
      <c r="B14" s="69">
        <v>20000</v>
      </c>
      <c r="C14" s="564"/>
      <c r="D14" s="564"/>
      <c r="E14" s="564"/>
      <c r="F14" s="564"/>
      <c r="G14" s="564"/>
      <c r="H14" s="564">
        <v>20000</v>
      </c>
      <c r="I14" s="564"/>
      <c r="J14" s="565">
        <f t="shared" si="0"/>
        <v>20000</v>
      </c>
      <c r="L14" s="671"/>
      <c r="M14" s="671"/>
    </row>
    <row r="15" spans="1:14" s="710" customFormat="1" x14ac:dyDescent="0.25">
      <c r="A15" s="706" t="s">
        <v>323</v>
      </c>
      <c r="B15" s="707">
        <v>68000</v>
      </c>
      <c r="C15" s="708">
        <f>18000-4022</f>
        <v>13978</v>
      </c>
      <c r="D15" s="708"/>
      <c r="E15" s="708"/>
      <c r="F15" s="708"/>
      <c r="G15" s="708"/>
      <c r="H15" s="708"/>
      <c r="I15" s="708">
        <f>50000+4022</f>
        <v>54022</v>
      </c>
      <c r="J15" s="709">
        <f t="shared" si="0"/>
        <v>68000</v>
      </c>
      <c r="L15" s="711"/>
      <c r="M15" s="711"/>
    </row>
    <row r="16" spans="1:14" x14ac:dyDescent="0.25">
      <c r="A16" s="706" t="s">
        <v>419</v>
      </c>
      <c r="B16" s="707">
        <v>380000</v>
      </c>
      <c r="C16" s="708"/>
      <c r="D16" s="708"/>
      <c r="E16" s="708"/>
      <c r="F16" s="708">
        <v>50000</v>
      </c>
      <c r="G16" s="708"/>
      <c r="H16" s="708">
        <v>18000</v>
      </c>
      <c r="I16" s="708">
        <f>362000-50000</f>
        <v>312000</v>
      </c>
      <c r="J16" s="565">
        <f t="shared" si="0"/>
        <v>380000</v>
      </c>
      <c r="L16" s="671"/>
      <c r="M16" s="671"/>
    </row>
    <row r="17" spans="1:13" x14ac:dyDescent="0.25">
      <c r="A17" s="557" t="s">
        <v>421</v>
      </c>
      <c r="B17" s="69">
        <v>3870</v>
      </c>
      <c r="C17" s="564">
        <v>200</v>
      </c>
      <c r="D17" s="564"/>
      <c r="E17" s="564"/>
      <c r="F17" s="564">
        <v>3670</v>
      </c>
      <c r="G17" s="564"/>
      <c r="H17" s="564"/>
      <c r="I17" s="564"/>
      <c r="J17" s="565">
        <f t="shared" si="0"/>
        <v>3870</v>
      </c>
      <c r="L17" s="671"/>
      <c r="M17" s="671"/>
    </row>
    <row r="18" spans="1:13" x14ac:dyDescent="0.25">
      <c r="A18" s="557" t="s">
        <v>423</v>
      </c>
      <c r="B18" s="69">
        <v>230000</v>
      </c>
      <c r="C18" s="564"/>
      <c r="D18" s="564"/>
      <c r="E18" s="564"/>
      <c r="F18" s="564">
        <v>230000</v>
      </c>
      <c r="G18" s="564"/>
      <c r="H18" s="564"/>
      <c r="I18" s="564"/>
      <c r="J18" s="565">
        <f t="shared" si="0"/>
        <v>230000</v>
      </c>
      <c r="L18" s="671"/>
      <c r="M18" s="671"/>
    </row>
    <row r="19" spans="1:13" x14ac:dyDescent="0.25">
      <c r="A19" s="557" t="s">
        <v>441</v>
      </c>
      <c r="B19" s="69">
        <v>8000</v>
      </c>
      <c r="C19" s="564"/>
      <c r="D19" s="564"/>
      <c r="E19" s="564"/>
      <c r="F19" s="564"/>
      <c r="G19" s="564"/>
      <c r="H19" s="564"/>
      <c r="I19" s="564">
        <v>8000</v>
      </c>
      <c r="J19" s="565">
        <f t="shared" si="0"/>
        <v>8000</v>
      </c>
      <c r="L19" s="671"/>
      <c r="M19" s="671"/>
    </row>
    <row r="20" spans="1:13" x14ac:dyDescent="0.25">
      <c r="A20" s="557" t="s">
        <v>424</v>
      </c>
      <c r="B20" s="69">
        <v>14129</v>
      </c>
      <c r="C20" s="564">
        <v>14129</v>
      </c>
      <c r="D20" s="564"/>
      <c r="E20" s="564"/>
      <c r="F20" s="564"/>
      <c r="G20" s="564"/>
      <c r="H20" s="564"/>
      <c r="I20" s="564"/>
      <c r="J20" s="565">
        <f t="shared" si="0"/>
        <v>14129</v>
      </c>
      <c r="L20" s="671"/>
      <c r="M20" s="671"/>
    </row>
    <row r="21" spans="1:13" x14ac:dyDescent="0.25">
      <c r="A21" s="557" t="s">
        <v>428</v>
      </c>
      <c r="B21" s="69"/>
      <c r="C21" s="564"/>
      <c r="D21" s="564"/>
      <c r="E21" s="564"/>
      <c r="F21" s="564"/>
      <c r="G21" s="564"/>
      <c r="H21" s="564"/>
      <c r="I21" s="564"/>
      <c r="J21" s="565">
        <f t="shared" si="0"/>
        <v>0</v>
      </c>
      <c r="L21" s="671"/>
      <c r="M21" s="671"/>
    </row>
    <row r="22" spans="1:13" x14ac:dyDescent="0.25">
      <c r="A22" s="557" t="s">
        <v>431</v>
      </c>
      <c r="B22" s="69">
        <v>29566</v>
      </c>
      <c r="C22" s="564"/>
      <c r="D22" s="564"/>
      <c r="E22" s="564"/>
      <c r="F22" s="564"/>
      <c r="G22" s="564"/>
      <c r="H22" s="564">
        <v>7566</v>
      </c>
      <c r="I22" s="564">
        <v>22000</v>
      </c>
      <c r="J22" s="565">
        <f t="shared" si="0"/>
        <v>29566</v>
      </c>
      <c r="L22" s="671"/>
      <c r="M22" s="671"/>
    </row>
    <row r="23" spans="1:13" x14ac:dyDescent="0.25">
      <c r="A23" s="557" t="s">
        <v>455</v>
      </c>
      <c r="B23" s="69">
        <v>6000</v>
      </c>
      <c r="C23" s="564">
        <v>5000</v>
      </c>
      <c r="D23" s="564"/>
      <c r="E23" s="564"/>
      <c r="F23" s="564"/>
      <c r="G23" s="564"/>
      <c r="H23" s="564">
        <v>1000</v>
      </c>
      <c r="I23" s="564"/>
      <c r="J23" s="565">
        <f t="shared" si="0"/>
        <v>6000</v>
      </c>
      <c r="L23" s="671"/>
      <c r="M23" s="671"/>
    </row>
    <row r="24" spans="1:13" x14ac:dyDescent="0.25">
      <c r="A24" s="557" t="s">
        <v>436</v>
      </c>
      <c r="B24" s="69"/>
      <c r="C24" s="564"/>
      <c r="D24" s="564"/>
      <c r="E24" s="564"/>
      <c r="F24" s="564"/>
      <c r="G24" s="564"/>
      <c r="H24" s="564"/>
      <c r="I24" s="564"/>
      <c r="J24" s="565">
        <f t="shared" si="0"/>
        <v>0</v>
      </c>
      <c r="L24" s="671"/>
      <c r="M24" s="671"/>
    </row>
    <row r="25" spans="1:13" x14ac:dyDescent="0.25">
      <c r="A25" s="557" t="s">
        <v>448</v>
      </c>
      <c r="B25" s="69">
        <v>11000</v>
      </c>
      <c r="C25" s="564"/>
      <c r="D25" s="564"/>
      <c r="E25" s="564"/>
      <c r="F25" s="564"/>
      <c r="G25" s="564"/>
      <c r="H25" s="564">
        <v>11000</v>
      </c>
      <c r="I25" s="564"/>
      <c r="J25" s="565">
        <f t="shared" si="0"/>
        <v>11000</v>
      </c>
      <c r="L25" s="671"/>
      <c r="M25" s="671"/>
    </row>
    <row r="26" spans="1:13" s="710" customFormat="1" x14ac:dyDescent="0.25">
      <c r="A26" s="706" t="s">
        <v>447</v>
      </c>
      <c r="B26" s="707">
        <f>11400+1600</f>
        <v>13000</v>
      </c>
      <c r="C26" s="708"/>
      <c r="D26" s="708"/>
      <c r="E26" s="708"/>
      <c r="F26" s="708"/>
      <c r="G26" s="708"/>
      <c r="H26" s="708">
        <f>11400+1600</f>
        <v>13000</v>
      </c>
      <c r="I26" s="708"/>
      <c r="J26" s="709">
        <f t="shared" si="0"/>
        <v>13000</v>
      </c>
      <c r="L26" s="711"/>
      <c r="M26" s="711"/>
    </row>
    <row r="27" spans="1:13" x14ac:dyDescent="0.25">
      <c r="A27" s="557" t="s">
        <v>453</v>
      </c>
      <c r="B27" s="69">
        <v>23950</v>
      </c>
      <c r="C27" s="564">
        <f>15000+6000-250</f>
        <v>20750</v>
      </c>
      <c r="D27" s="564"/>
      <c r="E27" s="564"/>
      <c r="F27" s="564"/>
      <c r="G27" s="564"/>
      <c r="H27" s="564">
        <v>3200</v>
      </c>
      <c r="I27" s="564"/>
      <c r="J27" s="565">
        <f t="shared" si="0"/>
        <v>23950</v>
      </c>
      <c r="L27" s="671"/>
      <c r="M27" s="671"/>
    </row>
    <row r="28" spans="1:13" x14ac:dyDescent="0.25">
      <c r="A28" s="557" t="s">
        <v>446</v>
      </c>
      <c r="B28" s="69">
        <v>5000</v>
      </c>
      <c r="C28" s="564"/>
      <c r="D28" s="564"/>
      <c r="E28" s="564"/>
      <c r="F28" s="564"/>
      <c r="G28" s="564"/>
      <c r="H28" s="564">
        <v>5000</v>
      </c>
      <c r="I28" s="564"/>
      <c r="J28" s="565">
        <f t="shared" si="0"/>
        <v>5000</v>
      </c>
      <c r="L28" s="671"/>
      <c r="M28" s="671"/>
    </row>
    <row r="29" spans="1:13" x14ac:dyDescent="0.25">
      <c r="A29" s="557" t="s">
        <v>445</v>
      </c>
      <c r="B29" s="69">
        <v>2600</v>
      </c>
      <c r="C29" s="564"/>
      <c r="D29" s="564">
        <v>2600</v>
      </c>
      <c r="E29" s="564"/>
      <c r="F29" s="564"/>
      <c r="G29" s="564"/>
      <c r="H29" s="564"/>
      <c r="I29" s="564"/>
      <c r="J29" s="565">
        <f t="shared" si="0"/>
        <v>2600</v>
      </c>
      <c r="L29" s="671"/>
      <c r="M29" s="671"/>
    </row>
    <row r="30" spans="1:13" x14ac:dyDescent="0.25">
      <c r="A30" s="557" t="s">
        <v>444</v>
      </c>
      <c r="B30" s="69">
        <v>8000</v>
      </c>
      <c r="C30" s="564"/>
      <c r="D30" s="564">
        <v>8000</v>
      </c>
      <c r="E30" s="564"/>
      <c r="F30" s="564"/>
      <c r="G30" s="564"/>
      <c r="H30" s="564"/>
      <c r="I30" s="564"/>
      <c r="J30" s="565">
        <f t="shared" si="0"/>
        <v>8000</v>
      </c>
      <c r="L30" s="671"/>
      <c r="M30" s="671"/>
    </row>
    <row r="31" spans="1:13" s="710" customFormat="1" x14ac:dyDescent="0.25">
      <c r="A31" s="706" t="s">
        <v>463</v>
      </c>
      <c r="B31" s="707">
        <v>94738</v>
      </c>
      <c r="C31" s="708">
        <f>75600+1500-9473-60000</f>
        <v>7627</v>
      </c>
      <c r="D31" s="708"/>
      <c r="E31" s="708"/>
      <c r="F31" s="708"/>
      <c r="G31" s="708"/>
      <c r="H31" s="708">
        <f>22000-2862-1500+9473</f>
        <v>27111</v>
      </c>
      <c r="I31" s="708">
        <v>60000</v>
      </c>
      <c r="J31" s="709">
        <f t="shared" si="0"/>
        <v>94738</v>
      </c>
      <c r="L31" s="711"/>
      <c r="M31" s="711"/>
    </row>
    <row r="32" spans="1:13" x14ac:dyDescent="0.25">
      <c r="A32" s="557" t="s">
        <v>393</v>
      </c>
      <c r="B32" s="69">
        <v>17749</v>
      </c>
      <c r="C32" s="564"/>
      <c r="D32" s="564"/>
      <c r="E32" s="564"/>
      <c r="F32" s="564"/>
      <c r="G32" s="564"/>
      <c r="H32" s="564"/>
      <c r="I32" s="564">
        <f>19000-1251</f>
        <v>17749</v>
      </c>
      <c r="J32" s="565">
        <f t="shared" si="0"/>
        <v>17749</v>
      </c>
      <c r="L32" s="671"/>
      <c r="M32" s="671"/>
    </row>
    <row r="33" spans="1:13" x14ac:dyDescent="0.25">
      <c r="A33" s="557" t="s">
        <v>98</v>
      </c>
      <c r="B33" s="69">
        <v>36876</v>
      </c>
      <c r="C33" s="564"/>
      <c r="D33" s="564"/>
      <c r="E33" s="564"/>
      <c r="F33" s="564"/>
      <c r="G33" s="564"/>
      <c r="H33" s="564">
        <v>36876</v>
      </c>
      <c r="I33" s="564"/>
      <c r="J33" s="565">
        <f t="shared" si="0"/>
        <v>36876</v>
      </c>
      <c r="L33" s="671"/>
      <c r="M33" s="671"/>
    </row>
    <row r="34" spans="1:13" x14ac:dyDescent="0.25">
      <c r="A34" s="696" t="s">
        <v>331</v>
      </c>
      <c r="B34" s="27">
        <v>15000</v>
      </c>
      <c r="C34" s="564"/>
      <c r="D34" s="564"/>
      <c r="E34" s="564"/>
      <c r="F34" s="564"/>
      <c r="G34" s="564"/>
      <c r="H34" s="564">
        <v>15000</v>
      </c>
      <c r="I34" s="564"/>
      <c r="J34" s="565">
        <f t="shared" si="0"/>
        <v>15000</v>
      </c>
      <c r="L34" s="671"/>
      <c r="M34" s="671"/>
    </row>
    <row r="35" spans="1:13" x14ac:dyDescent="0.25">
      <c r="A35" s="557" t="s">
        <v>439</v>
      </c>
      <c r="B35" s="69">
        <v>6500</v>
      </c>
      <c r="C35" s="564">
        <v>6500</v>
      </c>
      <c r="D35" s="564"/>
      <c r="E35" s="564"/>
      <c r="F35" s="564"/>
      <c r="G35" s="564"/>
      <c r="H35" s="564"/>
      <c r="I35" s="564"/>
      <c r="J35" s="565">
        <f t="shared" si="0"/>
        <v>6500</v>
      </c>
      <c r="L35" s="671"/>
      <c r="M35" s="671"/>
    </row>
    <row r="36" spans="1:13" x14ac:dyDescent="0.25">
      <c r="A36" s="557" t="s">
        <v>429</v>
      </c>
      <c r="B36" s="69">
        <v>1000</v>
      </c>
      <c r="C36" s="564">
        <v>1000</v>
      </c>
      <c r="D36" s="564"/>
      <c r="E36" s="564"/>
      <c r="F36" s="564"/>
      <c r="G36" s="564"/>
      <c r="H36" s="564"/>
      <c r="I36" s="564"/>
      <c r="J36" s="565">
        <f t="shared" si="0"/>
        <v>1000</v>
      </c>
      <c r="L36" s="671"/>
      <c r="M36" s="671"/>
    </row>
    <row r="37" spans="1:13" x14ac:dyDescent="0.25">
      <c r="A37" s="557" t="s">
        <v>449</v>
      </c>
      <c r="B37" s="69">
        <v>1000</v>
      </c>
      <c r="C37" s="564"/>
      <c r="D37" s="564"/>
      <c r="E37" s="564"/>
      <c r="F37" s="564"/>
      <c r="G37" s="564"/>
      <c r="H37" s="564">
        <v>1000</v>
      </c>
      <c r="I37" s="564"/>
      <c r="J37" s="565">
        <f t="shared" si="0"/>
        <v>1000</v>
      </c>
      <c r="L37" s="671"/>
      <c r="M37" s="671"/>
    </row>
    <row r="38" spans="1:13" x14ac:dyDescent="0.25">
      <c r="A38" s="557" t="s">
        <v>426</v>
      </c>
      <c r="B38" s="69">
        <v>20000</v>
      </c>
      <c r="C38" s="564"/>
      <c r="D38" s="564"/>
      <c r="E38" s="564"/>
      <c r="F38" s="564">
        <v>15000</v>
      </c>
      <c r="G38" s="564"/>
      <c r="H38" s="564">
        <v>5000</v>
      </c>
      <c r="I38" s="564"/>
      <c r="J38" s="565">
        <f t="shared" si="0"/>
        <v>20000</v>
      </c>
      <c r="L38" s="671"/>
      <c r="M38" s="671"/>
    </row>
    <row r="39" spans="1:13" x14ac:dyDescent="0.25">
      <c r="A39" s="557" t="s">
        <v>333</v>
      </c>
      <c r="B39" s="69">
        <v>36000</v>
      </c>
      <c r="C39" s="564">
        <v>93</v>
      </c>
      <c r="D39" s="564"/>
      <c r="E39" s="564"/>
      <c r="F39" s="564"/>
      <c r="G39" s="564"/>
      <c r="H39" s="564"/>
      <c r="I39" s="564">
        <f>249907-84000-130000</f>
        <v>35907</v>
      </c>
      <c r="J39" s="565">
        <f t="shared" si="0"/>
        <v>36000</v>
      </c>
      <c r="L39" s="671"/>
      <c r="M39" s="671"/>
    </row>
    <row r="40" spans="1:13" x14ac:dyDescent="0.25">
      <c r="A40" s="557" t="s">
        <v>335</v>
      </c>
      <c r="B40" s="69">
        <v>29012</v>
      </c>
      <c r="C40" s="564">
        <v>29012</v>
      </c>
      <c r="D40" s="564"/>
      <c r="E40" s="564"/>
      <c r="F40" s="564"/>
      <c r="G40" s="564"/>
      <c r="H40" s="564"/>
      <c r="I40" s="564"/>
      <c r="J40" s="565">
        <f t="shared" si="0"/>
        <v>29012</v>
      </c>
      <c r="L40" s="671"/>
      <c r="M40" s="671"/>
    </row>
    <row r="41" spans="1:13" x14ac:dyDescent="0.25">
      <c r="A41" s="557" t="s">
        <v>414</v>
      </c>
      <c r="B41" s="69">
        <v>23200</v>
      </c>
      <c r="C41" s="564"/>
      <c r="D41" s="564"/>
      <c r="E41" s="564"/>
      <c r="F41" s="564"/>
      <c r="G41" s="564"/>
      <c r="H41" s="564">
        <v>23200</v>
      </c>
      <c r="I41" s="564"/>
      <c r="J41" s="565">
        <f t="shared" si="0"/>
        <v>23200</v>
      </c>
      <c r="L41" s="671"/>
      <c r="M41" s="671"/>
    </row>
    <row r="42" spans="1:13" x14ac:dyDescent="0.25">
      <c r="A42" s="557" t="s">
        <v>415</v>
      </c>
      <c r="B42" s="69">
        <v>10000</v>
      </c>
      <c r="C42" s="564"/>
      <c r="D42" s="564"/>
      <c r="E42" s="564"/>
      <c r="F42" s="564"/>
      <c r="G42" s="564"/>
      <c r="H42" s="564">
        <v>10000</v>
      </c>
      <c r="I42" s="564"/>
      <c r="J42" s="565">
        <f t="shared" si="0"/>
        <v>10000</v>
      </c>
      <c r="L42" s="671"/>
      <c r="M42" s="671"/>
    </row>
    <row r="43" spans="1:13" s="710" customFormat="1" x14ac:dyDescent="0.25">
      <c r="A43" s="706" t="s">
        <v>478</v>
      </c>
      <c r="B43" s="707">
        <v>24000</v>
      </c>
      <c r="C43" s="708"/>
      <c r="D43" s="708"/>
      <c r="E43" s="708"/>
      <c r="F43" s="708">
        <v>8000</v>
      </c>
      <c r="G43" s="708"/>
      <c r="H43" s="708">
        <v>6000</v>
      </c>
      <c r="I43" s="708">
        <v>10000</v>
      </c>
      <c r="J43" s="709">
        <f>SUM(C43:I43)</f>
        <v>24000</v>
      </c>
      <c r="L43" s="711"/>
      <c r="M43" s="711"/>
    </row>
    <row r="44" spans="1:13" x14ac:dyDescent="0.25">
      <c r="A44" s="697" t="s">
        <v>418</v>
      </c>
      <c r="B44" s="69">
        <v>97410</v>
      </c>
      <c r="C44" s="564"/>
      <c r="D44" s="564"/>
      <c r="E44" s="564"/>
      <c r="F44" s="564"/>
      <c r="G44" s="564"/>
      <c r="H44" s="564"/>
      <c r="I44" s="564">
        <v>97410</v>
      </c>
      <c r="J44" s="565">
        <f t="shared" si="0"/>
        <v>97410</v>
      </c>
      <c r="L44" s="671"/>
      <c r="M44" s="671"/>
    </row>
    <row r="45" spans="1:13" x14ac:dyDescent="0.25">
      <c r="A45" s="557" t="s">
        <v>417</v>
      </c>
      <c r="B45" s="69">
        <v>367143</v>
      </c>
      <c r="C45" s="564"/>
      <c r="D45" s="564"/>
      <c r="E45" s="564"/>
      <c r="F45" s="564">
        <v>170000</v>
      </c>
      <c r="G45" s="564"/>
      <c r="H45" s="564"/>
      <c r="I45" s="564">
        <f>67143+130000</f>
        <v>197143</v>
      </c>
      <c r="J45" s="565">
        <f t="shared" si="0"/>
        <v>367143</v>
      </c>
      <c r="L45" s="671"/>
      <c r="M45" s="671"/>
    </row>
    <row r="46" spans="1:13" x14ac:dyDescent="0.25">
      <c r="A46" s="557" t="s">
        <v>432</v>
      </c>
      <c r="B46" s="69">
        <v>450000</v>
      </c>
      <c r="C46" s="564"/>
      <c r="D46" s="564"/>
      <c r="E46" s="564"/>
      <c r="F46" s="564"/>
      <c r="G46" s="564"/>
      <c r="H46" s="564"/>
      <c r="I46" s="564">
        <v>450000</v>
      </c>
      <c r="J46" s="565">
        <f t="shared" si="0"/>
        <v>450000</v>
      </c>
      <c r="L46" s="671"/>
      <c r="M46" s="671"/>
    </row>
    <row r="47" spans="1:13" x14ac:dyDescent="0.25">
      <c r="A47" s="557" t="s">
        <v>442</v>
      </c>
      <c r="B47" s="69">
        <v>100000</v>
      </c>
      <c r="C47" s="564"/>
      <c r="D47" s="564">
        <v>100000</v>
      </c>
      <c r="E47" s="564"/>
      <c r="F47" s="564"/>
      <c r="G47" s="564"/>
      <c r="H47" s="564"/>
      <c r="I47" s="564"/>
      <c r="J47" s="565">
        <f t="shared" si="0"/>
        <v>100000</v>
      </c>
      <c r="L47" s="671"/>
      <c r="M47" s="671"/>
    </row>
    <row r="48" spans="1:13" x14ac:dyDescent="0.25">
      <c r="A48" s="706" t="s">
        <v>466</v>
      </c>
      <c r="B48" s="707">
        <v>82000</v>
      </c>
      <c r="C48" s="708"/>
      <c r="D48" s="708"/>
      <c r="E48" s="708"/>
      <c r="F48" s="708"/>
      <c r="G48" s="708"/>
      <c r="H48" s="708">
        <v>45000</v>
      </c>
      <c r="I48" s="708">
        <f>51022-14022</f>
        <v>37000</v>
      </c>
      <c r="J48" s="709">
        <f>SUM(C48:I48)</f>
        <v>82000</v>
      </c>
      <c r="L48" s="671"/>
      <c r="M48" s="671"/>
    </row>
    <row r="49" spans="1:13" x14ac:dyDescent="0.25">
      <c r="A49" s="557" t="s">
        <v>468</v>
      </c>
      <c r="B49" s="69">
        <v>14652</v>
      </c>
      <c r="C49" s="564"/>
      <c r="D49" s="564"/>
      <c r="E49" s="564"/>
      <c r="F49" s="564">
        <v>10000</v>
      </c>
      <c r="G49" s="564"/>
      <c r="H49" s="564">
        <v>4652</v>
      </c>
      <c r="I49" s="564"/>
      <c r="J49" s="565">
        <f t="shared" si="0"/>
        <v>14652</v>
      </c>
      <c r="L49" s="671"/>
      <c r="M49" s="671"/>
    </row>
    <row r="50" spans="1:13" x14ac:dyDescent="0.25">
      <c r="A50" s="557" t="s">
        <v>425</v>
      </c>
      <c r="B50" s="69">
        <v>10000</v>
      </c>
      <c r="C50" s="564">
        <v>10000</v>
      </c>
      <c r="D50" s="564"/>
      <c r="E50" s="564"/>
      <c r="F50" s="564"/>
      <c r="G50" s="564"/>
      <c r="H50" s="564"/>
      <c r="I50" s="564"/>
      <c r="J50" s="565">
        <f t="shared" si="0"/>
        <v>10000</v>
      </c>
      <c r="L50" s="671"/>
      <c r="M50" s="671"/>
    </row>
    <row r="51" spans="1:13" x14ac:dyDescent="0.25">
      <c r="A51" s="557" t="s">
        <v>394</v>
      </c>
      <c r="B51" s="69">
        <v>25834</v>
      </c>
      <c r="C51" s="564">
        <v>1292</v>
      </c>
      <c r="D51" s="564"/>
      <c r="E51" s="564"/>
      <c r="F51" s="564">
        <v>24542</v>
      </c>
      <c r="G51" s="564"/>
      <c r="H51" s="564"/>
      <c r="I51" s="564"/>
      <c r="J51" s="565">
        <f t="shared" si="0"/>
        <v>25834</v>
      </c>
      <c r="L51" s="671"/>
      <c r="M51" s="671"/>
    </row>
    <row r="52" spans="1:13" x14ac:dyDescent="0.25">
      <c r="A52" s="557" t="s">
        <v>345</v>
      </c>
      <c r="B52" s="69">
        <v>41760</v>
      </c>
      <c r="C52" s="564">
        <v>41760</v>
      </c>
      <c r="D52" s="564"/>
      <c r="E52" s="564"/>
      <c r="F52" s="564"/>
      <c r="G52" s="564"/>
      <c r="H52" s="564"/>
      <c r="I52" s="564"/>
      <c r="J52" s="565">
        <f t="shared" si="0"/>
        <v>41760</v>
      </c>
      <c r="L52" s="671"/>
      <c r="M52" s="671"/>
    </row>
    <row r="53" spans="1:13" x14ac:dyDescent="0.25">
      <c r="A53" s="696" t="s">
        <v>326</v>
      </c>
      <c r="B53" s="27">
        <v>1500</v>
      </c>
      <c r="C53" s="564">
        <v>1500</v>
      </c>
      <c r="D53" s="564"/>
      <c r="E53" s="564"/>
      <c r="F53" s="564"/>
      <c r="G53" s="564"/>
      <c r="H53" s="564"/>
      <c r="I53" s="564"/>
      <c r="J53" s="565">
        <f t="shared" si="0"/>
        <v>1500</v>
      </c>
      <c r="L53" s="671"/>
      <c r="M53" s="671"/>
    </row>
    <row r="54" spans="1:13" x14ac:dyDescent="0.25">
      <c r="A54" s="696" t="s">
        <v>438</v>
      </c>
      <c r="B54" s="27">
        <v>5979</v>
      </c>
      <c r="C54" s="564"/>
      <c r="D54" s="564"/>
      <c r="E54" s="564"/>
      <c r="F54" s="564"/>
      <c r="G54" s="564"/>
      <c r="H54" s="564">
        <v>5979</v>
      </c>
      <c r="I54" s="564"/>
      <c r="J54" s="565">
        <f t="shared" si="0"/>
        <v>5979</v>
      </c>
      <c r="L54" s="671"/>
      <c r="M54" s="671"/>
    </row>
    <row r="55" spans="1:13" x14ac:dyDescent="0.25">
      <c r="A55" s="696" t="s">
        <v>452</v>
      </c>
      <c r="B55" s="27">
        <v>30000</v>
      </c>
      <c r="C55" s="564"/>
      <c r="D55" s="564"/>
      <c r="E55" s="564"/>
      <c r="F55" s="564">
        <v>30000</v>
      </c>
      <c r="G55" s="564"/>
      <c r="H55" s="564"/>
      <c r="I55" s="564"/>
      <c r="J55" s="565">
        <f t="shared" si="0"/>
        <v>30000</v>
      </c>
      <c r="L55" s="671"/>
      <c r="M55" s="671"/>
    </row>
    <row r="56" spans="1:13" x14ac:dyDescent="0.25">
      <c r="A56" s="557" t="s">
        <v>437</v>
      </c>
      <c r="B56" s="69">
        <v>19876</v>
      </c>
      <c r="C56" s="564"/>
      <c r="D56" s="564"/>
      <c r="E56" s="564"/>
      <c r="F56" s="564"/>
      <c r="G56" s="564"/>
      <c r="H56" s="564">
        <v>19876</v>
      </c>
      <c r="I56" s="564"/>
      <c r="J56" s="565">
        <f t="shared" si="0"/>
        <v>19876</v>
      </c>
      <c r="L56" s="671"/>
      <c r="M56" s="671"/>
    </row>
    <row r="57" spans="1:13" x14ac:dyDescent="0.25">
      <c r="A57" s="557" t="s">
        <v>326</v>
      </c>
      <c r="B57" s="69">
        <v>2950</v>
      </c>
      <c r="C57" s="564">
        <v>2950</v>
      </c>
      <c r="D57" s="564"/>
      <c r="E57" s="564"/>
      <c r="F57" s="564"/>
      <c r="G57" s="564"/>
      <c r="H57" s="564"/>
      <c r="I57" s="564"/>
      <c r="J57" s="565">
        <f t="shared" si="0"/>
        <v>2950</v>
      </c>
      <c r="L57" s="671"/>
      <c r="M57" s="671"/>
    </row>
    <row r="58" spans="1:13" x14ac:dyDescent="0.25">
      <c r="A58" s="557" t="s">
        <v>351</v>
      </c>
      <c r="B58" s="69">
        <v>1700</v>
      </c>
      <c r="C58" s="564">
        <v>1700</v>
      </c>
      <c r="D58" s="564"/>
      <c r="E58" s="564"/>
      <c r="F58" s="564"/>
      <c r="G58" s="564"/>
      <c r="H58" s="564"/>
      <c r="I58" s="564"/>
      <c r="J58" s="565">
        <f t="shared" si="0"/>
        <v>1700</v>
      </c>
      <c r="L58" s="671"/>
      <c r="M58" s="671"/>
    </row>
    <row r="59" spans="1:13" x14ac:dyDescent="0.25">
      <c r="A59" s="557" t="s">
        <v>395</v>
      </c>
      <c r="B59" s="69">
        <v>172431</v>
      </c>
      <c r="C59" s="564"/>
      <c r="D59" s="564"/>
      <c r="E59" s="564"/>
      <c r="F59" s="564">
        <v>172431</v>
      </c>
      <c r="G59" s="564"/>
      <c r="H59" s="564"/>
      <c r="I59" s="564"/>
      <c r="J59" s="565">
        <f t="shared" si="0"/>
        <v>172431</v>
      </c>
      <c r="L59" s="671"/>
      <c r="M59" s="671"/>
    </row>
    <row r="60" spans="1:13" x14ac:dyDescent="0.25">
      <c r="A60" s="557" t="s">
        <v>409</v>
      </c>
      <c r="B60" s="69">
        <v>210526</v>
      </c>
      <c r="C60" s="564"/>
      <c r="D60" s="564">
        <v>1400</v>
      </c>
      <c r="E60" s="564"/>
      <c r="F60" s="564">
        <v>186039</v>
      </c>
      <c r="G60" s="564"/>
      <c r="H60" s="564">
        <f>23087-1251</f>
        <v>21836</v>
      </c>
      <c r="I60" s="564">
        <v>1251</v>
      </c>
      <c r="J60" s="565">
        <f t="shared" si="0"/>
        <v>210526</v>
      </c>
      <c r="L60" s="671"/>
      <c r="M60" s="671"/>
    </row>
    <row r="61" spans="1:13" x14ac:dyDescent="0.25">
      <c r="A61" s="557" t="s">
        <v>410</v>
      </c>
      <c r="B61" s="69">
        <v>15000</v>
      </c>
      <c r="C61" s="564">
        <v>15000</v>
      </c>
      <c r="D61" s="564"/>
      <c r="E61" s="564"/>
      <c r="F61" s="564"/>
      <c r="G61" s="564"/>
      <c r="H61" s="564"/>
      <c r="I61" s="564"/>
      <c r="J61" s="565">
        <f t="shared" si="0"/>
        <v>15000</v>
      </c>
      <c r="L61" s="671"/>
      <c r="M61" s="671"/>
    </row>
    <row r="62" spans="1:13" s="710" customFormat="1" x14ac:dyDescent="0.25">
      <c r="A62" s="706" t="s">
        <v>352</v>
      </c>
      <c r="B62" s="707">
        <v>60000</v>
      </c>
      <c r="C62" s="708"/>
      <c r="D62" s="708"/>
      <c r="E62" s="708"/>
      <c r="F62" s="708"/>
      <c r="G62" s="708"/>
      <c r="H62" s="708"/>
      <c r="I62" s="708">
        <v>60000</v>
      </c>
      <c r="J62" s="709">
        <f t="shared" si="0"/>
        <v>60000</v>
      </c>
      <c r="L62" s="711"/>
      <c r="M62" s="711"/>
    </row>
    <row r="63" spans="1:13" s="710" customFormat="1" x14ac:dyDescent="0.25">
      <c r="A63" s="712" t="s">
        <v>475</v>
      </c>
      <c r="B63" s="713">
        <f>9000-1600</f>
        <v>7400</v>
      </c>
      <c r="C63" s="708"/>
      <c r="D63" s="708"/>
      <c r="E63" s="708"/>
      <c r="F63" s="708"/>
      <c r="G63" s="708"/>
      <c r="H63" s="708">
        <f>9000-1600</f>
        <v>7400</v>
      </c>
      <c r="I63" s="708"/>
      <c r="J63" s="709">
        <f t="shared" si="0"/>
        <v>7400</v>
      </c>
      <c r="L63" s="711"/>
      <c r="M63" s="711"/>
    </row>
    <row r="64" spans="1:13" ht="15.75" thickBot="1" x14ac:dyDescent="0.3">
      <c r="A64" s="698" t="s">
        <v>416</v>
      </c>
      <c r="B64" s="699">
        <v>6050</v>
      </c>
      <c r="C64" s="576">
        <v>1550</v>
      </c>
      <c r="D64" s="576"/>
      <c r="E64" s="576"/>
      <c r="F64" s="576"/>
      <c r="G64" s="576"/>
      <c r="H64" s="576">
        <v>4500</v>
      </c>
      <c r="I64" s="576"/>
      <c r="J64" s="570">
        <f t="shared" si="0"/>
        <v>6050</v>
      </c>
      <c r="L64" s="671"/>
      <c r="M64" s="671"/>
    </row>
    <row r="65" spans="1:13" ht="20.25" thickTop="1" thickBot="1" x14ac:dyDescent="0.35">
      <c r="A65" s="704" t="s">
        <v>476</v>
      </c>
      <c r="B65" s="160">
        <f>SUM(B3:B64)</f>
        <v>5008556</v>
      </c>
      <c r="C65" s="702">
        <f>SUM(C3:C64)</f>
        <v>259961</v>
      </c>
      <c r="D65" s="702">
        <f t="shared" ref="D65:I65" si="1">SUM(D3:D64)</f>
        <v>120000</v>
      </c>
      <c r="E65" s="702">
        <f t="shared" si="1"/>
        <v>0</v>
      </c>
      <c r="F65" s="702">
        <f t="shared" si="1"/>
        <v>1764232</v>
      </c>
      <c r="G65" s="702">
        <f t="shared" si="1"/>
        <v>1095877</v>
      </c>
      <c r="H65" s="702">
        <f>SUM(H3:H64)</f>
        <v>381026</v>
      </c>
      <c r="I65" s="702">
        <f t="shared" si="1"/>
        <v>1387460</v>
      </c>
      <c r="J65" s="703">
        <f>SUM(J3:J64)</f>
        <v>5008556</v>
      </c>
      <c r="L65" s="671"/>
      <c r="M65" s="671"/>
    </row>
    <row r="66" spans="1:13" ht="15.75" thickTop="1" x14ac:dyDescent="0.25"/>
    <row r="67" spans="1:13" x14ac:dyDescent="0.25">
      <c r="C67" s="671"/>
    </row>
    <row r="68" spans="1:13" x14ac:dyDescent="0.25">
      <c r="B68" s="671"/>
      <c r="C68" s="671"/>
    </row>
    <row r="69" spans="1:13" x14ac:dyDescent="0.25">
      <c r="B69" s="671"/>
      <c r="C69" s="671"/>
      <c r="D69" s="671"/>
      <c r="E69" s="671"/>
      <c r="F69" s="671"/>
      <c r="G69" s="671"/>
      <c r="H69" s="671"/>
      <c r="I69" s="671"/>
      <c r="J69" s="671"/>
    </row>
    <row r="70" spans="1:13" x14ac:dyDescent="0.25">
      <c r="C70" s="671"/>
      <c r="F70" s="671"/>
      <c r="G70" s="671"/>
      <c r="H70" s="671"/>
      <c r="I70" s="671"/>
    </row>
    <row r="71" spans="1:13" x14ac:dyDescent="0.25">
      <c r="B71" s="671"/>
      <c r="H71" s="671"/>
      <c r="J71" s="671"/>
    </row>
    <row r="73" spans="1:13" x14ac:dyDescent="0.25">
      <c r="I73" s="671"/>
    </row>
  </sheetData>
  <mergeCells count="4">
    <mergeCell ref="J1:J2"/>
    <mergeCell ref="C1:I1"/>
    <mergeCell ref="B1:B2"/>
    <mergeCell ref="A1:A2"/>
  </mergeCells>
  <pageMargins left="0.31496062992125984" right="0.11811023622047245" top="0.74803149606299213" bottom="0.74803149606299213" header="0.31496062992125984" footer="0.31496062992125984"/>
  <pageSetup paperSize="9" orientation="landscape" r:id="rId1"/>
  <ignoredErrors>
    <ignoredError sqref="J58:J65 J3:J43 J49:J56 J44:J4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8</vt:i4>
      </vt:variant>
    </vt:vector>
  </HeadingPairs>
  <TitlesOfParts>
    <vt:vector size="8" baseType="lpstr">
      <vt:lpstr>Bežné príjmy</vt:lpstr>
      <vt:lpstr>bežné výdavky</vt:lpstr>
      <vt:lpstr>Kapitálové príjmy</vt:lpstr>
      <vt:lpstr>Kapitálové výdavky</vt:lpstr>
      <vt:lpstr>Fin operácie - príjmy</vt:lpstr>
      <vt:lpstr>Finančné operácie - výdavky</vt:lpstr>
      <vt:lpstr>HOSP.</vt:lpstr>
      <vt:lpstr>Zdroje krytia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kamenicky</dc:creator>
  <cp:lastModifiedBy>kamenicky</cp:lastModifiedBy>
  <cp:lastPrinted>2019-11-15T08:58:07Z</cp:lastPrinted>
  <dcterms:created xsi:type="dcterms:W3CDTF">2018-11-19T12:30:36Z</dcterms:created>
  <dcterms:modified xsi:type="dcterms:W3CDTF">2020-03-27T07:49:43Z</dcterms:modified>
</cp:coreProperties>
</file>