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250" yWindow="645" windowWidth="16065" windowHeight="11550" activeTab="6"/>
  </bookViews>
  <sheets>
    <sheet name="Bežné príjmy" sheetId="17" r:id="rId1"/>
    <sheet name="bežné výdavky" sheetId="23" r:id="rId2"/>
    <sheet name="Kapitálové príjmy" sheetId="19" r:id="rId3"/>
    <sheet name="Kapitálové výdavky" sheetId="22" r:id="rId4"/>
    <sheet name="Fin operácie - príjmy" sheetId="20" r:id="rId5"/>
    <sheet name="Finančné operácie - výdavky" sheetId="21" r:id="rId6"/>
    <sheet name="HOSP." sheetId="56" r:id="rId7"/>
    <sheet name="Zdroje krytia" sheetId="59" r:id="rId8"/>
  </sheets>
  <calcPr calcId="144525"/>
</workbook>
</file>

<file path=xl/calcChain.xml><?xml version="1.0" encoding="utf-8"?>
<calcChain xmlns="http://schemas.openxmlformats.org/spreadsheetml/2006/main">
  <c r="Q152" i="23" l="1"/>
  <c r="R19" i="23" l="1"/>
  <c r="J51" i="59"/>
  <c r="H113" i="59"/>
  <c r="Q155" i="23"/>
  <c r="Q82" i="17" l="1"/>
  <c r="Q83" i="17"/>
  <c r="Q99" i="17"/>
  <c r="Q98" i="17"/>
  <c r="Q100" i="17"/>
  <c r="P88" i="17"/>
  <c r="Q69" i="17"/>
  <c r="Q88" i="17" l="1"/>
  <c r="F115" i="59" l="1"/>
  <c r="H21" i="59" l="1"/>
  <c r="H18" i="59"/>
  <c r="O14" i="23" l="1"/>
  <c r="N14" i="23"/>
  <c r="H26" i="59"/>
  <c r="R76" i="23"/>
  <c r="P141" i="23"/>
  <c r="N111" i="59"/>
  <c r="N112" i="59"/>
  <c r="H105" i="59"/>
  <c r="L48" i="59"/>
  <c r="L12" i="59"/>
  <c r="L125" i="59" s="1"/>
  <c r="P113" i="23"/>
  <c r="O4" i="23" l="1"/>
  <c r="R51" i="22"/>
  <c r="N10" i="23"/>
  <c r="N19" i="23"/>
  <c r="N25" i="23"/>
  <c r="N27" i="23"/>
  <c r="N29" i="23"/>
  <c r="N34" i="23"/>
  <c r="N36" i="23"/>
  <c r="N41" i="23"/>
  <c r="N43" i="23"/>
  <c r="N48" i="23"/>
  <c r="N55" i="23"/>
  <c r="N54" i="23" s="1"/>
  <c r="N72" i="23"/>
  <c r="N79" i="23"/>
  <c r="N84" i="23"/>
  <c r="N89" i="23"/>
  <c r="N108" i="23"/>
  <c r="N110" i="23"/>
  <c r="N113" i="23"/>
  <c r="N120" i="23"/>
  <c r="N124" i="23"/>
  <c r="N138" i="23"/>
  <c r="N141" i="23"/>
  <c r="N147" i="23"/>
  <c r="N152" i="23"/>
  <c r="N161" i="23"/>
  <c r="N167" i="23"/>
  <c r="N173" i="23"/>
  <c r="N175" i="23"/>
  <c r="N181" i="23"/>
  <c r="N187" i="23"/>
  <c r="N186" i="23" s="1"/>
  <c r="K31" i="59"/>
  <c r="E31" i="59"/>
  <c r="Q14" i="20"/>
  <c r="R8" i="23"/>
  <c r="C63" i="59"/>
  <c r="P32" i="22"/>
  <c r="Q187" i="23"/>
  <c r="Q186" i="23" s="1"/>
  <c r="Q102" i="17"/>
  <c r="Q103" i="17"/>
  <c r="O110" i="23"/>
  <c r="O43" i="23"/>
  <c r="D51" i="59"/>
  <c r="N51" i="59"/>
  <c r="E13" i="59"/>
  <c r="E12" i="59" s="1"/>
  <c r="F13" i="59"/>
  <c r="P19" i="19"/>
  <c r="P18" i="19" s="1"/>
  <c r="R47" i="23"/>
  <c r="Q43" i="23"/>
  <c r="P43" i="23"/>
  <c r="F26" i="59"/>
  <c r="R143" i="23"/>
  <c r="R141" i="23" s="1"/>
  <c r="Q141" i="23"/>
  <c r="Q37" i="17"/>
  <c r="R144" i="23"/>
  <c r="P70" i="17"/>
  <c r="P72" i="23"/>
  <c r="Q84" i="17"/>
  <c r="F31" i="59"/>
  <c r="R125" i="22"/>
  <c r="C112" i="59"/>
  <c r="M31" i="59"/>
  <c r="Q13" i="20"/>
  <c r="I12" i="59"/>
  <c r="E67" i="59"/>
  <c r="R52" i="22"/>
  <c r="R53" i="22"/>
  <c r="R54" i="22"/>
  <c r="R111" i="23"/>
  <c r="Q110" i="23"/>
  <c r="P110" i="23"/>
  <c r="P11" i="19"/>
  <c r="N4" i="21"/>
  <c r="N11" i="20"/>
  <c r="N32" i="22"/>
  <c r="O4" i="22"/>
  <c r="O32" i="22"/>
  <c r="P10" i="22"/>
  <c r="E110" i="59"/>
  <c r="N117" i="59"/>
  <c r="R127" i="22"/>
  <c r="R128" i="22"/>
  <c r="R129" i="22"/>
  <c r="R135" i="22"/>
  <c r="Q122" i="22"/>
  <c r="Q50" i="19"/>
  <c r="K64" i="59"/>
  <c r="M64" i="59"/>
  <c r="F110" i="59"/>
  <c r="G110" i="59"/>
  <c r="H110" i="59"/>
  <c r="I110" i="59"/>
  <c r="I101" i="59"/>
  <c r="I67" i="59"/>
  <c r="I64" i="59"/>
  <c r="I57" i="59"/>
  <c r="I48" i="59"/>
  <c r="I31" i="59"/>
  <c r="K92" i="59"/>
  <c r="M92" i="59"/>
  <c r="K101" i="59"/>
  <c r="M101" i="59"/>
  <c r="K67" i="59"/>
  <c r="F5" i="59"/>
  <c r="D5" i="59"/>
  <c r="N109" i="59"/>
  <c r="N6" i="59"/>
  <c r="Q32" i="22"/>
  <c r="Q13" i="22"/>
  <c r="Q4" i="22"/>
  <c r="N34" i="59"/>
  <c r="N115" i="59"/>
  <c r="R131" i="22"/>
  <c r="R55" i="22"/>
  <c r="R56" i="22"/>
  <c r="R8" i="22"/>
  <c r="C85" i="59"/>
  <c r="C84" i="59"/>
  <c r="R45" i="22"/>
  <c r="R46" i="22"/>
  <c r="R47" i="22"/>
  <c r="R48" i="22"/>
  <c r="R49" i="22"/>
  <c r="R50" i="22"/>
  <c r="R57" i="22"/>
  <c r="C65" i="59"/>
  <c r="R78" i="22"/>
  <c r="R35" i="22"/>
  <c r="Q49" i="19"/>
  <c r="R29" i="22"/>
  <c r="E8" i="59"/>
  <c r="N8" i="59" s="1"/>
  <c r="O152" i="23"/>
  <c r="N53" i="59"/>
  <c r="C53" i="59"/>
  <c r="C54" i="59"/>
  <c r="N7" i="59"/>
  <c r="C8" i="59"/>
  <c r="N104" i="59"/>
  <c r="N105" i="59"/>
  <c r="N106" i="59"/>
  <c r="J101" i="59"/>
  <c r="C104" i="59"/>
  <c r="C105" i="59"/>
  <c r="C106" i="59"/>
  <c r="D29" i="59"/>
  <c r="C29" i="59"/>
  <c r="Q10" i="20"/>
  <c r="R7" i="22"/>
  <c r="R117" i="22"/>
  <c r="R118" i="22"/>
  <c r="P4" i="22"/>
  <c r="Q44" i="17"/>
  <c r="C62" i="59"/>
  <c r="R6" i="22"/>
  <c r="R95" i="22"/>
  <c r="Q8" i="19"/>
  <c r="R14" i="22"/>
  <c r="D13" i="59" s="1"/>
  <c r="R15" i="22"/>
  <c r="R16" i="22"/>
  <c r="R18" i="22"/>
  <c r="R19" i="22"/>
  <c r="R20" i="22"/>
  <c r="R21" i="22"/>
  <c r="R22" i="22"/>
  <c r="R23" i="22"/>
  <c r="R24" i="22"/>
  <c r="R25" i="22"/>
  <c r="R26" i="22"/>
  <c r="R11" i="21"/>
  <c r="R8" i="21"/>
  <c r="R7" i="21"/>
  <c r="R6" i="21"/>
  <c r="R5" i="21"/>
  <c r="Q12" i="20"/>
  <c r="Q9" i="20"/>
  <c r="Q7" i="20"/>
  <c r="Q6" i="20"/>
  <c r="R142" i="22"/>
  <c r="R141" i="22" s="1"/>
  <c r="R140" i="22"/>
  <c r="R137" i="22"/>
  <c r="R136" i="22"/>
  <c r="R134" i="22"/>
  <c r="R133" i="22"/>
  <c r="R132" i="22"/>
  <c r="R130" i="22"/>
  <c r="R126" i="22"/>
  <c r="R124" i="22"/>
  <c r="R123" i="22"/>
  <c r="R121" i="22"/>
  <c r="R120" i="22" s="1"/>
  <c r="R119" i="22"/>
  <c r="R116" i="22"/>
  <c r="R115" i="22"/>
  <c r="R114" i="22"/>
  <c r="R112" i="22"/>
  <c r="R111" i="22"/>
  <c r="R110" i="22"/>
  <c r="R109" i="22"/>
  <c r="R108" i="22"/>
  <c r="R107" i="22"/>
  <c r="R106" i="22"/>
  <c r="R105" i="22" s="1"/>
  <c r="R100" i="22"/>
  <c r="R99" i="22"/>
  <c r="R98" i="22"/>
  <c r="R97" i="22"/>
  <c r="R96" i="22"/>
  <c r="R94" i="22"/>
  <c r="R93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79" i="22"/>
  <c r="R77" i="22"/>
  <c r="R76" i="22"/>
  <c r="R75" i="22" s="1"/>
  <c r="R74" i="22"/>
  <c r="R73" i="22"/>
  <c r="R72" i="22"/>
  <c r="R71" i="22"/>
  <c r="R70" i="22"/>
  <c r="R69" i="22"/>
  <c r="R67" i="22" s="1"/>
  <c r="R68" i="22"/>
  <c r="R66" i="22"/>
  <c r="R65" i="22"/>
  <c r="R64" i="22"/>
  <c r="R63" i="22"/>
  <c r="R62" i="22"/>
  <c r="R61" i="22"/>
  <c r="R60" i="22"/>
  <c r="R44" i="22"/>
  <c r="R43" i="22"/>
  <c r="R42" i="22"/>
  <c r="R41" i="22"/>
  <c r="R40" i="22"/>
  <c r="R37" i="22"/>
  <c r="R36" i="22"/>
  <c r="R34" i="22"/>
  <c r="R32" i="22" s="1"/>
  <c r="R33" i="22"/>
  <c r="R31" i="22"/>
  <c r="R30" i="22"/>
  <c r="R28" i="22"/>
  <c r="D27" i="59" s="1"/>
  <c r="R12" i="22"/>
  <c r="R11" i="22"/>
  <c r="R10" i="22" s="1"/>
  <c r="R9" i="22"/>
  <c r="R5" i="22"/>
  <c r="R4" i="22" s="1"/>
  <c r="P141" i="22"/>
  <c r="Q141" i="22"/>
  <c r="P122" i="22"/>
  <c r="P120" i="22"/>
  <c r="Q120" i="22"/>
  <c r="P113" i="22"/>
  <c r="Q113" i="22"/>
  <c r="P105" i="22"/>
  <c r="Q105" i="22"/>
  <c r="P80" i="22"/>
  <c r="Q80" i="22"/>
  <c r="O75" i="22"/>
  <c r="P75" i="22"/>
  <c r="Q75" i="22"/>
  <c r="Q67" i="22"/>
  <c r="P67" i="22"/>
  <c r="P58" i="22"/>
  <c r="Q58" i="22"/>
  <c r="Q10" i="22"/>
  <c r="Q55" i="19"/>
  <c r="Q54" i="19"/>
  <c r="Q51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2" i="19"/>
  <c r="Q11" i="19" s="1"/>
  <c r="Q10" i="19"/>
  <c r="Q9" i="19"/>
  <c r="P52" i="19"/>
  <c r="P7" i="19"/>
  <c r="P6" i="19" s="1"/>
  <c r="P5" i="19" s="1"/>
  <c r="R200" i="23"/>
  <c r="R199" i="23"/>
  <c r="R198" i="23"/>
  <c r="R197" i="23"/>
  <c r="R196" i="23"/>
  <c r="R195" i="23"/>
  <c r="R194" i="23"/>
  <c r="R193" i="23"/>
  <c r="R192" i="23"/>
  <c r="R191" i="23"/>
  <c r="R190" i="23"/>
  <c r="R189" i="23"/>
  <c r="R188" i="23"/>
  <c r="R185" i="23"/>
  <c r="R184" i="23"/>
  <c r="R183" i="23"/>
  <c r="R181" i="23" s="1"/>
  <c r="R182" i="23"/>
  <c r="R179" i="23"/>
  <c r="R178" i="23"/>
  <c r="R177" i="23"/>
  <c r="R176" i="23"/>
  <c r="R174" i="23"/>
  <c r="R173" i="23" s="1"/>
  <c r="R172" i="23"/>
  <c r="R171" i="23"/>
  <c r="R170" i="23"/>
  <c r="R169" i="23"/>
  <c r="R168" i="23"/>
  <c r="R165" i="23"/>
  <c r="R164" i="23"/>
  <c r="R163" i="23"/>
  <c r="R162" i="23"/>
  <c r="R160" i="23"/>
  <c r="R159" i="23"/>
  <c r="R158" i="23"/>
  <c r="R157" i="23"/>
  <c r="R156" i="23"/>
  <c r="R155" i="23"/>
  <c r="R154" i="23"/>
  <c r="R153" i="23"/>
  <c r="R151" i="23"/>
  <c r="R150" i="23"/>
  <c r="R149" i="23"/>
  <c r="R148" i="23"/>
  <c r="R145" i="23"/>
  <c r="R142" i="23"/>
  <c r="R140" i="23"/>
  <c r="R139" i="23"/>
  <c r="R137" i="23"/>
  <c r="R136" i="23"/>
  <c r="R135" i="23"/>
  <c r="R134" i="23"/>
  <c r="R133" i="23"/>
  <c r="R132" i="23"/>
  <c r="R131" i="23"/>
  <c r="R130" i="23"/>
  <c r="R129" i="23"/>
  <c r="R128" i="23"/>
  <c r="R127" i="23"/>
  <c r="R126" i="23"/>
  <c r="R125" i="23"/>
  <c r="R123" i="23"/>
  <c r="R122" i="23"/>
  <c r="R121" i="23"/>
  <c r="R119" i="23"/>
  <c r="R118" i="23"/>
  <c r="R117" i="23"/>
  <c r="R115" i="23"/>
  <c r="R114" i="23"/>
  <c r="R112" i="23"/>
  <c r="R110" i="23" s="1"/>
  <c r="R109" i="23"/>
  <c r="R108" i="23" s="1"/>
  <c r="R107" i="23"/>
  <c r="R106" i="23"/>
  <c r="R105" i="23"/>
  <c r="R104" i="23"/>
  <c r="R103" i="23"/>
  <c r="R102" i="23"/>
  <c r="R101" i="23"/>
  <c r="R100" i="23"/>
  <c r="R99" i="23"/>
  <c r="R98" i="23"/>
  <c r="R97" i="23"/>
  <c r="R96" i="23"/>
  <c r="R95" i="23"/>
  <c r="R94" i="23"/>
  <c r="R93" i="23"/>
  <c r="R92" i="23"/>
  <c r="R91" i="23"/>
  <c r="R90" i="23"/>
  <c r="R85" i="23"/>
  <c r="R88" i="23"/>
  <c r="R87" i="23"/>
  <c r="R86" i="23"/>
  <c r="R83" i="23"/>
  <c r="R82" i="23"/>
  <c r="R81" i="23"/>
  <c r="R80" i="23"/>
  <c r="R75" i="23"/>
  <c r="R74" i="23"/>
  <c r="R73" i="23"/>
  <c r="R71" i="23"/>
  <c r="R70" i="23"/>
  <c r="R69" i="23"/>
  <c r="R67" i="23"/>
  <c r="R66" i="23"/>
  <c r="R65" i="23"/>
  <c r="R64" i="23"/>
  <c r="R63" i="23"/>
  <c r="R62" i="23"/>
  <c r="R61" i="23"/>
  <c r="R60" i="23"/>
  <c r="R59" i="23"/>
  <c r="R58" i="23"/>
  <c r="R57" i="23"/>
  <c r="R56" i="23"/>
  <c r="R55" i="23" s="1"/>
  <c r="R54" i="23" s="1"/>
  <c r="R53" i="23"/>
  <c r="R52" i="23"/>
  <c r="R51" i="23"/>
  <c r="R50" i="23"/>
  <c r="R49" i="23"/>
  <c r="R46" i="23"/>
  <c r="R45" i="23"/>
  <c r="R44" i="23"/>
  <c r="R42" i="23"/>
  <c r="R41" i="23" s="1"/>
  <c r="R40" i="23"/>
  <c r="R39" i="23"/>
  <c r="R38" i="23"/>
  <c r="R37" i="23"/>
  <c r="R35" i="23"/>
  <c r="R34" i="23" s="1"/>
  <c r="R33" i="23"/>
  <c r="R32" i="23"/>
  <c r="R31" i="23"/>
  <c r="R30" i="23"/>
  <c r="R28" i="23"/>
  <c r="R27" i="23" s="1"/>
  <c r="R26" i="23"/>
  <c r="R25" i="23" s="1"/>
  <c r="R18" i="23"/>
  <c r="R24" i="23"/>
  <c r="R23" i="23"/>
  <c r="R22" i="23"/>
  <c r="R21" i="23"/>
  <c r="R20" i="23"/>
  <c r="R17" i="23"/>
  <c r="R16" i="23"/>
  <c r="R15" i="23"/>
  <c r="R14" i="23" s="1"/>
  <c r="R12" i="23"/>
  <c r="R11" i="23"/>
  <c r="R7" i="23"/>
  <c r="R6" i="23"/>
  <c r="R5" i="23"/>
  <c r="P187" i="23"/>
  <c r="P186" i="23" s="1"/>
  <c r="P181" i="23"/>
  <c r="Q181" i="23"/>
  <c r="P175" i="23"/>
  <c r="Q175" i="23"/>
  <c r="P173" i="23"/>
  <c r="Q173" i="23"/>
  <c r="P167" i="23"/>
  <c r="P166" i="23" s="1"/>
  <c r="Q167" i="23"/>
  <c r="Q166" i="23" s="1"/>
  <c r="P161" i="23"/>
  <c r="Q161" i="23"/>
  <c r="P152" i="23"/>
  <c r="P147" i="23"/>
  <c r="P146" i="23" s="1"/>
  <c r="Q147" i="23"/>
  <c r="Q146" i="23" s="1"/>
  <c r="P138" i="23"/>
  <c r="Q138" i="23"/>
  <c r="P124" i="23"/>
  <c r="Q124" i="23"/>
  <c r="P120" i="23"/>
  <c r="Q120" i="23"/>
  <c r="P108" i="23"/>
  <c r="Q108" i="23"/>
  <c r="P89" i="23"/>
  <c r="Q89" i="23"/>
  <c r="P84" i="23"/>
  <c r="Q84" i="23"/>
  <c r="P79" i="23"/>
  <c r="Q79" i="23"/>
  <c r="Q72" i="23"/>
  <c r="P68" i="23"/>
  <c r="Q68" i="23"/>
  <c r="P55" i="23"/>
  <c r="Q55" i="23"/>
  <c r="P54" i="23"/>
  <c r="Q54" i="23"/>
  <c r="P48" i="23"/>
  <c r="Q48" i="23"/>
  <c r="P41" i="23"/>
  <c r="Q41" i="23"/>
  <c r="P36" i="23"/>
  <c r="Q36" i="23"/>
  <c r="P34" i="23"/>
  <c r="Q34" i="23"/>
  <c r="P29" i="23"/>
  <c r="Q29" i="23"/>
  <c r="P27" i="23"/>
  <c r="Q27" i="23"/>
  <c r="P25" i="23"/>
  <c r="Q25" i="23"/>
  <c r="P19" i="23"/>
  <c r="Q19" i="23"/>
  <c r="P14" i="23"/>
  <c r="Q14" i="23"/>
  <c r="P10" i="23"/>
  <c r="Q10" i="23"/>
  <c r="P4" i="23"/>
  <c r="Q4" i="23"/>
  <c r="P68" i="17"/>
  <c r="P61" i="17"/>
  <c r="P60" i="17" s="1"/>
  <c r="P56" i="17"/>
  <c r="P58" i="17"/>
  <c r="P45" i="17"/>
  <c r="P41" i="17"/>
  <c r="P32" i="17"/>
  <c r="P27" i="17" s="1"/>
  <c r="P28" i="17"/>
  <c r="P18" i="17"/>
  <c r="P17" i="17" s="1"/>
  <c r="P13" i="17"/>
  <c r="P12" i="17" s="1"/>
  <c r="P6" i="17"/>
  <c r="P5" i="17" s="1"/>
  <c r="Q104" i="17"/>
  <c r="Q101" i="17"/>
  <c r="Q97" i="17"/>
  <c r="Q96" i="17"/>
  <c r="Q95" i="17"/>
  <c r="Q94" i="17"/>
  <c r="Q93" i="17"/>
  <c r="Q92" i="17"/>
  <c r="Q91" i="17"/>
  <c r="Q90" i="17"/>
  <c r="Q89" i="17"/>
  <c r="Q87" i="17"/>
  <c r="Q86" i="17"/>
  <c r="Q85" i="17"/>
  <c r="Q81" i="17"/>
  <c r="Q80" i="17"/>
  <c r="Q79" i="17"/>
  <c r="Q78" i="17"/>
  <c r="Q77" i="17"/>
  <c r="Q76" i="17"/>
  <c r="Q75" i="17"/>
  <c r="Q74" i="17"/>
  <c r="Q73" i="17"/>
  <c r="Q72" i="17"/>
  <c r="Q71" i="17"/>
  <c r="Q65" i="17"/>
  <c r="Q64" i="17"/>
  <c r="Q63" i="17"/>
  <c r="Q61" i="17" s="1"/>
  <c r="Q60" i="17" s="1"/>
  <c r="Q62" i="17"/>
  <c r="Q59" i="17"/>
  <c r="Q58" i="17" s="1"/>
  <c r="Q57" i="17"/>
  <c r="Q55" i="17"/>
  <c r="Q54" i="17"/>
  <c r="Q53" i="17"/>
  <c r="Q52" i="17"/>
  <c r="Q51" i="17"/>
  <c r="Q50" i="17"/>
  <c r="Q49" i="17"/>
  <c r="Q48" i="17"/>
  <c r="Q47" i="17"/>
  <c r="Q46" i="17"/>
  <c r="Q43" i="17"/>
  <c r="Q42" i="17"/>
  <c r="Q39" i="17"/>
  <c r="Q38" i="17"/>
  <c r="Q36" i="17"/>
  <c r="Q35" i="17"/>
  <c r="Q34" i="17"/>
  <c r="Q33" i="17"/>
  <c r="Q31" i="17"/>
  <c r="Q28" i="17" s="1"/>
  <c r="Q25" i="17"/>
  <c r="Q24" i="17"/>
  <c r="Q23" i="17"/>
  <c r="Q22" i="17"/>
  <c r="Q21" i="17"/>
  <c r="Q20" i="17"/>
  <c r="Q19" i="17"/>
  <c r="Q16" i="17"/>
  <c r="Q15" i="17"/>
  <c r="Q14" i="17"/>
  <c r="C28" i="59"/>
  <c r="C27" i="59"/>
  <c r="O8" i="17"/>
  <c r="L25" i="23"/>
  <c r="N61" i="59"/>
  <c r="H31" i="59"/>
  <c r="C38" i="59"/>
  <c r="O10" i="17"/>
  <c r="O9" i="17"/>
  <c r="N102" i="59"/>
  <c r="E101" i="59"/>
  <c r="M5" i="59"/>
  <c r="M125" i="59" s="1"/>
  <c r="G5" i="59"/>
  <c r="H5" i="59"/>
  <c r="I5" i="59"/>
  <c r="J5" i="59"/>
  <c r="K5" i="59"/>
  <c r="G11" i="19"/>
  <c r="D60" i="59"/>
  <c r="D61" i="59"/>
  <c r="C61" i="59"/>
  <c r="G9" i="59"/>
  <c r="O8" i="20"/>
  <c r="C41" i="59"/>
  <c r="C39" i="59"/>
  <c r="C40" i="59"/>
  <c r="P12" i="21"/>
  <c r="P4" i="21" s="1"/>
  <c r="P13" i="21" s="1"/>
  <c r="N15" i="56" s="1"/>
  <c r="C33" i="59"/>
  <c r="N33" i="59"/>
  <c r="C35" i="59"/>
  <c r="D35" i="59"/>
  <c r="N35" i="59"/>
  <c r="C36" i="59"/>
  <c r="D36" i="59"/>
  <c r="N36" i="59"/>
  <c r="K123" i="59"/>
  <c r="K110" i="59"/>
  <c r="K108" i="59"/>
  <c r="K57" i="59"/>
  <c r="K48" i="59"/>
  <c r="N38" i="59"/>
  <c r="N39" i="59"/>
  <c r="N40" i="59"/>
  <c r="N41" i="59"/>
  <c r="N42" i="59"/>
  <c r="N25" i="59"/>
  <c r="N26" i="59"/>
  <c r="N27" i="59"/>
  <c r="N28" i="59"/>
  <c r="N30" i="59"/>
  <c r="K12" i="59"/>
  <c r="K9" i="59"/>
  <c r="D110" i="59"/>
  <c r="C113" i="59"/>
  <c r="C114" i="59"/>
  <c r="C96" i="59"/>
  <c r="C97" i="59"/>
  <c r="C98" i="59"/>
  <c r="D96" i="59"/>
  <c r="D97" i="59"/>
  <c r="C58" i="59"/>
  <c r="C60" i="59"/>
  <c r="C59" i="59"/>
  <c r="D59" i="59"/>
  <c r="D50" i="59"/>
  <c r="D49" i="59"/>
  <c r="C37" i="59"/>
  <c r="C32" i="59"/>
  <c r="D25" i="59"/>
  <c r="D28" i="59"/>
  <c r="C25" i="59"/>
  <c r="C26" i="59"/>
  <c r="R17" i="22"/>
  <c r="O19" i="19"/>
  <c r="O18" i="19" s="1"/>
  <c r="R27" i="22"/>
  <c r="N58" i="17"/>
  <c r="O58" i="17"/>
  <c r="O70" i="17"/>
  <c r="N13" i="21"/>
  <c r="L15" i="56" s="1"/>
  <c r="N8" i="20"/>
  <c r="N5" i="20"/>
  <c r="N4" i="22"/>
  <c r="N113" i="22"/>
  <c r="N122" i="22"/>
  <c r="N143" i="22" s="1"/>
  <c r="L11" i="56" s="1"/>
  <c r="N105" i="22"/>
  <c r="N80" i="22"/>
  <c r="N75" i="22"/>
  <c r="N67" i="22"/>
  <c r="N58" i="22"/>
  <c r="N13" i="22"/>
  <c r="O10" i="22"/>
  <c r="N10" i="22"/>
  <c r="N4" i="23"/>
  <c r="N68" i="17"/>
  <c r="N70" i="17"/>
  <c r="N61" i="17"/>
  <c r="N60" i="17" s="1"/>
  <c r="N56" i="17"/>
  <c r="N45" i="17"/>
  <c r="N41" i="17"/>
  <c r="M105" i="22"/>
  <c r="M7" i="19"/>
  <c r="M11" i="19"/>
  <c r="N19" i="19"/>
  <c r="N11" i="19"/>
  <c r="N7" i="19"/>
  <c r="M161" i="23"/>
  <c r="M29" i="23"/>
  <c r="M14" i="23"/>
  <c r="M36" i="23"/>
  <c r="M147" i="23"/>
  <c r="M152" i="23"/>
  <c r="M181" i="23"/>
  <c r="M187" i="23"/>
  <c r="M186" i="23" s="1"/>
  <c r="M167" i="23"/>
  <c r="M124" i="23"/>
  <c r="M84" i="23"/>
  <c r="N32" i="17"/>
  <c r="N28" i="17"/>
  <c r="N18" i="17"/>
  <c r="N13" i="17"/>
  <c r="N12" i="17" s="1"/>
  <c r="N6" i="17"/>
  <c r="O105" i="22"/>
  <c r="M8" i="20"/>
  <c r="N37" i="59"/>
  <c r="N43" i="59"/>
  <c r="N44" i="59"/>
  <c r="N45" i="59"/>
  <c r="N46" i="59"/>
  <c r="N93" i="59"/>
  <c r="N92" i="59" s="1"/>
  <c r="N94" i="59"/>
  <c r="N95" i="59"/>
  <c r="N96" i="59"/>
  <c r="N97" i="59"/>
  <c r="N98" i="59"/>
  <c r="N99" i="59"/>
  <c r="N100" i="59"/>
  <c r="N103" i="59"/>
  <c r="E108" i="59"/>
  <c r="F108" i="59"/>
  <c r="N108" i="59" s="1"/>
  <c r="G108" i="59"/>
  <c r="H108" i="59"/>
  <c r="I108" i="59"/>
  <c r="J108" i="59"/>
  <c r="M108" i="59"/>
  <c r="N79" i="59"/>
  <c r="N80" i="59"/>
  <c r="N81" i="59"/>
  <c r="N82" i="59"/>
  <c r="N83" i="59"/>
  <c r="N84" i="59"/>
  <c r="N85" i="59"/>
  <c r="N86" i="59"/>
  <c r="N87" i="59"/>
  <c r="N65" i="59"/>
  <c r="N66" i="59"/>
  <c r="N58" i="59"/>
  <c r="N59" i="59"/>
  <c r="N60" i="59"/>
  <c r="N62" i="59"/>
  <c r="N63" i="59"/>
  <c r="N56" i="59"/>
  <c r="N55" i="59" s="1"/>
  <c r="N49" i="59"/>
  <c r="N50" i="59"/>
  <c r="N54" i="59"/>
  <c r="N15" i="59"/>
  <c r="N18" i="59"/>
  <c r="N19" i="59"/>
  <c r="N20" i="59"/>
  <c r="N21" i="59"/>
  <c r="N17" i="59"/>
  <c r="N22" i="59"/>
  <c r="N23" i="59"/>
  <c r="N10" i="59"/>
  <c r="N9" i="59" s="1"/>
  <c r="N11" i="59"/>
  <c r="N113" i="59"/>
  <c r="N114" i="59"/>
  <c r="N116" i="59"/>
  <c r="N119" i="59"/>
  <c r="N124" i="59"/>
  <c r="N123" i="59" s="1"/>
  <c r="D100" i="59"/>
  <c r="D99" i="59"/>
  <c r="D93" i="59"/>
  <c r="D94" i="59"/>
  <c r="D95" i="59"/>
  <c r="D103" i="59"/>
  <c r="D109" i="59"/>
  <c r="D68" i="59"/>
  <c r="D70" i="59"/>
  <c r="D71" i="59"/>
  <c r="D72" i="59"/>
  <c r="D73" i="59"/>
  <c r="D74" i="59"/>
  <c r="D75" i="59"/>
  <c r="D76" i="59"/>
  <c r="D78" i="59"/>
  <c r="D80" i="59"/>
  <c r="D81" i="59"/>
  <c r="D58" i="59"/>
  <c r="D56" i="59"/>
  <c r="D19" i="59"/>
  <c r="D14" i="59"/>
  <c r="D15" i="59"/>
  <c r="D20" i="59"/>
  <c r="D22" i="59"/>
  <c r="D23" i="59"/>
  <c r="D24" i="59"/>
  <c r="D11" i="59"/>
  <c r="D10" i="59"/>
  <c r="D124" i="59"/>
  <c r="M55" i="59"/>
  <c r="J55" i="59"/>
  <c r="I55" i="59"/>
  <c r="H55" i="59"/>
  <c r="G55" i="59"/>
  <c r="F55" i="59"/>
  <c r="E55" i="59"/>
  <c r="M9" i="59"/>
  <c r="J9" i="59"/>
  <c r="I9" i="59"/>
  <c r="H9" i="59"/>
  <c r="F9" i="59"/>
  <c r="E9" i="59"/>
  <c r="J64" i="59"/>
  <c r="H64" i="59"/>
  <c r="G64" i="59"/>
  <c r="F64" i="59"/>
  <c r="E64" i="59"/>
  <c r="B55" i="59"/>
  <c r="N118" i="59"/>
  <c r="N77" i="59"/>
  <c r="N76" i="59"/>
  <c r="N75" i="59"/>
  <c r="N74" i="59"/>
  <c r="N73" i="59"/>
  <c r="N72" i="59"/>
  <c r="N71" i="59"/>
  <c r="N70" i="59"/>
  <c r="N69" i="59"/>
  <c r="N68" i="59"/>
  <c r="N47" i="59"/>
  <c r="N32" i="59"/>
  <c r="N24" i="59"/>
  <c r="N16" i="59"/>
  <c r="N14" i="59"/>
  <c r="N78" i="59"/>
  <c r="E92" i="59"/>
  <c r="E57" i="59"/>
  <c r="E48" i="59"/>
  <c r="E123" i="59"/>
  <c r="G12" i="59"/>
  <c r="H12" i="59"/>
  <c r="J12" i="59"/>
  <c r="M12" i="59"/>
  <c r="G31" i="59"/>
  <c r="J31" i="59"/>
  <c r="F48" i="59"/>
  <c r="G48" i="59"/>
  <c r="H48" i="59"/>
  <c r="M48" i="59"/>
  <c r="F57" i="59"/>
  <c r="G57" i="59"/>
  <c r="H57" i="59"/>
  <c r="J57" i="59"/>
  <c r="M57" i="59"/>
  <c r="F67" i="59"/>
  <c r="G67" i="59"/>
  <c r="H67" i="59"/>
  <c r="J67" i="59"/>
  <c r="M67" i="59"/>
  <c r="F92" i="59"/>
  <c r="G92" i="59"/>
  <c r="H92" i="59"/>
  <c r="I92" i="59"/>
  <c r="J92" i="59"/>
  <c r="F101" i="59"/>
  <c r="G101" i="59"/>
  <c r="H101" i="59"/>
  <c r="J110" i="59"/>
  <c r="M110" i="59"/>
  <c r="F123" i="59"/>
  <c r="G123" i="59"/>
  <c r="H123" i="59"/>
  <c r="I123" i="59"/>
  <c r="J123" i="59"/>
  <c r="M123" i="59"/>
  <c r="C124" i="59"/>
  <c r="C109" i="59"/>
  <c r="C103" i="59"/>
  <c r="C102" i="59"/>
  <c r="C100" i="59"/>
  <c r="C99" i="59"/>
  <c r="C95" i="59"/>
  <c r="C94" i="59"/>
  <c r="C93" i="59"/>
  <c r="C87" i="59"/>
  <c r="C83" i="59"/>
  <c r="C82" i="59"/>
  <c r="C81" i="59"/>
  <c r="C80" i="59"/>
  <c r="C79" i="59"/>
  <c r="C78" i="59"/>
  <c r="C77" i="59"/>
  <c r="C76" i="59"/>
  <c r="C75" i="59"/>
  <c r="C74" i="59"/>
  <c r="C73" i="59"/>
  <c r="C72" i="59"/>
  <c r="C71" i="59"/>
  <c r="C70" i="59"/>
  <c r="C69" i="59"/>
  <c r="C68" i="59"/>
  <c r="C66" i="59"/>
  <c r="C51" i="59"/>
  <c r="C50" i="59"/>
  <c r="C49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1" i="59"/>
  <c r="C10" i="59"/>
  <c r="C6" i="59"/>
  <c r="B123" i="59"/>
  <c r="B110" i="59"/>
  <c r="B108" i="59"/>
  <c r="B101" i="59"/>
  <c r="B92" i="59"/>
  <c r="B67" i="59"/>
  <c r="B64" i="59"/>
  <c r="B57" i="59"/>
  <c r="B48" i="59"/>
  <c r="B31" i="59"/>
  <c r="B12" i="59"/>
  <c r="B9" i="59"/>
  <c r="B5" i="59"/>
  <c r="M28" i="17"/>
  <c r="M61" i="17"/>
  <c r="M60" i="17" s="1"/>
  <c r="M6" i="17"/>
  <c r="O45" i="17"/>
  <c r="L6" i="17"/>
  <c r="Q45" i="17"/>
  <c r="R161" i="23"/>
  <c r="O80" i="22"/>
  <c r="O18" i="17"/>
  <c r="O17" i="17" s="1"/>
  <c r="O28" i="17"/>
  <c r="M4" i="23"/>
  <c r="Q4" i="21"/>
  <c r="Q13" i="21" s="1"/>
  <c r="P15" i="56" s="1"/>
  <c r="Q56" i="17"/>
  <c r="Q68" i="17"/>
  <c r="O61" i="17"/>
  <c r="O60" i="17" s="1"/>
  <c r="O13" i="17"/>
  <c r="P5" i="20"/>
  <c r="P8" i="20"/>
  <c r="Q52" i="19"/>
  <c r="O32" i="17"/>
  <c r="O41" i="17"/>
  <c r="O56" i="17"/>
  <c r="O68" i="17"/>
  <c r="O105" i="17"/>
  <c r="M13" i="17"/>
  <c r="M12" i="17" s="1"/>
  <c r="M18" i="17"/>
  <c r="M17" i="17" s="1"/>
  <c r="M5" i="17" s="1"/>
  <c r="M32" i="17"/>
  <c r="M27" i="17" s="1"/>
  <c r="M41" i="17"/>
  <c r="M40" i="17" s="1"/>
  <c r="M45" i="17"/>
  <c r="M56" i="17"/>
  <c r="M58" i="17"/>
  <c r="M68" i="17"/>
  <c r="M70" i="17"/>
  <c r="O77" i="23"/>
  <c r="M77" i="23"/>
  <c r="M173" i="23"/>
  <c r="M25" i="23"/>
  <c r="O10" i="23"/>
  <c r="M10" i="23"/>
  <c r="M4" i="21"/>
  <c r="M13" i="21" s="1"/>
  <c r="K15" i="56" s="1"/>
  <c r="M10" i="22"/>
  <c r="M34" i="23"/>
  <c r="M141" i="23"/>
  <c r="M43" i="23"/>
  <c r="M27" i="23"/>
  <c r="M41" i="23"/>
  <c r="M48" i="23"/>
  <c r="M55" i="23"/>
  <c r="M54" i="23" s="1"/>
  <c r="M72" i="23"/>
  <c r="M79" i="23"/>
  <c r="M89" i="23"/>
  <c r="M108" i="23"/>
  <c r="M110" i="23"/>
  <c r="M120" i="23"/>
  <c r="M138" i="23"/>
  <c r="M175" i="23"/>
  <c r="M113" i="23"/>
  <c r="M19" i="23"/>
  <c r="L4" i="23"/>
  <c r="L10" i="23"/>
  <c r="L14" i="23"/>
  <c r="L27" i="23"/>
  <c r="L29" i="23"/>
  <c r="L34" i="23"/>
  <c r="L36" i="23"/>
  <c r="L41" i="23"/>
  <c r="L48" i="23"/>
  <c r="L55" i="23"/>
  <c r="L54" i="23" s="1"/>
  <c r="L72" i="23"/>
  <c r="L79" i="23"/>
  <c r="L84" i="23"/>
  <c r="L89" i="23"/>
  <c r="L120" i="23"/>
  <c r="L124" i="23"/>
  <c r="L138" i="23"/>
  <c r="L141" i="23"/>
  <c r="L147" i="23"/>
  <c r="L152" i="23"/>
  <c r="L19" i="23"/>
  <c r="L161" i="23"/>
  <c r="L167" i="23"/>
  <c r="L166" i="23" s="1"/>
  <c r="L175" i="23"/>
  <c r="L181" i="23"/>
  <c r="L187" i="23"/>
  <c r="L186" i="23" s="1"/>
  <c r="L113" i="23"/>
  <c r="L43" i="23"/>
  <c r="L122" i="22"/>
  <c r="L105" i="22"/>
  <c r="L113" i="22"/>
  <c r="L80" i="22"/>
  <c r="L75" i="22"/>
  <c r="L67" i="22"/>
  <c r="L58" i="22"/>
  <c r="L32" i="22"/>
  <c r="L141" i="22"/>
  <c r="M122" i="22"/>
  <c r="M113" i="22"/>
  <c r="M80" i="22"/>
  <c r="M58" i="22"/>
  <c r="M67" i="22"/>
  <c r="M120" i="22"/>
  <c r="M75" i="22"/>
  <c r="M32" i="22"/>
  <c r="M13" i="22"/>
  <c r="M5" i="20"/>
  <c r="O4" i="21"/>
  <c r="O13" i="21" s="1"/>
  <c r="M15" i="56" s="1"/>
  <c r="O122" i="22"/>
  <c r="O113" i="22"/>
  <c r="O67" i="22"/>
  <c r="O58" i="22"/>
  <c r="O120" i="22"/>
  <c r="O141" i="22"/>
  <c r="B11" i="56"/>
  <c r="C11" i="56"/>
  <c r="D11" i="56"/>
  <c r="E11" i="56"/>
  <c r="H143" i="22"/>
  <c r="F11" i="56" s="1"/>
  <c r="I141" i="22"/>
  <c r="I143" i="22" s="1"/>
  <c r="G11" i="56" s="1"/>
  <c r="J141" i="22"/>
  <c r="J143" i="22" s="1"/>
  <c r="H11" i="56" s="1"/>
  <c r="K10" i="22"/>
  <c r="K122" i="22"/>
  <c r="K105" i="22"/>
  <c r="K113" i="22"/>
  <c r="K80" i="22"/>
  <c r="K75" i="22"/>
  <c r="K67" i="22"/>
  <c r="K58" i="22"/>
  <c r="K32" i="22"/>
  <c r="K13" i="22"/>
  <c r="K138" i="22"/>
  <c r="K141" i="22"/>
  <c r="D6" i="17"/>
  <c r="E6" i="17"/>
  <c r="E12" i="17"/>
  <c r="E17" i="17"/>
  <c r="F6" i="17"/>
  <c r="F12" i="17"/>
  <c r="F17" i="17"/>
  <c r="G6" i="17"/>
  <c r="H6" i="17"/>
  <c r="I6" i="17"/>
  <c r="I13" i="17"/>
  <c r="I12" i="17" s="1"/>
  <c r="I24" i="17"/>
  <c r="I18" i="17" s="1"/>
  <c r="I17" i="17" s="1"/>
  <c r="J6" i="17"/>
  <c r="K6" i="17"/>
  <c r="D4" i="23"/>
  <c r="D25" i="23"/>
  <c r="D27" i="23"/>
  <c r="D34" i="23"/>
  <c r="D41" i="23"/>
  <c r="D108" i="23"/>
  <c r="D110" i="23"/>
  <c r="D120" i="23"/>
  <c r="D138" i="23"/>
  <c r="E4" i="23"/>
  <c r="E124" i="23"/>
  <c r="E25" i="23"/>
  <c r="E27" i="23"/>
  <c r="E34" i="23"/>
  <c r="E41" i="23"/>
  <c r="E108" i="23"/>
  <c r="E110" i="23"/>
  <c r="E120" i="23"/>
  <c r="E138" i="23"/>
  <c r="E141" i="23"/>
  <c r="F4" i="23"/>
  <c r="F201" i="23" s="1"/>
  <c r="D7" i="56" s="1"/>
  <c r="F25" i="23"/>
  <c r="F27" i="23"/>
  <c r="F34" i="23"/>
  <c r="F41" i="23"/>
  <c r="F108" i="23"/>
  <c r="F110" i="23"/>
  <c r="F120" i="23"/>
  <c r="F124" i="23"/>
  <c r="F138" i="23"/>
  <c r="F141" i="23"/>
  <c r="G4" i="23"/>
  <c r="G25" i="23"/>
  <c r="G27" i="23"/>
  <c r="G34" i="23"/>
  <c r="G41" i="23"/>
  <c r="G108" i="23"/>
  <c r="G110" i="23"/>
  <c r="G120" i="23"/>
  <c r="G138" i="23"/>
  <c r="G141" i="23"/>
  <c r="H4" i="23"/>
  <c r="H10" i="23"/>
  <c r="H14" i="23"/>
  <c r="H25" i="23"/>
  <c r="H27" i="23"/>
  <c r="H32" i="23"/>
  <c r="H29" i="23" s="1"/>
  <c r="H34" i="23"/>
  <c r="H36" i="23"/>
  <c r="H41" i="23"/>
  <c r="H72" i="23"/>
  <c r="H79" i="23"/>
  <c r="H120" i="23"/>
  <c r="H138" i="23"/>
  <c r="H175" i="23"/>
  <c r="H181" i="23"/>
  <c r="H19" i="23"/>
  <c r="H43" i="23"/>
  <c r="I4" i="23"/>
  <c r="I10" i="23"/>
  <c r="I14" i="23"/>
  <c r="I25" i="23"/>
  <c r="I27" i="23"/>
  <c r="I29" i="23"/>
  <c r="I34" i="23"/>
  <c r="I36" i="23"/>
  <c r="I41" i="23"/>
  <c r="I48" i="23"/>
  <c r="I55" i="23"/>
  <c r="I54" i="23" s="1"/>
  <c r="I19" i="23"/>
  <c r="I89" i="23"/>
  <c r="I124" i="23"/>
  <c r="I72" i="23"/>
  <c r="I79" i="23"/>
  <c r="I84" i="23"/>
  <c r="I108" i="23"/>
  <c r="I110" i="23"/>
  <c r="I120" i="23"/>
  <c r="I138" i="23"/>
  <c r="I141" i="23"/>
  <c r="I147" i="23"/>
  <c r="I152" i="23"/>
  <c r="I164" i="23"/>
  <c r="I161" i="23" s="1"/>
  <c r="I169" i="23"/>
  <c r="I170" i="23"/>
  <c r="I173" i="23"/>
  <c r="I175" i="23"/>
  <c r="I181" i="23"/>
  <c r="I187" i="23"/>
  <c r="I186" i="23" s="1"/>
  <c r="I113" i="23"/>
  <c r="I43" i="23"/>
  <c r="J4" i="23"/>
  <c r="J10" i="23"/>
  <c r="J14" i="23"/>
  <c r="J25" i="23"/>
  <c r="J27" i="23"/>
  <c r="J29" i="23"/>
  <c r="J34" i="23"/>
  <c r="J36" i="23"/>
  <c r="J41" i="23"/>
  <c r="J48" i="23"/>
  <c r="J55" i="23"/>
  <c r="J54" i="23" s="1"/>
  <c r="J72" i="23"/>
  <c r="J79" i="23"/>
  <c r="J84" i="23"/>
  <c r="J89" i="23"/>
  <c r="J108" i="23"/>
  <c r="J110" i="23"/>
  <c r="J120" i="23"/>
  <c r="J124" i="23"/>
  <c r="J138" i="23"/>
  <c r="J141" i="23"/>
  <c r="J147" i="23"/>
  <c r="J152" i="23"/>
  <c r="J161" i="23"/>
  <c r="J170" i="23"/>
  <c r="J167" i="23" s="1"/>
  <c r="J173" i="23"/>
  <c r="J175" i="23"/>
  <c r="J181" i="23"/>
  <c r="J190" i="23"/>
  <c r="J187" i="23" s="1"/>
  <c r="J186" i="23" s="1"/>
  <c r="J113" i="23"/>
  <c r="J19" i="23"/>
  <c r="J43" i="23"/>
  <c r="K4" i="23"/>
  <c r="K10" i="23"/>
  <c r="K14" i="23"/>
  <c r="K25" i="23"/>
  <c r="K27" i="23"/>
  <c r="K29" i="23"/>
  <c r="K34" i="23"/>
  <c r="K36" i="23"/>
  <c r="K41" i="23"/>
  <c r="K48" i="23"/>
  <c r="K55" i="23"/>
  <c r="K54" i="23" s="1"/>
  <c r="K72" i="23"/>
  <c r="K79" i="23"/>
  <c r="K84" i="23"/>
  <c r="K101" i="23"/>
  <c r="K106" i="23"/>
  <c r="K108" i="23"/>
  <c r="K110" i="23"/>
  <c r="K120" i="23"/>
  <c r="K124" i="23"/>
  <c r="K138" i="23"/>
  <c r="K141" i="23"/>
  <c r="K147" i="23"/>
  <c r="K152" i="23"/>
  <c r="K161" i="23"/>
  <c r="K167" i="23"/>
  <c r="K173" i="23"/>
  <c r="K175" i="23"/>
  <c r="K181" i="23"/>
  <c r="K187" i="23"/>
  <c r="K195" i="23"/>
  <c r="K197" i="23"/>
  <c r="K116" i="23"/>
  <c r="K113" i="23" s="1"/>
  <c r="K19" i="23"/>
  <c r="K46" i="23"/>
  <c r="K43" i="23" s="1"/>
  <c r="K77" i="23"/>
  <c r="D4" i="21"/>
  <c r="D13" i="21" s="1"/>
  <c r="B15" i="56" s="1"/>
  <c r="E4" i="21"/>
  <c r="E13" i="21" s="1"/>
  <c r="C15" i="56" s="1"/>
  <c r="F4" i="21"/>
  <c r="F13" i="21" s="1"/>
  <c r="D15" i="56" s="1"/>
  <c r="G4" i="21"/>
  <c r="G13" i="21" s="1"/>
  <c r="E15" i="56" s="1"/>
  <c r="H4" i="21"/>
  <c r="H13" i="21" s="1"/>
  <c r="F15" i="56" s="1"/>
  <c r="I4" i="21"/>
  <c r="I13" i="21" s="1"/>
  <c r="G15" i="56" s="1"/>
  <c r="J4" i="21"/>
  <c r="J13" i="21" s="1"/>
  <c r="H15" i="56" s="1"/>
  <c r="K4" i="21"/>
  <c r="K13" i="21" s="1"/>
  <c r="I15" i="56" s="1"/>
  <c r="L4" i="21"/>
  <c r="L13" i="21" s="1"/>
  <c r="J15" i="56" s="1"/>
  <c r="H187" i="23"/>
  <c r="D5" i="20"/>
  <c r="E5" i="20"/>
  <c r="E17" i="20" s="1"/>
  <c r="C14" i="56" s="1"/>
  <c r="F5" i="20"/>
  <c r="F17" i="20" s="1"/>
  <c r="D14" i="56" s="1"/>
  <c r="G5" i="20"/>
  <c r="H5" i="20"/>
  <c r="I5" i="20"/>
  <c r="J5" i="20"/>
  <c r="K5" i="20"/>
  <c r="L5" i="20"/>
  <c r="D8" i="20"/>
  <c r="G9" i="20"/>
  <c r="G8" i="20" s="1"/>
  <c r="H8" i="20"/>
  <c r="I8" i="20"/>
  <c r="I17" i="20" s="1"/>
  <c r="G14" i="56" s="1"/>
  <c r="J8" i="20"/>
  <c r="K8" i="20"/>
  <c r="L8" i="20"/>
  <c r="D7" i="19"/>
  <c r="D11" i="19"/>
  <c r="E7" i="19"/>
  <c r="E11" i="19"/>
  <c r="F7" i="19"/>
  <c r="F11" i="19"/>
  <c r="G7" i="19"/>
  <c r="H7" i="19"/>
  <c r="H11" i="19"/>
  <c r="I7" i="19"/>
  <c r="I11" i="19"/>
  <c r="I6" i="19" s="1"/>
  <c r="I5" i="19" s="1"/>
  <c r="J7" i="19"/>
  <c r="J11" i="19"/>
  <c r="K7" i="19"/>
  <c r="K11" i="19"/>
  <c r="L7" i="19"/>
  <c r="L11" i="19"/>
  <c r="O7" i="19"/>
  <c r="O11" i="19"/>
  <c r="D18" i="19"/>
  <c r="D53" i="19"/>
  <c r="D52" i="19" s="1"/>
  <c r="E18" i="19"/>
  <c r="E53" i="19"/>
  <c r="E52" i="19" s="1"/>
  <c r="F18" i="19"/>
  <c r="F53" i="19"/>
  <c r="F52" i="19" s="1"/>
  <c r="G18" i="19"/>
  <c r="G53" i="19"/>
  <c r="G52" i="19" s="1"/>
  <c r="I18" i="19"/>
  <c r="I53" i="19"/>
  <c r="I52" i="19" s="1"/>
  <c r="J18" i="19"/>
  <c r="J53" i="19"/>
  <c r="J52" i="19" s="1"/>
  <c r="K18" i="19"/>
  <c r="K53" i="19"/>
  <c r="K52" i="19" s="1"/>
  <c r="L18" i="19"/>
  <c r="L17" i="19" s="1"/>
  <c r="M53" i="19"/>
  <c r="M52" i="19" s="1"/>
  <c r="O52" i="19"/>
  <c r="H53" i="19"/>
  <c r="H52" i="19" s="1"/>
  <c r="D12" i="17"/>
  <c r="D17" i="17"/>
  <c r="G12" i="17"/>
  <c r="L13" i="17"/>
  <c r="L12" i="17" s="1"/>
  <c r="J13" i="17"/>
  <c r="J12" i="17" s="1"/>
  <c r="J18" i="17"/>
  <c r="J17" i="17" s="1"/>
  <c r="K13" i="17"/>
  <c r="K12" i="17" s="1"/>
  <c r="G17" i="17"/>
  <c r="H18" i="17"/>
  <c r="H17" i="17" s="1"/>
  <c r="L18" i="17"/>
  <c r="L17" i="17" s="1"/>
  <c r="K24" i="17"/>
  <c r="K18" i="17" s="1"/>
  <c r="K17" i="17" s="1"/>
  <c r="E32" i="17"/>
  <c r="E27" i="17" s="1"/>
  <c r="G32" i="17"/>
  <c r="G27" i="17" s="1"/>
  <c r="G41" i="17"/>
  <c r="G56" i="17"/>
  <c r="G58" i="17"/>
  <c r="G60" i="17"/>
  <c r="I28" i="17"/>
  <c r="J28" i="17"/>
  <c r="J32" i="17"/>
  <c r="K28" i="17"/>
  <c r="L28" i="17"/>
  <c r="L32" i="17"/>
  <c r="D32" i="17"/>
  <c r="D27" i="17" s="1"/>
  <c r="F32" i="17"/>
  <c r="F27" i="17" s="1"/>
  <c r="I32" i="17"/>
  <c r="I27" i="17" s="1"/>
  <c r="K38" i="17"/>
  <c r="K32" i="17" s="1"/>
  <c r="D41" i="17"/>
  <c r="D56" i="17"/>
  <c r="E41" i="17"/>
  <c r="E56" i="17"/>
  <c r="F41" i="17"/>
  <c r="H41" i="17"/>
  <c r="H56" i="17"/>
  <c r="I41" i="17"/>
  <c r="J41" i="17"/>
  <c r="K41" i="17"/>
  <c r="L41" i="17"/>
  <c r="L45" i="17"/>
  <c r="K49" i="17"/>
  <c r="I50" i="17"/>
  <c r="I51" i="17"/>
  <c r="K52" i="17"/>
  <c r="I55" i="17"/>
  <c r="J55" i="17"/>
  <c r="J45" i="17" s="1"/>
  <c r="J56" i="17"/>
  <c r="K55" i="17"/>
  <c r="F56" i="17"/>
  <c r="F40" i="17" s="1"/>
  <c r="I56" i="17"/>
  <c r="K56" i="17"/>
  <c r="L56" i="17"/>
  <c r="D58" i="17"/>
  <c r="E58" i="17"/>
  <c r="F58" i="17"/>
  <c r="H58" i="17"/>
  <c r="I58" i="17"/>
  <c r="J58" i="17"/>
  <c r="K58" i="17"/>
  <c r="L58" i="17"/>
  <c r="D60" i="17"/>
  <c r="E60" i="17"/>
  <c r="F60" i="17"/>
  <c r="I61" i="17"/>
  <c r="I60" i="17" s="1"/>
  <c r="L61" i="17"/>
  <c r="L60" i="17" s="1"/>
  <c r="J61" i="17"/>
  <c r="J60" i="17" s="1"/>
  <c r="K64" i="17"/>
  <c r="K61" i="17" s="1"/>
  <c r="K60" i="17" s="1"/>
  <c r="L68" i="17"/>
  <c r="L67" i="17" s="1"/>
  <c r="L105" i="17"/>
  <c r="D68" i="17"/>
  <c r="D67" i="17" s="1"/>
  <c r="D105" i="17"/>
  <c r="H68" i="17"/>
  <c r="H67" i="17" s="1"/>
  <c r="H105" i="17"/>
  <c r="E68" i="17"/>
  <c r="E67" i="17" s="1"/>
  <c r="F68" i="17"/>
  <c r="F67" i="17" s="1"/>
  <c r="G68" i="17"/>
  <c r="G67" i="17"/>
  <c r="G66" i="17" s="1"/>
  <c r="G105" i="17"/>
  <c r="I68" i="17"/>
  <c r="I70" i="17"/>
  <c r="J68" i="17"/>
  <c r="K68" i="17"/>
  <c r="K78" i="17"/>
  <c r="K85" i="17"/>
  <c r="K70" i="17"/>
  <c r="K67" i="17" s="1"/>
  <c r="K66" i="17" s="1"/>
  <c r="K106" i="17"/>
  <c r="K105" i="17" s="1"/>
  <c r="J92" i="17"/>
  <c r="J70" i="17" s="1"/>
  <c r="J67" i="17" s="1"/>
  <c r="E105" i="17"/>
  <c r="F105" i="17"/>
  <c r="I106" i="17"/>
  <c r="I105" i="17"/>
  <c r="J106" i="17"/>
  <c r="J105" i="17"/>
  <c r="M19" i="19"/>
  <c r="M18" i="19" s="1"/>
  <c r="O12" i="17"/>
  <c r="D64" i="59"/>
  <c r="E201" i="23"/>
  <c r="C7" i="56" s="1"/>
  <c r="O25" i="23"/>
  <c r="O138" i="23"/>
  <c r="O5" i="20"/>
  <c r="O17" i="20" s="1"/>
  <c r="M14" i="56" s="1"/>
  <c r="O108" i="23"/>
  <c r="O41" i="23"/>
  <c r="O34" i="23"/>
  <c r="O27" i="23"/>
  <c r="R10" i="23"/>
  <c r="O72" i="23"/>
  <c r="O124" i="23"/>
  <c r="O89" i="23"/>
  <c r="N18" i="19"/>
  <c r="N17" i="19" s="1"/>
  <c r="O120" i="23"/>
  <c r="O141" i="23"/>
  <c r="O48" i="23"/>
  <c r="O173" i="23"/>
  <c r="N17" i="17"/>
  <c r="O55" i="23"/>
  <c r="O54" i="23" s="1"/>
  <c r="O175" i="23"/>
  <c r="O36" i="23"/>
  <c r="O68" i="23"/>
  <c r="O167" i="23"/>
  <c r="O166" i="23" s="1"/>
  <c r="O187" i="23"/>
  <c r="O186" i="23" s="1"/>
  <c r="O161" i="23"/>
  <c r="O113" i="23"/>
  <c r="O84" i="23"/>
  <c r="O29" i="23"/>
  <c r="O19" i="23"/>
  <c r="O181" i="23"/>
  <c r="O79" i="23"/>
  <c r="O147" i="23"/>
  <c r="O146" i="23" s="1"/>
  <c r="O13" i="22"/>
  <c r="P13" i="22"/>
  <c r="N64" i="59"/>
  <c r="N27" i="17"/>
  <c r="M166" i="23"/>
  <c r="Q7" i="17"/>
  <c r="Q6" i="17" s="1"/>
  <c r="O6" i="17"/>
  <c r="R58" i="22"/>
  <c r="G201" i="23"/>
  <c r="E7" i="56" s="1"/>
  <c r="K125" i="59"/>
  <c r="R116" i="23"/>
  <c r="Q113" i="23"/>
  <c r="M143" i="22"/>
  <c r="K11" i="56" s="1"/>
  <c r="K143" i="22"/>
  <c r="I11" i="56" s="1"/>
  <c r="N67" i="59"/>
  <c r="K17" i="20"/>
  <c r="I14" i="56" s="1"/>
  <c r="I16" i="56" s="1"/>
  <c r="Q70" i="17"/>
  <c r="Q67" i="17" s="1"/>
  <c r="Q66" i="17" s="1"/>
  <c r="O27" i="17"/>
  <c r="I17" i="19"/>
  <c r="D108" i="59"/>
  <c r="N5" i="17" l="1"/>
  <c r="N13" i="59"/>
  <c r="F12" i="59"/>
  <c r="Q201" i="23"/>
  <c r="O7" i="56" s="1"/>
  <c r="P143" i="22"/>
  <c r="N11" i="56" s="1"/>
  <c r="M16" i="56"/>
  <c r="M17" i="19"/>
  <c r="L66" i="17"/>
  <c r="L27" i="17"/>
  <c r="G40" i="17"/>
  <c r="H5" i="17"/>
  <c r="J5" i="17"/>
  <c r="F6" i="19"/>
  <c r="F5" i="19" s="1"/>
  <c r="D17" i="20"/>
  <c r="B14" i="56" s="1"/>
  <c r="K146" i="23"/>
  <c r="K89" i="23"/>
  <c r="I167" i="23"/>
  <c r="I166" i="23" s="1"/>
  <c r="I146" i="23"/>
  <c r="F5" i="17"/>
  <c r="M17" i="20"/>
  <c r="K14" i="56" s="1"/>
  <c r="K16" i="56" s="1"/>
  <c r="N67" i="17"/>
  <c r="N66" i="17" s="1"/>
  <c r="Q41" i="17"/>
  <c r="R29" i="23"/>
  <c r="R43" i="23"/>
  <c r="R72" i="23"/>
  <c r="R120" i="23"/>
  <c r="R124" i="23"/>
  <c r="R138" i="23"/>
  <c r="R147" i="23"/>
  <c r="R167" i="23"/>
  <c r="R175" i="23"/>
  <c r="R187" i="23"/>
  <c r="R186" i="23"/>
  <c r="Q18" i="17"/>
  <c r="Q17" i="17" s="1"/>
  <c r="Q32" i="17"/>
  <c r="P67" i="17"/>
  <c r="P66" i="17" s="1"/>
  <c r="O40" i="17"/>
  <c r="I56" i="19"/>
  <c r="G10" i="56" s="1"/>
  <c r="K186" i="23"/>
  <c r="D201" i="23"/>
  <c r="B7" i="56" s="1"/>
  <c r="I5" i="17"/>
  <c r="E5" i="17"/>
  <c r="O143" i="22"/>
  <c r="M11" i="56" s="1"/>
  <c r="L143" i="22"/>
  <c r="J11" i="56" s="1"/>
  <c r="R166" i="23"/>
  <c r="O5" i="17"/>
  <c r="H66" i="17"/>
  <c r="D66" i="17"/>
  <c r="I45" i="17"/>
  <c r="I40" i="17" s="1"/>
  <c r="K45" i="17"/>
  <c r="H40" i="17"/>
  <c r="F17" i="19"/>
  <c r="F56" i="19" s="1"/>
  <c r="D10" i="56" s="1"/>
  <c r="D12" i="56" s="1"/>
  <c r="O6" i="19"/>
  <c r="O5" i="19" s="1"/>
  <c r="L6" i="19"/>
  <c r="L5" i="19" s="1"/>
  <c r="J6" i="19"/>
  <c r="J5" i="19" s="1"/>
  <c r="D6" i="19"/>
  <c r="D5" i="19" s="1"/>
  <c r="G17" i="20"/>
  <c r="E14" i="56" s="1"/>
  <c r="E16" i="56" s="1"/>
  <c r="Q8" i="20"/>
  <c r="Q143" i="22"/>
  <c r="O11" i="56" s="1"/>
  <c r="H125" i="59"/>
  <c r="N57" i="59"/>
  <c r="D31" i="59"/>
  <c r="I125" i="59"/>
  <c r="G125" i="59"/>
  <c r="N12" i="59"/>
  <c r="R4" i="23"/>
  <c r="Q40" i="17"/>
  <c r="M26" i="17"/>
  <c r="N101" i="59"/>
  <c r="N31" i="59"/>
  <c r="R113" i="23"/>
  <c r="D9" i="59"/>
  <c r="N5" i="59"/>
  <c r="R13" i="22"/>
  <c r="E66" i="17"/>
  <c r="L40" i="17"/>
  <c r="E40" i="17"/>
  <c r="E26" i="17" s="1"/>
  <c r="E108" i="17" s="1"/>
  <c r="C6" i="56" s="1"/>
  <c r="C8" i="56" s="1"/>
  <c r="D40" i="17"/>
  <c r="J17" i="19"/>
  <c r="L17" i="20"/>
  <c r="J14" i="56" s="1"/>
  <c r="J17" i="20"/>
  <c r="H14" i="56" s="1"/>
  <c r="H16" i="56" s="1"/>
  <c r="H17" i="20"/>
  <c r="F14" i="56" s="1"/>
  <c r="C16" i="56"/>
  <c r="Q27" i="17"/>
  <c r="J48" i="59"/>
  <c r="J125" i="59" s="1"/>
  <c r="N17" i="20"/>
  <c r="L14" i="56" s="1"/>
  <c r="L16" i="56" s="1"/>
  <c r="E5" i="59"/>
  <c r="Q19" i="19"/>
  <c r="Q18" i="19" s="1"/>
  <c r="Q17" i="19" s="1"/>
  <c r="Q5" i="20"/>
  <c r="Q17" i="20" s="1"/>
  <c r="Q14" i="56" s="1"/>
  <c r="J166" i="23"/>
  <c r="J146" i="23"/>
  <c r="L146" i="23"/>
  <c r="L201" i="23" s="1"/>
  <c r="J7" i="56" s="1"/>
  <c r="R84" i="23"/>
  <c r="R89" i="23"/>
  <c r="N166" i="23"/>
  <c r="I201" i="23"/>
  <c r="G7" i="56" s="1"/>
  <c r="G12" i="56"/>
  <c r="G16" i="56"/>
  <c r="I67" i="17"/>
  <c r="I66" i="17" s="1"/>
  <c r="J27" i="17"/>
  <c r="G5" i="17"/>
  <c r="L5" i="17"/>
  <c r="D5" i="17"/>
  <c r="K6" i="19"/>
  <c r="K5" i="19" s="1"/>
  <c r="E6" i="19"/>
  <c r="E5" i="19" s="1"/>
  <c r="J16" i="56"/>
  <c r="F16" i="56"/>
  <c r="D16" i="56"/>
  <c r="K166" i="23"/>
  <c r="M67" i="17"/>
  <c r="M66" i="17" s="1"/>
  <c r="M108" i="17" s="1"/>
  <c r="K6" i="56" s="1"/>
  <c r="F125" i="59"/>
  <c r="D123" i="59"/>
  <c r="D55" i="59"/>
  <c r="D101" i="59"/>
  <c r="M146" i="23"/>
  <c r="M201" i="23" s="1"/>
  <c r="K7" i="56" s="1"/>
  <c r="N6" i="19"/>
  <c r="N5" i="19" s="1"/>
  <c r="N40" i="17"/>
  <c r="N26" i="17" s="1"/>
  <c r="N108" i="17" s="1"/>
  <c r="L6" i="56" s="1"/>
  <c r="Q13" i="17"/>
  <c r="Q12" i="17" s="1"/>
  <c r="R36" i="23"/>
  <c r="R48" i="23"/>
  <c r="R68" i="23"/>
  <c r="R79" i="23"/>
  <c r="P17" i="19"/>
  <c r="P56" i="19" s="1"/>
  <c r="N10" i="56" s="1"/>
  <c r="N12" i="56" s="1"/>
  <c r="R113" i="22"/>
  <c r="R4" i="21"/>
  <c r="R13" i="21" s="1"/>
  <c r="Q15" i="56" s="1"/>
  <c r="N146" i="23"/>
  <c r="J66" i="17"/>
  <c r="F66" i="17"/>
  <c r="F26" i="17"/>
  <c r="K40" i="17"/>
  <c r="K27" i="17"/>
  <c r="K26" i="17" s="1"/>
  <c r="K108" i="17" s="1"/>
  <c r="I6" i="56" s="1"/>
  <c r="K5" i="17"/>
  <c r="G17" i="19"/>
  <c r="D57" i="59"/>
  <c r="D48" i="59"/>
  <c r="N110" i="59"/>
  <c r="E125" i="59"/>
  <c r="P17" i="20"/>
  <c r="N14" i="56" s="1"/>
  <c r="N16" i="56" s="1"/>
  <c r="Q7" i="19"/>
  <c r="Q6" i="19" s="1"/>
  <c r="Q5" i="19" s="1"/>
  <c r="N56" i="19"/>
  <c r="L10" i="56" s="1"/>
  <c r="L12" i="56" s="1"/>
  <c r="K17" i="19"/>
  <c r="E17" i="19"/>
  <c r="E56" i="19" s="1"/>
  <c r="C10" i="56" s="1"/>
  <c r="C12" i="56" s="1"/>
  <c r="D17" i="19"/>
  <c r="D56" i="19" s="1"/>
  <c r="B10" i="56" s="1"/>
  <c r="B12" i="56" s="1"/>
  <c r="H6" i="19"/>
  <c r="H5" i="19" s="1"/>
  <c r="H56" i="19" s="1"/>
  <c r="F10" i="56" s="1"/>
  <c r="F12" i="56" s="1"/>
  <c r="G6" i="19"/>
  <c r="G5" i="19" s="1"/>
  <c r="M6" i="19"/>
  <c r="M5" i="19" s="1"/>
  <c r="M56" i="19" s="1"/>
  <c r="K10" i="56" s="1"/>
  <c r="K12" i="56" s="1"/>
  <c r="O17" i="19"/>
  <c r="N48" i="59"/>
  <c r="R122" i="22"/>
  <c r="P40" i="17"/>
  <c r="P26" i="17" s="1"/>
  <c r="O56" i="19"/>
  <c r="M10" i="56" s="1"/>
  <c r="P201" i="23"/>
  <c r="N7" i="56" s="1"/>
  <c r="R152" i="23"/>
  <c r="R146" i="23" s="1"/>
  <c r="O67" i="17"/>
  <c r="O66" i="17" s="1"/>
  <c r="O26" i="17"/>
  <c r="Q5" i="17"/>
  <c r="R80" i="22"/>
  <c r="D12" i="59"/>
  <c r="O201" i="23"/>
  <c r="M7" i="56" s="1"/>
  <c r="I26" i="17"/>
  <c r="I108" i="17" s="1"/>
  <c r="G6" i="56" s="1"/>
  <c r="D26" i="17"/>
  <c r="D108" i="17" s="1"/>
  <c r="B6" i="56" s="1"/>
  <c r="B8" i="56" s="1"/>
  <c r="G26" i="17"/>
  <c r="G108" i="17" s="1"/>
  <c r="E6" i="56" s="1"/>
  <c r="E8" i="56" s="1"/>
  <c r="H108" i="17"/>
  <c r="F6" i="56" s="1"/>
  <c r="K201" i="23"/>
  <c r="I7" i="56" s="1"/>
  <c r="J56" i="19"/>
  <c r="H10" i="56" s="1"/>
  <c r="H12" i="56" s="1"/>
  <c r="G56" i="19"/>
  <c r="E10" i="56" s="1"/>
  <c r="E12" i="56" s="1"/>
  <c r="J40" i="17"/>
  <c r="J26" i="17" s="1"/>
  <c r="J108" i="17" s="1"/>
  <c r="H6" i="56" s="1"/>
  <c r="L26" i="17"/>
  <c r="L108" i="17" s="1"/>
  <c r="J6" i="56" s="1"/>
  <c r="J8" i="56" s="1"/>
  <c r="L56" i="19"/>
  <c r="J10" i="56" s="1"/>
  <c r="J12" i="56" s="1"/>
  <c r="H201" i="23"/>
  <c r="F7" i="56" s="1"/>
  <c r="B16" i="56"/>
  <c r="N201" i="23"/>
  <c r="L7" i="56" s="1"/>
  <c r="D67" i="59"/>
  <c r="D92" i="59"/>
  <c r="Q26" i="17" l="1"/>
  <c r="Q56" i="19"/>
  <c r="Q10" i="56" s="1"/>
  <c r="M12" i="56"/>
  <c r="G8" i="56"/>
  <c r="G20" i="56" s="1"/>
  <c r="C20" i="56"/>
  <c r="R201" i="23"/>
  <c r="K56" i="19"/>
  <c r="I10" i="56" s="1"/>
  <c r="I12" i="56" s="1"/>
  <c r="Q108" i="17"/>
  <c r="Q6" i="56" s="1"/>
  <c r="O108" i="17"/>
  <c r="M6" i="56" s="1"/>
  <c r="F108" i="17"/>
  <c r="D6" i="56" s="1"/>
  <c r="D8" i="56" s="1"/>
  <c r="D20" i="56" s="1"/>
  <c r="J201" i="23"/>
  <c r="H7" i="56" s="1"/>
  <c r="Q16" i="56"/>
  <c r="H8" i="56"/>
  <c r="H20" i="56" s="1"/>
  <c r="K8" i="56"/>
  <c r="K20" i="56" s="1"/>
  <c r="L8" i="56"/>
  <c r="L20" i="56" s="1"/>
  <c r="D125" i="59"/>
  <c r="E20" i="56"/>
  <c r="I8" i="56"/>
  <c r="I20" i="56" s="1"/>
  <c r="R143" i="22"/>
  <c r="Q11" i="56" s="1"/>
  <c r="N125" i="59"/>
  <c r="J20" i="56"/>
  <c r="P108" i="17"/>
  <c r="N6" i="56" s="1"/>
  <c r="N8" i="56" s="1"/>
  <c r="N20" i="56" s="1"/>
  <c r="M8" i="56"/>
  <c r="M20" i="56" s="1"/>
  <c r="F8" i="56"/>
  <c r="F20" i="56" s="1"/>
  <c r="B20" i="56"/>
  <c r="Q7" i="56" l="1"/>
  <c r="Q8" i="56" s="1"/>
  <c r="Q12" i="56"/>
  <c r="Q20" i="56" l="1"/>
</calcChain>
</file>

<file path=xl/sharedStrings.xml><?xml version="1.0" encoding="utf-8"?>
<sst xmlns="http://schemas.openxmlformats.org/spreadsheetml/2006/main" count="768" uniqueCount="497">
  <si>
    <t xml:space="preserve">Vysielacie a vydavateľské služby </t>
  </si>
  <si>
    <t>LIM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</si>
  <si>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</si>
  <si>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</si>
  <si>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</si>
  <si>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</si>
  <si>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</si>
  <si>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</si>
  <si>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</si>
  <si>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</si>
  <si>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</si>
  <si>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</si>
  <si>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</si>
  <si>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ZŠ G. Haina 37 škol. infra.</t>
  </si>
  <si>
    <t>MŠ Žel. riadok - škol. Infra.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</si>
  <si>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</si>
  <si>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</si>
  <si>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</si>
  <si>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</si>
  <si>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</si>
  <si>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</si>
  <si>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</si>
  <si>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</si>
  <si>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</si>
  <si>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</si>
  <si>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</si>
  <si>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10.7.0.</t>
  </si>
  <si>
    <t>Prísp. neštát. subjekt.- pomoc občanom v hmotnej a sociálnej núdzi</t>
  </si>
  <si>
    <t>Komunitná soc. práca</t>
  </si>
  <si>
    <t>Prídavky na deti</t>
  </si>
  <si>
    <t>Potravinová pomoc</t>
  </si>
  <si>
    <t>Stravovanie HMNU</t>
  </si>
  <si>
    <t>Školské potreby - HMNU</t>
  </si>
  <si>
    <t>Jednorazová dávka primator</t>
  </si>
  <si>
    <t>Rozpočet bež. výdavky celkom</t>
  </si>
  <si>
    <t>Verejná správa</t>
  </si>
  <si>
    <t>kamerový systém</t>
  </si>
  <si>
    <t>Projektová dokumentácia</t>
  </si>
  <si>
    <t>Technické zhodnotenie - poliklinika</t>
  </si>
  <si>
    <t>Dom meštiansky, NMP č.43</t>
  </si>
  <si>
    <t xml:space="preserve">Prestavba N.M.P. II. etapa </t>
  </si>
  <si>
    <t>Doprava-výstavba a oprava ciest</t>
  </si>
  <si>
    <t>Spevnené plochy a komunikácie</t>
  </si>
  <si>
    <t>Zábradlie Križný potok</t>
  </si>
  <si>
    <t>schody okružná</t>
  </si>
  <si>
    <t>chodník - Kláštorská</t>
  </si>
  <si>
    <t>výstavba parkoviska sídl, Západ II.</t>
  </si>
  <si>
    <t>Nákladanie s odpadmi</t>
  </si>
  <si>
    <t>Príspevok pre TS</t>
  </si>
  <si>
    <t>VO Bottova, Kasárenska ul.</t>
  </si>
  <si>
    <t>Kaplnka Levočské Lúky, NN prípojka</t>
  </si>
  <si>
    <t>nákup objekt Pisarčiná</t>
  </si>
  <si>
    <t>MPV - ostatné</t>
  </si>
  <si>
    <t>MPV most LD</t>
  </si>
  <si>
    <t>MPV Ovocinárska</t>
  </si>
  <si>
    <t>Lev. Lúky - zádveria</t>
  </si>
  <si>
    <t>chata Kohlwald</t>
  </si>
  <si>
    <t>odvodnenie, sídl. Pri prameni</t>
  </si>
  <si>
    <t>Byty</t>
  </si>
  <si>
    <t>preložka VN</t>
  </si>
  <si>
    <t>08.2.0.9</t>
  </si>
  <si>
    <t>Káblová televízia - štúdia</t>
  </si>
  <si>
    <t>Plynová a kanalizačná prípojka</t>
  </si>
  <si>
    <t xml:space="preserve">Rolba </t>
  </si>
  <si>
    <t>kocka - strecha</t>
  </si>
  <si>
    <t>Ihrisko WORK OUT</t>
  </si>
  <si>
    <t>Príspevok pre MKS</t>
  </si>
  <si>
    <t>08.4.0.</t>
  </si>
  <si>
    <t>PD - DSS</t>
  </si>
  <si>
    <t>10.7.0</t>
  </si>
  <si>
    <t>Rozpočet kapitál. výdavky celkom</t>
  </si>
  <si>
    <t>Funkčná klasifikácia</t>
  </si>
  <si>
    <t>Ukazovateľ</t>
  </si>
  <si>
    <t>630</t>
  </si>
  <si>
    <t>06.2.0</t>
  </si>
  <si>
    <t>Rozvoj obcí</t>
  </si>
  <si>
    <t>01.1.2</t>
  </si>
  <si>
    <t>Zásobovanie vodou</t>
  </si>
  <si>
    <t>Štátny fond rozvoja bývania</t>
  </si>
  <si>
    <t>Detské jasle</t>
  </si>
  <si>
    <t>Finančné operácie</t>
  </si>
  <si>
    <t>08.2.0.</t>
  </si>
  <si>
    <t>spolu</t>
  </si>
  <si>
    <t>Príjmy z prevodov peňaž. Fondov obcí FRB</t>
  </si>
  <si>
    <t>fond nevyčerpaných dotácií</t>
  </si>
  <si>
    <t xml:space="preserve">predaj akcií </t>
  </si>
  <si>
    <t>Prevod investičný fond</t>
  </si>
  <si>
    <t>06.6.0</t>
  </si>
  <si>
    <t>01.7</t>
  </si>
  <si>
    <t>Transakcie verejného dlhu</t>
  </si>
  <si>
    <t>04.4.3</t>
  </si>
  <si>
    <t>Výstavba</t>
  </si>
  <si>
    <t>08.4.0</t>
  </si>
  <si>
    <t>Stavebný úrad</t>
  </si>
  <si>
    <t>05.4.0</t>
  </si>
  <si>
    <t>03.1.0</t>
  </si>
  <si>
    <t>Policajné služby</t>
  </si>
  <si>
    <t>05.1.0</t>
  </si>
  <si>
    <t>Nakladanie s odpadmi</t>
  </si>
  <si>
    <t>Transfery na  kultúru - FS Levočan</t>
  </si>
  <si>
    <t>04.7.3</t>
  </si>
  <si>
    <t>Cestovný ruch</t>
  </si>
  <si>
    <t>Kultúrne služby</t>
  </si>
  <si>
    <t>Partnerské mestá</t>
  </si>
  <si>
    <t>Na  obnovu kult. Pamiatok</t>
  </si>
  <si>
    <t>Spolufinancovanie projektov</t>
  </si>
  <si>
    <t>Zdroje krytia</t>
  </si>
  <si>
    <t>prebytok BR</t>
  </si>
  <si>
    <t>kapitálové príjmy</t>
  </si>
  <si>
    <t>príjmy z min. rokov</t>
  </si>
  <si>
    <t>granty a transfery</t>
  </si>
  <si>
    <t>finančné operácie</t>
  </si>
  <si>
    <t>úver</t>
  </si>
  <si>
    <t>PD - cesta Mariánska hora</t>
  </si>
  <si>
    <t>MPV  - cesta Mariánska hora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</si>
  <si>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</si>
  <si>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</si>
  <si>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</si>
  <si>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</si>
  <si>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</si>
  <si>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</si>
  <si>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</si>
  <si>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</si>
  <si>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</si>
  <si>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</si>
  <si>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</si>
  <si>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</si>
  <si>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Rozpočet 2015</t>
  </si>
  <si>
    <t>b</t>
  </si>
  <si>
    <t>Daňové príjmy</t>
  </si>
  <si>
    <t>dane z príj.,ziskov kapitalového majetku</t>
  </si>
  <si>
    <t>Výnos dane z príjmov poukázaný územnej samospráve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</si>
  <si>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</si>
  <si>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</si>
  <si>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</si>
  <si>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</si>
  <si>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</si>
  <si>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</si>
  <si>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</si>
  <si>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</si>
  <si>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</si>
  <si>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</si>
  <si>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</si>
  <si>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</si>
  <si>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</si>
  <si>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</si>
  <si>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</si>
  <si>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</si>
  <si>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</si>
  <si>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</si>
  <si>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</si>
  <si>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</si>
  <si>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</si>
  <si>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</si>
  <si>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</si>
  <si>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</si>
  <si>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</si>
  <si>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</si>
  <si>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</si>
  <si>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</si>
  <si>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</si>
  <si>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</si>
  <si>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</si>
  <si>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</si>
  <si>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</si>
  <si>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</si>
  <si>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Za stravné ostatné -zamestnanci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</si>
  <si>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</si>
  <si>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</si>
  <si>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</si>
  <si>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</si>
  <si>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</si>
  <si>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</si>
  <si>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</si>
  <si>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</si>
  <si>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</si>
  <si>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</si>
  <si>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</si>
  <si>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</si>
  <si>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</si>
  <si>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</si>
  <si>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</si>
  <si>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</si>
  <si>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</si>
  <si>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</si>
  <si>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</si>
  <si>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</si>
  <si>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</si>
  <si>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</si>
  <si>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</si>
  <si>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</si>
  <si>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</si>
  <si>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</si>
  <si>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</si>
  <si>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sociálna práca</t>
  </si>
  <si>
    <t>Transfer REGOB</t>
  </si>
  <si>
    <t>Vojnové hroby</t>
  </si>
  <si>
    <t>Chránené dielne</t>
  </si>
  <si>
    <t>MK Kostol sv. Jakuba</t>
  </si>
  <si>
    <t>Dotácia cesty</t>
  </si>
  <si>
    <t>Kostol sv. Jakuba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</si>
  <si>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</si>
  <si>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</si>
  <si>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</si>
  <si>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</si>
  <si>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 xml:space="preserve">vzdelávanie seniorov </t>
  </si>
  <si>
    <t xml:space="preserve">Kultúra- puto spájajúce obyvateľov vidieka </t>
  </si>
  <si>
    <t>refundácia projektov - krátkodobý úver</t>
  </si>
  <si>
    <t>ostatné</t>
  </si>
  <si>
    <t>Zahraničné granty</t>
  </si>
  <si>
    <t>Bežné</t>
  </si>
  <si>
    <t>Bežné príjmy celkom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</si>
  <si>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</si>
  <si>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</si>
  <si>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</si>
  <si>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</si>
  <si>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</si>
  <si>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</si>
  <si>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</si>
  <si>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</si>
  <si>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</si>
  <si>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</si>
  <si>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</si>
  <si>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</si>
  <si>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</si>
  <si>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</si>
  <si>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</si>
  <si>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</si>
  <si>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</si>
  <si>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</si>
  <si>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Tréningová hala</t>
  </si>
  <si>
    <t>dot. na  obnovu kult. pamiatok</t>
  </si>
  <si>
    <t>komunitné centrum</t>
  </si>
  <si>
    <t>Radnica a Zvonica NMP 2</t>
  </si>
  <si>
    <t>obnova oddychovej zóny Schiessplatz</t>
  </si>
  <si>
    <t xml:space="preserve">Byty </t>
  </si>
  <si>
    <t>úprava verejných priestranstiev</t>
  </si>
  <si>
    <t>oddychové zóny</t>
  </si>
  <si>
    <t xml:space="preserve">Kostol sv. Jakuba </t>
  </si>
  <si>
    <t>Hradby</t>
  </si>
  <si>
    <t xml:space="preserve">PD Košická ulica č. 26 </t>
  </si>
  <si>
    <t>Príjem za  Detské Jasle</t>
  </si>
  <si>
    <t>Transfer pre MsKS</t>
  </si>
  <si>
    <t>Divadlo - MsKS</t>
  </si>
  <si>
    <t>Knižnica - MsKS</t>
  </si>
  <si>
    <t>Galéria - MsKS</t>
  </si>
  <si>
    <t>Kino - MsKS</t>
  </si>
  <si>
    <t>Dni Majstra Pavla - MsKS</t>
  </si>
  <si>
    <t>ZUŠ</t>
  </si>
  <si>
    <t>auto</t>
  </si>
  <si>
    <t>01.3.3</t>
  </si>
  <si>
    <t>Vysielanie mestskej televízie</t>
  </si>
  <si>
    <t xml:space="preserve">     pokuty, penále, vecné bremená</t>
  </si>
  <si>
    <t xml:space="preserve">     z prenájmu bytov </t>
  </si>
  <si>
    <t xml:space="preserve">     z prenájmu nebyt. priestorov</t>
  </si>
  <si>
    <t>Nakladanie s odpadovými vodami</t>
  </si>
  <si>
    <t>04.5.1</t>
  </si>
  <si>
    <t>Dopravné značenie</t>
  </si>
  <si>
    <t>Doprava</t>
  </si>
  <si>
    <t xml:space="preserve">členské </t>
  </si>
  <si>
    <t>Prebytok/schodok finančného hospodárenia</t>
  </si>
  <si>
    <t>Rekapitulácia</t>
  </si>
  <si>
    <t>Prebytok/schodok  hospodárenia</t>
  </si>
  <si>
    <t>Recyklačný fond</t>
  </si>
  <si>
    <t xml:space="preserve">Dni Majstra Pavla </t>
  </si>
  <si>
    <t>Školský úrad</t>
  </si>
  <si>
    <t>08.1.0</t>
  </si>
  <si>
    <t>Rekreačné a športové služby</t>
  </si>
  <si>
    <t>06.1.0</t>
  </si>
  <si>
    <t>Rozvoj bývania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</si>
  <si>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</si>
  <si>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</si>
  <si>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</si>
  <si>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</si>
  <si>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</si>
  <si>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</si>
  <si>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</si>
  <si>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Kapitálové</t>
  </si>
  <si>
    <t>Karpatské klim. mestečká</t>
  </si>
  <si>
    <t>Kapitalové príjmy celkom</t>
  </si>
  <si>
    <t>d</t>
  </si>
  <si>
    <t>Krátkodobé úvery</t>
  </si>
  <si>
    <t>Dlhodobé úvery</t>
  </si>
  <si>
    <t>Finančné operácie celkom</t>
  </si>
  <si>
    <t xml:space="preserve">Časť 2.2. Výdavkové finančné operácie </t>
  </si>
  <si>
    <t>a</t>
  </si>
  <si>
    <t>Splácanie bankových úverov dlhodobých</t>
  </si>
  <si>
    <t>Splácanie bankových úverov krátkodobých</t>
  </si>
  <si>
    <t>Splácanie bankových úverov ŠFRB</t>
  </si>
  <si>
    <t>c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</si>
  <si>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</si>
  <si>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</si>
  <si>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</si>
  <si>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</si>
  <si>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</si>
  <si>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</si>
  <si>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 xml:space="preserve">Finanč.a rozpočt.oblasť </t>
  </si>
  <si>
    <t>Auditorská činnosť</t>
  </si>
  <si>
    <t>Poplatky banke</t>
  </si>
  <si>
    <t>Daň z príjmu</t>
  </si>
  <si>
    <t>Iné všeobecné služby-matrika</t>
  </si>
  <si>
    <t>01.6.0</t>
  </si>
  <si>
    <t>REGOB</t>
  </si>
  <si>
    <t>voľby</t>
  </si>
  <si>
    <t>01.7.0</t>
  </si>
  <si>
    <t>Splátka úrokov bankám</t>
  </si>
  <si>
    <t>02.2.0.</t>
  </si>
  <si>
    <t>Vojenská obrana</t>
  </si>
  <si>
    <t>Civilná ochrana</t>
  </si>
  <si>
    <t>Policajné služby-mestská polícia</t>
  </si>
  <si>
    <t>leasing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</si>
  <si>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</si>
  <si>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</si>
  <si>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</si>
  <si>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</si>
  <si>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</si>
  <si>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</si>
  <si>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</si>
  <si>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</si>
  <si>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Údržba ciest - Technické služby</t>
  </si>
  <si>
    <t>Cestná doprava / transfer SAD /</t>
  </si>
  <si>
    <t xml:space="preserve">Informačná kancelária </t>
  </si>
  <si>
    <t>Propagácia, reklama a inzercia</t>
  </si>
  <si>
    <t>UNESCO</t>
  </si>
  <si>
    <t>Slovenské kráľovské mestá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</si>
  <si>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</si>
  <si>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</si>
  <si>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</si>
  <si>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</si>
  <si>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</si>
  <si>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</si>
  <si>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Uzat.a rek.skládky KO D.Stráže</t>
  </si>
  <si>
    <t>05.2.0</t>
  </si>
  <si>
    <t>ČOV, parkoviská - stočné</t>
  </si>
  <si>
    <t>0</t>
  </si>
  <si>
    <t xml:space="preserve">Životné prostredie </t>
  </si>
  <si>
    <t>Protipovodňové aktivity</t>
  </si>
  <si>
    <t>oddychová zóna</t>
  </si>
  <si>
    <t>Povodne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</si>
  <si>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</si>
  <si>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</si>
  <si>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</si>
  <si>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</si>
  <si>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</si>
  <si>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Urbanistická štúdia pre IBV</t>
  </si>
  <si>
    <t>Oplotenie zimného štadióna</t>
  </si>
  <si>
    <t>Hnedý priemyselný park</t>
  </si>
  <si>
    <t>Verejná zeleň - Technické služby</t>
  </si>
  <si>
    <t>06.3.0</t>
  </si>
  <si>
    <t>Voda - Lev.Lúky</t>
  </si>
  <si>
    <t>Technické služby</t>
  </si>
  <si>
    <t>Bývanie a občianska vybavenosť</t>
  </si>
  <si>
    <t>Transfery pre šport a telovýchovu</t>
  </si>
  <si>
    <t>Transfer pre TS (SÚZ)</t>
  </si>
  <si>
    <t>Ostat.trans.pre šport a telových.</t>
  </si>
  <si>
    <t>Náklady na obradné siene / APO/</t>
  </si>
  <si>
    <t>Ostatné transfery na  kultúru</t>
  </si>
  <si>
    <t>08.3.0.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</si>
  <si>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</si>
  <si>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</si>
  <si>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</si>
  <si>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</si>
  <si>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</si>
  <si>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</si>
  <si>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</si>
  <si>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</si>
  <si>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</si>
  <si>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08.2.0</t>
  </si>
  <si>
    <t>Verejné osvetlenie</t>
  </si>
  <si>
    <t>06.4.0</t>
  </si>
  <si>
    <t>Kostol sv. Jakuba - veža</t>
  </si>
  <si>
    <t>Klietka hamby</t>
  </si>
  <si>
    <t>Sanácia miest s nelegálnym odpadom</t>
  </si>
  <si>
    <t>Transfer pre TS</t>
  </si>
  <si>
    <t>MŠ Francisciho - teplo</t>
  </si>
  <si>
    <t>MŠ Francisciho - strecha</t>
  </si>
  <si>
    <t>Čerpanie rozpočtu 2015</t>
  </si>
  <si>
    <t>Osobitný príjemca -mesto</t>
  </si>
  <si>
    <t>Parkovisko -ul. Športovcov</t>
  </si>
  <si>
    <t>Obnova verejného osvetlenia</t>
  </si>
  <si>
    <t>ZŠ Francisciho - vybavenie ŠJ</t>
  </si>
  <si>
    <t xml:space="preserve">Kláštorská </t>
  </si>
  <si>
    <t>Pranier</t>
  </si>
  <si>
    <t>Telocvičňa ZŠ G. Haina</t>
  </si>
  <si>
    <t>Elektrická rozvodná skriňa</t>
  </si>
  <si>
    <t>Chodník - ul. Francisciho</t>
  </si>
  <si>
    <t>Skládka TKO - korekcia</t>
  </si>
  <si>
    <t>Ortofomapa</t>
  </si>
  <si>
    <t>MPV cyklochodník</t>
  </si>
  <si>
    <t>Pozemky Menhardská brána</t>
  </si>
  <si>
    <t>NMP č. 54 - divadlo, kotolňa</t>
  </si>
  <si>
    <t>MŠ Levočské lúky - vykurovanie</t>
  </si>
  <si>
    <t>ZŠ G. Haina - telocvičňa</t>
  </si>
  <si>
    <t>MŠ Haina - PD</t>
  </si>
  <si>
    <t>kultúrno - spoločenské aktivíty</t>
  </si>
  <si>
    <t>??</t>
  </si>
  <si>
    <t>MŠ G. Haina</t>
  </si>
  <si>
    <t>Fasáda NMP 50</t>
  </si>
  <si>
    <t>cesta Mariánska hora</t>
  </si>
  <si>
    <t>Chodník - mestský cintorín</t>
  </si>
  <si>
    <t>Prestavba zberných miest</t>
  </si>
  <si>
    <t>Príspevok pre TS nákup profesionálnej kosačky</t>
  </si>
  <si>
    <t>Fond nevyčerpaných dot.</t>
  </si>
  <si>
    <t>Kapitálový rozpočet - zdroje krytia</t>
  </si>
  <si>
    <t>Fontána dobročinnosti</t>
  </si>
  <si>
    <t>prebytok rozpočtu 2016</t>
  </si>
  <si>
    <t>Nájom TS</t>
  </si>
  <si>
    <t>územný plán</t>
  </si>
  <si>
    <t>ostatné kultúrne podujatia</t>
  </si>
  <si>
    <t>skládka KO D.Stráže</t>
  </si>
  <si>
    <t>Modernizácia zberného dvora</t>
  </si>
  <si>
    <t>SQL server</t>
  </si>
  <si>
    <t>Štúrova ulica</t>
  </si>
  <si>
    <t>Zrážková voda - TS</t>
  </si>
  <si>
    <t>Univerzálny vyklápač</t>
  </si>
  <si>
    <t>Detské ihrisko</t>
  </si>
  <si>
    <t>Prístupová cesta - (kruhový objazd)</t>
  </si>
  <si>
    <t>Spevnené plochy Sídl. Sever</t>
  </si>
  <si>
    <t>MPV Plantáže</t>
  </si>
  <si>
    <t>NMP č. 54 - divadlo,kotolňa</t>
  </si>
  <si>
    <t>Upravený rozpočet 2017</t>
  </si>
  <si>
    <t>Príspevok pre TS - administratívna budova</t>
  </si>
  <si>
    <t>Rekonštrukcia strechy divadla</t>
  </si>
  <si>
    <t>Rekonštrukcia okien a dverí divadla</t>
  </si>
  <si>
    <t>Košická ul. Č. 26</t>
  </si>
  <si>
    <t>Software</t>
  </si>
  <si>
    <t xml:space="preserve">Rozpočet 2017 </t>
  </si>
  <si>
    <t>Rozpočet 2017</t>
  </si>
  <si>
    <t>Časť 1.1.2. Výdavky bežného rozpočtu</t>
  </si>
  <si>
    <t>Časť 1.1 Bežný rozpočet</t>
  </si>
  <si>
    <t>Časť 1.1.1. Príjmy bežného rozpočtu</t>
  </si>
  <si>
    <t>Časť 1.2. Kapitálový rozpočet</t>
  </si>
  <si>
    <t>Časť 1.2.1. Príjmy kapitálového rozpočtu</t>
  </si>
  <si>
    <t>Časť 1.2.2. Výdavky kapitálového rozpočtu</t>
  </si>
  <si>
    <t xml:space="preserve">Časť II. Finančné operácie </t>
  </si>
  <si>
    <t xml:space="preserve">Časť 2.1. Príjmové finančné operácie </t>
  </si>
  <si>
    <t>Autobusové zastávky Lev. Lúky</t>
  </si>
  <si>
    <t>Preložka NN garáže Západ</t>
  </si>
  <si>
    <t>Strelecká bašta</t>
  </si>
  <si>
    <t xml:space="preserve">Strelecká bašta </t>
  </si>
  <si>
    <t>Odvodňovacie rigoly sídl. Západ</t>
  </si>
  <si>
    <t>Cesta Závada</t>
  </si>
  <si>
    <t>Preložka VO - Kežmarská cesta</t>
  </si>
  <si>
    <t>Internetová stránka</t>
  </si>
  <si>
    <t>Chodníky Pod vinicou</t>
  </si>
  <si>
    <t>Cesta ul. Okružná</t>
  </si>
  <si>
    <t>Prístupový chodník/schodisko Pod vinicou</t>
  </si>
  <si>
    <t>ZUŠ - učebne</t>
  </si>
  <si>
    <t>Garáže Rozvoj II.</t>
  </si>
  <si>
    <t xml:space="preserve">Garáže Rozvoj II. </t>
  </si>
  <si>
    <t>CVČ - Mantinely</t>
  </si>
  <si>
    <t>Prístupová cesta - Garáže Západ</t>
  </si>
  <si>
    <t xml:space="preserve">Zlepšenie kľúčových kopetencií žiakov ZŠ </t>
  </si>
  <si>
    <t>ZŠ Kluberta - kompetencie žiakov</t>
  </si>
  <si>
    <t>ZŠ Francisciho - kompetencie žiakov</t>
  </si>
  <si>
    <t>ZŠ G. Haina - kompetencie žiakov</t>
  </si>
  <si>
    <t>ZUŠ Chránené dielne</t>
  </si>
  <si>
    <t>Vojnové hroby - dotácia</t>
  </si>
  <si>
    <t>Oprava strechy ZŠ Kluberta</t>
  </si>
  <si>
    <t>Ihrisko SPP</t>
  </si>
  <si>
    <t xml:space="preserve">Parkovisko sídl. Rozvoj </t>
  </si>
  <si>
    <t>Príspevok TS - auto</t>
  </si>
  <si>
    <t>Príspevok pre TS - auto</t>
  </si>
  <si>
    <t>Verejné osvetlenie - projekt</t>
  </si>
  <si>
    <t>ZŠ G. Haina - vybavenie ŠJ</t>
  </si>
  <si>
    <t>zábezpeky</t>
  </si>
  <si>
    <t>dodávateľský úver - chodníky</t>
  </si>
  <si>
    <t>dodávateľský úver - auto MP</t>
  </si>
  <si>
    <t>Oprava VO</t>
  </si>
  <si>
    <t>Železničný riadok - cesta - garáže</t>
  </si>
  <si>
    <t>Za sedriou - cesta</t>
  </si>
  <si>
    <t>Ruskinovská ulica (cesta, VO)</t>
  </si>
  <si>
    <t>Projekt - Kniha</t>
  </si>
  <si>
    <t>Dodávateľský úver auto</t>
  </si>
  <si>
    <t>Čerpanie rozpočtu 2016</t>
  </si>
  <si>
    <t>Rozpočet 2016</t>
  </si>
  <si>
    <t>500. výročie - MsKS</t>
  </si>
  <si>
    <t>Transfer na Technické služby</t>
  </si>
  <si>
    <t xml:space="preserve">     ostatné</t>
  </si>
  <si>
    <t>Kniha - Dejiny Levoče II.</t>
  </si>
  <si>
    <t xml:space="preserve">Príspevok pre TS </t>
  </si>
  <si>
    <t>terénna soc. práca</t>
  </si>
  <si>
    <t>terénna soc. Práca</t>
  </si>
  <si>
    <t>Vyňatie z LPF Mariánska hora</t>
  </si>
  <si>
    <t>Zníženie ZI Stavebná prevádzkáreň</t>
  </si>
  <si>
    <t>ZŠ Kluberta - vybavenie ŠJ</t>
  </si>
  <si>
    <t>preklenovací úver</t>
  </si>
  <si>
    <t>projekt - školy</t>
  </si>
  <si>
    <t>dobrovoľný hasič</t>
  </si>
  <si>
    <t>príspevok pri narodení</t>
  </si>
  <si>
    <t>dotácia PSK</t>
  </si>
  <si>
    <t>zmena č.6</t>
  </si>
  <si>
    <t>telocvičňa</t>
  </si>
  <si>
    <t>kamenrový systém</t>
  </si>
  <si>
    <t>Zmena na základe § 14 ods. 1 zákona 583/2004 Z.z. o rozpočtových pravidlách územnej samosprávy a o zmene a doplnení niektorých zákonov</t>
  </si>
  <si>
    <t>JUDr. Lýdia Budziňáková</t>
  </si>
  <si>
    <t>zástupkyňa primátora mesta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</si>
</sst>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\ _S_k"/>
    <numFmt numFmtId="166" formatCode="#,##0.000"/>
    <numFmt numFmtId="167" formatCode="0.000"/>
  </numFmts>
  <fonts count="42" x14ac:knownFonts="1"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10"/>
      <name val="Arial"/>
      <family val="2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8"/>
      <name val="Arial"/>
      <family val="2"/>
      <charset val="238"/>
    </font>
    <font>
      <sz val="11"/>
      <color indexed="8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theme="6" tint="-0.249977111117893"/>
      <name val="Arial CE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/>
  </cellStyleXfs>
  <cellXfs count="911">
    <xf numFmtId="0" fontId="0" fillId="0" borderId="0" xfId="0"/>
    <xf numFmtId="0" fontId="0" fillId="0" borderId="0" xfId="0" applyFont="1"/>
    <xf numFmtId="3" fontId="0" fillId="0" borderId="0" xfId="0" applyNumberFormat="1"/>
    <xf numFmtId="0" fontId="7" fillId="0" borderId="1" xfId="0" applyFont="1" applyFill="1" applyBorder="1" applyAlignment="1">
      <alignment horizontal="center"/>
    </xf>
    <xf numFmtId="3" fontId="7" fillId="0" borderId="2" xfId="0" applyNumberFormat="1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3" fontId="8" fillId="0" borderId="5" xfId="0" applyNumberFormat="1" applyFont="1" applyFill="1" applyBorder="1"/>
    <xf numFmtId="0" fontId="10" fillId="0" borderId="6" xfId="0" applyFont="1" applyFill="1" applyBorder="1"/>
    <xf numFmtId="0" fontId="11" fillId="0" borderId="6" xfId="0" applyFont="1" applyFill="1" applyBorder="1"/>
    <xf numFmtId="3" fontId="11" fillId="0" borderId="6" xfId="0" applyNumberFormat="1" applyFont="1" applyFill="1" applyBorder="1"/>
    <xf numFmtId="3" fontId="11" fillId="0" borderId="7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 applyAlignment="1">
      <alignment horizontal="center"/>
    </xf>
    <xf numFmtId="3" fontId="12" fillId="0" borderId="6" xfId="0" applyNumberFormat="1" applyFont="1" applyFill="1" applyBorder="1"/>
    <xf numFmtId="0" fontId="10" fillId="0" borderId="9" xfId="0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3" xfId="0" applyFont="1" applyFill="1" applyBorder="1"/>
    <xf numFmtId="3" fontId="11" fillId="0" borderId="14" xfId="0" applyNumberFormat="1" applyFont="1" applyFill="1" applyBorder="1"/>
    <xf numFmtId="3" fontId="9" fillId="0" borderId="14" xfId="0" applyNumberFormat="1" applyFont="1" applyFill="1" applyBorder="1"/>
    <xf numFmtId="3" fontId="9" fillId="0" borderId="15" xfId="0" applyNumberFormat="1" applyFont="1" applyFill="1" applyBorder="1"/>
    <xf numFmtId="0" fontId="11" fillId="0" borderId="16" xfId="0" applyFont="1" applyFill="1" applyBorder="1"/>
    <xf numFmtId="3" fontId="11" fillId="0" borderId="17" xfId="0" applyNumberFormat="1" applyFont="1" applyFill="1" applyBorder="1"/>
    <xf numFmtId="3" fontId="9" fillId="0" borderId="17" xfId="0" applyNumberFormat="1" applyFont="1" applyFill="1" applyBorder="1"/>
    <xf numFmtId="3" fontId="9" fillId="0" borderId="18" xfId="0" applyNumberFormat="1" applyFont="1" applyFill="1" applyBorder="1"/>
    <xf numFmtId="0" fontId="11" fillId="0" borderId="19" xfId="0" applyFont="1" applyFill="1" applyBorder="1"/>
    <xf numFmtId="3" fontId="11" fillId="0" borderId="20" xfId="0" applyNumberFormat="1" applyFont="1" applyFill="1" applyBorder="1"/>
    <xf numFmtId="3" fontId="9" fillId="0" borderId="20" xfId="0" applyNumberFormat="1" applyFont="1" applyFill="1" applyBorder="1"/>
    <xf numFmtId="3" fontId="9" fillId="0" borderId="21" xfId="0" applyNumberFormat="1" applyFont="1" applyFill="1" applyBorder="1"/>
    <xf numFmtId="0" fontId="8" fillId="0" borderId="22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3" fontId="10" fillId="0" borderId="5" xfId="0" applyNumberFormat="1" applyFont="1" applyFill="1" applyBorder="1"/>
    <xf numFmtId="3" fontId="10" fillId="0" borderId="6" xfId="0" applyNumberFormat="1" applyFont="1" applyFill="1" applyBorder="1"/>
    <xf numFmtId="3" fontId="10" fillId="0" borderId="25" xfId="0" applyNumberFormat="1" applyFont="1" applyFill="1" applyBorder="1"/>
    <xf numFmtId="0" fontId="6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/>
    <xf numFmtId="3" fontId="9" fillId="0" borderId="28" xfId="0" applyNumberFormat="1" applyFont="1" applyFill="1" applyBorder="1"/>
    <xf numFmtId="0" fontId="9" fillId="0" borderId="16" xfId="0" applyFont="1" applyFill="1" applyBorder="1"/>
    <xf numFmtId="3" fontId="9" fillId="0" borderId="16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29" xfId="0" applyFont="1" applyFill="1" applyBorder="1"/>
    <xf numFmtId="3" fontId="9" fillId="0" borderId="30" xfId="0" applyNumberFormat="1" applyFont="1" applyFill="1" applyBorder="1"/>
    <xf numFmtId="3" fontId="9" fillId="0" borderId="31" xfId="0" applyNumberFormat="1" applyFont="1" applyFill="1" applyBorder="1"/>
    <xf numFmtId="0" fontId="7" fillId="0" borderId="22" xfId="0" applyFont="1" applyFill="1" applyBorder="1" applyAlignment="1">
      <alignment horizontal="center"/>
    </xf>
    <xf numFmtId="3" fontId="7" fillId="0" borderId="27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8" fillId="0" borderId="27" xfId="0" applyNumberFormat="1" applyFont="1" applyFill="1" applyBorder="1"/>
    <xf numFmtId="0" fontId="10" fillId="0" borderId="32" xfId="0" applyFont="1" applyFill="1" applyBorder="1"/>
    <xf numFmtId="0" fontId="9" fillId="0" borderId="33" xfId="0" applyFont="1" applyFill="1" applyBorder="1"/>
    <xf numFmtId="0" fontId="9" fillId="0" borderId="14" xfId="0" applyFont="1" applyFill="1" applyBorder="1"/>
    <xf numFmtId="3" fontId="9" fillId="0" borderId="13" xfId="0" applyNumberFormat="1" applyFont="1" applyFill="1" applyBorder="1"/>
    <xf numFmtId="0" fontId="9" fillId="0" borderId="17" xfId="0" applyFont="1" applyFill="1" applyBorder="1"/>
    <xf numFmtId="0" fontId="9" fillId="0" borderId="30" xfId="0" applyFont="1" applyFill="1" applyBorder="1"/>
    <xf numFmtId="3" fontId="9" fillId="0" borderId="19" xfId="0" applyNumberFormat="1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3" fontId="6" fillId="0" borderId="27" xfId="0" applyNumberFormat="1" applyFont="1" applyFill="1" applyBorder="1"/>
    <xf numFmtId="3" fontId="6" fillId="0" borderId="6" xfId="0" applyNumberFormat="1" applyFont="1" applyFill="1" applyBorder="1"/>
    <xf numFmtId="3" fontId="6" fillId="0" borderId="25" xfId="0" applyNumberFormat="1" applyFont="1" applyFill="1" applyBorder="1"/>
    <xf numFmtId="0" fontId="9" fillId="0" borderId="20" xfId="0" applyFont="1" applyFill="1" applyBorder="1"/>
    <xf numFmtId="3" fontId="8" fillId="0" borderId="6" xfId="0" applyNumberFormat="1" applyFont="1" applyFill="1" applyBorder="1"/>
    <xf numFmtId="3" fontId="8" fillId="0" borderId="25" xfId="0" applyNumberFormat="1" applyFont="1" applyFill="1" applyBorder="1"/>
    <xf numFmtId="0" fontId="9" fillId="0" borderId="34" xfId="0" applyFont="1" applyFill="1" applyBorder="1"/>
    <xf numFmtId="3" fontId="9" fillId="0" borderId="34" xfId="0" applyNumberFormat="1" applyFont="1" applyFill="1" applyBorder="1"/>
    <xf numFmtId="3" fontId="9" fillId="0" borderId="35" xfId="0" applyNumberFormat="1" applyFont="1" applyFill="1" applyBorder="1"/>
    <xf numFmtId="0" fontId="9" fillId="0" borderId="13" xfId="0" applyFont="1" applyFill="1" applyBorder="1"/>
    <xf numFmtId="4" fontId="9" fillId="0" borderId="13" xfId="0" applyNumberFormat="1" applyFont="1" applyFill="1" applyBorder="1"/>
    <xf numFmtId="3" fontId="9" fillId="0" borderId="29" xfId="0" applyNumberFormat="1" applyFont="1" applyFill="1" applyBorder="1"/>
    <xf numFmtId="0" fontId="9" fillId="0" borderId="6" xfId="0" applyFont="1" applyFill="1" applyBorder="1"/>
    <xf numFmtId="0" fontId="9" fillId="0" borderId="36" xfId="0" applyFont="1" applyFill="1" applyBorder="1"/>
    <xf numFmtId="3" fontId="9" fillId="0" borderId="36" xfId="0" applyNumberFormat="1" applyFont="1" applyFill="1" applyBorder="1"/>
    <xf numFmtId="3" fontId="9" fillId="0" borderId="11" xfId="0" applyNumberFormat="1" applyFont="1" applyFill="1" applyBorder="1"/>
    <xf numFmtId="3" fontId="8" fillId="0" borderId="10" xfId="0" applyNumberFormat="1" applyFont="1" applyFill="1" applyBorder="1"/>
    <xf numFmtId="4" fontId="8" fillId="0" borderId="10" xfId="0" applyNumberFormat="1" applyFont="1" applyFill="1" applyBorder="1"/>
    <xf numFmtId="0" fontId="8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3" fontId="9" fillId="0" borderId="6" xfId="0" applyNumberFormat="1" applyFont="1" applyFill="1" applyBorder="1"/>
    <xf numFmtId="3" fontId="11" fillId="0" borderId="36" xfId="0" applyNumberFormat="1" applyFont="1" applyFill="1" applyBorder="1"/>
    <xf numFmtId="3" fontId="12" fillId="0" borderId="10" xfId="0" applyNumberFormat="1" applyFont="1" applyFill="1" applyBorder="1"/>
    <xf numFmtId="0" fontId="11" fillId="0" borderId="33" xfId="0" applyFont="1" applyFill="1" applyBorder="1"/>
    <xf numFmtId="3" fontId="11" fillId="0" borderId="28" xfId="0" applyNumberFormat="1" applyFont="1" applyFill="1" applyBorder="1"/>
    <xf numFmtId="0" fontId="11" fillId="0" borderId="14" xfId="0" applyFont="1" applyFill="1" applyBorder="1"/>
    <xf numFmtId="3" fontId="11" fillId="0" borderId="13" xfId="0" applyNumberFormat="1" applyFont="1" applyFill="1" applyBorder="1"/>
    <xf numFmtId="3" fontId="11" fillId="0" borderId="16" xfId="0" applyNumberFormat="1" applyFont="1" applyFill="1" applyBorder="1"/>
    <xf numFmtId="0" fontId="6" fillId="0" borderId="10" xfId="0" applyFont="1" applyFill="1" applyBorder="1"/>
    <xf numFmtId="3" fontId="6" fillId="0" borderId="5" xfId="0" applyNumberFormat="1" applyFont="1" applyFill="1" applyBorder="1"/>
    <xf numFmtId="3" fontId="9" fillId="0" borderId="33" xfId="0" applyNumberFormat="1" applyFont="1" applyFill="1" applyBorder="1"/>
    <xf numFmtId="3" fontId="9" fillId="0" borderId="37" xfId="0" applyNumberFormat="1" applyFont="1" applyFill="1" applyBorder="1"/>
    <xf numFmtId="3" fontId="4" fillId="0" borderId="16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3" fontId="6" fillId="0" borderId="7" xfId="0" applyNumberFormat="1" applyFont="1" applyFill="1" applyBorder="1"/>
    <xf numFmtId="0" fontId="9" fillId="0" borderId="38" xfId="0" applyFont="1" applyFill="1" applyBorder="1"/>
    <xf numFmtId="3" fontId="9" fillId="0" borderId="27" xfId="0" applyNumberFormat="1" applyFont="1" applyFill="1" applyBorder="1"/>
    <xf numFmtId="3" fontId="7" fillId="0" borderId="39" xfId="0" applyNumberFormat="1" applyFont="1" applyFill="1" applyBorder="1"/>
    <xf numFmtId="3" fontId="7" fillId="0" borderId="40" xfId="0" applyNumberFormat="1" applyFont="1" applyFill="1" applyBorder="1"/>
    <xf numFmtId="0" fontId="7" fillId="0" borderId="41" xfId="0" applyFont="1" applyFill="1" applyBorder="1"/>
    <xf numFmtId="3" fontId="7" fillId="0" borderId="10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8" fillId="0" borderId="42" xfId="0" applyFont="1" applyFill="1" applyBorder="1"/>
    <xf numFmtId="3" fontId="8" fillId="0" borderId="7" xfId="0" applyNumberFormat="1" applyFont="1" applyFill="1" applyBorder="1"/>
    <xf numFmtId="0" fontId="6" fillId="0" borderId="38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34" xfId="0" applyFont="1" applyFill="1" applyBorder="1"/>
    <xf numFmtId="0" fontId="11" fillId="0" borderId="34" xfId="0" applyFont="1" applyFill="1" applyBorder="1"/>
    <xf numFmtId="3" fontId="11" fillId="0" borderId="34" xfId="0" applyNumberFormat="1" applyFont="1" applyFill="1" applyBorder="1"/>
    <xf numFmtId="4" fontId="9" fillId="0" borderId="16" xfId="0" applyNumberFormat="1" applyFont="1" applyFill="1" applyBorder="1"/>
    <xf numFmtId="0" fontId="9" fillId="0" borderId="10" xfId="0" applyFont="1" applyFill="1" applyBorder="1"/>
    <xf numFmtId="4" fontId="9" fillId="0" borderId="34" xfId="0" applyNumberFormat="1" applyFont="1" applyFill="1" applyBorder="1"/>
    <xf numFmtId="0" fontId="6" fillId="0" borderId="6" xfId="0" applyFont="1" applyFill="1" applyBorder="1" applyAlignment="1">
      <alignment horizontal="center"/>
    </xf>
    <xf numFmtId="4" fontId="9" fillId="0" borderId="14" xfId="0" applyNumberFormat="1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3" fontId="4" fillId="0" borderId="14" xfId="0" applyNumberFormat="1" applyFont="1" applyFill="1" applyBorder="1"/>
    <xf numFmtId="3" fontId="4" fillId="0" borderId="15" xfId="0" applyNumberFormat="1" applyFont="1" applyFill="1" applyBorder="1"/>
    <xf numFmtId="0" fontId="9" fillId="0" borderId="19" xfId="0" applyFont="1" applyFill="1" applyBorder="1" applyAlignment="1">
      <alignment horizontal="left"/>
    </xf>
    <xf numFmtId="0" fontId="7" fillId="0" borderId="43" xfId="0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25" xfId="0" applyNumberFormat="1" applyFont="1" applyFill="1" applyBorder="1"/>
    <xf numFmtId="3" fontId="12" fillId="0" borderId="38" xfId="0" applyNumberFormat="1" applyFont="1" applyFill="1" applyBorder="1"/>
    <xf numFmtId="3" fontId="12" fillId="0" borderId="44" xfId="0" applyNumberFormat="1" applyFont="1" applyFill="1" applyBorder="1"/>
    <xf numFmtId="3" fontId="10" fillId="0" borderId="7" xfId="0" applyNumberFormat="1" applyFont="1" applyFill="1" applyBorder="1"/>
    <xf numFmtId="0" fontId="11" fillId="0" borderId="28" xfId="0" applyFont="1" applyFill="1" applyBorder="1"/>
    <xf numFmtId="4" fontId="11" fillId="0" borderId="14" xfId="0" applyNumberFormat="1" applyFont="1" applyFill="1" applyBorder="1"/>
    <xf numFmtId="0" fontId="4" fillId="0" borderId="5" xfId="0" applyFont="1" applyFill="1" applyBorder="1"/>
    <xf numFmtId="0" fontId="4" fillId="0" borderId="34" xfId="0" applyFont="1" applyFill="1" applyBorder="1"/>
    <xf numFmtId="4" fontId="11" fillId="0" borderId="17" xfId="0" applyNumberFormat="1" applyFont="1" applyFill="1" applyBorder="1"/>
    <xf numFmtId="0" fontId="8" fillId="0" borderId="22" xfId="0" applyFont="1" applyFill="1" applyBorder="1"/>
    <xf numFmtId="0" fontId="8" fillId="0" borderId="6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4" fontId="8" fillId="0" borderId="6" xfId="0" applyNumberFormat="1" applyFont="1" applyFill="1" applyBorder="1" applyAlignment="1">
      <alignment horizontal="right"/>
    </xf>
    <xf numFmtId="3" fontId="14" fillId="0" borderId="25" xfId="0" applyNumberFormat="1" applyFont="1" applyFill="1" applyBorder="1"/>
    <xf numFmtId="4" fontId="6" fillId="0" borderId="7" xfId="0" applyNumberFormat="1" applyFont="1" applyFill="1" applyBorder="1"/>
    <xf numFmtId="4" fontId="6" fillId="0" borderId="25" xfId="0" applyNumberFormat="1" applyFont="1" applyFill="1" applyBorder="1"/>
    <xf numFmtId="3" fontId="11" fillId="0" borderId="33" xfId="0" applyNumberFormat="1" applyFont="1" applyFill="1" applyBorder="1"/>
    <xf numFmtId="0" fontId="9" fillId="0" borderId="5" xfId="0" applyFont="1" applyFill="1" applyBorder="1"/>
    <xf numFmtId="0" fontId="7" fillId="0" borderId="45" xfId="0" applyFont="1" applyFill="1" applyBorder="1"/>
    <xf numFmtId="0" fontId="7" fillId="0" borderId="46" xfId="0" applyFont="1" applyFill="1" applyBorder="1" applyAlignment="1">
      <alignment horizontal="center"/>
    </xf>
    <xf numFmtId="0" fontId="7" fillId="0" borderId="39" xfId="0" applyFont="1" applyFill="1" applyBorder="1"/>
    <xf numFmtId="4" fontId="6" fillId="0" borderId="10" xfId="0" applyNumberFormat="1" applyFont="1" applyFill="1" applyBorder="1"/>
    <xf numFmtId="0" fontId="6" fillId="0" borderId="28" xfId="0" applyFont="1" applyFill="1" applyBorder="1" applyAlignment="1"/>
    <xf numFmtId="4" fontId="9" fillId="0" borderId="28" xfId="0" applyNumberFormat="1" applyFont="1" applyFill="1" applyBorder="1"/>
    <xf numFmtId="0" fontId="6" fillId="0" borderId="19" xfId="0" applyFont="1" applyFill="1" applyBorder="1" applyAlignment="1"/>
    <xf numFmtId="3" fontId="9" fillId="0" borderId="19" xfId="0" applyNumberFormat="1" applyFont="1" applyFill="1" applyBorder="1" applyAlignment="1">
      <alignment horizontal="right"/>
    </xf>
    <xf numFmtId="4" fontId="9" fillId="0" borderId="19" xfId="0" applyNumberFormat="1" applyFont="1" applyFill="1" applyBorder="1" applyAlignment="1">
      <alignment horizontal="right"/>
    </xf>
    <xf numFmtId="4" fontId="6" fillId="0" borderId="6" xfId="0" applyNumberFormat="1" applyFont="1" applyFill="1" applyBorder="1"/>
    <xf numFmtId="0" fontId="9" fillId="0" borderId="33" xfId="0" applyFont="1" applyFill="1" applyBorder="1" applyAlignment="1"/>
    <xf numFmtId="3" fontId="9" fillId="0" borderId="33" xfId="0" applyNumberFormat="1" applyFont="1" applyFill="1" applyBorder="1" applyAlignment="1"/>
    <xf numFmtId="3" fontId="9" fillId="0" borderId="28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6" fillId="0" borderId="13" xfId="0" applyFont="1" applyFill="1" applyBorder="1" applyAlignment="1"/>
    <xf numFmtId="0" fontId="9" fillId="0" borderId="14" xfId="0" applyFont="1" applyFill="1" applyBorder="1" applyAlignment="1"/>
    <xf numFmtId="3" fontId="9" fillId="0" borderId="14" xfId="0" applyNumberFormat="1" applyFont="1" applyFill="1" applyBorder="1" applyAlignment="1"/>
    <xf numFmtId="3" fontId="9" fillId="0" borderId="13" xfId="0" applyNumberFormat="1" applyFont="1" applyFill="1" applyBorder="1" applyAlignment="1">
      <alignment horizontal="right"/>
    </xf>
    <xf numFmtId="4" fontId="9" fillId="0" borderId="13" xfId="0" applyNumberFormat="1" applyFont="1" applyFill="1" applyBorder="1" applyAlignment="1">
      <alignment horizontal="right"/>
    </xf>
    <xf numFmtId="0" fontId="6" fillId="0" borderId="16" xfId="0" applyFont="1" applyFill="1" applyBorder="1" applyAlignment="1"/>
    <xf numFmtId="0" fontId="9" fillId="0" borderId="17" xfId="0" applyFont="1" applyFill="1" applyBorder="1" applyAlignment="1"/>
    <xf numFmtId="3" fontId="6" fillId="0" borderId="39" xfId="0" applyNumberFormat="1" applyFont="1" applyFill="1" applyBorder="1"/>
    <xf numFmtId="4" fontId="6" fillId="0" borderId="39" xfId="0" applyNumberFormat="1" applyFont="1" applyFill="1" applyBorder="1"/>
    <xf numFmtId="3" fontId="6" fillId="0" borderId="4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6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3" fontId="0" fillId="0" borderId="10" xfId="0" applyNumberFormat="1" applyFill="1" applyBorder="1"/>
    <xf numFmtId="4" fontId="0" fillId="0" borderId="10" xfId="0" applyNumberFormat="1" applyFill="1" applyBorder="1"/>
    <xf numFmtId="3" fontId="0" fillId="0" borderId="11" xfId="0" applyNumberFormat="1" applyFill="1" applyBorder="1"/>
    <xf numFmtId="0" fontId="0" fillId="0" borderId="28" xfId="0" applyFill="1" applyBorder="1"/>
    <xf numFmtId="3" fontId="0" fillId="0" borderId="28" xfId="0" applyNumberFormat="1" applyFill="1" applyBorder="1"/>
    <xf numFmtId="3" fontId="4" fillId="0" borderId="28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3" fontId="4" fillId="0" borderId="37" xfId="0" applyNumberFormat="1" applyFont="1" applyFill="1" applyBorder="1"/>
    <xf numFmtId="0" fontId="0" fillId="0" borderId="13" xfId="0" applyFill="1" applyBorder="1"/>
    <xf numFmtId="0" fontId="4" fillId="0" borderId="13" xfId="0" applyFont="1" applyFill="1" applyBorder="1"/>
    <xf numFmtId="3" fontId="4" fillId="0" borderId="13" xfId="0" applyNumberFormat="1" applyFont="1" applyFill="1" applyBorder="1"/>
    <xf numFmtId="3" fontId="4" fillId="0" borderId="16" xfId="0" applyNumberFormat="1" applyFont="1" applyFill="1" applyBorder="1" applyAlignment="1">
      <alignment horizontal="right"/>
    </xf>
    <xf numFmtId="4" fontId="4" fillId="0" borderId="16" xfId="0" applyNumberFormat="1" applyFont="1" applyFill="1" applyBorder="1" applyAlignment="1">
      <alignment horizontal="right"/>
    </xf>
    <xf numFmtId="0" fontId="0" fillId="0" borderId="16" xfId="0" applyFill="1" applyBorder="1"/>
    <xf numFmtId="3" fontId="4" fillId="0" borderId="18" xfId="0" applyNumberFormat="1" applyFont="1" applyFill="1" applyBorder="1" applyAlignment="1">
      <alignment horizontal="right"/>
    </xf>
    <xf numFmtId="0" fontId="16" fillId="0" borderId="16" xfId="0" applyFont="1" applyFill="1" applyBorder="1"/>
    <xf numFmtId="0" fontId="3" fillId="0" borderId="16" xfId="0" applyFont="1" applyFill="1" applyBorder="1"/>
    <xf numFmtId="3" fontId="3" fillId="0" borderId="16" xfId="0" applyNumberFormat="1" applyFont="1" applyFill="1" applyBorder="1"/>
    <xf numFmtId="4" fontId="4" fillId="0" borderId="16" xfId="0" applyNumberFormat="1" applyFont="1" applyFill="1" applyBorder="1"/>
    <xf numFmtId="3" fontId="0" fillId="0" borderId="16" xfId="0" applyNumberFormat="1" applyFill="1" applyBorder="1"/>
    <xf numFmtId="4" fontId="0" fillId="0" borderId="16" xfId="0" applyNumberFormat="1" applyFill="1" applyBorder="1"/>
    <xf numFmtId="3" fontId="0" fillId="0" borderId="18" xfId="0" applyNumberFormat="1" applyFill="1" applyBorder="1"/>
    <xf numFmtId="0" fontId="0" fillId="0" borderId="29" xfId="0" applyFill="1" applyBorder="1"/>
    <xf numFmtId="3" fontId="0" fillId="0" borderId="29" xfId="0" applyNumberFormat="1" applyFill="1" applyBorder="1"/>
    <xf numFmtId="4" fontId="0" fillId="0" borderId="29" xfId="0" applyNumberFormat="1" applyFill="1" applyBorder="1"/>
    <xf numFmtId="0" fontId="9" fillId="0" borderId="28" xfId="0" applyFont="1" applyFill="1" applyBorder="1" applyAlignment="1">
      <alignment horizontal="center"/>
    </xf>
    <xf numFmtId="4" fontId="9" fillId="0" borderId="33" xfId="0" applyNumberFormat="1" applyFont="1" applyFill="1" applyBorder="1"/>
    <xf numFmtId="0" fontId="9" fillId="0" borderId="16" xfId="0" applyFont="1" applyFill="1" applyBorder="1" applyAlignment="1">
      <alignment horizontal="center"/>
    </xf>
    <xf numFmtId="4" fontId="9" fillId="0" borderId="17" xfId="0" applyNumberFormat="1" applyFont="1" applyFill="1" applyBorder="1"/>
    <xf numFmtId="3" fontId="9" fillId="0" borderId="47" xfId="0" applyNumberFormat="1" applyFont="1" applyFill="1" applyBorder="1"/>
    <xf numFmtId="4" fontId="9" fillId="0" borderId="47" xfId="0" applyNumberFormat="1" applyFont="1" applyFill="1" applyBorder="1"/>
    <xf numFmtId="0" fontId="9" fillId="0" borderId="24" xfId="0" applyFont="1" applyFill="1" applyBorder="1"/>
    <xf numFmtId="4" fontId="9" fillId="0" borderId="24" xfId="0" applyNumberFormat="1" applyFont="1" applyFill="1" applyBorder="1"/>
    <xf numFmtId="3" fontId="9" fillId="0" borderId="10" xfId="0" applyNumberFormat="1" applyFont="1" applyFill="1" applyBorder="1"/>
    <xf numFmtId="4" fontId="9" fillId="0" borderId="36" xfId="0" applyNumberFormat="1" applyFont="1" applyFill="1" applyBorder="1"/>
    <xf numFmtId="49" fontId="8" fillId="0" borderId="22" xfId="0" applyNumberFormat="1" applyFont="1" applyFill="1" applyBorder="1"/>
    <xf numFmtId="3" fontId="8" fillId="0" borderId="4" xfId="0" applyNumberFormat="1" applyFont="1" applyFill="1" applyBorder="1" applyAlignment="1">
      <alignment horizontal="right"/>
    </xf>
    <xf numFmtId="4" fontId="8" fillId="0" borderId="6" xfId="0" applyNumberFormat="1" applyFont="1" applyFill="1" applyBorder="1"/>
    <xf numFmtId="0" fontId="11" fillId="0" borderId="48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right"/>
    </xf>
    <xf numFmtId="4" fontId="11" fillId="0" borderId="33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3" fontId="11" fillId="0" borderId="16" xfId="0" applyNumberFormat="1" applyFont="1" applyFill="1" applyBorder="1" applyAlignment="1">
      <alignment horizontal="right"/>
    </xf>
    <xf numFmtId="0" fontId="11" fillId="0" borderId="49" xfId="0" applyNumberFormat="1" applyFont="1" applyFill="1" applyBorder="1" applyAlignment="1">
      <alignment horizontal="center"/>
    </xf>
    <xf numFmtId="0" fontId="11" fillId="0" borderId="49" xfId="0" applyFont="1" applyFill="1" applyBorder="1"/>
    <xf numFmtId="3" fontId="11" fillId="0" borderId="49" xfId="0" applyNumberFormat="1" applyFont="1" applyFill="1" applyBorder="1" applyAlignment="1">
      <alignment horizontal="right"/>
    </xf>
    <xf numFmtId="4" fontId="9" fillId="0" borderId="20" xfId="0" applyNumberFormat="1" applyFont="1" applyFill="1" applyBorder="1"/>
    <xf numFmtId="0" fontId="9" fillId="0" borderId="48" xfId="0" applyFont="1" applyFill="1" applyBorder="1"/>
    <xf numFmtId="3" fontId="9" fillId="0" borderId="48" xfId="0" applyNumberFormat="1" applyFont="1" applyFill="1" applyBorder="1" applyAlignment="1">
      <alignment horizontal="right"/>
    </xf>
    <xf numFmtId="0" fontId="9" fillId="0" borderId="47" xfId="0" applyFont="1" applyFill="1" applyBorder="1"/>
    <xf numFmtId="3" fontId="9" fillId="0" borderId="47" xfId="0" applyNumberFormat="1" applyFont="1" applyFill="1" applyBorder="1" applyAlignment="1">
      <alignment horizontal="right"/>
    </xf>
    <xf numFmtId="3" fontId="9" fillId="0" borderId="24" xfId="0" applyNumberFormat="1" applyFont="1" applyFill="1" applyBorder="1" applyAlignment="1">
      <alignment horizontal="right"/>
    </xf>
    <xf numFmtId="0" fontId="9" fillId="0" borderId="48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3" fontId="9" fillId="0" borderId="24" xfId="0" applyNumberFormat="1" applyFont="1" applyFill="1" applyBorder="1"/>
    <xf numFmtId="3" fontId="8" fillId="0" borderId="6" xfId="0" applyNumberFormat="1" applyFont="1" applyFill="1" applyBorder="1" applyAlignment="1">
      <alignment horizontal="right"/>
    </xf>
    <xf numFmtId="49" fontId="6" fillId="0" borderId="26" xfId="0" applyNumberFormat="1" applyFont="1" applyFill="1" applyBorder="1"/>
    <xf numFmtId="0" fontId="11" fillId="0" borderId="24" xfId="0" applyNumberFormat="1" applyFont="1" applyFill="1" applyBorder="1" applyAlignment="1">
      <alignment horizontal="center"/>
    </xf>
    <xf numFmtId="0" fontId="9" fillId="0" borderId="50" xfId="0" applyFont="1" applyFill="1" applyBorder="1"/>
    <xf numFmtId="3" fontId="9" fillId="0" borderId="5" xfId="0" applyNumberFormat="1" applyFont="1" applyFill="1" applyBorder="1" applyAlignment="1">
      <alignment horizontal="right"/>
    </xf>
    <xf numFmtId="0" fontId="9" fillId="0" borderId="51" xfId="0" applyFont="1" applyFill="1" applyBorder="1"/>
    <xf numFmtId="0" fontId="9" fillId="0" borderId="52" xfId="0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right"/>
    </xf>
    <xf numFmtId="3" fontId="9" fillId="0" borderId="5" xfId="0" applyNumberFormat="1" applyFont="1" applyFill="1" applyBorder="1"/>
    <xf numFmtId="0" fontId="9" fillId="0" borderId="53" xfId="0" applyFont="1" applyFill="1" applyBorder="1" applyAlignment="1">
      <alignment horizontal="center"/>
    </xf>
    <xf numFmtId="0" fontId="9" fillId="0" borderId="54" xfId="0" applyFont="1" applyFill="1" applyBorder="1"/>
    <xf numFmtId="3" fontId="9" fillId="0" borderId="10" xfId="0" applyNumberFormat="1" applyFont="1" applyFill="1" applyBorder="1" applyAlignment="1">
      <alignment horizontal="right"/>
    </xf>
    <xf numFmtId="4" fontId="9" fillId="0" borderId="6" xfId="0" applyNumberFormat="1" applyFont="1" applyFill="1" applyBorder="1"/>
    <xf numFmtId="4" fontId="9" fillId="0" borderId="7" xfId="0" applyNumberFormat="1" applyFont="1" applyFill="1" applyBorder="1"/>
    <xf numFmtId="14" fontId="8" fillId="0" borderId="22" xfId="0" applyNumberFormat="1" applyFont="1" applyFill="1" applyBorder="1"/>
    <xf numFmtId="4" fontId="12" fillId="0" borderId="6" xfId="0" applyNumberFormat="1" applyFont="1" applyFill="1" applyBorder="1"/>
    <xf numFmtId="0" fontId="9" fillId="0" borderId="26" xfId="0" applyFont="1" applyFill="1" applyBorder="1"/>
    <xf numFmtId="0" fontId="9" fillId="0" borderId="24" xfId="0" applyFont="1" applyFill="1" applyBorder="1" applyAlignment="1">
      <alignment horizontal="center"/>
    </xf>
    <xf numFmtId="2" fontId="9" fillId="0" borderId="5" xfId="0" applyNumberFormat="1" applyFont="1" applyFill="1" applyBorder="1"/>
    <xf numFmtId="0" fontId="9" fillId="0" borderId="49" xfId="0" applyFont="1" applyFill="1" applyBorder="1" applyAlignment="1">
      <alignment horizontal="center"/>
    </xf>
    <xf numFmtId="4" fontId="9" fillId="0" borderId="29" xfId="0" applyNumberFormat="1" applyFont="1" applyFill="1" applyBorder="1"/>
    <xf numFmtId="4" fontId="9" fillId="0" borderId="30" xfId="0" applyNumberFormat="1" applyFont="1" applyFill="1" applyBorder="1"/>
    <xf numFmtId="0" fontId="11" fillId="0" borderId="48" xfId="0" applyFont="1" applyFill="1" applyBorder="1" applyAlignment="1">
      <alignment horizontal="left"/>
    </xf>
    <xf numFmtId="3" fontId="11" fillId="0" borderId="48" xfId="0" applyNumberFormat="1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1" fillId="0" borderId="55" xfId="0" applyFont="1" applyFill="1" applyBorder="1" applyAlignment="1">
      <alignment horizontal="center"/>
    </xf>
    <xf numFmtId="0" fontId="11" fillId="0" borderId="55" xfId="0" applyFont="1" applyFill="1" applyBorder="1" applyAlignment="1">
      <alignment horizontal="left"/>
    </xf>
    <xf numFmtId="3" fontId="11" fillId="0" borderId="55" xfId="0" applyNumberFormat="1" applyFont="1" applyFill="1" applyBorder="1" applyAlignment="1">
      <alignment horizontal="right"/>
    </xf>
    <xf numFmtId="0" fontId="11" fillId="0" borderId="55" xfId="0" applyFont="1" applyFill="1" applyBorder="1" applyAlignment="1">
      <alignment horizontal="right"/>
    </xf>
    <xf numFmtId="0" fontId="9" fillId="0" borderId="9" xfId="0" applyFont="1" applyFill="1" applyBorder="1"/>
    <xf numFmtId="3" fontId="9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49" fontId="8" fillId="0" borderId="1" xfId="0" applyNumberFormat="1" applyFont="1" applyFill="1" applyBorder="1"/>
    <xf numFmtId="0" fontId="8" fillId="0" borderId="56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horizontal="right"/>
    </xf>
    <xf numFmtId="0" fontId="11" fillId="0" borderId="55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3" fontId="11" fillId="0" borderId="10" xfId="0" applyNumberFormat="1" applyFont="1" applyFill="1" applyBorder="1"/>
    <xf numFmtId="3" fontId="11" fillId="0" borderId="29" xfId="0" applyNumberFormat="1" applyFont="1" applyFill="1" applyBorder="1"/>
    <xf numFmtId="0" fontId="11" fillId="0" borderId="5" xfId="0" applyFont="1" applyFill="1" applyBorder="1"/>
    <xf numFmtId="0" fontId="11" fillId="0" borderId="0" xfId="0" applyNumberFormat="1" applyFont="1" applyFill="1" applyBorder="1" applyAlignment="1">
      <alignment horizontal="center"/>
    </xf>
    <xf numFmtId="3" fontId="11" fillId="0" borderId="5" xfId="0" applyNumberFormat="1" applyFont="1" applyFill="1" applyBorder="1"/>
    <xf numFmtId="3" fontId="11" fillId="0" borderId="19" xfId="0" applyNumberFormat="1" applyFont="1" applyFill="1" applyBorder="1"/>
    <xf numFmtId="3" fontId="11" fillId="0" borderId="30" xfId="0" applyNumberFormat="1" applyFont="1" applyFill="1" applyBorder="1"/>
    <xf numFmtId="0" fontId="8" fillId="0" borderId="4" xfId="0" applyFont="1" applyFill="1" applyBorder="1" applyAlignment="1">
      <alignment horizontal="right"/>
    </xf>
    <xf numFmtId="49" fontId="11" fillId="0" borderId="48" xfId="0" applyNumberFormat="1" applyFont="1" applyFill="1" applyBorder="1" applyAlignment="1">
      <alignment horizontal="center"/>
    </xf>
    <xf numFmtId="49" fontId="11" fillId="0" borderId="47" xfId="0" applyNumberFormat="1" applyFont="1" applyFill="1" applyBorder="1" applyAlignment="1">
      <alignment horizontal="center"/>
    </xf>
    <xf numFmtId="49" fontId="11" fillId="0" borderId="48" xfId="0" applyNumberFormat="1" applyFont="1" applyFill="1" applyBorder="1" applyAlignment="1">
      <alignment horizontal="left"/>
    </xf>
    <xf numFmtId="3" fontId="11" fillId="0" borderId="48" xfId="0" applyNumberFormat="1" applyFont="1" applyFill="1" applyBorder="1" applyAlignment="1">
      <alignment horizontal="left"/>
    </xf>
    <xf numFmtId="49" fontId="11" fillId="0" borderId="48" xfId="0" applyNumberFormat="1" applyFont="1" applyFill="1" applyBorder="1" applyAlignment="1">
      <alignment horizontal="right"/>
    </xf>
    <xf numFmtId="49" fontId="9" fillId="0" borderId="47" xfId="0" applyNumberFormat="1" applyFont="1" applyFill="1" applyBorder="1" applyAlignment="1">
      <alignment horizontal="left"/>
    </xf>
    <xf numFmtId="3" fontId="9" fillId="0" borderId="47" xfId="0" applyNumberFormat="1" applyFont="1" applyFill="1" applyBorder="1" applyAlignment="1">
      <alignment horizontal="left"/>
    </xf>
    <xf numFmtId="49" fontId="9" fillId="0" borderId="47" xfId="0" applyNumberFormat="1" applyFont="1" applyFill="1" applyBorder="1" applyAlignment="1">
      <alignment horizontal="right"/>
    </xf>
    <xf numFmtId="3" fontId="9" fillId="0" borderId="57" xfId="0" applyNumberFormat="1" applyFont="1" applyFill="1" applyBorder="1" applyAlignment="1">
      <alignment horizontal="right"/>
    </xf>
    <xf numFmtId="49" fontId="9" fillId="0" borderId="19" xfId="0" applyNumberFormat="1" applyFont="1" applyFill="1" applyBorder="1"/>
    <xf numFmtId="49" fontId="9" fillId="0" borderId="19" xfId="0" applyNumberFormat="1" applyFont="1" applyFill="1" applyBorder="1" applyAlignment="1">
      <alignment horizontal="right"/>
    </xf>
    <xf numFmtId="3" fontId="9" fillId="0" borderId="58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3" fontId="10" fillId="0" borderId="9" xfId="0" applyNumberFormat="1" applyFont="1" applyFill="1" applyBorder="1" applyAlignment="1">
      <alignment horizontal="left"/>
    </xf>
    <xf numFmtId="0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/>
    <xf numFmtId="4" fontId="10" fillId="0" borderId="10" xfId="0" applyNumberFormat="1" applyFont="1" applyFill="1" applyBorder="1"/>
    <xf numFmtId="3" fontId="9" fillId="0" borderId="9" xfId="0" applyNumberFormat="1" applyFont="1" applyFill="1" applyBorder="1"/>
    <xf numFmtId="0" fontId="9" fillId="0" borderId="49" xfId="0" applyFont="1" applyFill="1" applyBorder="1"/>
    <xf numFmtId="3" fontId="9" fillId="0" borderId="49" xfId="0" applyNumberFormat="1" applyFont="1" applyFill="1" applyBorder="1" applyAlignment="1">
      <alignment horizontal="right"/>
    </xf>
    <xf numFmtId="3" fontId="9" fillId="0" borderId="49" xfId="0" applyNumberFormat="1" applyFont="1" applyFill="1" applyBorder="1"/>
    <xf numFmtId="4" fontId="9" fillId="0" borderId="19" xfId="0" applyNumberFormat="1" applyFont="1" applyFill="1" applyBorder="1"/>
    <xf numFmtId="49" fontId="8" fillId="0" borderId="6" xfId="0" applyNumberFormat="1" applyFont="1" applyFill="1" applyBorder="1"/>
    <xf numFmtId="3" fontId="8" fillId="0" borderId="48" xfId="0" applyNumberFormat="1" applyFont="1" applyFill="1" applyBorder="1" applyAlignment="1">
      <alignment horizontal="right"/>
    </xf>
    <xf numFmtId="3" fontId="8" fillId="0" borderId="28" xfId="0" applyNumberFormat="1" applyFont="1" applyFill="1" applyBorder="1"/>
    <xf numFmtId="3" fontId="8" fillId="0" borderId="55" xfId="0" applyNumberFormat="1" applyFont="1" applyFill="1" applyBorder="1" applyAlignment="1">
      <alignment horizontal="right"/>
    </xf>
    <xf numFmtId="3" fontId="8" fillId="0" borderId="13" xfId="0" applyNumberFormat="1" applyFont="1" applyFill="1" applyBorder="1"/>
    <xf numFmtId="3" fontId="8" fillId="0" borderId="14" xfId="0" applyNumberFormat="1" applyFont="1" applyFill="1" applyBorder="1"/>
    <xf numFmtId="0" fontId="9" fillId="0" borderId="55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22" xfId="0" applyFont="1" applyFill="1" applyBorder="1"/>
    <xf numFmtId="0" fontId="9" fillId="0" borderId="4" xfId="0" applyFont="1" applyFill="1" applyBorder="1" applyAlignment="1">
      <alignment horizontal="center"/>
    </xf>
    <xf numFmtId="49" fontId="6" fillId="0" borderId="6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58" xfId="0" applyNumberFormat="1" applyFont="1" applyFill="1" applyBorder="1" applyAlignment="1">
      <alignment horizontal="center"/>
    </xf>
    <xf numFmtId="49" fontId="6" fillId="0" borderId="48" xfId="0" applyNumberFormat="1" applyFont="1" applyFill="1" applyBorder="1" applyAlignment="1">
      <alignment horizontal="center"/>
    </xf>
    <xf numFmtId="3" fontId="9" fillId="0" borderId="48" xfId="0" applyNumberFormat="1" applyFont="1" applyFill="1" applyBorder="1"/>
    <xf numFmtId="49" fontId="6" fillId="0" borderId="55" xfId="0" applyNumberFormat="1" applyFont="1" applyFill="1" applyBorder="1" applyAlignment="1">
      <alignment horizontal="center"/>
    </xf>
    <xf numFmtId="3" fontId="9" fillId="0" borderId="55" xfId="0" applyNumberFormat="1" applyFont="1" applyFill="1" applyBorder="1"/>
    <xf numFmtId="0" fontId="9" fillId="0" borderId="55" xfId="0" applyFont="1" applyFill="1" applyBorder="1"/>
    <xf numFmtId="49" fontId="6" fillId="0" borderId="47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4" fontId="10" fillId="0" borderId="6" xfId="0" applyNumberFormat="1" applyFont="1" applyFill="1" applyBorder="1"/>
    <xf numFmtId="16" fontId="8" fillId="0" borderId="22" xfId="0" applyNumberFormat="1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3" fontId="10" fillId="0" borderId="19" xfId="0" applyNumberFormat="1" applyFont="1" applyFill="1" applyBorder="1"/>
    <xf numFmtId="3" fontId="10" fillId="0" borderId="9" xfId="0" applyNumberFormat="1" applyFont="1" applyFill="1" applyBorder="1" applyAlignment="1">
      <alignment horizontal="right"/>
    </xf>
    <xf numFmtId="0" fontId="4" fillId="0" borderId="4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" fontId="9" fillId="0" borderId="10" xfId="0" applyNumberFormat="1" applyFont="1" applyFill="1" applyBorder="1"/>
    <xf numFmtId="0" fontId="8" fillId="0" borderId="22" xfId="0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3" fontId="4" fillId="0" borderId="28" xfId="0" applyNumberFormat="1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3" fontId="4" fillId="0" borderId="17" xfId="0" applyNumberFormat="1" applyFont="1" applyFill="1" applyBorder="1" applyAlignment="1">
      <alignment vertical="center" wrapText="1"/>
    </xf>
    <xf numFmtId="3" fontId="4" fillId="0" borderId="19" xfId="0" applyNumberFormat="1" applyFont="1" applyFill="1" applyBorder="1" applyAlignment="1">
      <alignment vertical="center" wrapText="1"/>
    </xf>
    <xf numFmtId="4" fontId="4" fillId="0" borderId="30" xfId="0" applyNumberFormat="1" applyFont="1" applyFill="1" applyBorder="1" applyAlignment="1">
      <alignment vertical="center" wrapText="1"/>
    </xf>
    <xf numFmtId="3" fontId="4" fillId="0" borderId="30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9" fillId="0" borderId="62" xfId="0" applyFont="1" applyFill="1" applyBorder="1"/>
    <xf numFmtId="3" fontId="9" fillId="0" borderId="62" xfId="0" applyNumberFormat="1" applyFont="1" applyFill="1" applyBorder="1"/>
    <xf numFmtId="3" fontId="9" fillId="0" borderId="63" xfId="0" applyNumberFormat="1" applyFont="1" applyFill="1" applyBorder="1"/>
    <xf numFmtId="0" fontId="7" fillId="0" borderId="64" xfId="0" applyFont="1" applyFill="1" applyBorder="1"/>
    <xf numFmtId="0" fontId="7" fillId="0" borderId="65" xfId="0" applyFont="1" applyFill="1" applyBorder="1" applyAlignment="1">
      <alignment horizontal="center"/>
    </xf>
    <xf numFmtId="4" fontId="7" fillId="0" borderId="39" xfId="0" applyNumberFormat="1" applyFont="1" applyFill="1" applyBorder="1"/>
    <xf numFmtId="3" fontId="8" fillId="0" borderId="10" xfId="0" applyNumberFormat="1" applyFont="1" applyFill="1" applyBorder="1" applyAlignment="1">
      <alignment horizontal="right"/>
    </xf>
    <xf numFmtId="0" fontId="8" fillId="0" borderId="36" xfId="0" applyFont="1" applyFill="1" applyBorder="1" applyAlignment="1">
      <alignment horizontal="right"/>
    </xf>
    <xf numFmtId="49" fontId="6" fillId="0" borderId="26" xfId="0" applyNumberFormat="1" applyFont="1" applyFill="1" applyBorder="1" applyAlignment="1"/>
    <xf numFmtId="49" fontId="8" fillId="0" borderId="22" xfId="0" applyNumberFormat="1" applyFont="1" applyFill="1" applyBorder="1" applyAlignment="1"/>
    <xf numFmtId="49" fontId="6" fillId="0" borderId="5" xfId="0" applyNumberFormat="1" applyFont="1" applyFill="1" applyBorder="1" applyAlignment="1"/>
    <xf numFmtId="0" fontId="9" fillId="0" borderId="17" xfId="0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49" fontId="12" fillId="0" borderId="22" xfId="0" applyNumberFormat="1" applyFont="1" applyFill="1" applyBorder="1" applyAlignment="1"/>
    <xf numFmtId="3" fontId="14" fillId="0" borderId="7" xfId="0" applyNumberFormat="1" applyFont="1" applyFill="1" applyBorder="1" applyAlignment="1">
      <alignment horizontal="right"/>
    </xf>
    <xf numFmtId="49" fontId="6" fillId="0" borderId="66" xfId="0" applyNumberFormat="1" applyFont="1" applyFill="1" applyBorder="1" applyAlignment="1"/>
    <xf numFmtId="49" fontId="6" fillId="0" borderId="27" xfId="0" applyNumberFormat="1" applyFont="1" applyFill="1" applyBorder="1" applyAlignment="1"/>
    <xf numFmtId="0" fontId="9" fillId="0" borderId="33" xfId="0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0" fontId="9" fillId="0" borderId="34" xfId="0" applyFont="1" applyFill="1" applyBorder="1" applyAlignment="1">
      <alignment horizontal="right"/>
    </xf>
    <xf numFmtId="3" fontId="9" fillId="0" borderId="34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/>
    <xf numFmtId="3" fontId="8" fillId="0" borderId="7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left"/>
    </xf>
    <xf numFmtId="3" fontId="11" fillId="0" borderId="28" xfId="0" applyNumberFormat="1" applyFont="1" applyFill="1" applyBorder="1" applyAlignment="1">
      <alignment horizontal="lef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3" fontId="26" fillId="0" borderId="37" xfId="0" applyNumberFormat="1" applyFont="1" applyFill="1" applyBorder="1"/>
    <xf numFmtId="0" fontId="11" fillId="0" borderId="13" xfId="0" applyFont="1" applyFill="1" applyBorder="1" applyAlignment="1">
      <alignment horizontal="left"/>
    </xf>
    <xf numFmtId="3" fontId="11" fillId="0" borderId="13" xfId="0" applyNumberFormat="1" applyFont="1" applyFill="1" applyBorder="1" applyAlignment="1">
      <alignment horizontal="left"/>
    </xf>
    <xf numFmtId="0" fontId="8" fillId="0" borderId="13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/>
    </xf>
    <xf numFmtId="3" fontId="27" fillId="0" borderId="13" xfId="0" applyNumberFormat="1" applyFont="1" applyFill="1" applyBorder="1"/>
    <xf numFmtId="0" fontId="11" fillId="0" borderId="16" xfId="0" applyFont="1" applyFill="1" applyBorder="1" applyAlignment="1">
      <alignment horizontal="left"/>
    </xf>
    <xf numFmtId="3" fontId="11" fillId="0" borderId="16" xfId="0" applyNumberFormat="1" applyFont="1" applyFill="1" applyBorder="1" applyAlignment="1">
      <alignment horizontal="left"/>
    </xf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16" xfId="0" applyNumberFormat="1" applyFont="1" applyFill="1" applyBorder="1"/>
    <xf numFmtId="0" fontId="9" fillId="0" borderId="30" xfId="0" applyFont="1" applyFill="1" applyBorder="1" applyAlignment="1">
      <alignment horizontal="right"/>
    </xf>
    <xf numFmtId="3" fontId="9" fillId="0" borderId="30" xfId="0" applyNumberFormat="1" applyFont="1" applyFill="1" applyBorder="1" applyAlignment="1">
      <alignment horizontal="right"/>
    </xf>
    <xf numFmtId="3" fontId="8" fillId="0" borderId="36" xfId="0" applyNumberFormat="1" applyFont="1" applyFill="1" applyBorder="1"/>
    <xf numFmtId="3" fontId="28" fillId="0" borderId="33" xfId="0" applyNumberFormat="1" applyFont="1" applyFill="1" applyBorder="1"/>
    <xf numFmtId="3" fontId="28" fillId="0" borderId="37" xfId="0" applyNumberFormat="1" applyFont="1" applyFill="1" applyBorder="1"/>
    <xf numFmtId="0" fontId="9" fillId="0" borderId="67" xfId="0" applyFont="1" applyFill="1" applyBorder="1"/>
    <xf numFmtId="3" fontId="9" fillId="0" borderId="68" xfId="0" applyNumberFormat="1" applyFont="1" applyFill="1" applyBorder="1"/>
    <xf numFmtId="0" fontId="9" fillId="0" borderId="68" xfId="0" applyFont="1" applyFill="1" applyBorder="1"/>
    <xf numFmtId="0" fontId="9" fillId="0" borderId="68" xfId="0" applyFont="1" applyFill="1" applyBorder="1" applyAlignment="1">
      <alignment horizontal="right"/>
    </xf>
    <xf numFmtId="3" fontId="9" fillId="0" borderId="68" xfId="0" applyNumberFormat="1" applyFont="1" applyFill="1" applyBorder="1" applyAlignment="1">
      <alignment horizontal="right"/>
    </xf>
    <xf numFmtId="3" fontId="9" fillId="0" borderId="57" xfId="0" applyNumberFormat="1" applyFont="1" applyFill="1" applyBorder="1"/>
    <xf numFmtId="0" fontId="9" fillId="0" borderId="57" xfId="0" applyFont="1" applyFill="1" applyBorder="1"/>
    <xf numFmtId="0" fontId="9" fillId="0" borderId="57" xfId="0" applyFont="1" applyFill="1" applyBorder="1" applyAlignment="1">
      <alignment horizontal="right"/>
    </xf>
    <xf numFmtId="0" fontId="4" fillId="0" borderId="47" xfId="0" applyFont="1" applyFill="1" applyBorder="1"/>
    <xf numFmtId="3" fontId="4" fillId="0" borderId="69" xfId="0" applyNumberFormat="1" applyFont="1" applyFill="1" applyBorder="1"/>
    <xf numFmtId="0" fontId="4" fillId="0" borderId="69" xfId="0" applyFont="1" applyFill="1" applyBorder="1"/>
    <xf numFmtId="0" fontId="4" fillId="0" borderId="69" xfId="0" applyFont="1" applyFill="1" applyBorder="1" applyAlignment="1">
      <alignment horizontal="right"/>
    </xf>
    <xf numFmtId="3" fontId="4" fillId="0" borderId="69" xfId="0" applyNumberFormat="1" applyFont="1" applyFill="1" applyBorder="1" applyAlignment="1">
      <alignment horizontal="right"/>
    </xf>
    <xf numFmtId="0" fontId="9" fillId="0" borderId="59" xfId="0" applyFont="1" applyFill="1" applyBorder="1"/>
    <xf numFmtId="3" fontId="9" fillId="0" borderId="69" xfId="0" applyNumberFormat="1" applyFont="1" applyFill="1" applyBorder="1"/>
    <xf numFmtId="0" fontId="9" fillId="0" borderId="69" xfId="0" applyFont="1" applyFill="1" applyBorder="1"/>
    <xf numFmtId="0" fontId="9" fillId="0" borderId="69" xfId="0" applyFont="1" applyFill="1" applyBorder="1" applyAlignment="1">
      <alignment horizontal="right"/>
    </xf>
    <xf numFmtId="3" fontId="9" fillId="0" borderId="69" xfId="0" applyNumberFormat="1" applyFont="1" applyFill="1" applyBorder="1" applyAlignment="1">
      <alignment horizontal="right"/>
    </xf>
    <xf numFmtId="3" fontId="8" fillId="0" borderId="56" xfId="0" applyNumberFormat="1" applyFont="1" applyFill="1" applyBorder="1" applyAlignment="1">
      <alignment horizontal="left"/>
    </xf>
    <xf numFmtId="0" fontId="8" fillId="0" borderId="56" xfId="0" applyFont="1" applyFill="1" applyBorder="1" applyAlignment="1">
      <alignment horizontal="right"/>
    </xf>
    <xf numFmtId="3" fontId="8" fillId="0" borderId="56" xfId="0" applyNumberFormat="1" applyFont="1" applyFill="1" applyBorder="1" applyAlignment="1">
      <alignment horizontal="right"/>
    </xf>
    <xf numFmtId="3" fontId="11" fillId="0" borderId="33" xfId="0" applyNumberFormat="1" applyFont="1" applyFill="1" applyBorder="1" applyAlignment="1">
      <alignment horizontal="left"/>
    </xf>
    <xf numFmtId="0" fontId="11" fillId="0" borderId="33" xfId="0" applyFont="1" applyFill="1" applyBorder="1" applyAlignment="1">
      <alignment horizontal="left"/>
    </xf>
    <xf numFmtId="0" fontId="11" fillId="0" borderId="33" xfId="0" applyFont="1" applyFill="1" applyBorder="1" applyAlignment="1">
      <alignment horizontal="right"/>
    </xf>
    <xf numFmtId="3" fontId="11" fillId="0" borderId="33" xfId="0" applyNumberFormat="1" applyFont="1" applyFill="1" applyBorder="1" applyAlignment="1">
      <alignment horizontal="right"/>
    </xf>
    <xf numFmtId="3" fontId="11" fillId="0" borderId="37" xfId="0" applyNumberFormat="1" applyFont="1" applyFill="1" applyBorder="1"/>
    <xf numFmtId="3" fontId="11" fillId="0" borderId="14" xfId="0" applyNumberFormat="1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right"/>
    </xf>
    <xf numFmtId="3" fontId="11" fillId="0" borderId="15" xfId="0" applyNumberFormat="1" applyFont="1" applyFill="1" applyBorder="1"/>
    <xf numFmtId="0" fontId="14" fillId="0" borderId="22" xfId="0" applyFont="1" applyFill="1" applyBorder="1"/>
    <xf numFmtId="49" fontId="8" fillId="0" borderId="6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35" xfId="0" applyFont="1" applyFill="1" applyBorder="1"/>
    <xf numFmtId="49" fontId="6" fillId="0" borderId="22" xfId="0" applyNumberFormat="1" applyFont="1" applyFill="1" applyBorder="1" applyAlignment="1"/>
    <xf numFmtId="49" fontId="6" fillId="0" borderId="6" xfId="0" applyNumberFormat="1" applyFont="1" applyFill="1" applyBorder="1" applyAlignment="1">
      <alignment horizontal="left"/>
    </xf>
    <xf numFmtId="0" fontId="11" fillId="0" borderId="4" xfId="0" applyFont="1" applyFill="1" applyBorder="1"/>
    <xf numFmtId="4" fontId="0" fillId="0" borderId="0" xfId="0" applyNumberFormat="1"/>
    <xf numFmtId="49" fontId="6" fillId="0" borderId="29" xfId="0" applyNumberFormat="1" applyFont="1" applyFill="1" applyBorder="1" applyAlignment="1">
      <alignment horizontal="center"/>
    </xf>
    <xf numFmtId="0" fontId="0" fillId="0" borderId="70" xfId="0" applyFill="1" applyBorder="1"/>
    <xf numFmtId="3" fontId="0" fillId="0" borderId="71" xfId="0" applyNumberFormat="1" applyFill="1" applyBorder="1"/>
    <xf numFmtId="3" fontId="0" fillId="0" borderId="72" xfId="0" applyNumberFormat="1" applyFill="1" applyBorder="1"/>
    <xf numFmtId="0" fontId="0" fillId="0" borderId="73" xfId="0" applyFill="1" applyBorder="1"/>
    <xf numFmtId="3" fontId="0" fillId="0" borderId="21" xfId="0" applyNumberFormat="1" applyFill="1" applyBorder="1"/>
    <xf numFmtId="0" fontId="14" fillId="0" borderId="74" xfId="0" applyFont="1" applyFill="1" applyBorder="1" applyAlignment="1">
      <alignment vertical="center"/>
    </xf>
    <xf numFmtId="3" fontId="14" fillId="0" borderId="75" xfId="0" applyNumberFormat="1" applyFont="1" applyFill="1" applyBorder="1" applyAlignment="1">
      <alignment vertical="center"/>
    </xf>
    <xf numFmtId="4" fontId="14" fillId="0" borderId="75" xfId="0" applyNumberFormat="1" applyFont="1" applyFill="1" applyBorder="1" applyAlignment="1">
      <alignment vertical="center"/>
    </xf>
    <xf numFmtId="3" fontId="14" fillId="0" borderId="76" xfId="0" applyNumberFormat="1" applyFont="1" applyFill="1" applyBorder="1" applyAlignment="1">
      <alignment vertical="center"/>
    </xf>
    <xf numFmtId="0" fontId="14" fillId="0" borderId="74" xfId="0" applyFont="1" applyFill="1" applyBorder="1"/>
    <xf numFmtId="3" fontId="14" fillId="0" borderId="75" xfId="0" applyNumberFormat="1" applyFont="1" applyFill="1" applyBorder="1"/>
    <xf numFmtId="4" fontId="14" fillId="0" borderId="75" xfId="0" applyNumberFormat="1" applyFont="1" applyFill="1" applyBorder="1"/>
    <xf numFmtId="3" fontId="14" fillId="0" borderId="76" xfId="0" applyNumberFormat="1" applyFont="1" applyFill="1" applyBorder="1"/>
    <xf numFmtId="0" fontId="29" fillId="0" borderId="64" xfId="0" applyFont="1" applyFill="1" applyBorder="1"/>
    <xf numFmtId="3" fontId="29" fillId="0" borderId="39" xfId="0" applyNumberFormat="1" applyFont="1" applyFill="1" applyBorder="1"/>
    <xf numFmtId="4" fontId="29" fillId="0" borderId="39" xfId="0" applyNumberFormat="1" applyFont="1" applyFill="1" applyBorder="1"/>
    <xf numFmtId="3" fontId="7" fillId="0" borderId="77" xfId="0" applyNumberFormat="1" applyFont="1" applyFill="1" applyBorder="1"/>
    <xf numFmtId="3" fontId="8" fillId="0" borderId="34" xfId="0" applyNumberFormat="1" applyFont="1" applyFill="1" applyBorder="1"/>
    <xf numFmtId="3" fontId="12" fillId="0" borderId="7" xfId="0" applyNumberFormat="1" applyFont="1" applyFill="1" applyBorder="1"/>
    <xf numFmtId="3" fontId="7" fillId="0" borderId="38" xfId="0" applyNumberFormat="1" applyFont="1" applyFill="1" applyBorder="1"/>
    <xf numFmtId="3" fontId="8" fillId="0" borderId="38" xfId="0" applyNumberFormat="1" applyFont="1" applyFill="1" applyBorder="1"/>
    <xf numFmtId="3" fontId="12" fillId="0" borderId="36" xfId="0" applyNumberFormat="1" applyFont="1" applyFill="1" applyBorder="1"/>
    <xf numFmtId="3" fontId="6" fillId="0" borderId="36" xfId="0" applyNumberFormat="1" applyFont="1" applyFill="1" applyBorder="1"/>
    <xf numFmtId="3" fontId="7" fillId="0" borderId="46" xfId="0" applyNumberFormat="1" applyFont="1" applyFill="1" applyBorder="1"/>
    <xf numFmtId="3" fontId="18" fillId="0" borderId="7" xfId="0" applyNumberFormat="1" applyFont="1" applyFill="1" applyBorder="1"/>
    <xf numFmtId="3" fontId="19" fillId="0" borderId="34" xfId="0" applyNumberFormat="1" applyFont="1" applyFill="1" applyBorder="1"/>
    <xf numFmtId="3" fontId="19" fillId="0" borderId="7" xfId="0" applyNumberFormat="1" applyFont="1" applyFill="1" applyBorder="1"/>
    <xf numFmtId="3" fontId="21" fillId="0" borderId="7" xfId="0" applyNumberFormat="1" applyFont="1" applyFill="1" applyBorder="1"/>
    <xf numFmtId="3" fontId="18" fillId="0" borderId="36" xfId="0" applyNumberFormat="1" applyFont="1" applyFill="1" applyBorder="1"/>
    <xf numFmtId="3" fontId="19" fillId="0" borderId="30" xfId="0" applyNumberFormat="1" applyFont="1" applyFill="1" applyBorder="1"/>
    <xf numFmtId="3" fontId="23" fillId="0" borderId="36" xfId="0" applyNumberFormat="1" applyFont="1" applyFill="1" applyBorder="1"/>
    <xf numFmtId="3" fontId="15" fillId="0" borderId="7" xfId="0" applyNumberFormat="1" applyFont="1" applyFill="1" applyBorder="1"/>
    <xf numFmtId="3" fontId="23" fillId="0" borderId="7" xfId="0" applyNumberFormat="1" applyFont="1" applyFill="1" applyBorder="1"/>
    <xf numFmtId="3" fontId="19" fillId="0" borderId="36" xfId="0" applyNumberFormat="1" applyFont="1" applyFill="1" applyBorder="1"/>
    <xf numFmtId="3" fontId="23" fillId="0" borderId="30" xfId="0" applyNumberFormat="1" applyFont="1" applyFill="1" applyBorder="1"/>
    <xf numFmtId="3" fontId="24" fillId="0" borderId="7" xfId="0" applyNumberFormat="1" applyFont="1" applyFill="1" applyBorder="1" applyAlignment="1">
      <alignment vertical="center" wrapText="1"/>
    </xf>
    <xf numFmtId="3" fontId="25" fillId="0" borderId="46" xfId="0" applyNumberFormat="1" applyFont="1" applyFill="1" applyBorder="1"/>
    <xf numFmtId="3" fontId="19" fillId="0" borderId="33" xfId="0" applyNumberFormat="1" applyFont="1" applyFill="1" applyBorder="1"/>
    <xf numFmtId="3" fontId="19" fillId="0" borderId="17" xfId="0" applyNumberFormat="1" applyFont="1" applyFill="1" applyBorder="1"/>
    <xf numFmtId="3" fontId="20" fillId="0" borderId="33" xfId="0" applyNumberFormat="1" applyFont="1" applyFill="1" applyBorder="1"/>
    <xf numFmtId="3" fontId="20" fillId="0" borderId="20" xfId="0" applyNumberFormat="1" applyFont="1" applyFill="1" applyBorder="1"/>
    <xf numFmtId="4" fontId="19" fillId="0" borderId="34" xfId="0" applyNumberFormat="1" applyFont="1" applyFill="1" applyBorder="1"/>
    <xf numFmtId="3" fontId="20" fillId="0" borderId="14" xfId="0" applyNumberFormat="1" applyFont="1" applyFill="1" applyBorder="1"/>
    <xf numFmtId="3" fontId="20" fillId="0" borderId="36" xfId="0" applyNumberFormat="1" applyFont="1" applyFill="1" applyBorder="1"/>
    <xf numFmtId="3" fontId="19" fillId="0" borderId="14" xfId="0" applyNumberFormat="1" applyFont="1" applyFill="1" applyBorder="1"/>
    <xf numFmtId="0" fontId="22" fillId="0" borderId="17" xfId="0" applyFont="1" applyFill="1" applyBorder="1"/>
    <xf numFmtId="0" fontId="22" fillId="0" borderId="30" xfId="0" applyFont="1" applyFill="1" applyBorder="1"/>
    <xf numFmtId="3" fontId="20" fillId="0" borderId="17" xfId="0" applyNumberFormat="1" applyFont="1" applyFill="1" applyBorder="1"/>
    <xf numFmtId="3" fontId="19" fillId="0" borderId="20" xfId="0" applyNumberFormat="1" applyFont="1" applyFill="1" applyBorder="1"/>
    <xf numFmtId="3" fontId="18" fillId="0" borderId="33" xfId="0" applyNumberFormat="1" applyFont="1" applyFill="1" applyBorder="1"/>
    <xf numFmtId="3" fontId="18" fillId="0" borderId="14" xfId="0" applyNumberFormat="1" applyFont="1" applyFill="1" applyBorder="1"/>
    <xf numFmtId="3" fontId="22" fillId="0" borderId="34" xfId="0" applyNumberFormat="1" applyFont="1" applyFill="1" applyBorder="1"/>
    <xf numFmtId="3" fontId="22" fillId="0" borderId="17" xfId="0" applyNumberFormat="1" applyFont="1" applyFill="1" applyBorder="1"/>
    <xf numFmtId="3" fontId="22" fillId="0" borderId="30" xfId="0" applyNumberFormat="1" applyFont="1" applyFill="1" applyBorder="1" applyAlignment="1">
      <alignment vertical="center" wrapText="1"/>
    </xf>
    <xf numFmtId="3" fontId="19" fillId="0" borderId="63" xfId="0" applyNumberFormat="1" applyFont="1" applyFill="1" applyBorder="1"/>
    <xf numFmtId="4" fontId="0" fillId="0" borderId="7" xfId="0" applyNumberFormat="1" applyBorder="1"/>
    <xf numFmtId="4" fontId="0" fillId="0" borderId="14" xfId="0" applyNumberFormat="1" applyBorder="1"/>
    <xf numFmtId="4" fontId="0" fillId="0" borderId="17" xfId="0" applyNumberFormat="1" applyBorder="1"/>
    <xf numFmtId="4" fontId="0" fillId="0" borderId="20" xfId="0" applyNumberFormat="1" applyBorder="1"/>
    <xf numFmtId="4" fontId="0" fillId="0" borderId="36" xfId="0" applyNumberFormat="1" applyBorder="1"/>
    <xf numFmtId="4" fontId="0" fillId="0" borderId="34" xfId="0" applyNumberFormat="1" applyBorder="1"/>
    <xf numFmtId="4" fontId="0" fillId="0" borderId="30" xfId="0" applyNumberFormat="1" applyBorder="1"/>
    <xf numFmtId="3" fontId="7" fillId="0" borderId="6" xfId="0" applyNumberFormat="1" applyFont="1" applyFill="1" applyBorder="1"/>
    <xf numFmtId="3" fontId="12" fillId="0" borderId="27" xfId="0" applyNumberFormat="1" applyFont="1" applyFill="1" applyBorder="1"/>
    <xf numFmtId="3" fontId="14" fillId="0" borderId="6" xfId="0" applyNumberFormat="1" applyFont="1" applyFill="1" applyBorder="1"/>
    <xf numFmtId="3" fontId="26" fillId="0" borderId="28" xfId="0" applyNumberFormat="1" applyFont="1" applyFill="1" applyBorder="1"/>
    <xf numFmtId="3" fontId="28" fillId="0" borderId="28" xfId="0" applyNumberFormat="1" applyFont="1" applyFill="1" applyBorder="1"/>
    <xf numFmtId="1" fontId="10" fillId="0" borderId="6" xfId="0" applyNumberFormat="1" applyFont="1" applyFill="1" applyBorder="1"/>
    <xf numFmtId="3" fontId="7" fillId="0" borderId="78" xfId="0" applyNumberFormat="1" applyFont="1" applyFill="1" applyBorder="1"/>
    <xf numFmtId="3" fontId="1" fillId="0" borderId="25" xfId="0" applyNumberFormat="1" applyFont="1" applyBorder="1"/>
    <xf numFmtId="3" fontId="14" fillId="0" borderId="25" xfId="0" applyNumberFormat="1" applyFont="1" applyBorder="1"/>
    <xf numFmtId="0" fontId="14" fillId="0" borderId="0" xfId="0" applyFont="1"/>
    <xf numFmtId="3" fontId="29" fillId="0" borderId="40" xfId="0" applyNumberFormat="1" applyFont="1" applyBorder="1"/>
    <xf numFmtId="0" fontId="14" fillId="0" borderId="6" xfId="0" applyFont="1" applyFill="1" applyBorder="1"/>
    <xf numFmtId="4" fontId="0" fillId="0" borderId="71" xfId="0" applyNumberFormat="1" applyFill="1" applyBorder="1"/>
    <xf numFmtId="3" fontId="12" fillId="0" borderId="25" xfId="0" applyNumberFormat="1" applyFont="1" applyFill="1" applyBorder="1"/>
    <xf numFmtId="3" fontId="7" fillId="0" borderId="44" xfId="0" applyNumberFormat="1" applyFont="1" applyFill="1" applyBorder="1"/>
    <xf numFmtId="3" fontId="8" fillId="0" borderId="44" xfId="0" applyNumberFormat="1" applyFont="1" applyFill="1" applyBorder="1"/>
    <xf numFmtId="3" fontId="12" fillId="0" borderId="11" xfId="0" applyNumberFormat="1" applyFont="1" applyFill="1" applyBorder="1"/>
    <xf numFmtId="3" fontId="11" fillId="0" borderId="18" xfId="0" applyNumberFormat="1" applyFont="1" applyFill="1" applyBorder="1"/>
    <xf numFmtId="0" fontId="32" fillId="0" borderId="0" xfId="0" applyFont="1"/>
    <xf numFmtId="3" fontId="32" fillId="0" borderId="0" xfId="0" applyNumberFormat="1" applyFont="1"/>
    <xf numFmtId="4" fontId="9" fillId="0" borderId="5" xfId="0" applyNumberFormat="1" applyFont="1" applyFill="1" applyBorder="1"/>
    <xf numFmtId="4" fontId="27" fillId="0" borderId="13" xfId="0" applyNumberFormat="1" applyFont="1" applyFill="1" applyBorder="1"/>
    <xf numFmtId="4" fontId="28" fillId="0" borderId="28" xfId="0" applyNumberFormat="1" applyFont="1" applyFill="1" applyBorder="1"/>
    <xf numFmtId="4" fontId="11" fillId="0" borderId="13" xfId="0" applyNumberFormat="1" applyFont="1" applyFill="1" applyBorder="1"/>
    <xf numFmtId="3" fontId="4" fillId="0" borderId="28" xfId="0" applyNumberFormat="1" applyFont="1" applyFill="1" applyBorder="1"/>
    <xf numFmtId="4" fontId="0" fillId="0" borderId="73" xfId="0" applyNumberFormat="1" applyFill="1" applyBorder="1"/>
    <xf numFmtId="3" fontId="29" fillId="0" borderId="40" xfId="0" applyNumberFormat="1" applyFont="1" applyFill="1" applyBorder="1"/>
    <xf numFmtId="3" fontId="29" fillId="0" borderId="79" xfId="0" applyNumberFormat="1" applyFont="1" applyFill="1" applyBorder="1"/>
    <xf numFmtId="3" fontId="8" fillId="2" borderId="10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1" fontId="10" fillId="2" borderId="6" xfId="0" applyNumberFormat="1" applyFont="1" applyFill="1" applyBorder="1"/>
    <xf numFmtId="0" fontId="14" fillId="2" borderId="22" xfId="0" applyFont="1" applyFill="1" applyBorder="1"/>
    <xf numFmtId="49" fontId="8" fillId="2" borderId="22" xfId="0" applyNumberFormat="1" applyFont="1" applyFill="1" applyBorder="1" applyAlignment="1"/>
    <xf numFmtId="49" fontId="8" fillId="2" borderId="22" xfId="0" applyNumberFormat="1" applyFont="1" applyFill="1" applyBorder="1"/>
    <xf numFmtId="49" fontId="12" fillId="2" borderId="22" xfId="0" applyNumberFormat="1" applyFont="1" applyFill="1" applyBorder="1" applyAlignment="1"/>
    <xf numFmtId="49" fontId="8" fillId="2" borderId="1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2" borderId="25" xfId="0" applyNumberFormat="1" applyFont="1" applyFill="1" applyBorder="1"/>
    <xf numFmtId="1" fontId="10" fillId="2" borderId="25" xfId="0" applyNumberFormat="1" applyFont="1" applyFill="1" applyBorder="1"/>
    <xf numFmtId="49" fontId="6" fillId="2" borderId="22" xfId="0" applyNumberFormat="1" applyFont="1" applyFill="1" applyBorder="1" applyAlignment="1"/>
    <xf numFmtId="3" fontId="7" fillId="3" borderId="39" xfId="0" applyNumberFormat="1" applyFont="1" applyFill="1" applyBorder="1"/>
    <xf numFmtId="3" fontId="7" fillId="3" borderId="40" xfId="0" applyNumberFormat="1" applyFont="1" applyFill="1" applyBorder="1"/>
    <xf numFmtId="3" fontId="10" fillId="0" borderId="36" xfId="0" applyNumberFormat="1" applyFont="1" applyFill="1" applyBorder="1"/>
    <xf numFmtId="3" fontId="4" fillId="0" borderId="34" xfId="0" applyNumberFormat="1" applyFont="1" applyFill="1" applyBorder="1"/>
    <xf numFmtId="3" fontId="4" fillId="0" borderId="33" xfId="0" applyNumberFormat="1" applyFont="1" applyFill="1" applyBorder="1" applyAlignment="1">
      <alignment vertical="center" wrapText="1"/>
    </xf>
    <xf numFmtId="4" fontId="11" fillId="0" borderId="16" xfId="0" applyNumberFormat="1" applyFont="1" applyFill="1" applyBorder="1"/>
    <xf numFmtId="0" fontId="4" fillId="0" borderId="29" xfId="0" applyFont="1" applyFill="1" applyBorder="1" applyAlignment="1">
      <alignment horizontal="center"/>
    </xf>
    <xf numFmtId="3" fontId="9" fillId="0" borderId="59" xfId="0" applyNumberFormat="1" applyFont="1" applyFill="1" applyBorder="1"/>
    <xf numFmtId="3" fontId="28" fillId="0" borderId="34" xfId="0" applyNumberFormat="1" applyFont="1" applyFill="1" applyBorder="1"/>
    <xf numFmtId="3" fontId="4" fillId="0" borderId="33" xfId="0" applyNumberFormat="1" applyFont="1" applyFill="1" applyBorder="1" applyAlignment="1">
      <alignment horizontal="right"/>
    </xf>
    <xf numFmtId="3" fontId="4" fillId="0" borderId="17" xfId="0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0" fillId="0" borderId="20" xfId="0" applyNumberFormat="1" applyFill="1" applyBorder="1"/>
    <xf numFmtId="3" fontId="9" fillId="0" borderId="14" xfId="0" applyNumberFormat="1" applyFont="1" applyBorder="1"/>
    <xf numFmtId="0" fontId="4" fillId="0" borderId="6" xfId="0" applyFont="1" applyFill="1" applyBorder="1"/>
    <xf numFmtId="3" fontId="4" fillId="0" borderId="7" xfId="0" applyNumberFormat="1" applyFont="1" applyFill="1" applyBorder="1"/>
    <xf numFmtId="0" fontId="4" fillId="0" borderId="32" xfId="0" applyFont="1" applyFill="1" applyBorder="1"/>
    <xf numFmtId="4" fontId="4" fillId="0" borderId="6" xfId="0" applyNumberFormat="1" applyFont="1" applyFill="1" applyBorder="1"/>
    <xf numFmtId="0" fontId="4" fillId="0" borderId="25" xfId="0" applyFont="1" applyFill="1" applyBorder="1"/>
    <xf numFmtId="0" fontId="35" fillId="0" borderId="0" xfId="0" applyFont="1"/>
    <xf numFmtId="3" fontId="26" fillId="0" borderId="13" xfId="0" applyNumberFormat="1" applyFont="1" applyFill="1" applyBorder="1"/>
    <xf numFmtId="4" fontId="4" fillId="0" borderId="13" xfId="0" applyNumberFormat="1" applyFont="1" applyFill="1" applyBorder="1"/>
    <xf numFmtId="0" fontId="1" fillId="3" borderId="75" xfId="0" applyFont="1" applyFill="1" applyBorder="1" applyAlignment="1">
      <alignment horizontal="center" vertical="center" wrapText="1"/>
    </xf>
    <xf numFmtId="3" fontId="36" fillId="0" borderId="0" xfId="0" applyNumberFormat="1" applyFont="1"/>
    <xf numFmtId="3" fontId="20" fillId="0" borderId="16" xfId="0" applyNumberFormat="1" applyFont="1" applyFill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0" fillId="0" borderId="16" xfId="0" applyNumberFormat="1" applyFont="1" applyBorder="1"/>
    <xf numFmtId="3" fontId="0" fillId="0" borderId="18" xfId="0" applyNumberFormat="1" applyFont="1" applyBorder="1"/>
    <xf numFmtId="4" fontId="0" fillId="0" borderId="16" xfId="0" applyNumberFormat="1" applyFont="1" applyBorder="1"/>
    <xf numFmtId="4" fontId="0" fillId="0" borderId="18" xfId="0" applyNumberFormat="1" applyFont="1" applyBorder="1"/>
    <xf numFmtId="4" fontId="0" fillId="0" borderId="29" xfId="0" applyNumberFormat="1" applyFont="1" applyBorder="1"/>
    <xf numFmtId="4" fontId="0" fillId="0" borderId="21" xfId="0" applyNumberFormat="1" applyFont="1" applyBorder="1"/>
    <xf numFmtId="3" fontId="0" fillId="0" borderId="21" xfId="0" applyNumberFormat="1" applyFont="1" applyBorder="1"/>
    <xf numFmtId="3" fontId="0" fillId="0" borderId="5" xfId="0" applyNumberFormat="1" applyFont="1" applyBorder="1"/>
    <xf numFmtId="3" fontId="0" fillId="0" borderId="35" xfId="0" applyNumberFormat="1" applyFont="1" applyBorder="1"/>
    <xf numFmtId="3" fontId="0" fillId="0" borderId="6" xfId="0" applyNumberFormat="1" applyFont="1" applyBorder="1"/>
    <xf numFmtId="3" fontId="0" fillId="0" borderId="25" xfId="0" applyNumberFormat="1" applyFont="1" applyBorder="1"/>
    <xf numFmtId="3" fontId="0" fillId="0" borderId="2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4" fontId="0" fillId="0" borderId="13" xfId="0" applyNumberFormat="1" applyFont="1" applyBorder="1"/>
    <xf numFmtId="4" fontId="0" fillId="0" borderId="15" xfId="0" applyNumberFormat="1" applyFont="1" applyBorder="1"/>
    <xf numFmtId="4" fontId="0" fillId="0" borderId="6" xfId="0" applyNumberFormat="1" applyFont="1" applyBorder="1"/>
    <xf numFmtId="4" fontId="0" fillId="0" borderId="25" xfId="0" applyNumberFormat="1" applyFont="1" applyBorder="1"/>
    <xf numFmtId="4" fontId="0" fillId="0" borderId="5" xfId="0" applyNumberFormat="1" applyFont="1" applyBorder="1"/>
    <xf numFmtId="4" fontId="0" fillId="0" borderId="35" xfId="0" applyNumberFormat="1" applyFont="1" applyBorder="1"/>
    <xf numFmtId="4" fontId="0" fillId="0" borderId="19" xfId="0" applyNumberFormat="1" applyFont="1" applyBorder="1"/>
    <xf numFmtId="4" fontId="0" fillId="0" borderId="31" xfId="0" applyNumberFormat="1" applyFont="1" applyBorder="1"/>
    <xf numFmtId="3" fontId="0" fillId="0" borderId="0" xfId="0" applyNumberFormat="1" applyFont="1"/>
    <xf numFmtId="3" fontId="26" fillId="0" borderId="16" xfId="0" applyNumberFormat="1" applyFont="1" applyFill="1" applyBorder="1"/>
    <xf numFmtId="3" fontId="28" fillId="0" borderId="17" xfId="0" applyNumberFormat="1" applyFont="1" applyFill="1" applyBorder="1"/>
    <xf numFmtId="3" fontId="28" fillId="0" borderId="16" xfId="0" applyNumberFormat="1" applyFont="1" applyFill="1" applyBorder="1"/>
    <xf numFmtId="4" fontId="28" fillId="0" borderId="16" xfId="0" applyNumberFormat="1" applyFont="1" applyFill="1" applyBorder="1"/>
    <xf numFmtId="3" fontId="28" fillId="0" borderId="18" xfId="0" applyNumberFormat="1" applyFont="1" applyFill="1" applyBorder="1"/>
    <xf numFmtId="3" fontId="9" fillId="0" borderId="59" xfId="0" applyNumberFormat="1" applyFont="1" applyFill="1" applyBorder="1" applyAlignment="1">
      <alignment horizontal="left"/>
    </xf>
    <xf numFmtId="3" fontId="9" fillId="0" borderId="59" xfId="0" applyNumberFormat="1" applyFont="1" applyFill="1" applyBorder="1" applyAlignment="1">
      <alignment horizontal="right"/>
    </xf>
    <xf numFmtId="49" fontId="9" fillId="0" borderId="59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0" fontId="0" fillId="0" borderId="80" xfId="0" applyFill="1" applyBorder="1" applyAlignment="1"/>
    <xf numFmtId="3" fontId="37" fillId="0" borderId="29" xfId="0" applyNumberFormat="1" applyFont="1" applyBorder="1"/>
    <xf numFmtId="4" fontId="0" fillId="0" borderId="20" xfId="0" applyNumberFormat="1" applyFont="1" applyBorder="1"/>
    <xf numFmtId="0" fontId="0" fillId="0" borderId="16" xfId="0" applyFont="1" applyFill="1" applyBorder="1"/>
    <xf numFmtId="0" fontId="6" fillId="0" borderId="81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4" fontId="0" fillId="0" borderId="33" xfId="0" applyNumberFormat="1" applyBorder="1"/>
    <xf numFmtId="3" fontId="0" fillId="0" borderId="28" xfId="0" applyNumberFormat="1" applyFont="1" applyBorder="1"/>
    <xf numFmtId="3" fontId="0" fillId="0" borderId="19" xfId="0" applyNumberFormat="1" applyFont="1" applyBorder="1"/>
    <xf numFmtId="4" fontId="0" fillId="0" borderId="28" xfId="0" applyNumberFormat="1" applyFont="1" applyBorder="1"/>
    <xf numFmtId="3" fontId="18" fillId="0" borderId="34" xfId="0" applyNumberFormat="1" applyFont="1" applyFill="1" applyBorder="1" applyAlignment="1">
      <alignment vertical="center" wrapText="1"/>
    </xf>
    <xf numFmtId="3" fontId="0" fillId="0" borderId="36" xfId="0" applyNumberFormat="1" applyFill="1" applyBorder="1"/>
    <xf numFmtId="4" fontId="4" fillId="0" borderId="48" xfId="0" applyNumberFormat="1" applyFont="1" applyFill="1" applyBorder="1"/>
    <xf numFmtId="4" fontId="4" fillId="0" borderId="47" xfId="0" applyNumberFormat="1" applyFont="1" applyFill="1" applyBorder="1"/>
    <xf numFmtId="4" fontId="4" fillId="0" borderId="47" xfId="0" applyNumberFormat="1" applyFont="1" applyFill="1" applyBorder="1" applyAlignment="1">
      <alignment horizontal="right"/>
    </xf>
    <xf numFmtId="3" fontId="0" fillId="0" borderId="35" xfId="0" applyNumberFormat="1" applyFill="1" applyBorder="1"/>
    <xf numFmtId="3" fontId="0" fillId="0" borderId="19" xfId="0" applyNumberFormat="1" applyFill="1" applyBorder="1"/>
    <xf numFmtId="3" fontId="6" fillId="0" borderId="46" xfId="0" applyNumberFormat="1" applyFont="1" applyFill="1" applyBorder="1"/>
    <xf numFmtId="3" fontId="0" fillId="0" borderId="9" xfId="0" applyNumberFormat="1" applyFill="1" applyBorder="1"/>
    <xf numFmtId="0" fontId="6" fillId="0" borderId="80" xfId="0" applyFont="1" applyFill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/>
    <xf numFmtId="1" fontId="10" fillId="0" borderId="25" xfId="0" applyNumberFormat="1" applyFont="1" applyFill="1" applyBorder="1"/>
    <xf numFmtId="3" fontId="0" fillId="0" borderId="14" xfId="0" applyNumberFormat="1" applyBorder="1"/>
    <xf numFmtId="3" fontId="8" fillId="0" borderId="36" xfId="0" applyNumberFormat="1" applyFont="1" applyFill="1" applyBorder="1" applyAlignment="1">
      <alignment horizontal="right"/>
    </xf>
    <xf numFmtId="3" fontId="4" fillId="0" borderId="6" xfId="0" applyNumberFormat="1" applyFont="1" applyFill="1" applyBorder="1"/>
    <xf numFmtId="3" fontId="8" fillId="0" borderId="11" xfId="0" applyNumberFormat="1" applyFont="1" applyFill="1" applyBorder="1" applyAlignment="1">
      <alignment horizontal="right"/>
    </xf>
    <xf numFmtId="3" fontId="0" fillId="0" borderId="47" xfId="0" applyNumberFormat="1" applyFill="1" applyBorder="1"/>
    <xf numFmtId="3" fontId="4" fillId="0" borderId="5" xfId="0" applyNumberFormat="1" applyFont="1" applyFill="1" applyBorder="1"/>
    <xf numFmtId="1" fontId="9" fillId="0" borderId="13" xfId="0" applyNumberFormat="1" applyFont="1" applyFill="1" applyBorder="1"/>
    <xf numFmtId="1" fontId="11" fillId="0" borderId="16" xfId="0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8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80" xfId="0" applyFont="1" applyFill="1" applyBorder="1" applyAlignment="1"/>
    <xf numFmtId="3" fontId="38" fillId="0" borderId="17" xfId="0" applyNumberFormat="1" applyFont="1" applyFill="1" applyBorder="1"/>
    <xf numFmtId="0" fontId="38" fillId="0" borderId="17" xfId="0" applyFont="1" applyFill="1" applyBorder="1"/>
    <xf numFmtId="0" fontId="38" fillId="0" borderId="17" xfId="0" applyFont="1" applyFill="1" applyBorder="1" applyAlignment="1">
      <alignment horizontal="right"/>
    </xf>
    <xf numFmtId="3" fontId="38" fillId="0" borderId="17" xfId="0" applyNumberFormat="1" applyFont="1" applyFill="1" applyBorder="1" applyAlignment="1">
      <alignment horizontal="right"/>
    </xf>
    <xf numFmtId="3" fontId="38" fillId="0" borderId="14" xfId="0" applyNumberFormat="1" applyFont="1" applyFill="1" applyBorder="1"/>
    <xf numFmtId="3" fontId="38" fillId="0" borderId="13" xfId="0" applyNumberFormat="1" applyFont="1" applyFill="1" applyBorder="1"/>
    <xf numFmtId="4" fontId="38" fillId="0" borderId="13" xfId="0" applyNumberFormat="1" applyFont="1" applyFill="1" applyBorder="1"/>
    <xf numFmtId="3" fontId="38" fillId="0" borderId="16" xfId="0" applyNumberFormat="1" applyFont="1" applyFill="1" applyBorder="1"/>
    <xf numFmtId="0" fontId="38" fillId="0" borderId="5" xfId="0" applyFont="1" applyFill="1" applyBorder="1"/>
    <xf numFmtId="3" fontId="38" fillId="0" borderId="34" xfId="0" applyNumberFormat="1" applyFont="1" applyFill="1" applyBorder="1"/>
    <xf numFmtId="0" fontId="38" fillId="0" borderId="34" xfId="0" applyFont="1" applyFill="1" applyBorder="1"/>
    <xf numFmtId="0" fontId="38" fillId="0" borderId="34" xfId="0" applyFont="1" applyFill="1" applyBorder="1" applyAlignment="1">
      <alignment horizontal="right"/>
    </xf>
    <xf numFmtId="3" fontId="38" fillId="0" borderId="34" xfId="0" applyNumberFormat="1" applyFont="1" applyFill="1" applyBorder="1" applyAlignment="1">
      <alignment horizontal="right"/>
    </xf>
    <xf numFmtId="3" fontId="39" fillId="0" borderId="17" xfId="0" applyNumberFormat="1" applyFont="1" applyFill="1" applyBorder="1"/>
    <xf numFmtId="0" fontId="39" fillId="0" borderId="17" xfId="0" applyFont="1" applyFill="1" applyBorder="1"/>
    <xf numFmtId="3" fontId="40" fillId="0" borderId="13" xfId="0" applyNumberFormat="1" applyFont="1" applyFill="1" applyBorder="1"/>
    <xf numFmtId="3" fontId="40" fillId="0" borderId="15" xfId="0" applyNumberFormat="1" applyFont="1" applyFill="1" applyBorder="1"/>
    <xf numFmtId="3" fontId="28" fillId="0" borderId="5" xfId="0" applyNumberFormat="1" applyFont="1" applyFill="1" applyBorder="1"/>
    <xf numFmtId="4" fontId="28" fillId="0" borderId="5" xfId="0" applyNumberFormat="1" applyFont="1" applyFill="1" applyBorder="1"/>
    <xf numFmtId="49" fontId="8" fillId="0" borderId="26" xfId="0" applyNumberFormat="1" applyFont="1" applyFill="1" applyBorder="1" applyAlignment="1">
      <alignment horizontal="center"/>
    </xf>
    <xf numFmtId="0" fontId="11" fillId="0" borderId="30" xfId="0" applyFont="1" applyFill="1" applyBorder="1"/>
    <xf numFmtId="3" fontId="11" fillId="0" borderId="31" xfId="0" applyNumberFormat="1" applyFont="1" applyFill="1" applyBorder="1"/>
    <xf numFmtId="3" fontId="13" fillId="0" borderId="6" xfId="0" applyNumberFormat="1" applyFont="1" applyFill="1" applyBorder="1"/>
    <xf numFmtId="3" fontId="13" fillId="0" borderId="7" xfId="0" applyNumberFormat="1" applyFont="1" applyFill="1" applyBorder="1"/>
    <xf numFmtId="3" fontId="13" fillId="0" borderId="25" xfId="0" applyNumberFormat="1" applyFont="1" applyFill="1" applyBorder="1"/>
    <xf numFmtId="3" fontId="9" fillId="0" borderId="30" xfId="0" applyNumberFormat="1" applyFont="1" applyFill="1" applyBorder="1" applyAlignment="1"/>
    <xf numFmtId="49" fontId="9" fillId="0" borderId="24" xfId="0" applyNumberFormat="1" applyFont="1" applyFill="1" applyBorder="1"/>
    <xf numFmtId="49" fontId="9" fillId="0" borderId="24" xfId="0" applyNumberFormat="1" applyFont="1" applyFill="1" applyBorder="1" applyAlignment="1">
      <alignment horizontal="right"/>
    </xf>
    <xf numFmtId="4" fontId="11" fillId="0" borderId="34" xfId="0" applyNumberFormat="1" applyFont="1" applyFill="1" applyBorder="1"/>
    <xf numFmtId="3" fontId="20" fillId="0" borderId="34" xfId="0" applyNumberFormat="1" applyFont="1" applyFill="1" applyBorder="1"/>
    <xf numFmtId="3" fontId="0" fillId="0" borderId="31" xfId="0" applyNumberFormat="1" applyFont="1" applyBorder="1"/>
    <xf numFmtId="0" fontId="9" fillId="0" borderId="36" xfId="0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right"/>
    </xf>
    <xf numFmtId="3" fontId="0" fillId="0" borderId="17" xfId="0" applyNumberFormat="1" applyBorder="1"/>
    <xf numFmtId="164" fontId="32" fillId="0" borderId="0" xfId="0" applyNumberFormat="1" applyFont="1"/>
    <xf numFmtId="166" fontId="0" fillId="0" borderId="0" xfId="0" applyNumberFormat="1"/>
    <xf numFmtId="3" fontId="4" fillId="0" borderId="29" xfId="0" applyNumberFormat="1" applyFont="1" applyFill="1" applyBorder="1"/>
    <xf numFmtId="0" fontId="26" fillId="0" borderId="56" xfId="0" applyFont="1" applyFill="1" applyBorder="1" applyAlignment="1">
      <alignment horizontal="left"/>
    </xf>
    <xf numFmtId="0" fontId="26" fillId="0" borderId="9" xfId="0" applyFont="1" applyFill="1" applyBorder="1" applyAlignment="1">
      <alignment horizontal="left"/>
    </xf>
    <xf numFmtId="3" fontId="26" fillId="0" borderId="10" xfId="0" applyNumberFormat="1" applyFont="1" applyFill="1" applyBorder="1"/>
    <xf numFmtId="3" fontId="26" fillId="0" borderId="36" xfId="0" applyNumberFormat="1" applyFont="1" applyFill="1" applyBorder="1"/>
    <xf numFmtId="4" fontId="26" fillId="0" borderId="36" xfId="0" applyNumberFormat="1" applyFont="1" applyFill="1" applyBorder="1"/>
    <xf numFmtId="3" fontId="34" fillId="0" borderId="36" xfId="0" applyNumberFormat="1" applyFont="1" applyFill="1" applyBorder="1"/>
    <xf numFmtId="49" fontId="8" fillId="0" borderId="8" xfId="0" applyNumberFormat="1" applyFont="1" applyFill="1" applyBorder="1" applyAlignment="1">
      <alignment horizontal="left"/>
    </xf>
    <xf numFmtId="3" fontId="8" fillId="0" borderId="4" xfId="0" applyNumberFormat="1" applyFont="1" applyFill="1" applyBorder="1"/>
    <xf numFmtId="49" fontId="8" fillId="0" borderId="26" xfId="0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 wrapText="1"/>
    </xf>
    <xf numFmtId="3" fontId="8" fillId="0" borderId="11" xfId="0" applyNumberFormat="1" applyFont="1" applyFill="1" applyBorder="1" applyAlignment="1">
      <alignment vertical="center"/>
    </xf>
    <xf numFmtId="3" fontId="22" fillId="0" borderId="36" xfId="0" applyNumberFormat="1" applyFont="1" applyFill="1" applyBorder="1"/>
    <xf numFmtId="4" fontId="0" fillId="0" borderId="57" xfId="0" applyNumberFormat="1" applyBorder="1"/>
    <xf numFmtId="3" fontId="20" fillId="0" borderId="28" xfId="0" applyNumberFormat="1" applyFont="1" applyFill="1" applyBorder="1"/>
    <xf numFmtId="3" fontId="20" fillId="0" borderId="29" xfId="0" applyNumberFormat="1" applyFont="1" applyFill="1" applyBorder="1"/>
    <xf numFmtId="3" fontId="20" fillId="0" borderId="19" xfId="0" applyNumberFormat="1" applyFont="1" applyFill="1" applyBorder="1"/>
    <xf numFmtId="3" fontId="0" fillId="0" borderId="30" xfId="0" applyNumberFormat="1" applyFont="1" applyBorder="1"/>
    <xf numFmtId="3" fontId="0" fillId="0" borderId="60" xfId="0" applyNumberFormat="1" applyBorder="1"/>
    <xf numFmtId="3" fontId="0" fillId="0" borderId="30" xfId="0" applyNumberFormat="1" applyBorder="1"/>
    <xf numFmtId="3" fontId="8" fillId="0" borderId="0" xfId="0" applyNumberFormat="1" applyFont="1" applyFill="1" applyBorder="1"/>
    <xf numFmtId="3" fontId="0" fillId="0" borderId="0" xfId="0" applyNumberFormat="1" applyBorder="1"/>
    <xf numFmtId="3" fontId="9" fillId="0" borderId="0" xfId="0" applyNumberFormat="1" applyFont="1" applyFill="1" applyBorder="1"/>
    <xf numFmtId="3" fontId="0" fillId="0" borderId="14" xfId="0" applyNumberFormat="1" applyBorder="1" applyAlignment="1"/>
    <xf numFmtId="3" fontId="0" fillId="0" borderId="33" xfId="0" applyNumberFormat="1" applyBorder="1"/>
    <xf numFmtId="3" fontId="37" fillId="0" borderId="0" xfId="0" applyNumberFormat="1" applyFont="1"/>
    <xf numFmtId="3" fontId="0" fillId="0" borderId="20" xfId="0" applyNumberFormat="1" applyBorder="1"/>
    <xf numFmtId="0" fontId="6" fillId="0" borderId="80" xfId="0" applyFont="1" applyFill="1" applyBorder="1" applyAlignment="1">
      <alignment horizontal="left"/>
    </xf>
    <xf numFmtId="4" fontId="0" fillId="0" borderId="44" xfId="0" applyNumberFormat="1" applyFont="1" applyBorder="1"/>
    <xf numFmtId="3" fontId="0" fillId="0" borderId="7" xfId="0" applyNumberFormat="1" applyFont="1" applyBorder="1"/>
    <xf numFmtId="4" fontId="0" fillId="0" borderId="14" xfId="0" applyNumberFormat="1" applyFont="1" applyBorder="1"/>
    <xf numFmtId="4" fontId="0" fillId="0" borderId="17" xfId="0" applyNumberFormat="1" applyFont="1" applyBorder="1"/>
    <xf numFmtId="3" fontId="0" fillId="0" borderId="17" xfId="0" applyNumberFormat="1" applyFont="1" applyBorder="1"/>
    <xf numFmtId="3" fontId="0" fillId="0" borderId="20" xfId="0" applyNumberFormat="1" applyFont="1" applyBorder="1"/>
    <xf numFmtId="4" fontId="0" fillId="0" borderId="7" xfId="0" applyNumberFormat="1" applyFont="1" applyBorder="1"/>
    <xf numFmtId="3" fontId="0" fillId="0" borderId="14" xfId="0" applyNumberFormat="1" applyFont="1" applyBorder="1"/>
    <xf numFmtId="4" fontId="0" fillId="0" borderId="30" xfId="0" applyNumberFormat="1" applyFont="1" applyBorder="1"/>
    <xf numFmtId="4" fontId="0" fillId="0" borderId="38" xfId="0" applyNumberFormat="1" applyFont="1" applyBorder="1"/>
    <xf numFmtId="0" fontId="6" fillId="0" borderId="0" xfId="0" applyFont="1" applyFill="1" applyAlignment="1">
      <alignment horizontal="left"/>
    </xf>
    <xf numFmtId="4" fontId="0" fillId="0" borderId="0" xfId="0" applyNumberFormat="1" applyFont="1"/>
    <xf numFmtId="167" fontId="0" fillId="0" borderId="0" xfId="0" applyNumberFormat="1" applyFont="1"/>
    <xf numFmtId="3" fontId="29" fillId="0" borderId="0" xfId="0" applyNumberFormat="1" applyFont="1"/>
    <xf numFmtId="0" fontId="41" fillId="0" borderId="0" xfId="0" applyFont="1" applyAlignment="1">
      <alignment horizontal="left" vertical="center" indent="4"/>
    </xf>
    <xf numFmtId="0" fontId="7" fillId="0" borderId="7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6" fillId="0" borderId="6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6" fillId="0" borderId="90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left"/>
    </xf>
    <xf numFmtId="0" fontId="7" fillId="0" borderId="79" xfId="0" applyFont="1" applyFill="1" applyBorder="1" applyAlignment="1">
      <alignment horizontal="left"/>
    </xf>
    <xf numFmtId="0" fontId="7" fillId="0" borderId="6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5" fillId="0" borderId="88" xfId="0" applyFont="1" applyFill="1" applyBorder="1" applyAlignment="1">
      <alignment horizontal="center" vertical="center" wrapText="1"/>
    </xf>
    <xf numFmtId="0" fontId="5" fillId="0" borderId="89" xfId="0" applyFont="1" applyFill="1" applyBorder="1" applyAlignment="1">
      <alignment horizontal="center" vertical="center" wrapText="1"/>
    </xf>
    <xf numFmtId="0" fontId="5" fillId="0" borderId="90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26" xfId="0" applyFont="1" applyFill="1" applyBorder="1"/>
    <xf numFmtId="0" fontId="4" fillId="0" borderId="1" xfId="0" applyFont="1" applyFill="1" applyBorder="1"/>
    <xf numFmtId="0" fontId="7" fillId="0" borderId="36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80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3" fontId="6" fillId="0" borderId="90" xfId="0" applyNumberFormat="1" applyFont="1" applyFill="1" applyBorder="1" applyAlignment="1">
      <alignment horizontal="center" vertical="center" wrapText="1"/>
    </xf>
    <xf numFmtId="3" fontId="6" fillId="0" borderId="81" xfId="0" applyNumberFormat="1" applyFont="1" applyFill="1" applyBorder="1" applyAlignment="1">
      <alignment horizontal="center" vertical="center" wrapText="1"/>
    </xf>
    <xf numFmtId="0" fontId="1" fillId="0" borderId="80" xfId="0" applyFont="1" applyBorder="1" applyAlignment="1">
      <alignment horizontal="left"/>
    </xf>
    <xf numFmtId="49" fontId="6" fillId="0" borderId="66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8" fillId="0" borderId="66" xfId="0" applyNumberFormat="1" applyFont="1" applyFill="1" applyBorder="1" applyAlignment="1">
      <alignment horizontal="center"/>
    </xf>
    <xf numFmtId="49" fontId="8" fillId="0" borderId="26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left"/>
    </xf>
    <xf numFmtId="0" fontId="8" fillId="0" borderId="5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4" fillId="0" borderId="6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6" fontId="8" fillId="0" borderId="66" xfId="0" applyNumberFormat="1" applyFont="1" applyFill="1" applyBorder="1" applyAlignment="1">
      <alignment horizontal="center"/>
    </xf>
    <xf numFmtId="16" fontId="8" fillId="0" borderId="26" xfId="0" applyNumberFormat="1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49" fontId="8" fillId="0" borderId="32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0" fontId="10" fillId="0" borderId="32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49" fontId="8" fillId="0" borderId="56" xfId="0" applyNumberFormat="1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0" fontId="1" fillId="0" borderId="91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49" fontId="17" fillId="0" borderId="88" xfId="0" applyNumberFormat="1" applyFont="1" applyFill="1" applyBorder="1" applyAlignment="1">
      <alignment horizontal="center" vertical="center" wrapText="1"/>
    </xf>
    <xf numFmtId="49" fontId="17" fillId="0" borderId="89" xfId="0" applyNumberFormat="1" applyFont="1" applyFill="1" applyBorder="1" applyAlignment="1">
      <alignment horizontal="center" vertical="center" wrapText="1"/>
    </xf>
    <xf numFmtId="16" fontId="6" fillId="0" borderId="93" xfId="0" applyNumberFormat="1" applyFont="1" applyFill="1" applyBorder="1" applyAlignment="1">
      <alignment horizontal="center" vertical="center" wrapText="1"/>
    </xf>
    <xf numFmtId="16" fontId="6" fillId="0" borderId="82" xfId="0" applyNumberFormat="1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15" fillId="0" borderId="91" xfId="0" applyFont="1" applyFill="1" applyBorder="1" applyAlignment="1">
      <alignment horizontal="center" vertical="center" wrapText="1"/>
    </xf>
    <xf numFmtId="0" fontId="15" fillId="0" borderId="9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5" fillId="0" borderId="90" xfId="0" applyFont="1" applyFill="1" applyBorder="1" applyAlignment="1">
      <alignment horizontal="center" vertical="center" wrapText="1"/>
    </xf>
    <xf numFmtId="0" fontId="15" fillId="0" borderId="8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6" fillId="0" borderId="27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165" fontId="6" fillId="0" borderId="5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" fontId="6" fillId="0" borderId="80" xfId="0" applyNumberFormat="1" applyFont="1" applyFill="1" applyBorder="1" applyAlignment="1">
      <alignment horizontal="left"/>
    </xf>
    <xf numFmtId="16" fontId="6" fillId="0" borderId="90" xfId="0" applyNumberFormat="1" applyFont="1" applyFill="1" applyBorder="1" applyAlignment="1">
      <alignment horizontal="center" vertical="center" wrapText="1"/>
    </xf>
    <xf numFmtId="16" fontId="6" fillId="0" borderId="81" xfId="0" applyNumberFormat="1" applyFont="1" applyFill="1" applyBorder="1" applyAlignment="1">
      <alignment horizontal="center" vertical="center" wrapText="1"/>
    </xf>
    <xf numFmtId="0" fontId="0" fillId="0" borderId="94" xfId="0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89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7" xfId="0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65" xfId="0" applyFont="1" applyFill="1" applyBorder="1" applyAlignment="1">
      <alignment horizontal="left"/>
    </xf>
    <xf numFmtId="0" fontId="6" fillId="0" borderId="93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 wrapText="1"/>
    </xf>
    <xf numFmtId="0" fontId="15" fillId="0" borderId="86" xfId="0" applyFont="1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49" fontId="5" fillId="0" borderId="88" xfId="0" applyNumberFormat="1" applyFont="1" applyFill="1" applyBorder="1" applyAlignment="1">
      <alignment horizontal="center" vertical="center" wrapText="1"/>
    </xf>
    <xf numFmtId="49" fontId="5" fillId="0" borderId="89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3" fontId="29" fillId="0" borderId="46" xfId="0" applyNumberFormat="1" applyFont="1" applyFill="1" applyBorder="1" applyAlignment="1">
      <alignment horizontal="center"/>
    </xf>
    <xf numFmtId="3" fontId="29" fillId="0" borderId="79" xfId="0" applyNumberFormat="1" applyFont="1" applyFill="1" applyBorder="1" applyAlignment="1">
      <alignment horizontal="center"/>
    </xf>
    <xf numFmtId="3" fontId="29" fillId="0" borderId="65" xfId="0" applyNumberFormat="1" applyFont="1" applyFill="1" applyBorder="1" applyAlignment="1">
      <alignment horizontal="center"/>
    </xf>
    <xf numFmtId="3" fontId="0" fillId="0" borderId="95" xfId="0" applyNumberFormat="1" applyFill="1" applyBorder="1" applyAlignment="1">
      <alignment horizontal="center"/>
    </xf>
    <xf numFmtId="3" fontId="0" fillId="0" borderId="96" xfId="0" applyNumberFormat="1" applyFill="1" applyBorder="1" applyAlignment="1">
      <alignment horizontal="center"/>
    </xf>
    <xf numFmtId="3" fontId="0" fillId="0" borderId="97" xfId="0" applyNumberFormat="1" applyFill="1" applyBorder="1" applyAlignment="1">
      <alignment horizontal="center"/>
    </xf>
    <xf numFmtId="3" fontId="14" fillId="0" borderId="98" xfId="0" applyNumberFormat="1" applyFont="1" applyFill="1" applyBorder="1" applyAlignment="1">
      <alignment horizontal="center" vertical="center"/>
    </xf>
    <xf numFmtId="3" fontId="14" fillId="0" borderId="99" xfId="0" applyNumberFormat="1" applyFont="1" applyFill="1" applyBorder="1" applyAlignment="1">
      <alignment horizontal="center" vertical="center"/>
    </xf>
    <xf numFmtId="3" fontId="14" fillId="0" borderId="100" xfId="0" applyNumberFormat="1" applyFont="1" applyFill="1" applyBorder="1" applyAlignment="1">
      <alignment horizontal="center" vertical="center"/>
    </xf>
    <xf numFmtId="0" fontId="29" fillId="0" borderId="101" xfId="0" applyFont="1" applyFill="1" applyBorder="1" applyAlignment="1">
      <alignment horizontal="left" vertical="center"/>
    </xf>
    <xf numFmtId="0" fontId="29" fillId="0" borderId="94" xfId="0" applyFont="1" applyFill="1" applyBorder="1" applyAlignment="1">
      <alignment horizontal="left" vertical="center"/>
    </xf>
    <xf numFmtId="0" fontId="29" fillId="0" borderId="102" xfId="0" applyFont="1" applyFill="1" applyBorder="1" applyAlignment="1">
      <alignment horizontal="left" vertical="center"/>
    </xf>
    <xf numFmtId="0" fontId="29" fillId="0" borderId="103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/>
    </xf>
    <xf numFmtId="0" fontId="29" fillId="0" borderId="104" xfId="0" applyFont="1" applyFill="1" applyBorder="1" applyAlignment="1">
      <alignment horizontal="left" vertical="center"/>
    </xf>
    <xf numFmtId="0" fontId="0" fillId="0" borderId="87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0" fillId="0" borderId="105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33" fillId="0" borderId="0" xfId="0" applyFont="1" applyAlignment="1">
      <alignment horizontal="center"/>
    </xf>
    <xf numFmtId="0" fontId="7" fillId="3" borderId="64" xfId="0" applyFont="1" applyFill="1" applyBorder="1" applyAlignment="1">
      <alignment horizontal="left"/>
    </xf>
    <xf numFmtId="0" fontId="7" fillId="3" borderId="39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78" xfId="0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49" fontId="17" fillId="3" borderId="88" xfId="0" applyNumberFormat="1" applyFont="1" applyFill="1" applyBorder="1" applyAlignment="1">
      <alignment horizontal="center" vertical="center" wrapText="1"/>
    </xf>
    <xf numFmtId="49" fontId="17" fillId="3" borderId="89" xfId="0" applyNumberFormat="1" applyFont="1" applyFill="1" applyBorder="1" applyAlignment="1">
      <alignment horizontal="center" vertical="center" wrapText="1"/>
    </xf>
    <xf numFmtId="16" fontId="6" fillId="3" borderId="90" xfId="0" applyNumberFormat="1" applyFont="1" applyFill="1" applyBorder="1" applyAlignment="1">
      <alignment horizontal="center" vertical="center" wrapText="1"/>
    </xf>
    <xf numFmtId="16" fontId="6" fillId="3" borderId="81" xfId="0" applyNumberFormat="1" applyFont="1" applyFill="1" applyBorder="1" applyAlignment="1">
      <alignment horizontal="center" vertical="center" wrapText="1"/>
    </xf>
    <xf numFmtId="0" fontId="6" fillId="3" borderId="9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9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/>
    </xf>
  </cellXfs>
  <cellStyles count="2">
    <cellStyle name="Normálna" xfId="0" builtinId="0"/>
    <cellStyle name="normální_Učiteli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V118"/>
  <sheetViews>
    <sheetView workbookViewId="0">
      <selection activeCell="P112" sqref="P112"/>
    </sheetView>
  </sheetViews>
  <sheetFormatPr defaultColWidth="9.140625" defaultRowHeight="12.75" x14ac:dyDescent="0.2"/>
  <cols>
    <col min="1" max="1" width="5.85546875" style="515" customWidth="1"/>
    <col min="2" max="2" width="6.85546875" style="515" customWidth="1"/>
    <col min="3" max="3" width="32.5703125" style="515" customWidth="1"/>
    <col min="4" max="11" width="12.7109375" style="515" hidden="1" customWidth="1"/>
    <col min="12" max="12" width="14.42578125" style="515" hidden="1" customWidth="1"/>
    <col min="13" max="13" width="13" style="516" customWidth="1"/>
    <col min="14" max="14" width="16.140625" style="515" customWidth="1"/>
    <col min="15" max="15" width="12.7109375" style="515" customWidth="1"/>
    <col min="16" max="16" width="11.5703125" style="1" customWidth="1"/>
    <col min="17" max="17" width="13.85546875" style="1" customWidth="1"/>
    <col min="18" max="16384" width="9.140625" style="515"/>
  </cols>
  <sheetData>
    <row r="1" spans="1:21" x14ac:dyDescent="0.2">
      <c r="A1" s="762" t="s">
        <v>429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</row>
    <row r="2" spans="1:21" ht="13.5" thickBot="1" x14ac:dyDescent="0.25">
      <c r="A2" s="763" t="s">
        <v>430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</row>
    <row r="3" spans="1:21" ht="18.75" customHeight="1" thickTop="1" x14ac:dyDescent="0.2">
      <c r="A3" s="752" t="s">
        <v>115</v>
      </c>
      <c r="B3" s="754" t="s">
        <v>116</v>
      </c>
      <c r="C3" s="739" t="s">
        <v>117</v>
      </c>
      <c r="D3" s="739" t="s">
        <v>118</v>
      </c>
      <c r="E3" s="739" t="s">
        <v>119</v>
      </c>
      <c r="F3" s="739" t="s">
        <v>120</v>
      </c>
      <c r="G3" s="739" t="s">
        <v>121</v>
      </c>
      <c r="H3" s="739" t="s">
        <v>122</v>
      </c>
      <c r="I3" s="739" t="s">
        <v>123</v>
      </c>
      <c r="J3" s="739" t="s">
        <v>124</v>
      </c>
      <c r="K3" s="739" t="s">
        <v>125</v>
      </c>
      <c r="L3" s="739" t="s">
        <v>126</v>
      </c>
      <c r="M3" s="766" t="s">
        <v>376</v>
      </c>
      <c r="N3" s="739" t="s">
        <v>474</v>
      </c>
      <c r="O3" s="764" t="s">
        <v>426</v>
      </c>
      <c r="P3" s="617" t="s">
        <v>491</v>
      </c>
      <c r="Q3" s="741" t="s">
        <v>420</v>
      </c>
    </row>
    <row r="4" spans="1:21" ht="18.75" customHeight="1" thickBot="1" x14ac:dyDescent="0.25">
      <c r="A4" s="753"/>
      <c r="B4" s="755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67"/>
      <c r="N4" s="740"/>
      <c r="O4" s="765"/>
      <c r="P4" s="602" t="s">
        <v>128</v>
      </c>
      <c r="Q4" s="742"/>
    </row>
    <row r="5" spans="1:21" ht="17.25" thickTop="1" thickBot="1" x14ac:dyDescent="0.3">
      <c r="A5" s="3">
        <v>100</v>
      </c>
      <c r="B5" s="760" t="s">
        <v>129</v>
      </c>
      <c r="C5" s="761"/>
      <c r="D5" s="4">
        <f t="shared" ref="D5:O5" si="0">D6+D12+D17</f>
        <v>4005975</v>
      </c>
      <c r="E5" s="4">
        <f t="shared" si="0"/>
        <v>4409049</v>
      </c>
      <c r="F5" s="4">
        <f t="shared" si="0"/>
        <v>5183529</v>
      </c>
      <c r="G5" s="4">
        <f t="shared" si="0"/>
        <v>5169506</v>
      </c>
      <c r="H5" s="4">
        <f t="shared" si="0"/>
        <v>4342169</v>
      </c>
      <c r="I5" s="4">
        <f t="shared" si="0"/>
        <v>4854565</v>
      </c>
      <c r="J5" s="4">
        <f t="shared" si="0"/>
        <v>5209041</v>
      </c>
      <c r="K5" s="4">
        <f t="shared" si="0"/>
        <v>4997011</v>
      </c>
      <c r="L5" s="4">
        <f t="shared" si="0"/>
        <v>5140983.68</v>
      </c>
      <c r="M5" s="4">
        <f t="shared" si="0"/>
        <v>5807550.21</v>
      </c>
      <c r="N5" s="4">
        <f>N6+N12+N17</f>
        <v>6453363.5500000007</v>
      </c>
      <c r="O5" s="451">
        <f t="shared" si="0"/>
        <v>6712057</v>
      </c>
      <c r="P5" s="451">
        <f>P6+P12+P17</f>
        <v>0</v>
      </c>
      <c r="Q5" s="503">
        <f>Q6+Q12+Q17</f>
        <v>6712057</v>
      </c>
    </row>
    <row r="6" spans="1:21" ht="15.75" thickBot="1" x14ac:dyDescent="0.3">
      <c r="A6" s="5">
        <v>110</v>
      </c>
      <c r="B6" s="734" t="s">
        <v>130</v>
      </c>
      <c r="C6" s="746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P6" si="1">I7</f>
        <v>4195159</v>
      </c>
      <c r="J6" s="7">
        <f t="shared" si="1"/>
        <v>4432132</v>
      </c>
      <c r="K6" s="7">
        <f t="shared" si="1"/>
        <v>4175784</v>
      </c>
      <c r="L6" s="7">
        <f t="shared" si="1"/>
        <v>4401458.42</v>
      </c>
      <c r="M6" s="7">
        <f t="shared" si="1"/>
        <v>5016805.0999999996</v>
      </c>
      <c r="N6" s="7">
        <f t="shared" si="1"/>
        <v>5542925.6600000001</v>
      </c>
      <c r="O6" s="452">
        <f t="shared" si="1"/>
        <v>5852587</v>
      </c>
      <c r="P6" s="452">
        <f t="shared" si="1"/>
        <v>0</v>
      </c>
      <c r="Q6" s="505">
        <f>Q7</f>
        <v>5852587</v>
      </c>
      <c r="S6" s="692"/>
      <c r="T6" s="516"/>
    </row>
    <row r="7" spans="1:21" ht="13.5" thickBot="1" x14ac:dyDescent="0.25">
      <c r="A7" s="720"/>
      <c r="B7" s="723"/>
      <c r="C7" s="432" t="s">
        <v>131</v>
      </c>
      <c r="D7" s="9">
        <v>3340935</v>
      </c>
      <c r="E7" s="9">
        <v>3718815</v>
      </c>
      <c r="F7" s="9">
        <v>4552845</v>
      </c>
      <c r="G7" s="9">
        <v>4537123</v>
      </c>
      <c r="H7" s="9">
        <v>3726916</v>
      </c>
      <c r="I7" s="10">
        <v>4195159</v>
      </c>
      <c r="J7" s="10">
        <v>4432132</v>
      </c>
      <c r="K7" s="11">
        <v>4175784</v>
      </c>
      <c r="L7" s="11">
        <v>4401458.42</v>
      </c>
      <c r="M7" s="12">
        <v>5016805.0999999996</v>
      </c>
      <c r="N7" s="12">
        <v>5542925.6600000001</v>
      </c>
      <c r="O7" s="12">
        <v>5852587</v>
      </c>
      <c r="P7" s="701"/>
      <c r="Q7" s="574">
        <f>O7+P7</f>
        <v>5852587</v>
      </c>
      <c r="S7" s="516"/>
      <c r="U7" s="516"/>
    </row>
    <row r="8" spans="1:21" ht="13.5" hidden="1" thickBot="1" x14ac:dyDescent="0.25">
      <c r="A8" s="721"/>
      <c r="B8" s="724"/>
      <c r="C8" s="130" t="s">
        <v>285</v>
      </c>
      <c r="D8" s="130"/>
      <c r="E8" s="130"/>
      <c r="F8" s="130"/>
      <c r="G8" s="130"/>
      <c r="H8" s="130"/>
      <c r="I8" s="87"/>
      <c r="J8" s="87"/>
      <c r="K8" s="142"/>
      <c r="L8" s="142"/>
      <c r="M8" s="93"/>
      <c r="N8" s="93"/>
      <c r="O8" s="93">
        <f>1356548+3000+2000+6209-5997+4000+5000-9937+388</f>
        <v>1361211</v>
      </c>
      <c r="P8" s="702"/>
      <c r="Q8" s="563"/>
    </row>
    <row r="9" spans="1:21" ht="13.5" hidden="1" thickBot="1" x14ac:dyDescent="0.25">
      <c r="A9" s="721"/>
      <c r="B9" s="724"/>
      <c r="C9" s="24" t="s">
        <v>128</v>
      </c>
      <c r="D9" s="24"/>
      <c r="E9" s="24"/>
      <c r="F9" s="24"/>
      <c r="G9" s="24"/>
      <c r="H9" s="24"/>
      <c r="I9" s="90"/>
      <c r="J9" s="90"/>
      <c r="K9" s="25"/>
      <c r="L9" s="25"/>
      <c r="M9" s="26"/>
      <c r="N9" s="26"/>
      <c r="O9" s="26">
        <f>1329793</f>
        <v>1329793</v>
      </c>
      <c r="P9" s="703"/>
      <c r="Q9" s="565"/>
      <c r="R9" s="516"/>
    </row>
    <row r="10" spans="1:21" ht="13.5" hidden="1" thickBot="1" x14ac:dyDescent="0.25">
      <c r="A10" s="721"/>
      <c r="B10" s="724"/>
      <c r="C10" s="24" t="s">
        <v>289</v>
      </c>
      <c r="D10" s="24"/>
      <c r="E10" s="24"/>
      <c r="F10" s="24"/>
      <c r="G10" s="24"/>
      <c r="H10" s="24"/>
      <c r="I10" s="90"/>
      <c r="J10" s="90"/>
      <c r="K10" s="25"/>
      <c r="L10" s="25"/>
      <c r="M10" s="26"/>
      <c r="N10" s="26"/>
      <c r="O10" s="26">
        <f>2878419-5088</f>
        <v>2873331</v>
      </c>
      <c r="P10" s="703"/>
      <c r="Q10" s="565"/>
    </row>
    <row r="11" spans="1:21" ht="13.5" hidden="1" thickBot="1" x14ac:dyDescent="0.25">
      <c r="A11" s="722"/>
      <c r="B11" s="725"/>
      <c r="C11" s="28" t="s">
        <v>280</v>
      </c>
      <c r="D11" s="28"/>
      <c r="E11" s="28"/>
      <c r="F11" s="28"/>
      <c r="G11" s="28"/>
      <c r="H11" s="28"/>
      <c r="I11" s="271"/>
      <c r="J11" s="271"/>
      <c r="K11" s="272"/>
      <c r="L11" s="272"/>
      <c r="M11" s="48"/>
      <c r="N11" s="48"/>
      <c r="O11" s="48">
        <v>192157</v>
      </c>
      <c r="P11" s="598"/>
      <c r="Q11" s="570"/>
    </row>
    <row r="12" spans="1:21" ht="15.75" thickBot="1" x14ac:dyDescent="0.3">
      <c r="A12" s="32">
        <v>120</v>
      </c>
      <c r="B12" s="729" t="s">
        <v>132</v>
      </c>
      <c r="C12" s="730"/>
      <c r="D12" s="14">
        <f>D13</f>
        <v>295824</v>
      </c>
      <c r="E12" s="14">
        <f>E13</f>
        <v>311093</v>
      </c>
      <c r="F12" s="14">
        <f>F13</f>
        <v>361216</v>
      </c>
      <c r="G12" s="14">
        <f>G13</f>
        <v>341843</v>
      </c>
      <c r="H12" s="14">
        <v>316587</v>
      </c>
      <c r="I12" s="14">
        <f t="shared" ref="I12:Q12" si="2">I13</f>
        <v>360438</v>
      </c>
      <c r="J12" s="14">
        <f t="shared" si="2"/>
        <v>460690</v>
      </c>
      <c r="K12" s="14">
        <f t="shared" si="2"/>
        <v>388905</v>
      </c>
      <c r="L12" s="14">
        <f t="shared" si="2"/>
        <v>335641.24</v>
      </c>
      <c r="M12" s="14">
        <f t="shared" si="2"/>
        <v>396789.44</v>
      </c>
      <c r="N12" s="14">
        <f t="shared" si="2"/>
        <v>470206.4</v>
      </c>
      <c r="O12" s="453">
        <f t="shared" si="2"/>
        <v>439000</v>
      </c>
      <c r="P12" s="453">
        <f t="shared" si="2"/>
        <v>0</v>
      </c>
      <c r="Q12" s="510">
        <f t="shared" si="2"/>
        <v>439000</v>
      </c>
    </row>
    <row r="13" spans="1:21" ht="13.5" thickBot="1" x14ac:dyDescent="0.25">
      <c r="A13" s="726"/>
      <c r="B13" s="8">
        <v>121</v>
      </c>
      <c r="C13" s="15" t="s">
        <v>133</v>
      </c>
      <c r="D13" s="15">
        <v>295824</v>
      </c>
      <c r="E13" s="15">
        <v>311093</v>
      </c>
      <c r="F13" s="15">
        <v>361216</v>
      </c>
      <c r="G13" s="15">
        <v>341843</v>
      </c>
      <c r="H13" s="15">
        <v>316587</v>
      </c>
      <c r="I13" s="16">
        <f t="shared" ref="I13:O13" si="3">SUM(I14:I16)</f>
        <v>360438</v>
      </c>
      <c r="J13" s="16">
        <f t="shared" si="3"/>
        <v>460690</v>
      </c>
      <c r="K13" s="16">
        <f t="shared" si="3"/>
        <v>388905</v>
      </c>
      <c r="L13" s="16">
        <f t="shared" si="3"/>
        <v>335641.24</v>
      </c>
      <c r="M13" s="16">
        <f t="shared" si="3"/>
        <v>396789.44</v>
      </c>
      <c r="N13" s="16">
        <f>SUM(N14:N16)</f>
        <v>470206.4</v>
      </c>
      <c r="O13" s="457">
        <f t="shared" si="3"/>
        <v>439000</v>
      </c>
      <c r="P13" s="457">
        <f>SUM(P14:P16)</f>
        <v>0</v>
      </c>
      <c r="Q13" s="17">
        <f>SUM(Q14:Q16)</f>
        <v>439000</v>
      </c>
    </row>
    <row r="14" spans="1:21" x14ac:dyDescent="0.2">
      <c r="A14" s="727"/>
      <c r="B14" s="717"/>
      <c r="C14" s="19" t="s">
        <v>134</v>
      </c>
      <c r="D14" s="20"/>
      <c r="E14" s="20"/>
      <c r="F14" s="20"/>
      <c r="G14" s="20"/>
      <c r="H14" s="20">
        <v>51780</v>
      </c>
      <c r="I14" s="20">
        <v>67186</v>
      </c>
      <c r="J14" s="21">
        <v>71840</v>
      </c>
      <c r="K14" s="21">
        <v>90890</v>
      </c>
      <c r="L14" s="21">
        <v>64647.11</v>
      </c>
      <c r="M14" s="22">
        <v>92446.080000000002</v>
      </c>
      <c r="N14" s="22">
        <v>110741.25</v>
      </c>
      <c r="O14" s="22">
        <v>100000</v>
      </c>
      <c r="P14" s="702"/>
      <c r="Q14" s="563">
        <f>O14+P14</f>
        <v>100000</v>
      </c>
    </row>
    <row r="15" spans="1:21" x14ac:dyDescent="0.2">
      <c r="A15" s="727"/>
      <c r="B15" s="718"/>
      <c r="C15" s="24" t="s">
        <v>135</v>
      </c>
      <c r="D15" s="24"/>
      <c r="E15" s="24"/>
      <c r="F15" s="24"/>
      <c r="G15" s="24"/>
      <c r="H15" s="24">
        <v>234536</v>
      </c>
      <c r="I15" s="24">
        <v>264067</v>
      </c>
      <c r="J15" s="25">
        <v>359760</v>
      </c>
      <c r="K15" s="25">
        <v>267120</v>
      </c>
      <c r="L15" s="25">
        <v>239509.09</v>
      </c>
      <c r="M15" s="26">
        <v>271513.31</v>
      </c>
      <c r="N15" s="26">
        <v>321276.38</v>
      </c>
      <c r="O15" s="26">
        <v>305000</v>
      </c>
      <c r="P15" s="703"/>
      <c r="Q15" s="565">
        <f>O15+P15</f>
        <v>305000</v>
      </c>
    </row>
    <row r="16" spans="1:21" ht="13.5" thickBot="1" x14ac:dyDescent="0.25">
      <c r="A16" s="728"/>
      <c r="B16" s="719"/>
      <c r="C16" s="28" t="s">
        <v>136</v>
      </c>
      <c r="D16" s="28"/>
      <c r="E16" s="28"/>
      <c r="F16" s="28"/>
      <c r="G16" s="28"/>
      <c r="H16" s="28">
        <v>30271</v>
      </c>
      <c r="I16" s="28">
        <v>29185</v>
      </c>
      <c r="J16" s="29">
        <v>29090</v>
      </c>
      <c r="K16" s="29">
        <v>30895</v>
      </c>
      <c r="L16" s="29">
        <v>31485.040000000001</v>
      </c>
      <c r="M16" s="30">
        <v>32830.050000000003</v>
      </c>
      <c r="N16" s="30">
        <v>38188.769999999997</v>
      </c>
      <c r="O16" s="30">
        <v>34000</v>
      </c>
      <c r="P16" s="598"/>
      <c r="Q16" s="570">
        <f>O16+P16</f>
        <v>34000</v>
      </c>
    </row>
    <row r="17" spans="1:19" ht="15.75" thickBot="1" x14ac:dyDescent="0.3">
      <c r="A17" s="32">
        <v>130</v>
      </c>
      <c r="B17" s="729" t="s">
        <v>137</v>
      </c>
      <c r="C17" s="730"/>
      <c r="D17" s="14">
        <f>D18</f>
        <v>369216</v>
      </c>
      <c r="E17" s="14">
        <f>E18</f>
        <v>379141</v>
      </c>
      <c r="F17" s="14">
        <f>F18</f>
        <v>269468</v>
      </c>
      <c r="G17" s="14">
        <f>G18</f>
        <v>290540</v>
      </c>
      <c r="H17" s="14">
        <f>H18</f>
        <v>298666</v>
      </c>
      <c r="I17" s="14">
        <f t="shared" ref="I17:Q17" si="4">I18</f>
        <v>298968</v>
      </c>
      <c r="J17" s="14">
        <f t="shared" si="4"/>
        <v>316219</v>
      </c>
      <c r="K17" s="14">
        <f t="shared" si="4"/>
        <v>432322</v>
      </c>
      <c r="L17" s="14">
        <f t="shared" si="4"/>
        <v>403884.02</v>
      </c>
      <c r="M17" s="14">
        <f t="shared" si="4"/>
        <v>393955.67</v>
      </c>
      <c r="N17" s="14">
        <f t="shared" si="4"/>
        <v>440231.49</v>
      </c>
      <c r="O17" s="453">
        <f t="shared" si="4"/>
        <v>420470</v>
      </c>
      <c r="P17" s="453">
        <f t="shared" si="4"/>
        <v>0</v>
      </c>
      <c r="Q17" s="510">
        <f t="shared" si="4"/>
        <v>420470</v>
      </c>
    </row>
    <row r="18" spans="1:19" ht="13.5" thickBot="1" x14ac:dyDescent="0.25">
      <c r="A18" s="731"/>
      <c r="B18" s="33">
        <v>133</v>
      </c>
      <c r="C18" s="34" t="s">
        <v>138</v>
      </c>
      <c r="D18" s="35">
        <v>369216</v>
      </c>
      <c r="E18" s="35">
        <v>379141</v>
      </c>
      <c r="F18" s="35">
        <v>269468</v>
      </c>
      <c r="G18" s="35">
        <v>290540</v>
      </c>
      <c r="H18" s="36">
        <f t="shared" ref="H18:M18" si="5">SUM(H19:H25)</f>
        <v>298666</v>
      </c>
      <c r="I18" s="36">
        <f t="shared" si="5"/>
        <v>298968</v>
      </c>
      <c r="J18" s="37">
        <f t="shared" si="5"/>
        <v>316219</v>
      </c>
      <c r="K18" s="37">
        <f t="shared" si="5"/>
        <v>432322</v>
      </c>
      <c r="L18" s="37">
        <f>SUM(L19:L25)</f>
        <v>403884.02</v>
      </c>
      <c r="M18" s="37">
        <f t="shared" si="5"/>
        <v>393955.67</v>
      </c>
      <c r="N18" s="37">
        <f>SUM(N19:N25)</f>
        <v>440231.49</v>
      </c>
      <c r="O18" s="129">
        <f>SUM(O19:O25)</f>
        <v>420470</v>
      </c>
      <c r="P18" s="129">
        <f>SUM(P19:P25)</f>
        <v>0</v>
      </c>
      <c r="Q18" s="38">
        <f>SUM(Q19:Q25)</f>
        <v>420470</v>
      </c>
    </row>
    <row r="19" spans="1:19" x14ac:dyDescent="0.2">
      <c r="A19" s="732"/>
      <c r="B19" s="736"/>
      <c r="C19" s="41" t="s">
        <v>139</v>
      </c>
      <c r="D19" s="41"/>
      <c r="E19" s="41"/>
      <c r="F19" s="41"/>
      <c r="G19" s="41"/>
      <c r="H19" s="41">
        <v>7752</v>
      </c>
      <c r="I19" s="42">
        <v>7713</v>
      </c>
      <c r="J19" s="22">
        <v>7990</v>
      </c>
      <c r="K19" s="22">
        <v>9276</v>
      </c>
      <c r="L19" s="22">
        <v>9178.11</v>
      </c>
      <c r="M19" s="22">
        <v>9228.06</v>
      </c>
      <c r="N19" s="22">
        <v>12166.42</v>
      </c>
      <c r="O19" s="22">
        <v>11000</v>
      </c>
      <c r="P19" s="702"/>
      <c r="Q19" s="563">
        <f t="shared" ref="Q19:Q25" si="6">O19+P19</f>
        <v>11000</v>
      </c>
      <c r="R19" s="516"/>
    </row>
    <row r="20" spans="1:19" x14ac:dyDescent="0.2">
      <c r="A20" s="732"/>
      <c r="B20" s="737"/>
      <c r="C20" s="43" t="s">
        <v>140</v>
      </c>
      <c r="D20" s="43"/>
      <c r="E20" s="43"/>
      <c r="F20" s="43"/>
      <c r="G20" s="43"/>
      <c r="H20" s="43">
        <v>532</v>
      </c>
      <c r="I20" s="44">
        <v>732</v>
      </c>
      <c r="J20" s="26">
        <v>732</v>
      </c>
      <c r="K20" s="26">
        <v>749</v>
      </c>
      <c r="L20" s="26">
        <v>300</v>
      </c>
      <c r="M20" s="26">
        <v>300</v>
      </c>
      <c r="N20" s="26">
        <v>632</v>
      </c>
      <c r="O20" s="26">
        <v>300</v>
      </c>
      <c r="P20" s="703"/>
      <c r="Q20" s="565">
        <f t="shared" si="6"/>
        <v>300</v>
      </c>
    </row>
    <row r="21" spans="1:19" x14ac:dyDescent="0.2">
      <c r="A21" s="732"/>
      <c r="B21" s="737"/>
      <c r="C21" s="43" t="s">
        <v>141</v>
      </c>
      <c r="D21" s="43"/>
      <c r="E21" s="43"/>
      <c r="F21" s="43"/>
      <c r="G21" s="43"/>
      <c r="H21" s="43">
        <v>700</v>
      </c>
      <c r="I21" s="44">
        <v>750</v>
      </c>
      <c r="J21" s="26">
        <v>750</v>
      </c>
      <c r="K21" s="26">
        <v>725</v>
      </c>
      <c r="L21" s="26">
        <v>650</v>
      </c>
      <c r="M21" s="26">
        <v>679.15</v>
      </c>
      <c r="N21" s="26">
        <v>691.66</v>
      </c>
      <c r="O21" s="26">
        <v>650</v>
      </c>
      <c r="P21" s="703"/>
      <c r="Q21" s="565">
        <f t="shared" si="6"/>
        <v>650</v>
      </c>
    </row>
    <row r="22" spans="1:19" x14ac:dyDescent="0.2">
      <c r="A22" s="732"/>
      <c r="B22" s="737"/>
      <c r="C22" s="43" t="s">
        <v>142</v>
      </c>
      <c r="D22" s="43"/>
      <c r="E22" s="43"/>
      <c r="F22" s="43"/>
      <c r="G22" s="43"/>
      <c r="H22" s="43">
        <v>12441</v>
      </c>
      <c r="I22" s="44">
        <v>12101</v>
      </c>
      <c r="J22" s="26">
        <v>14430</v>
      </c>
      <c r="K22" s="26">
        <v>12793</v>
      </c>
      <c r="L22" s="26">
        <v>13503.5</v>
      </c>
      <c r="M22" s="26">
        <v>13052</v>
      </c>
      <c r="N22" s="26">
        <v>12555.5</v>
      </c>
      <c r="O22" s="26">
        <v>13504</v>
      </c>
      <c r="P22" s="703"/>
      <c r="Q22" s="565">
        <f t="shared" si="6"/>
        <v>13504</v>
      </c>
    </row>
    <row r="23" spans="1:19" x14ac:dyDescent="0.2">
      <c r="A23" s="732"/>
      <c r="B23" s="737"/>
      <c r="C23" s="43" t="s">
        <v>143</v>
      </c>
      <c r="D23" s="43"/>
      <c r="E23" s="43"/>
      <c r="F23" s="43"/>
      <c r="G23" s="43"/>
      <c r="H23" s="43">
        <v>28263</v>
      </c>
      <c r="I23" s="44">
        <v>29878</v>
      </c>
      <c r="J23" s="26">
        <v>31474</v>
      </c>
      <c r="K23" s="26">
        <v>37978</v>
      </c>
      <c r="L23" s="26">
        <v>32751.27</v>
      </c>
      <c r="M23" s="26">
        <v>29179.68</v>
      </c>
      <c r="N23" s="26">
        <v>32177.919999999998</v>
      </c>
      <c r="O23" s="26">
        <v>28599</v>
      </c>
      <c r="P23" s="704"/>
      <c r="Q23" s="565">
        <f t="shared" si="6"/>
        <v>28599</v>
      </c>
    </row>
    <row r="24" spans="1:19" x14ac:dyDescent="0.2">
      <c r="A24" s="732"/>
      <c r="B24" s="737"/>
      <c r="C24" s="43" t="s">
        <v>144</v>
      </c>
      <c r="D24" s="43"/>
      <c r="E24" s="43"/>
      <c r="F24" s="43"/>
      <c r="G24" s="43"/>
      <c r="H24" s="43">
        <v>162034</v>
      </c>
      <c r="I24" s="44">
        <f>159378+2395</f>
        <v>161773</v>
      </c>
      <c r="J24" s="26">
        <v>174176</v>
      </c>
      <c r="K24" s="26">
        <f>265321+3376</f>
        <v>268697</v>
      </c>
      <c r="L24" s="26">
        <v>243006.26</v>
      </c>
      <c r="M24" s="26">
        <v>240323.78</v>
      </c>
      <c r="N24" s="26">
        <v>255051.03999999998</v>
      </c>
      <c r="O24" s="26">
        <v>249417</v>
      </c>
      <c r="P24" s="704"/>
      <c r="Q24" s="565">
        <f t="shared" si="6"/>
        <v>249417</v>
      </c>
      <c r="S24" s="516"/>
    </row>
    <row r="25" spans="1:19" ht="13.5" thickBot="1" x14ac:dyDescent="0.25">
      <c r="A25" s="733"/>
      <c r="B25" s="738"/>
      <c r="C25" s="46" t="s">
        <v>145</v>
      </c>
      <c r="D25" s="47"/>
      <c r="E25" s="47"/>
      <c r="F25" s="47"/>
      <c r="G25" s="47"/>
      <c r="H25" s="47">
        <v>86944</v>
      </c>
      <c r="I25" s="44">
        <v>86021</v>
      </c>
      <c r="J25" s="48">
        <v>86667</v>
      </c>
      <c r="K25" s="48">
        <v>102104</v>
      </c>
      <c r="L25" s="48">
        <v>104494.88</v>
      </c>
      <c r="M25" s="48">
        <v>101193</v>
      </c>
      <c r="N25" s="48">
        <v>126956.95</v>
      </c>
      <c r="O25" s="48">
        <v>117000</v>
      </c>
      <c r="P25" s="598"/>
      <c r="Q25" s="570">
        <f t="shared" si="6"/>
        <v>117000</v>
      </c>
    </row>
    <row r="26" spans="1:19" ht="16.5" thickBot="1" x14ac:dyDescent="0.3">
      <c r="A26" s="50">
        <v>200</v>
      </c>
      <c r="B26" s="715" t="s">
        <v>146</v>
      </c>
      <c r="C26" s="716"/>
      <c r="D26" s="51">
        <f>D27+D40+D58+D60</f>
        <v>1277767</v>
      </c>
      <c r="E26" s="51">
        <f>E27+E40+E58+E60</f>
        <v>1153090</v>
      </c>
      <c r="F26" s="51">
        <f>F27+F40+F58+F60</f>
        <v>1821583</v>
      </c>
      <c r="G26" s="51">
        <f>G27+G40+G58+G60</f>
        <v>1266222</v>
      </c>
      <c r="H26" s="51">
        <v>1215651</v>
      </c>
      <c r="I26" s="51">
        <f t="shared" ref="I26:O26" si="7">I27+I40+I58+I60</f>
        <v>1492638</v>
      </c>
      <c r="J26" s="51">
        <f t="shared" si="7"/>
        <v>1090799</v>
      </c>
      <c r="K26" s="51">
        <f t="shared" si="7"/>
        <v>1258962</v>
      </c>
      <c r="L26" s="51">
        <f t="shared" si="7"/>
        <v>1049268.01</v>
      </c>
      <c r="M26" s="51">
        <f t="shared" si="7"/>
        <v>1119583.28</v>
      </c>
      <c r="N26" s="51">
        <f>N27+N40+N58+N60</f>
        <v>1113252.3600000001</v>
      </c>
      <c r="O26" s="454">
        <f t="shared" si="7"/>
        <v>1020177</v>
      </c>
      <c r="P26" s="454">
        <f>P27+P40+P58+P60</f>
        <v>0</v>
      </c>
      <c r="Q26" s="511">
        <f>Q27+Q40+Q58+Q60</f>
        <v>1020177</v>
      </c>
    </row>
    <row r="27" spans="1:19" ht="15.75" thickBot="1" x14ac:dyDescent="0.3">
      <c r="A27" s="52">
        <v>210</v>
      </c>
      <c r="B27" s="734" t="s">
        <v>147</v>
      </c>
      <c r="C27" s="735"/>
      <c r="D27" s="53">
        <f>D28+D32</f>
        <v>873233</v>
      </c>
      <c r="E27" s="53">
        <f>E28+E32</f>
        <v>794430</v>
      </c>
      <c r="F27" s="53">
        <f>F28+F32</f>
        <v>1059517</v>
      </c>
      <c r="G27" s="53">
        <f>G28+G32</f>
        <v>810580</v>
      </c>
      <c r="H27" s="53">
        <v>598394</v>
      </c>
      <c r="I27" s="53">
        <f t="shared" ref="I27:O27" si="8">I28+I32</f>
        <v>741364</v>
      </c>
      <c r="J27" s="53">
        <f t="shared" si="8"/>
        <v>560834</v>
      </c>
      <c r="K27" s="53">
        <f t="shared" si="8"/>
        <v>650004</v>
      </c>
      <c r="L27" s="53">
        <f>L28+L32</f>
        <v>379467.55</v>
      </c>
      <c r="M27" s="53">
        <f t="shared" si="8"/>
        <v>418308.61</v>
      </c>
      <c r="N27" s="53">
        <f>N28+N32</f>
        <v>461210.13</v>
      </c>
      <c r="O27" s="455">
        <f t="shared" si="8"/>
        <v>416013</v>
      </c>
      <c r="P27" s="455">
        <f>P28+P32</f>
        <v>0</v>
      </c>
      <c r="Q27" s="512">
        <f>Q28+Q32</f>
        <v>416013</v>
      </c>
    </row>
    <row r="28" spans="1:19" ht="13.5" thickBot="1" x14ac:dyDescent="0.25">
      <c r="A28" s="731" t="s">
        <v>148</v>
      </c>
      <c r="B28" s="8">
        <v>211</v>
      </c>
      <c r="C28" s="54" t="s">
        <v>147</v>
      </c>
      <c r="D28" s="8">
        <v>93242</v>
      </c>
      <c r="E28" s="8">
        <v>23701</v>
      </c>
      <c r="F28" s="8">
        <v>51351</v>
      </c>
      <c r="G28" s="8">
        <v>38822</v>
      </c>
      <c r="H28" s="8">
        <v>66052</v>
      </c>
      <c r="I28" s="37">
        <f t="shared" ref="I28:O28" si="9">SUM(I29:I31)</f>
        <v>29084</v>
      </c>
      <c r="J28" s="37">
        <f t="shared" si="9"/>
        <v>47000</v>
      </c>
      <c r="K28" s="37">
        <f t="shared" si="9"/>
        <v>58181</v>
      </c>
      <c r="L28" s="37">
        <f>SUM(L29:L31)</f>
        <v>20000</v>
      </c>
      <c r="M28" s="37">
        <f t="shared" si="9"/>
        <v>15000</v>
      </c>
      <c r="N28" s="37">
        <f t="shared" si="9"/>
        <v>24000</v>
      </c>
      <c r="O28" s="129">
        <f t="shared" si="9"/>
        <v>11000</v>
      </c>
      <c r="P28" s="129">
        <f>SUM(P29:P31)</f>
        <v>0</v>
      </c>
      <c r="Q28" s="38">
        <f>SUM(Q29:Q31)</f>
        <v>11000</v>
      </c>
    </row>
    <row r="29" spans="1:19" hidden="1" x14ac:dyDescent="0.2">
      <c r="A29" s="732"/>
      <c r="B29" s="717"/>
      <c r="C29" s="55" t="s">
        <v>149</v>
      </c>
      <c r="D29" s="56"/>
      <c r="E29" s="56"/>
      <c r="F29" s="56"/>
      <c r="G29" s="56"/>
      <c r="H29" s="56"/>
      <c r="I29" s="56"/>
      <c r="J29" s="56"/>
      <c r="K29" s="57"/>
      <c r="L29" s="22"/>
      <c r="M29" s="22"/>
      <c r="N29" s="22"/>
      <c r="O29" s="22"/>
      <c r="P29" s="702"/>
      <c r="Q29" s="579"/>
    </row>
    <row r="30" spans="1:19" hidden="1" x14ac:dyDescent="0.2">
      <c r="A30" s="732"/>
      <c r="B30" s="718"/>
      <c r="C30" s="58" t="s">
        <v>150</v>
      </c>
      <c r="D30" s="58"/>
      <c r="E30" s="58"/>
      <c r="F30" s="58"/>
      <c r="G30" s="58"/>
      <c r="H30" s="58"/>
      <c r="I30" s="58"/>
      <c r="J30" s="58"/>
      <c r="K30" s="44"/>
      <c r="L30" s="26"/>
      <c r="M30" s="26"/>
      <c r="N30" s="26"/>
      <c r="O30" s="26"/>
      <c r="P30" s="703"/>
      <c r="Q30" s="567"/>
    </row>
    <row r="31" spans="1:19" ht="13.5" thickBot="1" x14ac:dyDescent="0.25">
      <c r="A31" s="732"/>
      <c r="B31" s="719"/>
      <c r="C31" s="59" t="s">
        <v>151</v>
      </c>
      <c r="D31" s="59"/>
      <c r="E31" s="59"/>
      <c r="F31" s="59"/>
      <c r="G31" s="59"/>
      <c r="H31" s="59"/>
      <c r="I31" s="59">
        <v>29084</v>
      </c>
      <c r="J31" s="59">
        <v>47000</v>
      </c>
      <c r="K31" s="60">
        <v>58181</v>
      </c>
      <c r="L31" s="30">
        <v>20000</v>
      </c>
      <c r="M31" s="30">
        <v>15000</v>
      </c>
      <c r="N31" s="30">
        <v>24000</v>
      </c>
      <c r="O31" s="30">
        <v>11000</v>
      </c>
      <c r="P31" s="705"/>
      <c r="Q31" s="570">
        <f>O31+P31</f>
        <v>11000</v>
      </c>
    </row>
    <row r="32" spans="1:19" ht="13.5" thickBot="1" x14ac:dyDescent="0.25">
      <c r="A32" s="732"/>
      <c r="B32" s="61">
        <v>212</v>
      </c>
      <c r="C32" s="62" t="s">
        <v>152</v>
      </c>
      <c r="D32" s="63">
        <f>SUM(D33:D39)</f>
        <v>779991</v>
      </c>
      <c r="E32" s="63">
        <f>SUM(E33:E39)</f>
        <v>770729</v>
      </c>
      <c r="F32" s="63">
        <f>SUM(F33:F39)</f>
        <v>1008166</v>
      </c>
      <c r="G32" s="63">
        <f>SUM(G33:G39)</f>
        <v>771758</v>
      </c>
      <c r="H32" s="63">
        <v>532342</v>
      </c>
      <c r="I32" s="63">
        <f t="shared" ref="I32:P32" si="10">SUM(I33:I39)</f>
        <v>712280</v>
      </c>
      <c r="J32" s="63">
        <f t="shared" si="10"/>
        <v>513834</v>
      </c>
      <c r="K32" s="64">
        <f t="shared" si="10"/>
        <v>591823</v>
      </c>
      <c r="L32" s="64">
        <f t="shared" si="10"/>
        <v>359467.55</v>
      </c>
      <c r="M32" s="64">
        <f t="shared" si="10"/>
        <v>403308.61</v>
      </c>
      <c r="N32" s="64">
        <f t="shared" si="10"/>
        <v>437210.13</v>
      </c>
      <c r="O32" s="98">
        <f t="shared" si="10"/>
        <v>405013</v>
      </c>
      <c r="P32" s="98">
        <f t="shared" si="10"/>
        <v>0</v>
      </c>
      <c r="Q32" s="65">
        <f>SUM(Q33:Q39)</f>
        <v>405013</v>
      </c>
    </row>
    <row r="33" spans="1:17" x14ac:dyDescent="0.2">
      <c r="A33" s="732"/>
      <c r="B33" s="736"/>
      <c r="C33" s="55" t="s">
        <v>153</v>
      </c>
      <c r="D33" s="55">
        <v>751610</v>
      </c>
      <c r="E33" s="55">
        <v>750249</v>
      </c>
      <c r="F33" s="55">
        <v>649539</v>
      </c>
      <c r="G33" s="55">
        <v>427233</v>
      </c>
      <c r="H33" s="55">
        <v>348791</v>
      </c>
      <c r="I33" s="55">
        <v>510884</v>
      </c>
      <c r="J33" s="55">
        <v>324320</v>
      </c>
      <c r="K33" s="22">
        <v>401050</v>
      </c>
      <c r="L33" s="22">
        <v>135673.06</v>
      </c>
      <c r="M33" s="22">
        <v>134183.87</v>
      </c>
      <c r="N33" s="22">
        <v>87968.33</v>
      </c>
      <c r="O33" s="22">
        <v>77226</v>
      </c>
      <c r="P33" s="702"/>
      <c r="Q33" s="23">
        <f t="shared" ref="Q33:Q39" si="11">O33+P33</f>
        <v>77226</v>
      </c>
    </row>
    <row r="34" spans="1:17" x14ac:dyDescent="0.2">
      <c r="A34" s="732"/>
      <c r="B34" s="737"/>
      <c r="C34" s="58" t="s">
        <v>154</v>
      </c>
      <c r="D34" s="58">
        <v>6108</v>
      </c>
      <c r="E34" s="58">
        <v>5709</v>
      </c>
      <c r="F34" s="58">
        <v>5809</v>
      </c>
      <c r="G34" s="58">
        <v>7235</v>
      </c>
      <c r="H34" s="58">
        <v>7034</v>
      </c>
      <c r="I34" s="58">
        <v>6012</v>
      </c>
      <c r="J34" s="58">
        <v>5150</v>
      </c>
      <c r="K34" s="26">
        <v>5043</v>
      </c>
      <c r="L34" s="26">
        <v>6242.35</v>
      </c>
      <c r="M34" s="26">
        <v>8075.84</v>
      </c>
      <c r="N34" s="26">
        <v>8856.86</v>
      </c>
      <c r="O34" s="26">
        <v>6000</v>
      </c>
      <c r="P34" s="703"/>
      <c r="Q34" s="27">
        <f t="shared" si="11"/>
        <v>6000</v>
      </c>
    </row>
    <row r="35" spans="1:17" x14ac:dyDescent="0.2">
      <c r="A35" s="732"/>
      <c r="B35" s="737"/>
      <c r="C35" s="66" t="s">
        <v>155</v>
      </c>
      <c r="D35" s="66"/>
      <c r="E35" s="66"/>
      <c r="F35" s="66"/>
      <c r="G35" s="66"/>
      <c r="H35" s="66"/>
      <c r="I35" s="66"/>
      <c r="J35" s="66"/>
      <c r="K35" s="30">
        <v>0</v>
      </c>
      <c r="L35" s="30">
        <v>41494.18</v>
      </c>
      <c r="M35" s="30">
        <v>46671.58</v>
      </c>
      <c r="N35" s="30">
        <v>82406.399999999994</v>
      </c>
      <c r="O35" s="30">
        <v>82406</v>
      </c>
      <c r="P35" s="703"/>
      <c r="Q35" s="31">
        <f t="shared" si="11"/>
        <v>82406</v>
      </c>
    </row>
    <row r="36" spans="1:17" x14ac:dyDescent="0.2">
      <c r="A36" s="732"/>
      <c r="B36" s="737"/>
      <c r="C36" s="66" t="s">
        <v>253</v>
      </c>
      <c r="D36" s="66"/>
      <c r="E36" s="66"/>
      <c r="F36" s="66"/>
      <c r="G36" s="66"/>
      <c r="H36" s="66"/>
      <c r="I36" s="66"/>
      <c r="J36" s="66"/>
      <c r="K36" s="30"/>
      <c r="L36" s="30"/>
      <c r="M36" s="30"/>
      <c r="N36" s="30">
        <v>19383.830000000002</v>
      </c>
      <c r="O36" s="30">
        <v>19039</v>
      </c>
      <c r="P36" s="703"/>
      <c r="Q36" s="31">
        <f t="shared" si="11"/>
        <v>19039</v>
      </c>
    </row>
    <row r="37" spans="1:17" x14ac:dyDescent="0.2">
      <c r="A37" s="732"/>
      <c r="B37" s="737"/>
      <c r="C37" s="66" t="s">
        <v>478</v>
      </c>
      <c r="D37" s="66"/>
      <c r="E37" s="66"/>
      <c r="F37" s="66"/>
      <c r="G37" s="66"/>
      <c r="H37" s="66"/>
      <c r="I37" s="66"/>
      <c r="J37" s="66"/>
      <c r="K37" s="30"/>
      <c r="L37" s="30"/>
      <c r="M37" s="30"/>
      <c r="N37" s="30">
        <v>10094.75</v>
      </c>
      <c r="O37" s="30"/>
      <c r="P37" s="703"/>
      <c r="Q37" s="31">
        <f t="shared" si="11"/>
        <v>0</v>
      </c>
    </row>
    <row r="38" spans="1:17" x14ac:dyDescent="0.2">
      <c r="A38" s="732"/>
      <c r="B38" s="737"/>
      <c r="C38" s="66" t="s">
        <v>254</v>
      </c>
      <c r="D38" s="66"/>
      <c r="E38" s="66">
        <v>0</v>
      </c>
      <c r="F38" s="66">
        <v>339806</v>
      </c>
      <c r="G38" s="66">
        <v>322656</v>
      </c>
      <c r="H38" s="66">
        <v>92953</v>
      </c>
      <c r="I38" s="66">
        <v>100909</v>
      </c>
      <c r="J38" s="66">
        <v>83511</v>
      </c>
      <c r="K38" s="30">
        <f>77287+178+128</f>
        <v>77593</v>
      </c>
      <c r="L38" s="30">
        <v>80654.7</v>
      </c>
      <c r="M38" s="30">
        <v>77194.39</v>
      </c>
      <c r="N38" s="30">
        <v>75486.59</v>
      </c>
      <c r="O38" s="30">
        <v>65000</v>
      </c>
      <c r="P38" s="703"/>
      <c r="Q38" s="31">
        <f t="shared" si="11"/>
        <v>65000</v>
      </c>
    </row>
    <row r="39" spans="1:17" ht="13.5" thickBot="1" x14ac:dyDescent="0.25">
      <c r="A39" s="733"/>
      <c r="B39" s="738"/>
      <c r="C39" s="59" t="s">
        <v>156</v>
      </c>
      <c r="D39" s="59">
        <v>22273</v>
      </c>
      <c r="E39" s="59">
        <v>14771</v>
      </c>
      <c r="F39" s="59">
        <v>13012</v>
      </c>
      <c r="G39" s="59">
        <v>14634</v>
      </c>
      <c r="H39" s="59">
        <v>83564</v>
      </c>
      <c r="I39" s="59">
        <v>94475</v>
      </c>
      <c r="J39" s="59">
        <v>100853</v>
      </c>
      <c r="K39" s="30">
        <v>108137</v>
      </c>
      <c r="L39" s="30">
        <v>95403.26</v>
      </c>
      <c r="M39" s="30">
        <v>137182.93</v>
      </c>
      <c r="N39" s="30">
        <v>153013.37000000002</v>
      </c>
      <c r="O39" s="30">
        <v>155342</v>
      </c>
      <c r="P39" s="598"/>
      <c r="Q39" s="31">
        <f t="shared" si="11"/>
        <v>155342</v>
      </c>
    </row>
    <row r="40" spans="1:17" ht="15.75" thickBot="1" x14ac:dyDescent="0.3">
      <c r="A40" s="32">
        <v>220</v>
      </c>
      <c r="B40" s="734" t="s">
        <v>157</v>
      </c>
      <c r="C40" s="735"/>
      <c r="D40" s="67">
        <f t="shared" ref="D40:O40" si="12">D41+D45+D56</f>
        <v>320786</v>
      </c>
      <c r="E40" s="67">
        <f t="shared" si="12"/>
        <v>327192</v>
      </c>
      <c r="F40" s="67">
        <f t="shared" si="12"/>
        <v>429297</v>
      </c>
      <c r="G40" s="67">
        <f t="shared" si="12"/>
        <v>326610</v>
      </c>
      <c r="H40" s="67">
        <f t="shared" si="12"/>
        <v>550895</v>
      </c>
      <c r="I40" s="67">
        <f t="shared" si="12"/>
        <v>581281</v>
      </c>
      <c r="J40" s="67">
        <f t="shared" si="12"/>
        <v>471458</v>
      </c>
      <c r="K40" s="67">
        <f t="shared" si="12"/>
        <v>514547</v>
      </c>
      <c r="L40" s="67">
        <f>L41+L45+L56</f>
        <v>595361.41999999993</v>
      </c>
      <c r="M40" s="67">
        <f t="shared" si="12"/>
        <v>603358.30999999994</v>
      </c>
      <c r="N40" s="67">
        <f t="shared" si="12"/>
        <v>575655.29</v>
      </c>
      <c r="O40" s="107">
        <f t="shared" si="12"/>
        <v>576909</v>
      </c>
      <c r="P40" s="107">
        <f>P41+P45+P56</f>
        <v>0</v>
      </c>
      <c r="Q40" s="68">
        <f>Q41+Q45+Q56</f>
        <v>576909</v>
      </c>
    </row>
    <row r="41" spans="1:17" ht="13.5" thickBot="1" x14ac:dyDescent="0.25">
      <c r="A41" s="731"/>
      <c r="B41" s="61">
        <v>221</v>
      </c>
      <c r="C41" s="62" t="s">
        <v>158</v>
      </c>
      <c r="D41" s="64">
        <f t="shared" ref="D41:O41" si="13">SUM(D42:D44)</f>
        <v>108312</v>
      </c>
      <c r="E41" s="64">
        <f t="shared" si="13"/>
        <v>99747</v>
      </c>
      <c r="F41" s="64">
        <f t="shared" si="13"/>
        <v>156211</v>
      </c>
      <c r="G41" s="64">
        <f t="shared" si="13"/>
        <v>110441</v>
      </c>
      <c r="H41" s="64">
        <f t="shared" si="13"/>
        <v>116883</v>
      </c>
      <c r="I41" s="64">
        <f t="shared" si="13"/>
        <v>93914</v>
      </c>
      <c r="J41" s="64">
        <f t="shared" si="13"/>
        <v>69092</v>
      </c>
      <c r="K41" s="64">
        <f t="shared" si="13"/>
        <v>77127</v>
      </c>
      <c r="L41" s="64">
        <f>SUM(L42:L44)</f>
        <v>85540.68</v>
      </c>
      <c r="M41" s="64">
        <f t="shared" si="13"/>
        <v>81456.3</v>
      </c>
      <c r="N41" s="98">
        <f>SUM(N42:N44)</f>
        <v>65885.95</v>
      </c>
      <c r="O41" s="98">
        <f t="shared" si="13"/>
        <v>69330</v>
      </c>
      <c r="P41" s="98">
        <f>SUM(P42:P44)</f>
        <v>0</v>
      </c>
      <c r="Q41" s="65">
        <f>SUM(Q42:Q44)</f>
        <v>69330</v>
      </c>
    </row>
    <row r="42" spans="1:17" x14ac:dyDescent="0.2">
      <c r="A42" s="758"/>
      <c r="B42" s="736"/>
      <c r="C42" s="41" t="s">
        <v>159</v>
      </c>
      <c r="D42" s="55">
        <v>103532</v>
      </c>
      <c r="E42" s="55">
        <v>91482</v>
      </c>
      <c r="F42" s="55">
        <v>143896</v>
      </c>
      <c r="G42" s="55">
        <v>103964</v>
      </c>
      <c r="H42" s="55">
        <v>97289</v>
      </c>
      <c r="I42" s="55">
        <v>69567</v>
      </c>
      <c r="J42" s="55">
        <v>48641</v>
      </c>
      <c r="K42" s="26">
        <v>58713</v>
      </c>
      <c r="L42" s="26">
        <v>65956.11</v>
      </c>
      <c r="M42" s="22">
        <v>53025.13</v>
      </c>
      <c r="N42" s="22">
        <v>35320.42</v>
      </c>
      <c r="O42" s="22">
        <v>20000</v>
      </c>
      <c r="P42" s="702"/>
      <c r="Q42" s="23">
        <f>O42+P42</f>
        <v>20000</v>
      </c>
    </row>
    <row r="43" spans="1:17" x14ac:dyDescent="0.2">
      <c r="A43" s="758"/>
      <c r="B43" s="737"/>
      <c r="C43" s="56" t="s">
        <v>160</v>
      </c>
      <c r="D43" s="69"/>
      <c r="E43" s="69"/>
      <c r="F43" s="69"/>
      <c r="G43" s="69"/>
      <c r="H43" s="69"/>
      <c r="I43" s="69"/>
      <c r="J43" s="69"/>
      <c r="K43" s="26"/>
      <c r="L43" s="26">
        <v>768.56</v>
      </c>
      <c r="M43" s="70">
        <v>1339.48</v>
      </c>
      <c r="N43" s="70">
        <v>1870.76</v>
      </c>
      <c r="O43" s="70">
        <v>1500</v>
      </c>
      <c r="P43" s="703"/>
      <c r="Q43" s="71">
        <f>O43+P43</f>
        <v>1500</v>
      </c>
    </row>
    <row r="44" spans="1:17" ht="13.5" thickBot="1" x14ac:dyDescent="0.25">
      <c r="A44" s="758"/>
      <c r="B44" s="738"/>
      <c r="C44" s="59" t="s">
        <v>252</v>
      </c>
      <c r="D44" s="59">
        <v>4780</v>
      </c>
      <c r="E44" s="59">
        <v>8265</v>
      </c>
      <c r="F44" s="59">
        <v>12315</v>
      </c>
      <c r="G44" s="59">
        <v>6477</v>
      </c>
      <c r="H44" s="59">
        <v>19594</v>
      </c>
      <c r="I44" s="59">
        <v>24347</v>
      </c>
      <c r="J44" s="59">
        <v>20451</v>
      </c>
      <c r="K44" s="26">
        <v>18414</v>
      </c>
      <c r="L44" s="26">
        <v>18816.009999999998</v>
      </c>
      <c r="M44" s="30">
        <v>27091.69</v>
      </c>
      <c r="N44" s="30">
        <v>28694.77</v>
      </c>
      <c r="O44" s="30">
        <v>47830</v>
      </c>
      <c r="P44" s="705"/>
      <c r="Q44" s="31">
        <f>O44+P44</f>
        <v>47830</v>
      </c>
    </row>
    <row r="45" spans="1:17" ht="13.5" thickBot="1" x14ac:dyDescent="0.25">
      <c r="A45" s="758"/>
      <c r="B45" s="61">
        <v>223</v>
      </c>
      <c r="C45" s="61" t="s">
        <v>161</v>
      </c>
      <c r="D45" s="61">
        <v>209420</v>
      </c>
      <c r="E45" s="61">
        <v>224723</v>
      </c>
      <c r="F45" s="61">
        <v>270165</v>
      </c>
      <c r="G45" s="61">
        <v>213694</v>
      </c>
      <c r="H45" s="61">
        <v>431444</v>
      </c>
      <c r="I45" s="64">
        <f t="shared" ref="I45:Q45" si="14">SUM(I46:I55)</f>
        <v>484992</v>
      </c>
      <c r="J45" s="64">
        <f t="shared" si="14"/>
        <v>400298</v>
      </c>
      <c r="K45" s="64">
        <f t="shared" si="14"/>
        <v>434944</v>
      </c>
      <c r="L45" s="64">
        <f t="shared" si="14"/>
        <v>507780.69999999995</v>
      </c>
      <c r="M45" s="64">
        <f t="shared" si="14"/>
        <v>519757.41999999993</v>
      </c>
      <c r="N45" s="98">
        <f t="shared" si="14"/>
        <v>507767.17</v>
      </c>
      <c r="O45" s="98">
        <f t="shared" si="14"/>
        <v>505779</v>
      </c>
      <c r="P45" s="98">
        <f t="shared" si="14"/>
        <v>0</v>
      </c>
      <c r="Q45" s="65">
        <f t="shared" si="14"/>
        <v>505779</v>
      </c>
    </row>
    <row r="46" spans="1:17" x14ac:dyDescent="0.2">
      <c r="A46" s="758"/>
      <c r="B46" s="736"/>
      <c r="C46" s="55" t="s">
        <v>162</v>
      </c>
      <c r="D46" s="55"/>
      <c r="E46" s="55"/>
      <c r="F46" s="55"/>
      <c r="G46" s="55"/>
      <c r="H46" s="55"/>
      <c r="I46" s="55">
        <v>19602</v>
      </c>
      <c r="J46" s="55">
        <v>19573</v>
      </c>
      <c r="K46" s="26">
        <v>20641</v>
      </c>
      <c r="L46" s="26">
        <v>20552.5</v>
      </c>
      <c r="M46" s="22">
        <v>20532.330000000002</v>
      </c>
      <c r="N46" s="22">
        <v>37975.43</v>
      </c>
      <c r="O46" s="22">
        <v>30000</v>
      </c>
      <c r="P46" s="702"/>
      <c r="Q46" s="23">
        <f t="shared" ref="Q46:Q55" si="15">O46+P46</f>
        <v>30000</v>
      </c>
    </row>
    <row r="47" spans="1:17" x14ac:dyDescent="0.2">
      <c r="A47" s="758"/>
      <c r="B47" s="737"/>
      <c r="C47" s="56" t="s">
        <v>163</v>
      </c>
      <c r="D47" s="56"/>
      <c r="E47" s="56"/>
      <c r="F47" s="56"/>
      <c r="G47" s="56"/>
      <c r="H47" s="56"/>
      <c r="I47" s="56">
        <v>20170</v>
      </c>
      <c r="J47" s="56">
        <v>3900</v>
      </c>
      <c r="K47" s="26">
        <v>8400</v>
      </c>
      <c r="L47" s="26">
        <v>4100</v>
      </c>
      <c r="M47" s="22">
        <v>15650</v>
      </c>
      <c r="N47" s="22">
        <v>19753</v>
      </c>
      <c r="O47" s="22"/>
      <c r="P47" s="703"/>
      <c r="Q47" s="23">
        <f t="shared" si="15"/>
        <v>0</v>
      </c>
    </row>
    <row r="48" spans="1:17" hidden="1" x14ac:dyDescent="0.2">
      <c r="A48" s="758"/>
      <c r="B48" s="737"/>
      <c r="C48" s="56" t="s">
        <v>164</v>
      </c>
      <c r="D48" s="56"/>
      <c r="E48" s="56"/>
      <c r="F48" s="56"/>
      <c r="G48" s="56"/>
      <c r="H48" s="56"/>
      <c r="I48" s="72">
        <v>1309</v>
      </c>
      <c r="J48" s="73"/>
      <c r="K48" s="26"/>
      <c r="L48" s="26"/>
      <c r="M48" s="22"/>
      <c r="N48" s="22"/>
      <c r="O48" s="22"/>
      <c r="P48" s="703"/>
      <c r="Q48" s="23">
        <f t="shared" si="15"/>
        <v>0</v>
      </c>
    </row>
    <row r="49" spans="1:21" x14ac:dyDescent="0.2">
      <c r="A49" s="758"/>
      <c r="B49" s="737"/>
      <c r="C49" s="58" t="s">
        <v>165</v>
      </c>
      <c r="D49" s="58"/>
      <c r="E49" s="58"/>
      <c r="F49" s="58"/>
      <c r="G49" s="58"/>
      <c r="H49" s="58"/>
      <c r="I49" s="44">
        <v>23291</v>
      </c>
      <c r="J49" s="44">
        <v>27058</v>
      </c>
      <c r="K49" s="26">
        <f>18432+1749</f>
        <v>20181</v>
      </c>
      <c r="L49" s="26">
        <v>31759</v>
      </c>
      <c r="M49" s="26">
        <v>31403.35</v>
      </c>
      <c r="N49" s="26">
        <v>35343</v>
      </c>
      <c r="O49" s="26">
        <v>30000</v>
      </c>
      <c r="P49" s="703"/>
      <c r="Q49" s="27">
        <f t="shared" si="15"/>
        <v>30000</v>
      </c>
    </row>
    <row r="50" spans="1:21" x14ac:dyDescent="0.2">
      <c r="A50" s="758"/>
      <c r="B50" s="737"/>
      <c r="C50" s="58" t="s">
        <v>166</v>
      </c>
      <c r="D50" s="58"/>
      <c r="E50" s="58"/>
      <c r="F50" s="58"/>
      <c r="G50" s="58"/>
      <c r="H50" s="58"/>
      <c r="I50" s="44">
        <f>25266+1975-2735</f>
        <v>24506</v>
      </c>
      <c r="J50" s="44">
        <v>29035</v>
      </c>
      <c r="K50" s="26">
        <v>28418</v>
      </c>
      <c r="L50" s="26">
        <v>20267.02</v>
      </c>
      <c r="M50" s="26">
        <v>19677.18</v>
      </c>
      <c r="N50" s="26">
        <v>14953.06</v>
      </c>
      <c r="O50" s="26">
        <v>20000</v>
      </c>
      <c r="P50" s="703"/>
      <c r="Q50" s="27">
        <f t="shared" si="15"/>
        <v>20000</v>
      </c>
    </row>
    <row r="51" spans="1:21" x14ac:dyDescent="0.2">
      <c r="A51" s="758"/>
      <c r="B51" s="737"/>
      <c r="C51" s="58" t="s">
        <v>241</v>
      </c>
      <c r="D51" s="58"/>
      <c r="E51" s="58"/>
      <c r="F51" s="58"/>
      <c r="G51" s="58"/>
      <c r="H51" s="58"/>
      <c r="I51" s="44">
        <f>19469+134+18</f>
        <v>19621</v>
      </c>
      <c r="J51" s="44">
        <v>15462</v>
      </c>
      <c r="K51" s="26">
        <v>15205</v>
      </c>
      <c r="L51" s="26">
        <v>17827.7</v>
      </c>
      <c r="M51" s="26">
        <v>16873.900000000001</v>
      </c>
      <c r="N51" s="26">
        <v>18524.400000000001</v>
      </c>
      <c r="O51" s="26">
        <v>16930</v>
      </c>
      <c r="P51" s="703"/>
      <c r="Q51" s="27">
        <f t="shared" si="15"/>
        <v>16930</v>
      </c>
    </row>
    <row r="52" spans="1:21" x14ac:dyDescent="0.2">
      <c r="A52" s="758"/>
      <c r="B52" s="737"/>
      <c r="C52" s="66" t="s">
        <v>167</v>
      </c>
      <c r="D52" s="66"/>
      <c r="E52" s="66"/>
      <c r="F52" s="66"/>
      <c r="G52" s="66"/>
      <c r="H52" s="66"/>
      <c r="I52" s="74">
        <v>136368</v>
      </c>
      <c r="J52" s="44">
        <v>127040</v>
      </c>
      <c r="K52" s="26">
        <f>149434+40</f>
        <v>149474</v>
      </c>
      <c r="L52" s="26">
        <v>154903.56</v>
      </c>
      <c r="M52" s="30">
        <v>163189.57</v>
      </c>
      <c r="N52" s="30">
        <v>121087.25</v>
      </c>
      <c r="O52" s="30">
        <v>122000</v>
      </c>
      <c r="P52" s="703"/>
      <c r="Q52" s="31">
        <f t="shared" si="15"/>
        <v>122000</v>
      </c>
    </row>
    <row r="53" spans="1:21" x14ac:dyDescent="0.2">
      <c r="A53" s="758"/>
      <c r="B53" s="737"/>
      <c r="C53" s="66" t="s">
        <v>168</v>
      </c>
      <c r="D53" s="66"/>
      <c r="E53" s="66"/>
      <c r="F53" s="66"/>
      <c r="G53" s="66"/>
      <c r="H53" s="66"/>
      <c r="I53" s="74">
        <v>60412</v>
      </c>
      <c r="J53" s="44">
        <v>44729</v>
      </c>
      <c r="K53" s="26">
        <v>51770</v>
      </c>
      <c r="L53" s="26">
        <v>49600.39</v>
      </c>
      <c r="M53" s="30">
        <v>49002.82</v>
      </c>
      <c r="N53" s="30">
        <v>48758.66</v>
      </c>
      <c r="O53" s="30">
        <v>75500</v>
      </c>
      <c r="P53" s="703"/>
      <c r="Q53" s="31">
        <f t="shared" si="15"/>
        <v>75500</v>
      </c>
    </row>
    <row r="54" spans="1:21" x14ac:dyDescent="0.2">
      <c r="A54" s="758"/>
      <c r="B54" s="737"/>
      <c r="C54" s="66" t="s">
        <v>169</v>
      </c>
      <c r="D54" s="66"/>
      <c r="E54" s="66"/>
      <c r="F54" s="66"/>
      <c r="G54" s="66"/>
      <c r="H54" s="66"/>
      <c r="I54" s="74"/>
      <c r="J54" s="44"/>
      <c r="K54" s="26"/>
      <c r="L54" s="26">
        <v>760.76</v>
      </c>
      <c r="M54" s="30"/>
      <c r="N54" s="30">
        <v>3813</v>
      </c>
      <c r="O54" s="30">
        <v>2700</v>
      </c>
      <c r="P54" s="704"/>
      <c r="Q54" s="31">
        <f t="shared" si="15"/>
        <v>2700</v>
      </c>
    </row>
    <row r="55" spans="1:21" ht="13.5" thickBot="1" x14ac:dyDescent="0.25">
      <c r="A55" s="758"/>
      <c r="B55" s="737"/>
      <c r="C55" s="66" t="s">
        <v>170</v>
      </c>
      <c r="D55" s="66"/>
      <c r="E55" s="66"/>
      <c r="F55" s="66"/>
      <c r="G55" s="66"/>
      <c r="H55" s="66"/>
      <c r="I55" s="74">
        <f>111+179602</f>
        <v>179713</v>
      </c>
      <c r="J55" s="44">
        <f>91+133410</f>
        <v>133501</v>
      </c>
      <c r="K55" s="26">
        <f>60+137299+3496</f>
        <v>140855</v>
      </c>
      <c r="L55" s="26">
        <v>208009.77</v>
      </c>
      <c r="M55" s="30">
        <v>203428.27</v>
      </c>
      <c r="N55" s="30">
        <v>207559.37</v>
      </c>
      <c r="O55" s="30">
        <v>208649</v>
      </c>
      <c r="P55" s="705"/>
      <c r="Q55" s="31">
        <f t="shared" si="15"/>
        <v>208649</v>
      </c>
      <c r="U55" s="516"/>
    </row>
    <row r="56" spans="1:21" ht="13.5" thickBot="1" x14ac:dyDescent="0.25">
      <c r="A56" s="758"/>
      <c r="B56" s="61">
        <v>229</v>
      </c>
      <c r="C56" s="61" t="s">
        <v>171</v>
      </c>
      <c r="D56" s="63">
        <f>D57</f>
        <v>3054</v>
      </c>
      <c r="E56" s="63">
        <f>E57</f>
        <v>2722</v>
      </c>
      <c r="F56" s="63">
        <f>F57</f>
        <v>2921</v>
      </c>
      <c r="G56" s="63">
        <f>G57</f>
        <v>2475</v>
      </c>
      <c r="H56" s="63">
        <f>H57</f>
        <v>2568</v>
      </c>
      <c r="I56" s="63">
        <f t="shared" ref="I56:Q56" si="16">I57</f>
        <v>2375</v>
      </c>
      <c r="J56" s="63">
        <f t="shared" si="16"/>
        <v>2068</v>
      </c>
      <c r="K56" s="64">
        <f t="shared" si="16"/>
        <v>2476</v>
      </c>
      <c r="L56" s="64">
        <f t="shared" si="16"/>
        <v>2040.04</v>
      </c>
      <c r="M56" s="64">
        <f t="shared" si="16"/>
        <v>2144.59</v>
      </c>
      <c r="N56" s="98">
        <f t="shared" si="16"/>
        <v>2002.17</v>
      </c>
      <c r="O56" s="98">
        <f t="shared" si="16"/>
        <v>1800</v>
      </c>
      <c r="P56" s="98">
        <f t="shared" si="16"/>
        <v>0</v>
      </c>
      <c r="Q56" s="65">
        <f t="shared" si="16"/>
        <v>1800</v>
      </c>
      <c r="T56" s="516"/>
    </row>
    <row r="57" spans="1:21" ht="13.5" thickBot="1" x14ac:dyDescent="0.25">
      <c r="A57" s="759"/>
      <c r="B57" s="75"/>
      <c r="C57" s="75" t="s">
        <v>172</v>
      </c>
      <c r="D57" s="75">
        <v>3054</v>
      </c>
      <c r="E57" s="75">
        <v>2722</v>
      </c>
      <c r="F57" s="75">
        <v>2921</v>
      </c>
      <c r="G57" s="75">
        <v>2475</v>
      </c>
      <c r="H57" s="75">
        <v>2568</v>
      </c>
      <c r="I57" s="75">
        <v>2375</v>
      </c>
      <c r="J57" s="75">
        <v>2068</v>
      </c>
      <c r="K57" s="76">
        <v>2476</v>
      </c>
      <c r="L57" s="76">
        <v>2040.04</v>
      </c>
      <c r="M57" s="77">
        <v>2144.59</v>
      </c>
      <c r="N57" s="77">
        <v>2002.17</v>
      </c>
      <c r="O57" s="77">
        <v>1800</v>
      </c>
      <c r="P57" s="77"/>
      <c r="Q57" s="572">
        <f>O57+P57</f>
        <v>1800</v>
      </c>
    </row>
    <row r="58" spans="1:21" ht="15.75" thickBot="1" x14ac:dyDescent="0.3">
      <c r="A58" s="13">
        <v>240</v>
      </c>
      <c r="B58" s="750" t="s">
        <v>173</v>
      </c>
      <c r="C58" s="751"/>
      <c r="D58" s="79">
        <f t="shared" ref="D58:P58" si="17">SUM(D59:D59)</f>
        <v>27352</v>
      </c>
      <c r="E58" s="79">
        <f t="shared" si="17"/>
        <v>10390</v>
      </c>
      <c r="F58" s="79">
        <f t="shared" si="17"/>
        <v>16730</v>
      </c>
      <c r="G58" s="79">
        <f t="shared" si="17"/>
        <v>5867</v>
      </c>
      <c r="H58" s="79">
        <f t="shared" si="17"/>
        <v>6403</v>
      </c>
      <c r="I58" s="79">
        <f t="shared" si="17"/>
        <v>3943</v>
      </c>
      <c r="J58" s="79">
        <f t="shared" si="17"/>
        <v>3352</v>
      </c>
      <c r="K58" s="79">
        <f t="shared" si="17"/>
        <v>1988</v>
      </c>
      <c r="L58" s="80">
        <f t="shared" si="17"/>
        <v>1226.92</v>
      </c>
      <c r="M58" s="79">
        <f t="shared" si="17"/>
        <v>445.87</v>
      </c>
      <c r="N58" s="391">
        <f t="shared" si="17"/>
        <v>2584.38</v>
      </c>
      <c r="O58" s="391">
        <f t="shared" si="17"/>
        <v>0</v>
      </c>
      <c r="P58" s="391">
        <f t="shared" si="17"/>
        <v>0</v>
      </c>
      <c r="Q58" s="505">
        <f>SUM(Q59:Q59)</f>
        <v>0</v>
      </c>
    </row>
    <row r="59" spans="1:21" ht="15.75" thickBot="1" x14ac:dyDescent="0.3">
      <c r="A59" s="52"/>
      <c r="B59" s="81"/>
      <c r="C59" s="82" t="s">
        <v>174</v>
      </c>
      <c r="D59" s="82">
        <v>27352</v>
      </c>
      <c r="E59" s="82">
        <v>10390</v>
      </c>
      <c r="F59" s="82">
        <v>16730</v>
      </c>
      <c r="G59" s="82">
        <v>5867</v>
      </c>
      <c r="H59" s="82">
        <v>6403</v>
      </c>
      <c r="I59" s="82">
        <v>3943</v>
      </c>
      <c r="J59" s="82">
        <v>3352</v>
      </c>
      <c r="K59" s="83">
        <v>1988</v>
      </c>
      <c r="L59" s="83">
        <v>1226.92</v>
      </c>
      <c r="M59" s="84">
        <v>445.87</v>
      </c>
      <c r="N59" s="84">
        <v>2584.38</v>
      </c>
      <c r="O59" s="84"/>
      <c r="P59" s="706"/>
      <c r="Q59" s="581">
        <f>O59+P59</f>
        <v>0</v>
      </c>
      <c r="T59" s="516"/>
    </row>
    <row r="60" spans="1:21" ht="15.75" thickBot="1" x14ac:dyDescent="0.3">
      <c r="A60" s="13">
        <v>290</v>
      </c>
      <c r="B60" s="729" t="s">
        <v>175</v>
      </c>
      <c r="C60" s="730"/>
      <c r="D60" s="85">
        <f>D61</f>
        <v>56396</v>
      </c>
      <c r="E60" s="85">
        <f>E61</f>
        <v>21078</v>
      </c>
      <c r="F60" s="85">
        <f>F61</f>
        <v>316039</v>
      </c>
      <c r="G60" s="85">
        <f>G61</f>
        <v>123165</v>
      </c>
      <c r="H60" s="85">
        <v>59959</v>
      </c>
      <c r="I60" s="85">
        <f t="shared" ref="I60:P60" si="18">I61</f>
        <v>166050</v>
      </c>
      <c r="J60" s="85">
        <f t="shared" si="18"/>
        <v>55155</v>
      </c>
      <c r="K60" s="85">
        <f t="shared" si="18"/>
        <v>92423</v>
      </c>
      <c r="L60" s="85">
        <f t="shared" si="18"/>
        <v>73212.12000000001</v>
      </c>
      <c r="M60" s="85">
        <f t="shared" si="18"/>
        <v>97470.49</v>
      </c>
      <c r="N60" s="456">
        <f t="shared" si="18"/>
        <v>73802.559999999983</v>
      </c>
      <c r="O60" s="456">
        <f t="shared" si="18"/>
        <v>27255</v>
      </c>
      <c r="P60" s="456">
        <f t="shared" si="18"/>
        <v>0</v>
      </c>
      <c r="Q60" s="513">
        <f>Q61</f>
        <v>27255</v>
      </c>
    </row>
    <row r="61" spans="1:21" ht="13.5" thickBot="1" x14ac:dyDescent="0.25">
      <c r="A61" s="731"/>
      <c r="B61" s="62">
        <v>292</v>
      </c>
      <c r="C61" s="62" t="s">
        <v>175</v>
      </c>
      <c r="D61" s="62">
        <v>56396</v>
      </c>
      <c r="E61" s="62">
        <v>21078</v>
      </c>
      <c r="F61" s="62">
        <v>316039</v>
      </c>
      <c r="G61" s="62">
        <v>123165</v>
      </c>
      <c r="H61" s="62">
        <v>59959</v>
      </c>
      <c r="I61" s="64">
        <f t="shared" ref="I61:Q61" si="19">SUM(I62:I65)</f>
        <v>166050</v>
      </c>
      <c r="J61" s="64">
        <f t="shared" si="19"/>
        <v>55155</v>
      </c>
      <c r="K61" s="64">
        <f t="shared" si="19"/>
        <v>92423</v>
      </c>
      <c r="L61" s="64">
        <f t="shared" si="19"/>
        <v>73212.12000000001</v>
      </c>
      <c r="M61" s="64">
        <f t="shared" si="19"/>
        <v>97470.49</v>
      </c>
      <c r="N61" s="98">
        <f t="shared" si="19"/>
        <v>73802.559999999983</v>
      </c>
      <c r="O61" s="98">
        <f t="shared" si="19"/>
        <v>27255</v>
      </c>
      <c r="P61" s="98">
        <f t="shared" si="19"/>
        <v>0</v>
      </c>
      <c r="Q61" s="65">
        <f t="shared" si="19"/>
        <v>27255</v>
      </c>
    </row>
    <row r="62" spans="1:21" x14ac:dyDescent="0.2">
      <c r="A62" s="732"/>
      <c r="B62" s="717"/>
      <c r="C62" s="86" t="s">
        <v>176</v>
      </c>
      <c r="D62" s="86"/>
      <c r="E62" s="86"/>
      <c r="F62" s="86"/>
      <c r="G62" s="86"/>
      <c r="H62" s="86"/>
      <c r="I62" s="87">
        <v>19700</v>
      </c>
      <c r="J62" s="87">
        <v>19300</v>
      </c>
      <c r="K62" s="26">
        <v>29700</v>
      </c>
      <c r="L62" s="26">
        <v>27700</v>
      </c>
      <c r="M62" s="22">
        <v>46500</v>
      </c>
      <c r="N62" s="22">
        <v>35700</v>
      </c>
      <c r="O62" s="22">
        <v>3000</v>
      </c>
      <c r="P62" s="707"/>
      <c r="Q62" s="23">
        <f>O62+P62</f>
        <v>3000</v>
      </c>
    </row>
    <row r="63" spans="1:21" x14ac:dyDescent="0.2">
      <c r="A63" s="732"/>
      <c r="B63" s="718"/>
      <c r="C63" s="88" t="s">
        <v>177</v>
      </c>
      <c r="D63" s="88"/>
      <c r="E63" s="88"/>
      <c r="F63" s="88"/>
      <c r="G63" s="88"/>
      <c r="H63" s="88"/>
      <c r="I63" s="89">
        <v>37534</v>
      </c>
      <c r="J63" s="89">
        <v>14000</v>
      </c>
      <c r="K63" s="26">
        <v>2888</v>
      </c>
      <c r="L63" s="26">
        <v>313.32</v>
      </c>
      <c r="M63" s="22">
        <v>6641.91</v>
      </c>
      <c r="N63" s="22">
        <v>434.45</v>
      </c>
      <c r="O63" s="22">
        <v>6071</v>
      </c>
      <c r="P63" s="704"/>
      <c r="Q63" s="23">
        <f>O63+P63</f>
        <v>6071</v>
      </c>
    </row>
    <row r="64" spans="1:21" x14ac:dyDescent="0.2">
      <c r="A64" s="732"/>
      <c r="B64" s="718"/>
      <c r="C64" s="88" t="s">
        <v>175</v>
      </c>
      <c r="D64" s="88"/>
      <c r="E64" s="88"/>
      <c r="F64" s="88"/>
      <c r="G64" s="88"/>
      <c r="H64" s="88"/>
      <c r="I64" s="89">
        <v>106407</v>
      </c>
      <c r="J64" s="89">
        <v>19147</v>
      </c>
      <c r="K64" s="26">
        <f>16091+34106+2444+185+641+2733+114-32+43+286+668</f>
        <v>57279</v>
      </c>
      <c r="L64" s="26">
        <v>42730.559999999998</v>
      </c>
      <c r="M64" s="22">
        <v>42300.639999999999</v>
      </c>
      <c r="N64" s="22">
        <v>35668.57</v>
      </c>
      <c r="O64" s="22">
        <v>15984</v>
      </c>
      <c r="P64" s="704"/>
      <c r="Q64" s="23">
        <f>O64+P64</f>
        <v>15984</v>
      </c>
    </row>
    <row r="65" spans="1:21" ht="13.5" thickBot="1" x14ac:dyDescent="0.25">
      <c r="A65" s="733"/>
      <c r="B65" s="719"/>
      <c r="C65" s="655" t="s">
        <v>178</v>
      </c>
      <c r="D65" s="655"/>
      <c r="E65" s="655"/>
      <c r="F65" s="655"/>
      <c r="G65" s="655"/>
      <c r="H65" s="655"/>
      <c r="I65" s="271">
        <v>2409</v>
      </c>
      <c r="J65" s="271">
        <v>2708</v>
      </c>
      <c r="K65" s="48">
        <v>2556</v>
      </c>
      <c r="L65" s="48">
        <v>2468.2399999999998</v>
      </c>
      <c r="M65" s="272">
        <v>2027.94</v>
      </c>
      <c r="N65" s="272">
        <v>1999.54</v>
      </c>
      <c r="O65" s="272">
        <v>2200</v>
      </c>
      <c r="P65" s="708"/>
      <c r="Q65" s="656">
        <f>O65+P65</f>
        <v>2200</v>
      </c>
    </row>
    <row r="66" spans="1:21" ht="16.5" thickBot="1" x14ac:dyDescent="0.3">
      <c r="A66" s="50">
        <v>300</v>
      </c>
      <c r="B66" s="756" t="s">
        <v>179</v>
      </c>
      <c r="C66" s="757"/>
      <c r="D66" s="657">
        <f t="shared" ref="D66:Q66" si="20">D67+D105</f>
        <v>1842129</v>
      </c>
      <c r="E66" s="657">
        <f t="shared" si="20"/>
        <v>1999701</v>
      </c>
      <c r="F66" s="657">
        <f t="shared" si="20"/>
        <v>2077242</v>
      </c>
      <c r="G66" s="657">
        <f t="shared" si="20"/>
        <v>2645110</v>
      </c>
      <c r="H66" s="657">
        <f t="shared" si="20"/>
        <v>2979865</v>
      </c>
      <c r="I66" s="657">
        <f t="shared" si="20"/>
        <v>2583613</v>
      </c>
      <c r="J66" s="657">
        <f t="shared" si="20"/>
        <v>2901991</v>
      </c>
      <c r="K66" s="657">
        <f t="shared" si="20"/>
        <v>3466649</v>
      </c>
      <c r="L66" s="657">
        <f t="shared" si="20"/>
        <v>3450076.55</v>
      </c>
      <c r="M66" s="657">
        <f t="shared" si="20"/>
        <v>3251492.52</v>
      </c>
      <c r="N66" s="658">
        <f t="shared" si="20"/>
        <v>3217895.7500000009</v>
      </c>
      <c r="O66" s="658">
        <f t="shared" si="20"/>
        <v>2993358</v>
      </c>
      <c r="P66" s="658">
        <f t="shared" si="20"/>
        <v>90089</v>
      </c>
      <c r="Q66" s="659">
        <f t="shared" si="20"/>
        <v>3083447</v>
      </c>
      <c r="S66" s="516"/>
    </row>
    <row r="67" spans="1:21" ht="15.75" thickBot="1" x14ac:dyDescent="0.3">
      <c r="A67" s="32">
        <v>310</v>
      </c>
      <c r="B67" s="734" t="s">
        <v>180</v>
      </c>
      <c r="C67" s="746"/>
      <c r="D67" s="67">
        <f t="shared" ref="D67:O67" si="21">D68+D70</f>
        <v>1842129</v>
      </c>
      <c r="E67" s="67">
        <f t="shared" si="21"/>
        <v>1999701</v>
      </c>
      <c r="F67" s="67">
        <f t="shared" si="21"/>
        <v>2077242</v>
      </c>
      <c r="G67" s="67">
        <f t="shared" si="21"/>
        <v>2645110</v>
      </c>
      <c r="H67" s="67">
        <f t="shared" si="21"/>
        <v>2958818</v>
      </c>
      <c r="I67" s="67">
        <f t="shared" si="21"/>
        <v>2555258</v>
      </c>
      <c r="J67" s="67">
        <f t="shared" si="21"/>
        <v>2862933</v>
      </c>
      <c r="K67" s="67">
        <f t="shared" si="21"/>
        <v>3457133</v>
      </c>
      <c r="L67" s="67">
        <f>L68+L70</f>
        <v>3450076.55</v>
      </c>
      <c r="M67" s="67">
        <f t="shared" si="21"/>
        <v>3251492.52</v>
      </c>
      <c r="N67" s="107">
        <f>N68+N70</f>
        <v>3217895.7500000009</v>
      </c>
      <c r="O67" s="107">
        <f t="shared" si="21"/>
        <v>2993358</v>
      </c>
      <c r="P67" s="107">
        <f>P68+P70</f>
        <v>90089</v>
      </c>
      <c r="Q67" s="68">
        <f>Q68+Q70</f>
        <v>3083447</v>
      </c>
    </row>
    <row r="68" spans="1:21" ht="13.5" thickBot="1" x14ac:dyDescent="0.25">
      <c r="A68" s="731"/>
      <c r="B68" s="91">
        <v>311</v>
      </c>
      <c r="C68" s="61" t="s">
        <v>181</v>
      </c>
      <c r="D68" s="92">
        <f t="shared" ref="D68:M68" si="22">SUM(D69:D69)</f>
        <v>0</v>
      </c>
      <c r="E68" s="92">
        <f t="shared" si="22"/>
        <v>23003</v>
      </c>
      <c r="F68" s="92">
        <f t="shared" si="22"/>
        <v>14107</v>
      </c>
      <c r="G68" s="92">
        <f t="shared" si="22"/>
        <v>9307</v>
      </c>
      <c r="H68" s="92">
        <f t="shared" si="22"/>
        <v>19495</v>
      </c>
      <c r="I68" s="92">
        <f t="shared" si="22"/>
        <v>11396</v>
      </c>
      <c r="J68" s="92">
        <f t="shared" si="22"/>
        <v>19287</v>
      </c>
      <c r="K68" s="64">
        <f t="shared" si="22"/>
        <v>18260</v>
      </c>
      <c r="L68" s="64">
        <f t="shared" si="22"/>
        <v>700</v>
      </c>
      <c r="M68" s="64">
        <f t="shared" si="22"/>
        <v>4100</v>
      </c>
      <c r="N68" s="457">
        <f>N69</f>
        <v>4000</v>
      </c>
      <c r="O68" s="457">
        <f>O69</f>
        <v>15000</v>
      </c>
      <c r="P68" s="457">
        <f>P69</f>
        <v>-11990</v>
      </c>
      <c r="Q68" s="17">
        <f>Q69</f>
        <v>3010</v>
      </c>
    </row>
    <row r="69" spans="1:21" ht="13.5" thickBot="1" x14ac:dyDescent="0.25">
      <c r="A69" s="732"/>
      <c r="B69" s="40"/>
      <c r="C69" s="41" t="s">
        <v>182</v>
      </c>
      <c r="D69" s="41">
        <v>0</v>
      </c>
      <c r="E69" s="41">
        <v>23003</v>
      </c>
      <c r="F69" s="41">
        <v>14107</v>
      </c>
      <c r="G69" s="41">
        <v>9307</v>
      </c>
      <c r="H69" s="41">
        <v>19495</v>
      </c>
      <c r="I69" s="41">
        <v>11396</v>
      </c>
      <c r="J69" s="41">
        <v>19287</v>
      </c>
      <c r="K69" s="56">
        <v>18260</v>
      </c>
      <c r="L69" s="69">
        <v>700</v>
      </c>
      <c r="M69" s="22">
        <v>4100</v>
      </c>
      <c r="N69" s="22">
        <v>4000</v>
      </c>
      <c r="O69" s="22">
        <v>15000</v>
      </c>
      <c r="P69" s="701">
        <v>-11990</v>
      </c>
      <c r="Q69" s="23">
        <f>O69+P69</f>
        <v>3010</v>
      </c>
    </row>
    <row r="70" spans="1:21" ht="13.5" thickBot="1" x14ac:dyDescent="0.25">
      <c r="A70" s="732"/>
      <c r="B70" s="8">
        <v>312</v>
      </c>
      <c r="C70" s="8" t="s">
        <v>183</v>
      </c>
      <c r="D70" s="8">
        <v>1842129</v>
      </c>
      <c r="E70" s="8">
        <v>1976698</v>
      </c>
      <c r="F70" s="8">
        <v>2063135</v>
      </c>
      <c r="G70" s="8">
        <v>2635803</v>
      </c>
      <c r="H70" s="8">
        <v>2939323</v>
      </c>
      <c r="I70" s="37">
        <f>SUM(I71:I104)</f>
        <v>2543862</v>
      </c>
      <c r="J70" s="37">
        <f>SUM(J71:J104)</f>
        <v>2843646</v>
      </c>
      <c r="K70" s="37">
        <f>SUM(K71:K104)</f>
        <v>3438873</v>
      </c>
      <c r="L70" s="37">
        <v>3449376.55</v>
      </c>
      <c r="M70" s="37">
        <f>SUM(M71:M104)</f>
        <v>3247392.52</v>
      </c>
      <c r="N70" s="129">
        <f>SUM(N71:N104)</f>
        <v>3213895.7500000009</v>
      </c>
      <c r="O70" s="129">
        <f>SUM(O71:O104)</f>
        <v>2978358</v>
      </c>
      <c r="P70" s="129">
        <f>SUM(P71:P104)</f>
        <v>102079</v>
      </c>
      <c r="Q70" s="38">
        <f>SUM(Q71:Q104)</f>
        <v>3080437</v>
      </c>
      <c r="T70" s="1"/>
      <c r="U70" s="1"/>
    </row>
    <row r="71" spans="1:21" x14ac:dyDescent="0.2">
      <c r="A71" s="732"/>
      <c r="B71" s="747"/>
      <c r="C71" s="41" t="s">
        <v>184</v>
      </c>
      <c r="D71" s="41"/>
      <c r="E71" s="41"/>
      <c r="F71" s="41"/>
      <c r="G71" s="41"/>
      <c r="H71" s="41"/>
      <c r="I71" s="41">
        <v>23695</v>
      </c>
      <c r="J71" s="41">
        <v>17245</v>
      </c>
      <c r="K71" s="26">
        <v>10901</v>
      </c>
      <c r="L71" s="22">
        <v>11158.85</v>
      </c>
      <c r="M71" s="42">
        <v>11477.1</v>
      </c>
      <c r="N71" s="93">
        <v>11818.38</v>
      </c>
      <c r="O71" s="93">
        <v>12155</v>
      </c>
      <c r="P71" s="707"/>
      <c r="Q71" s="563">
        <f t="shared" ref="Q71:Q104" si="23">O71+P71</f>
        <v>12155</v>
      </c>
    </row>
    <row r="72" spans="1:21" x14ac:dyDescent="0.2">
      <c r="A72" s="732"/>
      <c r="B72" s="748"/>
      <c r="C72" s="43" t="s">
        <v>185</v>
      </c>
      <c r="D72" s="43"/>
      <c r="E72" s="43"/>
      <c r="F72" s="43"/>
      <c r="G72" s="43"/>
      <c r="H72" s="43"/>
      <c r="I72" s="43">
        <v>2039732</v>
      </c>
      <c r="J72" s="43">
        <v>2219230</v>
      </c>
      <c r="K72" s="26">
        <v>2305975</v>
      </c>
      <c r="L72" s="26">
        <v>2374727</v>
      </c>
      <c r="M72" s="44">
        <v>2385302.7000000002</v>
      </c>
      <c r="N72" s="26">
        <v>2378880.87</v>
      </c>
      <c r="O72" s="26">
        <v>2344166</v>
      </c>
      <c r="P72" s="704">
        <v>36312</v>
      </c>
      <c r="Q72" s="563">
        <f t="shared" si="23"/>
        <v>2380478</v>
      </c>
      <c r="T72" s="516"/>
      <c r="U72" s="516"/>
    </row>
    <row r="73" spans="1:21" x14ac:dyDescent="0.2">
      <c r="A73" s="732"/>
      <c r="B73" s="748"/>
      <c r="C73" s="43" t="s">
        <v>186</v>
      </c>
      <c r="D73" s="43"/>
      <c r="E73" s="43"/>
      <c r="F73" s="43"/>
      <c r="G73" s="43"/>
      <c r="H73" s="43"/>
      <c r="I73" s="43">
        <v>18027</v>
      </c>
      <c r="J73" s="43">
        <v>18084</v>
      </c>
      <c r="K73" s="26">
        <v>17994</v>
      </c>
      <c r="L73" s="26">
        <v>18008.52</v>
      </c>
      <c r="M73" s="44">
        <v>18041.07</v>
      </c>
      <c r="N73" s="26">
        <v>17962.95</v>
      </c>
      <c r="O73" s="26">
        <v>17966</v>
      </c>
      <c r="P73" s="704"/>
      <c r="Q73" s="563">
        <f t="shared" si="23"/>
        <v>17966</v>
      </c>
      <c r="S73" s="516"/>
    </row>
    <row r="74" spans="1:21" x14ac:dyDescent="0.2">
      <c r="A74" s="732"/>
      <c r="B74" s="748"/>
      <c r="C74" s="43" t="s">
        <v>187</v>
      </c>
      <c r="D74" s="43"/>
      <c r="E74" s="43"/>
      <c r="F74" s="43"/>
      <c r="G74" s="43"/>
      <c r="H74" s="43"/>
      <c r="I74" s="43">
        <v>24577</v>
      </c>
      <c r="J74" s="43">
        <v>25124</v>
      </c>
      <c r="K74" s="26">
        <v>25564</v>
      </c>
      <c r="L74" s="26">
        <v>26022</v>
      </c>
      <c r="M74" s="44">
        <v>26310</v>
      </c>
      <c r="N74" s="26">
        <v>27303</v>
      </c>
      <c r="O74" s="26">
        <v>27287</v>
      </c>
      <c r="P74" s="704">
        <v>1101</v>
      </c>
      <c r="Q74" s="563">
        <f t="shared" si="23"/>
        <v>28388</v>
      </c>
      <c r="T74" s="516"/>
      <c r="U74" s="1"/>
    </row>
    <row r="75" spans="1:21" x14ac:dyDescent="0.2">
      <c r="A75" s="732"/>
      <c r="B75" s="748"/>
      <c r="C75" s="43" t="s">
        <v>188</v>
      </c>
      <c r="D75" s="43"/>
      <c r="E75" s="43"/>
      <c r="F75" s="43"/>
      <c r="G75" s="43"/>
      <c r="H75" s="43"/>
      <c r="I75" s="43">
        <v>7039</v>
      </c>
      <c r="J75" s="43">
        <v>7075</v>
      </c>
      <c r="K75" s="26">
        <v>7128</v>
      </c>
      <c r="L75" s="26">
        <v>7141.61</v>
      </c>
      <c r="M75" s="44">
        <v>7157.02</v>
      </c>
      <c r="N75" s="26">
        <v>7145.67</v>
      </c>
      <c r="O75" s="26">
        <v>7147</v>
      </c>
      <c r="P75" s="704"/>
      <c r="Q75" s="563">
        <f t="shared" si="23"/>
        <v>7147</v>
      </c>
      <c r="T75" s="1"/>
      <c r="U75" s="1"/>
    </row>
    <row r="76" spans="1:21" x14ac:dyDescent="0.2">
      <c r="A76" s="732"/>
      <c r="B76" s="748"/>
      <c r="C76" s="43" t="s">
        <v>189</v>
      </c>
      <c r="D76" s="43"/>
      <c r="E76" s="43"/>
      <c r="F76" s="43"/>
      <c r="G76" s="43"/>
      <c r="H76" s="43"/>
      <c r="I76" s="43">
        <v>10058</v>
      </c>
      <c r="J76" s="43">
        <v>10551</v>
      </c>
      <c r="K76" s="26">
        <v>6336</v>
      </c>
      <c r="L76" s="26">
        <v>5427.66</v>
      </c>
      <c r="M76" s="44">
        <v>4327.68</v>
      </c>
      <c r="N76" s="26">
        <v>3104.64</v>
      </c>
      <c r="O76" s="26">
        <v>7000</v>
      </c>
      <c r="P76" s="704">
        <v>-3425</v>
      </c>
      <c r="Q76" s="565">
        <f t="shared" si="23"/>
        <v>3575</v>
      </c>
      <c r="R76" s="70"/>
      <c r="S76" s="516"/>
      <c r="T76" s="586"/>
      <c r="U76" s="1"/>
    </row>
    <row r="77" spans="1:21" x14ac:dyDescent="0.2">
      <c r="A77" s="732"/>
      <c r="B77" s="748"/>
      <c r="C77" s="43" t="s">
        <v>190</v>
      </c>
      <c r="D77" s="43"/>
      <c r="E77" s="43"/>
      <c r="F77" s="43"/>
      <c r="G77" s="43"/>
      <c r="H77" s="43"/>
      <c r="I77" s="43">
        <v>83191</v>
      </c>
      <c r="J77" s="43">
        <v>97555</v>
      </c>
      <c r="K77" s="26">
        <v>85709</v>
      </c>
      <c r="L77" s="26">
        <v>73418.710000000006</v>
      </c>
      <c r="M77" s="44">
        <v>58497.09</v>
      </c>
      <c r="N77" s="26">
        <v>43283.74</v>
      </c>
      <c r="O77" s="26">
        <v>55224</v>
      </c>
      <c r="P77" s="704">
        <v>-18209</v>
      </c>
      <c r="Q77" s="565">
        <f t="shared" si="23"/>
        <v>37015</v>
      </c>
      <c r="R77" s="70"/>
      <c r="S77" s="516"/>
      <c r="T77" s="1"/>
    </row>
    <row r="78" spans="1:21" x14ac:dyDescent="0.2">
      <c r="A78" s="732"/>
      <c r="B78" s="748"/>
      <c r="C78" s="43" t="s">
        <v>191</v>
      </c>
      <c r="D78" s="43"/>
      <c r="E78" s="43"/>
      <c r="F78" s="43"/>
      <c r="G78" s="43"/>
      <c r="H78" s="43"/>
      <c r="I78" s="43">
        <v>25474</v>
      </c>
      <c r="J78" s="43">
        <v>22043</v>
      </c>
      <c r="K78" s="26">
        <f>1699+18018</f>
        <v>19717</v>
      </c>
      <c r="L78" s="26">
        <v>29033.54</v>
      </c>
      <c r="M78" s="44">
        <v>25989.77</v>
      </c>
      <c r="N78" s="26">
        <v>45874.890000000007</v>
      </c>
      <c r="O78" s="26">
        <v>42000</v>
      </c>
      <c r="P78" s="704">
        <v>-9940</v>
      </c>
      <c r="Q78" s="563">
        <f t="shared" si="23"/>
        <v>32060</v>
      </c>
      <c r="T78" s="586"/>
    </row>
    <row r="79" spans="1:21" x14ac:dyDescent="0.2">
      <c r="A79" s="732"/>
      <c r="B79" s="748"/>
      <c r="C79" s="43" t="s">
        <v>192</v>
      </c>
      <c r="D79" s="43"/>
      <c r="E79" s="43"/>
      <c r="F79" s="43"/>
      <c r="G79" s="43"/>
      <c r="H79" s="43"/>
      <c r="I79" s="43">
        <v>1008</v>
      </c>
      <c r="J79" s="43">
        <v>1008</v>
      </c>
      <c r="K79" s="26">
        <v>995</v>
      </c>
      <c r="L79" s="26">
        <v>836.54</v>
      </c>
      <c r="M79" s="44">
        <v>838.04</v>
      </c>
      <c r="N79" s="26">
        <v>834.41</v>
      </c>
      <c r="O79" s="26">
        <v>1474</v>
      </c>
      <c r="P79" s="704">
        <v>-640</v>
      </c>
      <c r="Q79" s="563">
        <f t="shared" si="23"/>
        <v>834</v>
      </c>
      <c r="T79" s="1"/>
    </row>
    <row r="80" spans="1:21" x14ac:dyDescent="0.2">
      <c r="A80" s="732"/>
      <c r="B80" s="748"/>
      <c r="C80" s="43" t="s">
        <v>193</v>
      </c>
      <c r="D80" s="43"/>
      <c r="E80" s="43"/>
      <c r="F80" s="43"/>
      <c r="G80" s="43"/>
      <c r="H80" s="43"/>
      <c r="I80" s="43">
        <v>1487</v>
      </c>
      <c r="J80" s="43">
        <v>1415</v>
      </c>
      <c r="K80" s="26">
        <v>1362</v>
      </c>
      <c r="L80" s="26">
        <v>1386.9</v>
      </c>
      <c r="M80" s="44">
        <v>1388.19</v>
      </c>
      <c r="N80" s="26">
        <v>1382.72</v>
      </c>
      <c r="O80" s="26">
        <v>1384</v>
      </c>
      <c r="P80" s="704"/>
      <c r="Q80" s="563">
        <f t="shared" si="23"/>
        <v>1384</v>
      </c>
      <c r="T80" s="586"/>
    </row>
    <row r="81" spans="1:22" x14ac:dyDescent="0.2">
      <c r="A81" s="732"/>
      <c r="B81" s="748"/>
      <c r="C81" s="43" t="s">
        <v>194</v>
      </c>
      <c r="D81" s="43"/>
      <c r="E81" s="43"/>
      <c r="F81" s="43"/>
      <c r="G81" s="43"/>
      <c r="H81" s="43"/>
      <c r="I81" s="43">
        <v>46640</v>
      </c>
      <c r="J81" s="43">
        <v>26998</v>
      </c>
      <c r="K81" s="26">
        <v>72974</v>
      </c>
      <c r="L81" s="26">
        <v>59711.85</v>
      </c>
      <c r="M81" s="44">
        <v>88644.08</v>
      </c>
      <c r="N81" s="26"/>
      <c r="O81" s="26">
        <v>0</v>
      </c>
      <c r="P81" s="704">
        <v>5320</v>
      </c>
      <c r="Q81" s="563">
        <f t="shared" si="23"/>
        <v>5320</v>
      </c>
      <c r="T81" s="1"/>
    </row>
    <row r="82" spans="1:22" x14ac:dyDescent="0.2">
      <c r="A82" s="732"/>
      <c r="B82" s="748"/>
      <c r="C82" s="43" t="s">
        <v>195</v>
      </c>
      <c r="D82" s="43"/>
      <c r="E82" s="43"/>
      <c r="F82" s="43"/>
      <c r="G82" s="43"/>
      <c r="H82" s="43"/>
      <c r="I82" s="43">
        <v>4903</v>
      </c>
      <c r="J82" s="43">
        <v>4921</v>
      </c>
      <c r="K82" s="26">
        <v>4883</v>
      </c>
      <c r="L82" s="26">
        <v>4883.67</v>
      </c>
      <c r="M82" s="44">
        <v>4892.91</v>
      </c>
      <c r="N82" s="26">
        <v>4949.79</v>
      </c>
      <c r="O82" s="26">
        <v>5150</v>
      </c>
      <c r="P82" s="704"/>
      <c r="Q82" s="563">
        <f t="shared" si="23"/>
        <v>5150</v>
      </c>
      <c r="T82" s="586"/>
    </row>
    <row r="83" spans="1:22" x14ac:dyDescent="0.2">
      <c r="A83" s="732"/>
      <c r="B83" s="748"/>
      <c r="C83" s="43" t="s">
        <v>196</v>
      </c>
      <c r="D83" s="43"/>
      <c r="E83" s="43"/>
      <c r="F83" s="43"/>
      <c r="G83" s="43"/>
      <c r="H83" s="43"/>
      <c r="I83" s="43">
        <v>4172</v>
      </c>
      <c r="J83" s="43">
        <v>4305</v>
      </c>
      <c r="K83" s="26">
        <v>4445</v>
      </c>
      <c r="L83" s="26">
        <v>4634.95</v>
      </c>
      <c r="M83" s="44">
        <v>5001.3599999999997</v>
      </c>
      <c r="N83" s="26">
        <v>5331.12</v>
      </c>
      <c r="O83" s="26">
        <v>5725</v>
      </c>
      <c r="P83" s="704"/>
      <c r="Q83" s="563">
        <f t="shared" si="23"/>
        <v>5725</v>
      </c>
      <c r="T83" s="1"/>
    </row>
    <row r="84" spans="1:22" x14ac:dyDescent="0.2">
      <c r="A84" s="732"/>
      <c r="B84" s="748"/>
      <c r="C84" s="43" t="s">
        <v>457</v>
      </c>
      <c r="D84" s="43"/>
      <c r="E84" s="43"/>
      <c r="F84" s="43"/>
      <c r="G84" s="43"/>
      <c r="H84" s="43"/>
      <c r="I84" s="43"/>
      <c r="J84" s="43"/>
      <c r="K84" s="26"/>
      <c r="L84" s="26"/>
      <c r="M84" s="44"/>
      <c r="N84" s="26">
        <v>4700</v>
      </c>
      <c r="O84" s="26">
        <v>4000</v>
      </c>
      <c r="P84" s="704"/>
      <c r="Q84" s="563">
        <f t="shared" si="23"/>
        <v>4000</v>
      </c>
      <c r="T84" s="586"/>
    </row>
    <row r="85" spans="1:22" x14ac:dyDescent="0.2">
      <c r="A85" s="732"/>
      <c r="B85" s="748"/>
      <c r="C85" s="43" t="s">
        <v>197</v>
      </c>
      <c r="D85" s="43"/>
      <c r="E85" s="43"/>
      <c r="F85" s="43"/>
      <c r="G85" s="43"/>
      <c r="H85" s="43"/>
      <c r="I85" s="43">
        <v>13965</v>
      </c>
      <c r="J85" s="43">
        <v>20215</v>
      </c>
      <c r="K85" s="26">
        <f>2614+9370+2952+12392</f>
        <v>27328</v>
      </c>
      <c r="L85" s="26">
        <v>18845.330000000002</v>
      </c>
      <c r="M85" s="44">
        <v>25120.019999999997</v>
      </c>
      <c r="N85" s="26">
        <v>34933.57</v>
      </c>
      <c r="O85" s="26">
        <v>33024</v>
      </c>
      <c r="P85" s="704">
        <v>4728</v>
      </c>
      <c r="Q85" s="563">
        <f t="shared" si="23"/>
        <v>37752</v>
      </c>
      <c r="T85" s="1"/>
    </row>
    <row r="86" spans="1:22" x14ac:dyDescent="0.2">
      <c r="A86" s="732"/>
      <c r="B86" s="748"/>
      <c r="C86" s="43" t="s">
        <v>263</v>
      </c>
      <c r="D86" s="43"/>
      <c r="E86" s="43"/>
      <c r="F86" s="43"/>
      <c r="G86" s="43"/>
      <c r="H86" s="43"/>
      <c r="I86" s="43"/>
      <c r="J86" s="43"/>
      <c r="K86" s="26"/>
      <c r="L86" s="26"/>
      <c r="M86" s="26"/>
      <c r="N86" s="26">
        <v>37805</v>
      </c>
      <c r="O86" s="26">
        <v>0</v>
      </c>
      <c r="P86" s="704"/>
      <c r="Q86" s="565">
        <f t="shared" si="23"/>
        <v>0</v>
      </c>
      <c r="T86" s="586"/>
    </row>
    <row r="87" spans="1:22" x14ac:dyDescent="0.2">
      <c r="A87" s="732"/>
      <c r="B87" s="748"/>
      <c r="C87" s="43" t="s">
        <v>456</v>
      </c>
      <c r="D87" s="43"/>
      <c r="E87" s="43"/>
      <c r="F87" s="43"/>
      <c r="G87" s="43"/>
      <c r="H87" s="43"/>
      <c r="I87" s="43"/>
      <c r="J87" s="43">
        <v>100000</v>
      </c>
      <c r="K87" s="26"/>
      <c r="L87" s="26"/>
      <c r="M87" s="26">
        <v>59979.789999999994</v>
      </c>
      <c r="N87" s="26">
        <v>13019.76</v>
      </c>
      <c r="O87" s="26">
        <v>0</v>
      </c>
      <c r="P87" s="704">
        <v>15865</v>
      </c>
      <c r="Q87" s="565">
        <f t="shared" si="23"/>
        <v>15865</v>
      </c>
      <c r="S87" s="516"/>
      <c r="T87" s="1"/>
    </row>
    <row r="88" spans="1:22" x14ac:dyDescent="0.2">
      <c r="A88" s="732"/>
      <c r="B88" s="748"/>
      <c r="C88" s="58" t="s">
        <v>487</v>
      </c>
      <c r="D88" s="58"/>
      <c r="E88" s="58"/>
      <c r="F88" s="58"/>
      <c r="G88" s="58"/>
      <c r="H88" s="58"/>
      <c r="I88" s="58"/>
      <c r="J88" s="58"/>
      <c r="K88" s="26"/>
      <c r="L88" s="26"/>
      <c r="M88" s="26"/>
      <c r="N88" s="26"/>
      <c r="O88" s="26"/>
      <c r="P88" s="704">
        <f>101102-35000</f>
        <v>66102</v>
      </c>
      <c r="Q88" s="565">
        <f t="shared" si="23"/>
        <v>66102</v>
      </c>
      <c r="T88" s="586"/>
    </row>
    <row r="89" spans="1:22" x14ac:dyDescent="0.2">
      <c r="A89" s="732"/>
      <c r="B89" s="748"/>
      <c r="C89" s="58" t="s">
        <v>199</v>
      </c>
      <c r="D89" s="58"/>
      <c r="E89" s="58"/>
      <c r="F89" s="58"/>
      <c r="G89" s="58"/>
      <c r="H89" s="58"/>
      <c r="I89" s="58"/>
      <c r="J89" s="58"/>
      <c r="K89" s="26">
        <v>11061</v>
      </c>
      <c r="L89" s="26"/>
      <c r="M89" s="26">
        <v>105208.79999999999</v>
      </c>
      <c r="N89" s="26"/>
      <c r="O89" s="26">
        <v>0</v>
      </c>
      <c r="P89" s="704"/>
      <c r="Q89" s="565">
        <f t="shared" si="23"/>
        <v>0</v>
      </c>
      <c r="T89" s="1"/>
    </row>
    <row r="90" spans="1:22" x14ac:dyDescent="0.2">
      <c r="A90" s="732"/>
      <c r="B90" s="748"/>
      <c r="C90" s="58" t="s">
        <v>458</v>
      </c>
      <c r="D90" s="58"/>
      <c r="E90" s="58"/>
      <c r="F90" s="58"/>
      <c r="G90" s="58"/>
      <c r="H90" s="58"/>
      <c r="I90" s="58"/>
      <c r="J90" s="58"/>
      <c r="K90" s="26"/>
      <c r="L90" s="26">
        <v>35000</v>
      </c>
      <c r="M90" s="26"/>
      <c r="N90" s="26">
        <v>80000</v>
      </c>
      <c r="O90" s="26">
        <v>0</v>
      </c>
      <c r="P90" s="704"/>
      <c r="Q90" s="565">
        <f t="shared" si="23"/>
        <v>0</v>
      </c>
      <c r="T90" s="586"/>
    </row>
    <row r="91" spans="1:22" x14ac:dyDescent="0.2">
      <c r="A91" s="732"/>
      <c r="B91" s="748"/>
      <c r="C91" s="58" t="s">
        <v>396</v>
      </c>
      <c r="D91" s="58"/>
      <c r="E91" s="58"/>
      <c r="F91" s="58"/>
      <c r="G91" s="58"/>
      <c r="H91" s="58"/>
      <c r="I91" s="58"/>
      <c r="J91" s="58"/>
      <c r="K91" s="26"/>
      <c r="L91" s="26">
        <v>149100</v>
      </c>
      <c r="M91" s="26"/>
      <c r="N91" s="26"/>
      <c r="O91" s="26">
        <v>7368</v>
      </c>
      <c r="P91" s="704">
        <v>-7004</v>
      </c>
      <c r="Q91" s="565">
        <f t="shared" si="23"/>
        <v>364</v>
      </c>
      <c r="T91" s="516"/>
    </row>
    <row r="92" spans="1:22" x14ac:dyDescent="0.2">
      <c r="A92" s="732"/>
      <c r="B92" s="748"/>
      <c r="C92" s="43" t="s">
        <v>198</v>
      </c>
      <c r="D92" s="43"/>
      <c r="E92" s="43"/>
      <c r="F92" s="43"/>
      <c r="G92" s="43"/>
      <c r="H92" s="43"/>
      <c r="I92" s="43">
        <v>119232</v>
      </c>
      <c r="J92" s="43">
        <f>30008+30023</f>
        <v>60031</v>
      </c>
      <c r="K92" s="26"/>
      <c r="L92" s="26"/>
      <c r="M92" s="26">
        <v>108000</v>
      </c>
      <c r="N92" s="26">
        <v>90000</v>
      </c>
      <c r="O92" s="26">
        <v>0</v>
      </c>
      <c r="P92" s="704"/>
      <c r="Q92" s="565">
        <f t="shared" si="23"/>
        <v>0</v>
      </c>
      <c r="T92" s="586"/>
    </row>
    <row r="93" spans="1:22" x14ac:dyDescent="0.2">
      <c r="A93" s="732"/>
      <c r="B93" s="748"/>
      <c r="C93" s="43" t="s">
        <v>201</v>
      </c>
      <c r="D93" s="43"/>
      <c r="E93" s="43"/>
      <c r="F93" s="43"/>
      <c r="G93" s="43"/>
      <c r="H93" s="43"/>
      <c r="I93" s="43"/>
      <c r="J93" s="43">
        <v>40000</v>
      </c>
      <c r="K93" s="26"/>
      <c r="L93" s="26"/>
      <c r="M93" s="26">
        <v>298131.34999999998</v>
      </c>
      <c r="N93" s="26"/>
      <c r="O93" s="26">
        <v>0</v>
      </c>
      <c r="P93" s="704"/>
      <c r="Q93" s="565">
        <f t="shared" si="23"/>
        <v>0</v>
      </c>
      <c r="V93" s="516"/>
    </row>
    <row r="94" spans="1:22" x14ac:dyDescent="0.2">
      <c r="A94" s="732"/>
      <c r="B94" s="748"/>
      <c r="C94" s="43" t="s">
        <v>202</v>
      </c>
      <c r="D94" s="43"/>
      <c r="E94" s="43"/>
      <c r="F94" s="43"/>
      <c r="G94" s="43"/>
      <c r="H94" s="43"/>
      <c r="I94" s="43"/>
      <c r="J94" s="43">
        <v>85385</v>
      </c>
      <c r="K94" s="26">
        <v>389162</v>
      </c>
      <c r="L94" s="26"/>
      <c r="M94" s="44"/>
      <c r="N94" s="26">
        <v>274838.90000000002</v>
      </c>
      <c r="O94" s="26">
        <v>192900</v>
      </c>
      <c r="P94" s="704">
        <v>-1933</v>
      </c>
      <c r="Q94" s="565">
        <f t="shared" si="23"/>
        <v>190967</v>
      </c>
      <c r="U94" s="516"/>
    </row>
    <row r="95" spans="1:22" x14ac:dyDescent="0.2">
      <c r="A95" s="732"/>
      <c r="B95" s="748"/>
      <c r="C95" s="43" t="s">
        <v>203</v>
      </c>
      <c r="D95" s="43"/>
      <c r="E95" s="43"/>
      <c r="F95" s="43"/>
      <c r="G95" s="43"/>
      <c r="H95" s="43"/>
      <c r="I95" s="43"/>
      <c r="J95" s="43"/>
      <c r="K95" s="26">
        <v>6226</v>
      </c>
      <c r="L95" s="26"/>
      <c r="M95" s="26"/>
      <c r="N95" s="26"/>
      <c r="O95" s="26">
        <v>0</v>
      </c>
      <c r="P95" s="704">
        <v>3343</v>
      </c>
      <c r="Q95" s="565">
        <f t="shared" si="23"/>
        <v>3343</v>
      </c>
    </row>
    <row r="96" spans="1:22" x14ac:dyDescent="0.2">
      <c r="A96" s="732"/>
      <c r="B96" s="748"/>
      <c r="C96" s="43" t="s">
        <v>404</v>
      </c>
      <c r="D96" s="43"/>
      <c r="E96" s="43"/>
      <c r="F96" s="43"/>
      <c r="G96" s="43"/>
      <c r="H96" s="43"/>
      <c r="I96" s="43">
        <v>3534</v>
      </c>
      <c r="J96" s="43">
        <v>4595</v>
      </c>
      <c r="K96" s="26">
        <v>1120</v>
      </c>
      <c r="L96" s="26"/>
      <c r="M96" s="26"/>
      <c r="N96" s="26"/>
      <c r="O96" s="26">
        <v>12350</v>
      </c>
      <c r="P96" s="704">
        <v>-12350</v>
      </c>
      <c r="Q96" s="565">
        <f t="shared" si="23"/>
        <v>0</v>
      </c>
    </row>
    <row r="97" spans="1:20" x14ac:dyDescent="0.2">
      <c r="A97" s="732"/>
      <c r="B97" s="748"/>
      <c r="C97" s="43" t="s">
        <v>303</v>
      </c>
      <c r="D97" s="43"/>
      <c r="E97" s="43"/>
      <c r="F97" s="43"/>
      <c r="G97" s="43"/>
      <c r="H97" s="43"/>
      <c r="I97" s="43"/>
      <c r="J97" s="43"/>
      <c r="K97" s="26">
        <v>73802</v>
      </c>
      <c r="L97" s="26"/>
      <c r="M97" s="26"/>
      <c r="N97" s="26"/>
      <c r="O97" s="26">
        <v>0</v>
      </c>
      <c r="P97" s="704">
        <v>7597</v>
      </c>
      <c r="Q97" s="565">
        <f t="shared" si="23"/>
        <v>7597</v>
      </c>
    </row>
    <row r="98" spans="1:20" x14ac:dyDescent="0.2">
      <c r="A98" s="732"/>
      <c r="B98" s="748"/>
      <c r="C98" s="43" t="s">
        <v>489</v>
      </c>
      <c r="D98" s="43"/>
      <c r="E98" s="43"/>
      <c r="F98" s="43"/>
      <c r="G98" s="43"/>
      <c r="H98" s="43"/>
      <c r="I98" s="43"/>
      <c r="J98" s="43"/>
      <c r="K98" s="26"/>
      <c r="L98" s="26"/>
      <c r="M98" s="26"/>
      <c r="N98" s="26"/>
      <c r="O98" s="26"/>
      <c r="P98" s="704">
        <v>1660</v>
      </c>
      <c r="Q98" s="565">
        <f t="shared" si="23"/>
        <v>1660</v>
      </c>
    </row>
    <row r="99" spans="1:20" x14ac:dyDescent="0.2">
      <c r="A99" s="732"/>
      <c r="B99" s="748"/>
      <c r="C99" s="43" t="s">
        <v>490</v>
      </c>
      <c r="D99" s="43"/>
      <c r="E99" s="43"/>
      <c r="F99" s="43"/>
      <c r="G99" s="43"/>
      <c r="H99" s="43"/>
      <c r="I99" s="43"/>
      <c r="J99" s="43"/>
      <c r="K99" s="26"/>
      <c r="L99" s="26"/>
      <c r="M99" s="26"/>
      <c r="N99" s="26"/>
      <c r="O99" s="26"/>
      <c r="P99" s="704">
        <v>2400</v>
      </c>
      <c r="Q99" s="565">
        <f t="shared" si="23"/>
        <v>2400</v>
      </c>
    </row>
    <row r="100" spans="1:20" x14ac:dyDescent="0.2">
      <c r="A100" s="732"/>
      <c r="B100" s="748"/>
      <c r="C100" s="43" t="s">
        <v>488</v>
      </c>
      <c r="D100" s="43"/>
      <c r="E100" s="43"/>
      <c r="F100" s="43"/>
      <c r="G100" s="43"/>
      <c r="H100" s="43"/>
      <c r="I100" s="43"/>
      <c r="J100" s="43"/>
      <c r="K100" s="26"/>
      <c r="L100" s="26"/>
      <c r="M100" s="26"/>
      <c r="N100" s="26"/>
      <c r="O100" s="26"/>
      <c r="P100" s="704">
        <v>1400</v>
      </c>
      <c r="Q100" s="565">
        <f t="shared" si="23"/>
        <v>1400</v>
      </c>
    </row>
    <row r="101" spans="1:20" x14ac:dyDescent="0.2">
      <c r="A101" s="732"/>
      <c r="B101" s="748"/>
      <c r="C101" s="43" t="s">
        <v>479</v>
      </c>
      <c r="D101" s="43"/>
      <c r="E101" s="43"/>
      <c r="F101" s="43"/>
      <c r="G101" s="43"/>
      <c r="H101" s="43"/>
      <c r="I101" s="43"/>
      <c r="J101" s="43">
        <v>18000</v>
      </c>
      <c r="K101" s="26"/>
      <c r="L101" s="26"/>
      <c r="M101" s="26"/>
      <c r="N101" s="26"/>
      <c r="O101" s="26">
        <v>14000</v>
      </c>
      <c r="P101" s="704"/>
      <c r="Q101" s="565">
        <f t="shared" si="23"/>
        <v>14000</v>
      </c>
    </row>
    <row r="102" spans="1:20" x14ac:dyDescent="0.2">
      <c r="A102" s="732"/>
      <c r="B102" s="748"/>
      <c r="C102" s="47" t="s">
        <v>482</v>
      </c>
      <c r="D102" s="47"/>
      <c r="E102" s="47"/>
      <c r="F102" s="47"/>
      <c r="G102" s="47"/>
      <c r="H102" s="47"/>
      <c r="I102" s="47"/>
      <c r="J102" s="47"/>
      <c r="K102" s="30"/>
      <c r="L102" s="30"/>
      <c r="M102" s="30"/>
      <c r="N102" s="30"/>
      <c r="O102" s="30">
        <v>11188</v>
      </c>
      <c r="P102" s="705">
        <v>5586</v>
      </c>
      <c r="Q102" s="565">
        <f t="shared" si="23"/>
        <v>16774</v>
      </c>
      <c r="T102" s="516"/>
    </row>
    <row r="103" spans="1:20" x14ac:dyDescent="0.2">
      <c r="A103" s="732"/>
      <c r="B103" s="748"/>
      <c r="C103" s="47" t="s">
        <v>439</v>
      </c>
      <c r="D103" s="47"/>
      <c r="E103" s="47"/>
      <c r="F103" s="47"/>
      <c r="G103" s="47"/>
      <c r="H103" s="47"/>
      <c r="I103" s="47"/>
      <c r="J103" s="47"/>
      <c r="K103" s="30"/>
      <c r="L103" s="30"/>
      <c r="M103" s="30"/>
      <c r="N103" s="30"/>
      <c r="O103" s="30">
        <v>35000</v>
      </c>
      <c r="P103" s="705"/>
      <c r="Q103" s="565">
        <f t="shared" si="23"/>
        <v>35000</v>
      </c>
    </row>
    <row r="104" spans="1:20" ht="13.5" thickBot="1" x14ac:dyDescent="0.25">
      <c r="A104" s="733"/>
      <c r="B104" s="749"/>
      <c r="C104" s="46" t="s">
        <v>208</v>
      </c>
      <c r="D104" s="46"/>
      <c r="E104" s="46"/>
      <c r="F104" s="46"/>
      <c r="G104" s="46"/>
      <c r="H104" s="46"/>
      <c r="I104" s="46">
        <v>117128</v>
      </c>
      <c r="J104" s="46">
        <v>59866</v>
      </c>
      <c r="K104" s="48">
        <v>366191</v>
      </c>
      <c r="L104" s="48"/>
      <c r="M104" s="660">
        <v>13085.550000000001</v>
      </c>
      <c r="N104" s="48">
        <v>130726.34000000032</v>
      </c>
      <c r="O104" s="48">
        <v>141850</v>
      </c>
      <c r="P104" s="689">
        <v>4166</v>
      </c>
      <c r="Q104" s="665">
        <f t="shared" si="23"/>
        <v>146016</v>
      </c>
      <c r="T104" s="516"/>
    </row>
    <row r="105" spans="1:20" ht="15.75" thickBot="1" x14ac:dyDescent="0.3">
      <c r="A105" s="32">
        <v>330</v>
      </c>
      <c r="B105" s="734" t="s">
        <v>209</v>
      </c>
      <c r="C105" s="746"/>
      <c r="D105" s="67">
        <f>D106</f>
        <v>0</v>
      </c>
      <c r="E105" s="67">
        <f>E106</f>
        <v>0</v>
      </c>
      <c r="F105" s="67">
        <f>F106</f>
        <v>0</v>
      </c>
      <c r="G105" s="67">
        <f>G106</f>
        <v>0</v>
      </c>
      <c r="H105" s="67">
        <f>H106</f>
        <v>21047</v>
      </c>
      <c r="I105" s="67">
        <f t="shared" ref="I105:O106" si="24">I106</f>
        <v>28355</v>
      </c>
      <c r="J105" s="67">
        <f t="shared" si="24"/>
        <v>39058</v>
      </c>
      <c r="K105" s="67">
        <f t="shared" si="24"/>
        <v>9516</v>
      </c>
      <c r="L105" s="67">
        <f t="shared" si="24"/>
        <v>0</v>
      </c>
      <c r="M105" s="67"/>
      <c r="N105" s="107"/>
      <c r="O105" s="107">
        <f t="shared" si="24"/>
        <v>0</v>
      </c>
      <c r="P105" s="706"/>
      <c r="Q105" s="581"/>
    </row>
    <row r="106" spans="1:20" ht="13.5" thickBot="1" x14ac:dyDescent="0.25">
      <c r="A106" s="731"/>
      <c r="B106" s="61">
        <v>331</v>
      </c>
      <c r="C106" s="62" t="s">
        <v>210</v>
      </c>
      <c r="D106" s="62"/>
      <c r="E106" s="62">
        <v>0</v>
      </c>
      <c r="F106" s="62">
        <v>0</v>
      </c>
      <c r="G106" s="62">
        <v>0</v>
      </c>
      <c r="H106" s="62">
        <v>21047</v>
      </c>
      <c r="I106" s="64">
        <f t="shared" si="24"/>
        <v>28355</v>
      </c>
      <c r="J106" s="64">
        <f t="shared" si="24"/>
        <v>39058</v>
      </c>
      <c r="K106" s="64">
        <f t="shared" si="24"/>
        <v>9516</v>
      </c>
      <c r="L106" s="98"/>
      <c r="M106" s="98"/>
      <c r="N106" s="98"/>
      <c r="O106" s="98"/>
      <c r="P106" s="706"/>
      <c r="Q106" s="581"/>
    </row>
    <row r="107" spans="1:20" ht="13.5" thickBot="1" x14ac:dyDescent="0.25">
      <c r="A107" s="732"/>
      <c r="B107" s="40"/>
      <c r="C107" s="99" t="s">
        <v>204</v>
      </c>
      <c r="D107" s="99"/>
      <c r="E107" s="99"/>
      <c r="F107" s="99"/>
      <c r="G107" s="99"/>
      <c r="H107" s="99">
        <v>21047</v>
      </c>
      <c r="I107" s="99">
        <v>28355</v>
      </c>
      <c r="J107" s="99">
        <v>39058</v>
      </c>
      <c r="K107" s="100">
        <v>9516</v>
      </c>
      <c r="L107" s="70"/>
      <c r="M107" s="70"/>
      <c r="N107" s="70"/>
      <c r="O107" s="70"/>
      <c r="P107" s="709"/>
      <c r="Q107" s="700"/>
    </row>
    <row r="108" spans="1:20" ht="17.25" thickTop="1" thickBot="1" x14ac:dyDescent="0.3">
      <c r="A108" s="743" t="s">
        <v>211</v>
      </c>
      <c r="B108" s="744"/>
      <c r="C108" s="745"/>
      <c r="D108" s="101">
        <f t="shared" ref="D108:Q108" si="25">D5+D26+D66</f>
        <v>7125871</v>
      </c>
      <c r="E108" s="101">
        <f t="shared" si="25"/>
        <v>7561840</v>
      </c>
      <c r="F108" s="101">
        <f t="shared" si="25"/>
        <v>9082354</v>
      </c>
      <c r="G108" s="101">
        <f t="shared" si="25"/>
        <v>9080838</v>
      </c>
      <c r="H108" s="101">
        <f t="shared" si="25"/>
        <v>8537685</v>
      </c>
      <c r="I108" s="101">
        <f t="shared" si="25"/>
        <v>8930816</v>
      </c>
      <c r="J108" s="101">
        <f t="shared" si="25"/>
        <v>9201831</v>
      </c>
      <c r="K108" s="101">
        <f t="shared" si="25"/>
        <v>9722622</v>
      </c>
      <c r="L108" s="101">
        <f t="shared" si="25"/>
        <v>9640328.2399999984</v>
      </c>
      <c r="M108" s="101">
        <f t="shared" si="25"/>
        <v>10178626.01</v>
      </c>
      <c r="N108" s="101">
        <f t="shared" si="25"/>
        <v>10784511.660000002</v>
      </c>
      <c r="O108" s="458">
        <f t="shared" si="25"/>
        <v>10725592</v>
      </c>
      <c r="P108" s="458">
        <f t="shared" si="25"/>
        <v>90089</v>
      </c>
      <c r="Q108" s="507">
        <f t="shared" si="25"/>
        <v>10815681</v>
      </c>
      <c r="T108" s="516"/>
    </row>
    <row r="109" spans="1:20" ht="13.5" thickTop="1" x14ac:dyDescent="0.2"/>
    <row r="112" spans="1:20" x14ac:dyDescent="0.2">
      <c r="P112" s="586"/>
    </row>
    <row r="113" spans="14:16" x14ac:dyDescent="0.2">
      <c r="N113" s="669"/>
    </row>
    <row r="117" spans="14:16" x14ac:dyDescent="0.2">
      <c r="P117" s="586"/>
    </row>
    <row r="118" spans="14:16" x14ac:dyDescent="0.2">
      <c r="P118" s="586"/>
    </row>
  </sheetData>
  <mergeCells count="48">
    <mergeCell ref="D3:D4"/>
    <mergeCell ref="B5:C5"/>
    <mergeCell ref="B6:C6"/>
    <mergeCell ref="B33:B39"/>
    <mergeCell ref="A1:P1"/>
    <mergeCell ref="A2:P2"/>
    <mergeCell ref="O3:O4"/>
    <mergeCell ref="K3:K4"/>
    <mergeCell ref="L3:L4"/>
    <mergeCell ref="H3:H4"/>
    <mergeCell ref="M3:M4"/>
    <mergeCell ref="N3:N4"/>
    <mergeCell ref="E3:E4"/>
    <mergeCell ref="I3:I4"/>
    <mergeCell ref="J3:J4"/>
    <mergeCell ref="F3:F4"/>
    <mergeCell ref="G3:G4"/>
    <mergeCell ref="Q3:Q4"/>
    <mergeCell ref="A108:C108"/>
    <mergeCell ref="B67:C67"/>
    <mergeCell ref="A68:A104"/>
    <mergeCell ref="B71:B104"/>
    <mergeCell ref="B105:C105"/>
    <mergeCell ref="A106:A107"/>
    <mergeCell ref="B58:C58"/>
    <mergeCell ref="A3:A4"/>
    <mergeCell ref="B3:B4"/>
    <mergeCell ref="C3:C4"/>
    <mergeCell ref="B66:C66"/>
    <mergeCell ref="A41:A57"/>
    <mergeCell ref="B46:B55"/>
    <mergeCell ref="B19:B25"/>
    <mergeCell ref="B26:C26"/>
    <mergeCell ref="B62:B65"/>
    <mergeCell ref="A7:A11"/>
    <mergeCell ref="B7:B11"/>
    <mergeCell ref="A13:A16"/>
    <mergeCell ref="B17:C17"/>
    <mergeCell ref="A28:A39"/>
    <mergeCell ref="B40:C40"/>
    <mergeCell ref="A18:A25"/>
    <mergeCell ref="B27:C27"/>
    <mergeCell ref="B29:B31"/>
    <mergeCell ref="B60:C60"/>
    <mergeCell ref="A61:A65"/>
    <mergeCell ref="B42:B44"/>
    <mergeCell ref="B12:C12"/>
    <mergeCell ref="B14:B16"/>
  </mergeCells>
  <phoneticPr fontId="2" type="noConversion"/>
  <pageMargins left="0.15748031496062992" right="0.23622047244094491" top="0.39370078740157483" bottom="0.59055118110236227" header="0.51181102362204722" footer="0.51181102362204722"/>
  <pageSetup paperSize="9" scale="90" orientation="portrait" r:id="rId1"/>
  <headerFooter alignWithMargins="0"/>
  <rowBreaks count="1" manualBreakCount="1">
    <brk id="65" max="16383" man="1"/>
  </rowBreaks>
  <ignoredErrors>
    <ignoredError sqref="O105:O106 O59 O40:O41 O45 O56 O27:O30 O66:O68 O17 Q56:Q61 Q45 Q32:Q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246"/>
  <sheetViews>
    <sheetView topLeftCell="A82" workbookViewId="0">
      <selection activeCell="N208" sqref="N208"/>
    </sheetView>
  </sheetViews>
  <sheetFormatPr defaultRowHeight="12.75" x14ac:dyDescent="0.2"/>
  <cols>
    <col min="1" max="1" width="11.140625" customWidth="1"/>
    <col min="3" max="3" width="31.28515625" customWidth="1"/>
    <col min="4" max="11" width="10.5703125" hidden="1" customWidth="1"/>
    <col min="12" max="12" width="15" hidden="1" customWidth="1"/>
    <col min="13" max="13" width="14.85546875" style="2" customWidth="1"/>
    <col min="14" max="14" width="13.5703125" customWidth="1"/>
    <col min="15" max="15" width="13.7109375" customWidth="1"/>
    <col min="16" max="16" width="10.140625" customWidth="1"/>
    <col min="17" max="17" width="9.85546875" style="1" customWidth="1"/>
    <col min="18" max="18" width="13.140625" style="1" customWidth="1"/>
  </cols>
  <sheetData>
    <row r="1" spans="1:20" ht="13.5" thickBot="1" x14ac:dyDescent="0.25">
      <c r="A1" s="768" t="s">
        <v>428</v>
      </c>
      <c r="B1" s="768"/>
      <c r="C1" s="768"/>
    </row>
    <row r="2" spans="1:20" ht="14.25" customHeight="1" thickTop="1" thickBot="1" x14ac:dyDescent="0.25">
      <c r="A2" s="810" t="s">
        <v>71</v>
      </c>
      <c r="B2" s="812" t="s">
        <v>116</v>
      </c>
      <c r="C2" s="814" t="s">
        <v>72</v>
      </c>
      <c r="D2" s="739" t="s">
        <v>212</v>
      </c>
      <c r="E2" s="739" t="s">
        <v>213</v>
      </c>
      <c r="F2" s="739" t="s">
        <v>214</v>
      </c>
      <c r="G2" s="739" t="s">
        <v>215</v>
      </c>
      <c r="H2" s="739" t="s">
        <v>216</v>
      </c>
      <c r="I2" s="739" t="s">
        <v>123</v>
      </c>
      <c r="J2" s="739" t="s">
        <v>124</v>
      </c>
      <c r="K2" s="739" t="s">
        <v>125</v>
      </c>
      <c r="L2" s="739" t="s">
        <v>126</v>
      </c>
      <c r="M2" s="766" t="s">
        <v>376</v>
      </c>
      <c r="N2" s="739" t="s">
        <v>474</v>
      </c>
      <c r="O2" s="816" t="s">
        <v>426</v>
      </c>
      <c r="P2" s="808" t="s">
        <v>491</v>
      </c>
      <c r="Q2" s="809"/>
      <c r="R2" s="741" t="s">
        <v>420</v>
      </c>
    </row>
    <row r="3" spans="1:20" ht="33.75" customHeight="1" thickBot="1" x14ac:dyDescent="0.25">
      <c r="A3" s="811"/>
      <c r="B3" s="813"/>
      <c r="C3" s="815"/>
      <c r="D3" s="740"/>
      <c r="E3" s="740"/>
      <c r="F3" s="740"/>
      <c r="G3" s="740"/>
      <c r="H3" s="740"/>
      <c r="I3" s="740"/>
      <c r="J3" s="740"/>
      <c r="K3" s="740"/>
      <c r="L3" s="740"/>
      <c r="M3" s="767"/>
      <c r="N3" s="740"/>
      <c r="O3" s="817"/>
      <c r="P3" s="618" t="s">
        <v>285</v>
      </c>
      <c r="Q3" s="619" t="s">
        <v>289</v>
      </c>
      <c r="R3" s="742"/>
    </row>
    <row r="4" spans="1:20" ht="33" customHeight="1" thickTop="1" thickBot="1" x14ac:dyDescent="0.25">
      <c r="A4" s="680" t="s">
        <v>290</v>
      </c>
      <c r="B4" s="776" t="s">
        <v>291</v>
      </c>
      <c r="C4" s="777"/>
      <c r="D4" s="681">
        <f>SUM(D5:D8)</f>
        <v>778928</v>
      </c>
      <c r="E4" s="681">
        <f>SUM(E5:E9)</f>
        <v>871108</v>
      </c>
      <c r="F4" s="681">
        <f>SUM(F5:F9)</f>
        <v>1155712</v>
      </c>
      <c r="G4" s="681">
        <f>SUM(G5:G9)</f>
        <v>1166481</v>
      </c>
      <c r="H4" s="681">
        <f t="shared" ref="H4:R4" si="0">SUM(H5:H8)</f>
        <v>1147628</v>
      </c>
      <c r="I4" s="681">
        <f t="shared" si="0"/>
        <v>985015</v>
      </c>
      <c r="J4" s="681">
        <f t="shared" si="0"/>
        <v>971730</v>
      </c>
      <c r="K4" s="681">
        <f t="shared" si="0"/>
        <v>883614</v>
      </c>
      <c r="L4" s="682">
        <f t="shared" si="0"/>
        <v>976223.29</v>
      </c>
      <c r="M4" s="681">
        <f t="shared" si="0"/>
        <v>957107.49</v>
      </c>
      <c r="N4" s="607">
        <f t="shared" si="0"/>
        <v>918554.61999999988</v>
      </c>
      <c r="O4" s="607">
        <f>SUM(O5:O8)</f>
        <v>1031467</v>
      </c>
      <c r="P4" s="607">
        <f t="shared" si="0"/>
        <v>0</v>
      </c>
      <c r="Q4" s="607">
        <f t="shared" si="0"/>
        <v>0</v>
      </c>
      <c r="R4" s="683">
        <f t="shared" si="0"/>
        <v>1031467</v>
      </c>
      <c r="T4" s="2"/>
    </row>
    <row r="5" spans="1:20" x14ac:dyDescent="0.2">
      <c r="A5" s="720"/>
      <c r="B5" s="197">
        <v>610</v>
      </c>
      <c r="C5" s="41" t="s">
        <v>292</v>
      </c>
      <c r="D5" s="42">
        <v>363938</v>
      </c>
      <c r="E5" s="42">
        <v>383290</v>
      </c>
      <c r="F5" s="42">
        <v>452765</v>
      </c>
      <c r="G5" s="42">
        <v>532728</v>
      </c>
      <c r="H5" s="42">
        <v>538578</v>
      </c>
      <c r="I5" s="41">
        <v>504967</v>
      </c>
      <c r="J5" s="42">
        <v>465252</v>
      </c>
      <c r="K5" s="42">
        <v>431649</v>
      </c>
      <c r="L5" s="149">
        <v>437364.06</v>
      </c>
      <c r="M5" s="42">
        <v>454979.56</v>
      </c>
      <c r="N5" s="93">
        <v>470394.73</v>
      </c>
      <c r="O5" s="472">
        <v>530319</v>
      </c>
      <c r="P5" s="696"/>
      <c r="Q5" s="604"/>
      <c r="R5" s="563">
        <f>O5+P5+Q5</f>
        <v>530319</v>
      </c>
      <c r="T5" s="2"/>
    </row>
    <row r="6" spans="1:20" x14ac:dyDescent="0.2">
      <c r="A6" s="721"/>
      <c r="B6" s="199">
        <v>620</v>
      </c>
      <c r="C6" s="43" t="s">
        <v>293</v>
      </c>
      <c r="D6" s="44">
        <v>111465</v>
      </c>
      <c r="E6" s="44">
        <v>132411</v>
      </c>
      <c r="F6" s="44">
        <v>158202</v>
      </c>
      <c r="G6" s="44">
        <v>187864</v>
      </c>
      <c r="H6" s="44">
        <v>188430</v>
      </c>
      <c r="I6" s="43">
        <v>189093</v>
      </c>
      <c r="J6" s="44">
        <v>179953</v>
      </c>
      <c r="K6" s="44">
        <v>175243</v>
      </c>
      <c r="L6" s="114">
        <v>178000.1</v>
      </c>
      <c r="M6" s="44">
        <v>174131.76</v>
      </c>
      <c r="N6" s="26">
        <v>179809.87</v>
      </c>
      <c r="O6" s="26">
        <v>204008</v>
      </c>
      <c r="P6" s="695"/>
      <c r="Q6" s="564"/>
      <c r="R6" s="565">
        <f>O6+P6+Q6</f>
        <v>204008</v>
      </c>
      <c r="T6" s="2"/>
    </row>
    <row r="7" spans="1:20" x14ac:dyDescent="0.2">
      <c r="A7" s="721"/>
      <c r="B7" s="199">
        <v>630</v>
      </c>
      <c r="C7" s="43" t="s">
        <v>294</v>
      </c>
      <c r="D7" s="44">
        <v>303525</v>
      </c>
      <c r="E7" s="44">
        <v>353781</v>
      </c>
      <c r="F7" s="44">
        <v>543916</v>
      </c>
      <c r="G7" s="44">
        <v>395781</v>
      </c>
      <c r="H7" s="44">
        <v>413206</v>
      </c>
      <c r="I7" s="43">
        <v>272860</v>
      </c>
      <c r="J7" s="44">
        <v>302729</v>
      </c>
      <c r="K7" s="44">
        <v>273797</v>
      </c>
      <c r="L7" s="114">
        <v>356359.19</v>
      </c>
      <c r="M7" s="44">
        <v>297179.95</v>
      </c>
      <c r="N7" s="26">
        <v>260734.03999999998</v>
      </c>
      <c r="O7" s="473">
        <v>284386</v>
      </c>
      <c r="P7" s="622"/>
      <c r="Q7" s="564"/>
      <c r="R7" s="565">
        <f>O7+P7+Q7</f>
        <v>284386</v>
      </c>
      <c r="T7" s="2"/>
    </row>
    <row r="8" spans="1:20" ht="13.5" thickBot="1" x14ac:dyDescent="0.25">
      <c r="A8" s="721"/>
      <c r="B8" s="199">
        <v>640</v>
      </c>
      <c r="C8" s="43" t="s">
        <v>295</v>
      </c>
      <c r="D8" s="44"/>
      <c r="E8" s="44">
        <v>564</v>
      </c>
      <c r="F8" s="44">
        <v>232</v>
      </c>
      <c r="G8" s="44">
        <v>49367</v>
      </c>
      <c r="H8" s="44">
        <v>7414</v>
      </c>
      <c r="I8" s="43">
        <v>18095</v>
      </c>
      <c r="J8" s="201">
        <v>23796</v>
      </c>
      <c r="K8" s="201">
        <v>2925</v>
      </c>
      <c r="L8" s="202">
        <v>4499.9399999999996</v>
      </c>
      <c r="M8" s="44">
        <v>30816.22</v>
      </c>
      <c r="N8" s="26">
        <v>7615.98</v>
      </c>
      <c r="O8" s="473">
        <v>12754</v>
      </c>
      <c r="P8" s="691"/>
      <c r="Q8" s="605"/>
      <c r="R8" s="565">
        <f>O8+P8+Q8</f>
        <v>12754</v>
      </c>
      <c r="T8" s="2"/>
    </row>
    <row r="9" spans="1:20" ht="13.5" hidden="1" thickBot="1" x14ac:dyDescent="0.25">
      <c r="A9" s="722"/>
      <c r="B9" s="199">
        <v>650</v>
      </c>
      <c r="C9" s="43"/>
      <c r="D9" s="44"/>
      <c r="E9" s="44">
        <v>1062</v>
      </c>
      <c r="F9" s="44">
        <v>597</v>
      </c>
      <c r="G9" s="44">
        <v>741</v>
      </c>
      <c r="H9" s="44"/>
      <c r="I9" s="203"/>
      <c r="J9" s="203"/>
      <c r="K9" s="203"/>
      <c r="L9" s="204"/>
      <c r="M9" s="205"/>
      <c r="N9" s="77"/>
      <c r="O9" s="468"/>
      <c r="P9" s="495"/>
      <c r="Q9" s="582"/>
      <c r="R9" s="569"/>
      <c r="T9" s="2"/>
    </row>
    <row r="10" spans="1:20" ht="15.75" thickBot="1" x14ac:dyDescent="0.3">
      <c r="A10" s="207" t="s">
        <v>76</v>
      </c>
      <c r="B10" s="735" t="s">
        <v>296</v>
      </c>
      <c r="C10" s="746"/>
      <c r="D10" s="208">
        <v>7269</v>
      </c>
      <c r="E10" s="208">
        <v>6772</v>
      </c>
      <c r="F10" s="208">
        <v>8265</v>
      </c>
      <c r="G10" s="208">
        <v>13828</v>
      </c>
      <c r="H10" s="67">
        <f t="shared" ref="H10:M10" si="1">SUM(H11:H13)</f>
        <v>14882</v>
      </c>
      <c r="I10" s="67">
        <f t="shared" si="1"/>
        <v>14051</v>
      </c>
      <c r="J10" s="67">
        <f t="shared" si="1"/>
        <v>82274</v>
      </c>
      <c r="K10" s="67">
        <f t="shared" si="1"/>
        <v>22548</v>
      </c>
      <c r="L10" s="209">
        <f t="shared" si="1"/>
        <v>18623.79</v>
      </c>
      <c r="M10" s="67">
        <f t="shared" si="1"/>
        <v>22356.78</v>
      </c>
      <c r="N10" s="459">
        <f>SUM(N11:N13)</f>
        <v>18604.68</v>
      </c>
      <c r="O10" s="459">
        <f>SUM(O11:O13)</f>
        <v>16500</v>
      </c>
      <c r="P10" s="459">
        <f>SUM(P11:P13)</f>
        <v>0</v>
      </c>
      <c r="Q10" s="459">
        <f>SUM(Q11:Q13)</f>
        <v>0</v>
      </c>
      <c r="R10" s="504">
        <f>SUM(R11:R13)</f>
        <v>16500</v>
      </c>
      <c r="T10" s="2"/>
    </row>
    <row r="11" spans="1:20" x14ac:dyDescent="0.2">
      <c r="A11" s="769"/>
      <c r="B11" s="210">
        <v>630</v>
      </c>
      <c r="C11" s="130" t="s">
        <v>297</v>
      </c>
      <c r="D11" s="211"/>
      <c r="E11" s="211"/>
      <c r="F11" s="211"/>
      <c r="G11" s="211"/>
      <c r="H11" s="211">
        <v>2345</v>
      </c>
      <c r="I11" s="130">
        <v>2324</v>
      </c>
      <c r="J11" s="42">
        <v>1162</v>
      </c>
      <c r="K11" s="42">
        <v>2324</v>
      </c>
      <c r="L11" s="149">
        <v>3486</v>
      </c>
      <c r="M11" s="87">
        <v>2324</v>
      </c>
      <c r="N11" s="142">
        <v>2324</v>
      </c>
      <c r="O11" s="474">
        <v>3500</v>
      </c>
      <c r="P11" s="491"/>
      <c r="Q11" s="142"/>
      <c r="R11" s="563">
        <f>O11+P11+Q11</f>
        <v>3500</v>
      </c>
      <c r="T11" s="2"/>
    </row>
    <row r="12" spans="1:20" x14ac:dyDescent="0.2">
      <c r="A12" s="774"/>
      <c r="B12" s="213">
        <v>630</v>
      </c>
      <c r="C12" s="24" t="s">
        <v>298</v>
      </c>
      <c r="D12" s="214"/>
      <c r="E12" s="214"/>
      <c r="F12" s="214"/>
      <c r="G12" s="214"/>
      <c r="H12" s="214">
        <v>12537</v>
      </c>
      <c r="I12" s="24">
        <v>11727</v>
      </c>
      <c r="J12" s="44">
        <v>13096</v>
      </c>
      <c r="K12" s="44">
        <v>9612</v>
      </c>
      <c r="L12" s="114">
        <v>14911.65</v>
      </c>
      <c r="M12" s="90">
        <v>19064.189999999999</v>
      </c>
      <c r="N12" s="25">
        <v>8451.5499999999993</v>
      </c>
      <c r="O12" s="25">
        <v>13000</v>
      </c>
      <c r="P12" s="492"/>
      <c r="Q12" s="25"/>
      <c r="R12" s="565">
        <f>O12+P12+Q12</f>
        <v>13000</v>
      </c>
      <c r="T12" s="2"/>
    </row>
    <row r="13" spans="1:20" ht="13.5" thickBot="1" x14ac:dyDescent="0.25">
      <c r="A13" s="770"/>
      <c r="B13" s="215">
        <v>630</v>
      </c>
      <c r="C13" s="216" t="s">
        <v>299</v>
      </c>
      <c r="D13" s="217"/>
      <c r="E13" s="217"/>
      <c r="F13" s="217"/>
      <c r="G13" s="217"/>
      <c r="H13" s="217"/>
      <c r="I13" s="216"/>
      <c r="J13" s="44">
        <v>68016</v>
      </c>
      <c r="K13" s="44">
        <v>10612</v>
      </c>
      <c r="L13" s="218">
        <v>226.14</v>
      </c>
      <c r="M13" s="29">
        <v>968.59</v>
      </c>
      <c r="N13" s="29">
        <v>7829.13</v>
      </c>
      <c r="O13" s="475"/>
      <c r="P13" s="493"/>
      <c r="Q13" s="568"/>
      <c r="R13" s="570"/>
      <c r="T13" s="2"/>
    </row>
    <row r="14" spans="1:20" ht="15.75" thickBot="1" x14ac:dyDescent="0.3">
      <c r="A14" s="207" t="s">
        <v>250</v>
      </c>
      <c r="B14" s="735" t="s">
        <v>300</v>
      </c>
      <c r="C14" s="746"/>
      <c r="D14" s="208">
        <v>20846</v>
      </c>
      <c r="E14" s="208">
        <v>22240</v>
      </c>
      <c r="F14" s="208">
        <v>25427</v>
      </c>
      <c r="G14" s="208">
        <v>26903</v>
      </c>
      <c r="H14" s="67">
        <f>SUM(H15:H17)</f>
        <v>29798</v>
      </c>
      <c r="I14" s="67">
        <f>SUM(I15:I17)</f>
        <v>28936</v>
      </c>
      <c r="J14" s="67">
        <f>SUM(J15:J17)</f>
        <v>27963</v>
      </c>
      <c r="K14" s="67">
        <f>SUM(K15:K18)</f>
        <v>24050</v>
      </c>
      <c r="L14" s="209">
        <f>SUM(L15:L18)</f>
        <v>25050.219999999998</v>
      </c>
      <c r="M14" s="67">
        <f>SUM(M15:M18)</f>
        <v>28488.050000000003</v>
      </c>
      <c r="N14" s="459">
        <f>SUM(N15:N18)</f>
        <v>30083.289999999997</v>
      </c>
      <c r="O14" s="459">
        <f>SUM(O15:O18)</f>
        <v>32708</v>
      </c>
      <c r="P14" s="459">
        <f>SUM(P15:P17)</f>
        <v>0</v>
      </c>
      <c r="Q14" s="459">
        <f>SUM(Q15:Q17)</f>
        <v>0</v>
      </c>
      <c r="R14" s="504">
        <f>SUM(R15:R18)</f>
        <v>32708</v>
      </c>
      <c r="T14" s="2"/>
    </row>
    <row r="15" spans="1:20" x14ac:dyDescent="0.2">
      <c r="A15" s="769"/>
      <c r="B15" s="197">
        <v>610</v>
      </c>
      <c r="C15" s="219" t="s">
        <v>292</v>
      </c>
      <c r="D15" s="220"/>
      <c r="E15" s="220">
        <v>13875</v>
      </c>
      <c r="F15" s="220">
        <v>15734</v>
      </c>
      <c r="G15" s="220">
        <v>16231</v>
      </c>
      <c r="H15" s="220">
        <v>16787</v>
      </c>
      <c r="I15" s="41">
        <v>17943</v>
      </c>
      <c r="J15" s="42">
        <v>18167</v>
      </c>
      <c r="K15" s="42">
        <v>15592</v>
      </c>
      <c r="L15" s="198">
        <v>15883.66</v>
      </c>
      <c r="M15" s="93">
        <v>19536.88</v>
      </c>
      <c r="N15" s="93">
        <v>20405.939999999999</v>
      </c>
      <c r="O15" s="472">
        <v>21492</v>
      </c>
      <c r="P15" s="491"/>
      <c r="Q15" s="562"/>
      <c r="R15" s="563">
        <f>O15+P15+Q15</f>
        <v>21492</v>
      </c>
      <c r="T15" s="2"/>
    </row>
    <row r="16" spans="1:20" x14ac:dyDescent="0.2">
      <c r="A16" s="774"/>
      <c r="B16" s="199">
        <v>620</v>
      </c>
      <c r="C16" s="221" t="s">
        <v>293</v>
      </c>
      <c r="D16" s="222"/>
      <c r="E16" s="222">
        <v>4647</v>
      </c>
      <c r="F16" s="222">
        <v>5411</v>
      </c>
      <c r="G16" s="222">
        <v>5677</v>
      </c>
      <c r="H16" s="222">
        <v>6011</v>
      </c>
      <c r="I16" s="43">
        <v>6464</v>
      </c>
      <c r="J16" s="44">
        <v>6580</v>
      </c>
      <c r="K16" s="44">
        <v>5691</v>
      </c>
      <c r="L16" s="200">
        <v>6220</v>
      </c>
      <c r="M16" s="26">
        <v>6654.3</v>
      </c>
      <c r="N16" s="26">
        <v>7320.69</v>
      </c>
      <c r="O16" s="473">
        <v>8016</v>
      </c>
      <c r="P16" s="492"/>
      <c r="Q16" s="564"/>
      <c r="R16" s="565">
        <f>O16+P16+Q16</f>
        <v>8016</v>
      </c>
      <c r="T16" s="2"/>
    </row>
    <row r="17" spans="1:20" x14ac:dyDescent="0.2">
      <c r="A17" s="774"/>
      <c r="B17" s="199">
        <v>630</v>
      </c>
      <c r="C17" s="221" t="s">
        <v>294</v>
      </c>
      <c r="D17" s="222"/>
      <c r="E17" s="222">
        <v>3718</v>
      </c>
      <c r="F17" s="222">
        <v>4282</v>
      </c>
      <c r="G17" s="222">
        <v>4995</v>
      </c>
      <c r="H17" s="222">
        <v>7000</v>
      </c>
      <c r="I17" s="43">
        <v>4529</v>
      </c>
      <c r="J17" s="44">
        <v>3216</v>
      </c>
      <c r="K17" s="44">
        <v>2533</v>
      </c>
      <c r="L17" s="200">
        <v>2610.08</v>
      </c>
      <c r="M17" s="26">
        <v>2181.04</v>
      </c>
      <c r="N17" s="26">
        <v>2356.66</v>
      </c>
      <c r="O17" s="473">
        <v>3200</v>
      </c>
      <c r="P17" s="492"/>
      <c r="Q17" s="564"/>
      <c r="R17" s="565">
        <f>O17+P17+Q17</f>
        <v>3200</v>
      </c>
      <c r="T17" s="2"/>
    </row>
    <row r="18" spans="1:20" ht="13.5" thickBot="1" x14ac:dyDescent="0.25">
      <c r="A18" s="770"/>
      <c r="B18" s="45"/>
      <c r="C18" s="203"/>
      <c r="D18" s="223"/>
      <c r="E18" s="223"/>
      <c r="F18" s="223"/>
      <c r="G18" s="223"/>
      <c r="H18" s="223"/>
      <c r="I18" s="143"/>
      <c r="J18" s="44"/>
      <c r="K18" s="44">
        <v>234</v>
      </c>
      <c r="L18" s="116">
        <v>336.48</v>
      </c>
      <c r="M18" s="70">
        <v>115.83</v>
      </c>
      <c r="N18" s="70"/>
      <c r="O18" s="460"/>
      <c r="P18" s="493"/>
      <c r="Q18" s="568"/>
      <c r="R18" s="570">
        <f>O18+P18+Q18</f>
        <v>0</v>
      </c>
      <c r="T18" s="2"/>
    </row>
    <row r="19" spans="1:20" ht="15.75" thickBot="1" x14ac:dyDescent="0.3">
      <c r="A19" s="207" t="s">
        <v>301</v>
      </c>
      <c r="B19" s="735" t="s">
        <v>302</v>
      </c>
      <c r="C19" s="746"/>
      <c r="D19" s="208">
        <v>13145</v>
      </c>
      <c r="E19" s="208">
        <v>10057</v>
      </c>
      <c r="F19" s="208">
        <v>8498</v>
      </c>
      <c r="G19" s="208">
        <v>54518</v>
      </c>
      <c r="H19" s="67">
        <f t="shared" ref="H19:N19" si="2">H22+H20+H21+H23+H24</f>
        <v>31457</v>
      </c>
      <c r="I19" s="67">
        <f t="shared" si="2"/>
        <v>31963</v>
      </c>
      <c r="J19" s="67">
        <f t="shared" si="2"/>
        <v>33449</v>
      </c>
      <c r="K19" s="67">
        <f t="shared" si="2"/>
        <v>18092</v>
      </c>
      <c r="L19" s="209">
        <f t="shared" si="2"/>
        <v>54586.799999999996</v>
      </c>
      <c r="M19" s="67">
        <f t="shared" si="2"/>
        <v>16584.939999999999</v>
      </c>
      <c r="N19" s="67">
        <f t="shared" si="2"/>
        <v>25483.510000000002</v>
      </c>
      <c r="O19" s="459">
        <f>O22+O20+O21+O23+O24</f>
        <v>15230</v>
      </c>
      <c r="P19" s="459">
        <f>P22+P20+P21+P23+P24</f>
        <v>7597</v>
      </c>
      <c r="Q19" s="459">
        <f>Q22+Q20+Q21+Q23+Q24</f>
        <v>0</v>
      </c>
      <c r="R19" s="505">
        <f>R22+R20+R21+R23+R24</f>
        <v>22827</v>
      </c>
      <c r="T19" s="2"/>
    </row>
    <row r="20" spans="1:20" x14ac:dyDescent="0.2">
      <c r="A20" s="771"/>
      <c r="B20" s="224">
        <v>610</v>
      </c>
      <c r="C20" s="219" t="s">
        <v>292</v>
      </c>
      <c r="D20" s="220"/>
      <c r="E20" s="220">
        <v>0</v>
      </c>
      <c r="F20" s="220">
        <v>4482</v>
      </c>
      <c r="G20" s="220">
        <v>7787</v>
      </c>
      <c r="H20" s="220">
        <v>7509</v>
      </c>
      <c r="I20" s="219">
        <v>7692</v>
      </c>
      <c r="J20" s="42">
        <v>7969</v>
      </c>
      <c r="K20" s="42">
        <v>7777</v>
      </c>
      <c r="L20" s="198">
        <v>7662.08</v>
      </c>
      <c r="M20" s="93">
        <v>8679.9500000000007</v>
      </c>
      <c r="N20" s="93">
        <v>9877.67</v>
      </c>
      <c r="O20" s="472">
        <v>10506</v>
      </c>
      <c r="P20" s="491"/>
      <c r="Q20" s="562"/>
      <c r="R20" s="563">
        <f>O20+P20+Q20</f>
        <v>10506</v>
      </c>
      <c r="T20" s="2"/>
    </row>
    <row r="21" spans="1:20" x14ac:dyDescent="0.2">
      <c r="A21" s="772"/>
      <c r="B21" s="225">
        <v>620</v>
      </c>
      <c r="C21" s="221" t="s">
        <v>293</v>
      </c>
      <c r="D21" s="201"/>
      <c r="E21" s="201">
        <v>0</v>
      </c>
      <c r="F21" s="201">
        <v>2058</v>
      </c>
      <c r="G21" s="201">
        <v>3864</v>
      </c>
      <c r="H21" s="201">
        <v>2426</v>
      </c>
      <c r="I21" s="221">
        <v>2683</v>
      </c>
      <c r="J21" s="44">
        <v>3469</v>
      </c>
      <c r="K21" s="44">
        <v>3267</v>
      </c>
      <c r="L21" s="200">
        <v>3320.66</v>
      </c>
      <c r="M21" s="26">
        <v>3113.97</v>
      </c>
      <c r="N21" s="26">
        <v>3720.13</v>
      </c>
      <c r="O21" s="473">
        <v>3924</v>
      </c>
      <c r="P21" s="492"/>
      <c r="Q21" s="564"/>
      <c r="R21" s="565">
        <f>O21+P21+Q21</f>
        <v>3924</v>
      </c>
      <c r="T21" s="2"/>
    </row>
    <row r="22" spans="1:20" x14ac:dyDescent="0.2">
      <c r="A22" s="772"/>
      <c r="B22" s="225">
        <v>630</v>
      </c>
      <c r="C22" s="221" t="s">
        <v>294</v>
      </c>
      <c r="D22" s="201"/>
      <c r="E22" s="201">
        <v>0</v>
      </c>
      <c r="F22" s="201">
        <v>1958</v>
      </c>
      <c r="G22" s="201">
        <v>42867</v>
      </c>
      <c r="H22" s="201">
        <v>1012</v>
      </c>
      <c r="I22" s="221">
        <v>989</v>
      </c>
      <c r="J22" s="44">
        <v>1227</v>
      </c>
      <c r="K22" s="44">
        <v>947</v>
      </c>
      <c r="L22" s="200">
        <v>588.04</v>
      </c>
      <c r="M22" s="26">
        <v>634.67999999999995</v>
      </c>
      <c r="N22" s="26">
        <v>827.63</v>
      </c>
      <c r="O22" s="473">
        <v>800</v>
      </c>
      <c r="P22" s="492"/>
      <c r="Q22" s="564"/>
      <c r="R22" s="565">
        <f>O22+P22+Q22</f>
        <v>800</v>
      </c>
      <c r="T22" s="2"/>
    </row>
    <row r="23" spans="1:20" x14ac:dyDescent="0.2">
      <c r="A23" s="772"/>
      <c r="B23" s="225">
        <v>640</v>
      </c>
      <c r="C23" s="43" t="s">
        <v>295</v>
      </c>
      <c r="D23" s="44"/>
      <c r="E23" s="44"/>
      <c r="F23" s="44"/>
      <c r="G23" s="44"/>
      <c r="H23" s="44"/>
      <c r="I23" s="43"/>
      <c r="J23" s="44">
        <v>3100</v>
      </c>
      <c r="K23" s="44"/>
      <c r="L23" s="26"/>
      <c r="M23" s="26">
        <v>113.93</v>
      </c>
      <c r="N23" s="26"/>
      <c r="O23" s="473"/>
      <c r="P23" s="492"/>
      <c r="Q23" s="564"/>
      <c r="R23" s="565">
        <f>O23+P23+Q23</f>
        <v>0</v>
      </c>
      <c r="T23" s="2"/>
    </row>
    <row r="24" spans="1:20" ht="13.5" thickBot="1" x14ac:dyDescent="0.25">
      <c r="A24" s="773"/>
      <c r="B24" s="226">
        <v>600</v>
      </c>
      <c r="C24" s="203" t="s">
        <v>303</v>
      </c>
      <c r="D24" s="227"/>
      <c r="E24" s="227"/>
      <c r="F24" s="227"/>
      <c r="G24" s="227"/>
      <c r="H24" s="44">
        <v>20510</v>
      </c>
      <c r="I24" s="203">
        <v>20599</v>
      </c>
      <c r="J24" s="44">
        <v>17684</v>
      </c>
      <c r="K24" s="44">
        <v>6101</v>
      </c>
      <c r="L24" s="116">
        <v>43016.02</v>
      </c>
      <c r="M24" s="70">
        <v>4042.409999999998</v>
      </c>
      <c r="N24" s="70">
        <v>11058.08</v>
      </c>
      <c r="O24" s="460"/>
      <c r="P24" s="698">
        <v>7597</v>
      </c>
      <c r="Q24" s="568"/>
      <c r="R24" s="570">
        <f>O24+P24+Q24</f>
        <v>7597</v>
      </c>
      <c r="T24" s="2"/>
    </row>
    <row r="25" spans="1:20" ht="15.75" thickBot="1" x14ac:dyDescent="0.3">
      <c r="A25" s="207" t="s">
        <v>304</v>
      </c>
      <c r="B25" s="735" t="s">
        <v>89</v>
      </c>
      <c r="C25" s="746"/>
      <c r="D25" s="228">
        <f>D26</f>
        <v>86802</v>
      </c>
      <c r="E25" s="228">
        <f>E26</f>
        <v>77342</v>
      </c>
      <c r="F25" s="228">
        <f>F26</f>
        <v>79566</v>
      </c>
      <c r="G25" s="228">
        <f>G26</f>
        <v>75201</v>
      </c>
      <c r="H25" s="228">
        <f>H26</f>
        <v>66074</v>
      </c>
      <c r="I25" s="67">
        <f t="shared" ref="I25:Q25" si="3">I26</f>
        <v>84841</v>
      </c>
      <c r="J25" s="67">
        <f t="shared" si="3"/>
        <v>92558</v>
      </c>
      <c r="K25" s="67">
        <f t="shared" si="3"/>
        <v>89614</v>
      </c>
      <c r="L25" s="209">
        <f>L26</f>
        <v>87966.26</v>
      </c>
      <c r="M25" s="67">
        <f t="shared" si="3"/>
        <v>89070.75</v>
      </c>
      <c r="N25" s="459">
        <f t="shared" si="3"/>
        <v>84152.6</v>
      </c>
      <c r="O25" s="459">
        <f t="shared" si="3"/>
        <v>75000</v>
      </c>
      <c r="P25" s="459">
        <f t="shared" si="3"/>
        <v>0</v>
      </c>
      <c r="Q25" s="459">
        <f t="shared" si="3"/>
        <v>0</v>
      </c>
      <c r="R25" s="505">
        <f>R26</f>
        <v>75000</v>
      </c>
      <c r="T25" s="2"/>
    </row>
    <row r="26" spans="1:20" ht="13.5" thickBot="1" x14ac:dyDescent="0.25">
      <c r="A26" s="229"/>
      <c r="B26" s="230">
        <v>630</v>
      </c>
      <c r="C26" s="231" t="s">
        <v>305</v>
      </c>
      <c r="D26" s="232">
        <v>86802</v>
      </c>
      <c r="E26" s="232">
        <v>77342</v>
      </c>
      <c r="F26" s="232">
        <v>79566</v>
      </c>
      <c r="G26" s="232">
        <v>75201</v>
      </c>
      <c r="H26" s="232">
        <v>66074</v>
      </c>
      <c r="I26" s="143">
        <v>84841</v>
      </c>
      <c r="J26" s="143">
        <v>92558</v>
      </c>
      <c r="K26" s="83">
        <v>89614</v>
      </c>
      <c r="L26" s="116">
        <v>87966.26</v>
      </c>
      <c r="M26" s="70">
        <v>89070.75</v>
      </c>
      <c r="N26" s="70">
        <v>84152.6</v>
      </c>
      <c r="O26" s="460">
        <v>75000</v>
      </c>
      <c r="P26" s="495"/>
      <c r="Q26" s="571"/>
      <c r="R26" s="572">
        <f>O26+P26+Q26</f>
        <v>75000</v>
      </c>
      <c r="T26" s="2"/>
    </row>
    <row r="27" spans="1:20" ht="15.75" thickBot="1" x14ac:dyDescent="0.3">
      <c r="A27" s="207" t="s">
        <v>306</v>
      </c>
      <c r="B27" s="735" t="s">
        <v>307</v>
      </c>
      <c r="C27" s="746"/>
      <c r="D27" s="228">
        <f>D28</f>
        <v>0</v>
      </c>
      <c r="E27" s="228">
        <f>E28</f>
        <v>1826</v>
      </c>
      <c r="F27" s="228">
        <f>F28</f>
        <v>66</v>
      </c>
      <c r="G27" s="228">
        <f>G28</f>
        <v>770</v>
      </c>
      <c r="H27" s="228">
        <f>H28</f>
        <v>2589</v>
      </c>
      <c r="I27" s="67">
        <f t="shared" ref="I27:Q27" si="4">I28</f>
        <v>366</v>
      </c>
      <c r="J27" s="67">
        <f t="shared" si="4"/>
        <v>274</v>
      </c>
      <c r="K27" s="67">
        <f t="shared" si="4"/>
        <v>464</v>
      </c>
      <c r="L27" s="67">
        <f t="shared" si="4"/>
        <v>276.29000000000002</v>
      </c>
      <c r="M27" s="67">
        <f t="shared" si="4"/>
        <v>34.4</v>
      </c>
      <c r="N27" s="459">
        <f t="shared" si="4"/>
        <v>81.5</v>
      </c>
      <c r="O27" s="459">
        <f t="shared" si="4"/>
        <v>500</v>
      </c>
      <c r="P27" s="459">
        <f t="shared" si="4"/>
        <v>0</v>
      </c>
      <c r="Q27" s="459">
        <f t="shared" si="4"/>
        <v>0</v>
      </c>
      <c r="R27" s="505">
        <f>R28</f>
        <v>500</v>
      </c>
      <c r="T27" s="2"/>
    </row>
    <row r="28" spans="1:20" ht="13.5" thickBot="1" x14ac:dyDescent="0.25">
      <c r="A28" s="233"/>
      <c r="B28" s="234"/>
      <c r="C28" s="231" t="s">
        <v>308</v>
      </c>
      <c r="D28" s="232">
        <v>0</v>
      </c>
      <c r="E28" s="232">
        <v>1826</v>
      </c>
      <c r="F28" s="232">
        <v>66</v>
      </c>
      <c r="G28" s="232">
        <v>770</v>
      </c>
      <c r="H28" s="232">
        <v>2589</v>
      </c>
      <c r="I28" s="143">
        <v>366</v>
      </c>
      <c r="J28" s="143">
        <v>274</v>
      </c>
      <c r="K28" s="83">
        <v>464</v>
      </c>
      <c r="L28" s="116">
        <v>276.29000000000002</v>
      </c>
      <c r="M28" s="70">
        <v>34.4</v>
      </c>
      <c r="N28" s="70">
        <v>81.5</v>
      </c>
      <c r="O28" s="460">
        <v>500</v>
      </c>
      <c r="P28" s="490"/>
      <c r="Q28" s="573"/>
      <c r="R28" s="574">
        <f>O28+P28+Q28</f>
        <v>500</v>
      </c>
      <c r="T28" s="2"/>
    </row>
    <row r="29" spans="1:20" ht="15.75" thickBot="1" x14ac:dyDescent="0.3">
      <c r="A29" s="207" t="s">
        <v>95</v>
      </c>
      <c r="B29" s="735" t="s">
        <v>309</v>
      </c>
      <c r="C29" s="746"/>
      <c r="D29" s="208">
        <v>80362</v>
      </c>
      <c r="E29" s="208">
        <v>93674</v>
      </c>
      <c r="F29" s="208">
        <v>104461</v>
      </c>
      <c r="G29" s="208">
        <v>126342</v>
      </c>
      <c r="H29" s="67">
        <f>SUM(H30:H32)</f>
        <v>137485</v>
      </c>
      <c r="I29" s="67">
        <f>SUM(I30:I32)</f>
        <v>141454</v>
      </c>
      <c r="J29" s="67">
        <f>SUM(J30:J32)</f>
        <v>150296</v>
      </c>
      <c r="K29" s="67">
        <f>SUM(K30:K32)</f>
        <v>153336</v>
      </c>
      <c r="L29" s="209">
        <f>SUM(L30:L33)</f>
        <v>153063.15</v>
      </c>
      <c r="M29" s="67">
        <f>SUM(M30:M33)</f>
        <v>160199.88999999998</v>
      </c>
      <c r="N29" s="459">
        <f>SUM(N30:N33)</f>
        <v>160815.16</v>
      </c>
      <c r="O29" s="459">
        <f>SUM(O30:O32)</f>
        <v>177599</v>
      </c>
      <c r="P29" s="459">
        <f>SUM(P30:P32)</f>
        <v>0</v>
      </c>
      <c r="Q29" s="459">
        <f>SUM(Q30:Q32)</f>
        <v>0</v>
      </c>
      <c r="R29" s="505">
        <f>SUM(R30:R33)</f>
        <v>177599</v>
      </c>
      <c r="T29" s="2"/>
    </row>
    <row r="30" spans="1:20" x14ac:dyDescent="0.2">
      <c r="A30" s="720"/>
      <c r="B30" s="224">
        <v>610</v>
      </c>
      <c r="C30" s="41" t="s">
        <v>292</v>
      </c>
      <c r="D30" s="156"/>
      <c r="E30" s="156">
        <v>56762</v>
      </c>
      <c r="F30" s="156">
        <v>60944</v>
      </c>
      <c r="G30" s="156">
        <v>75340</v>
      </c>
      <c r="H30" s="156">
        <v>84414</v>
      </c>
      <c r="I30" s="41">
        <v>89012</v>
      </c>
      <c r="J30" s="42">
        <v>92984</v>
      </c>
      <c r="K30" s="42">
        <v>93001</v>
      </c>
      <c r="L30" s="149">
        <v>93672.78</v>
      </c>
      <c r="M30" s="42">
        <v>102320.64</v>
      </c>
      <c r="N30" s="93">
        <v>102319.48</v>
      </c>
      <c r="O30" s="472">
        <v>108850</v>
      </c>
      <c r="P30" s="622"/>
      <c r="Q30" s="562"/>
      <c r="R30" s="563">
        <f>O30+P30+Q30</f>
        <v>108850</v>
      </c>
      <c r="T30" s="2"/>
    </row>
    <row r="31" spans="1:20" x14ac:dyDescent="0.2">
      <c r="A31" s="721"/>
      <c r="B31" s="225">
        <v>620</v>
      </c>
      <c r="C31" s="43" t="s">
        <v>293</v>
      </c>
      <c r="D31" s="235"/>
      <c r="E31" s="235">
        <v>20315</v>
      </c>
      <c r="F31" s="235">
        <v>21709</v>
      </c>
      <c r="G31" s="235">
        <v>27650</v>
      </c>
      <c r="H31" s="235">
        <v>30919</v>
      </c>
      <c r="I31" s="43">
        <v>32877</v>
      </c>
      <c r="J31" s="44">
        <v>34488</v>
      </c>
      <c r="K31" s="44">
        <v>34548</v>
      </c>
      <c r="L31" s="114">
        <v>37213.83</v>
      </c>
      <c r="M31" s="44">
        <v>35543.370000000003</v>
      </c>
      <c r="N31" s="26">
        <v>37856.519999999997</v>
      </c>
      <c r="O31" s="473">
        <v>40249</v>
      </c>
      <c r="P31" s="668"/>
      <c r="Q31" s="564"/>
      <c r="R31" s="565">
        <f>O31+P31+Q31</f>
        <v>40249</v>
      </c>
      <c r="T31" s="2"/>
    </row>
    <row r="32" spans="1:20" x14ac:dyDescent="0.2">
      <c r="A32" s="721"/>
      <c r="B32" s="225">
        <v>630</v>
      </c>
      <c r="C32" s="43" t="s">
        <v>294</v>
      </c>
      <c r="D32" s="235"/>
      <c r="E32" s="235">
        <v>16597</v>
      </c>
      <c r="F32" s="235">
        <v>21078</v>
      </c>
      <c r="G32" s="235">
        <v>23021</v>
      </c>
      <c r="H32" s="235">
        <f>22134+18</f>
        <v>22152</v>
      </c>
      <c r="I32" s="43">
        <v>19565</v>
      </c>
      <c r="J32" s="44">
        <v>22824</v>
      </c>
      <c r="K32" s="44">
        <v>25787</v>
      </c>
      <c r="L32" s="114">
        <v>22014.74</v>
      </c>
      <c r="M32" s="44">
        <v>22171.17</v>
      </c>
      <c r="N32" s="26">
        <v>20256.810000000001</v>
      </c>
      <c r="O32" s="473">
        <v>28500</v>
      </c>
      <c r="P32" s="668"/>
      <c r="Q32" s="564"/>
      <c r="R32" s="565">
        <f>O32+P32+Q32</f>
        <v>28500</v>
      </c>
      <c r="T32" s="2"/>
    </row>
    <row r="33" spans="1:20" ht="13.5" thickBot="1" x14ac:dyDescent="0.25">
      <c r="A33" s="722"/>
      <c r="B33" s="225">
        <v>650</v>
      </c>
      <c r="C33" s="43" t="s">
        <v>310</v>
      </c>
      <c r="D33" s="232"/>
      <c r="E33" s="232"/>
      <c r="F33" s="232"/>
      <c r="G33" s="232"/>
      <c r="H33" s="232"/>
      <c r="I33" s="143"/>
      <c r="J33" s="143"/>
      <c r="K33" s="236"/>
      <c r="L33" s="116">
        <v>161.80000000000001</v>
      </c>
      <c r="M33" s="70">
        <v>164.71</v>
      </c>
      <c r="N33" s="70">
        <v>382.35</v>
      </c>
      <c r="O33" s="476"/>
      <c r="P33" s="493"/>
      <c r="Q33" s="568"/>
      <c r="R33" s="570">
        <f>O33+P33+Q33</f>
        <v>0</v>
      </c>
      <c r="T33" s="2"/>
    </row>
    <row r="34" spans="1:20" ht="15.75" thickBot="1" x14ac:dyDescent="0.3">
      <c r="A34" s="207" t="s">
        <v>311</v>
      </c>
      <c r="B34" s="735" t="s">
        <v>312</v>
      </c>
      <c r="C34" s="746"/>
      <c r="D34" s="228">
        <f>D35</f>
        <v>1328</v>
      </c>
      <c r="E34" s="228">
        <f>E35</f>
        <v>332</v>
      </c>
      <c r="F34" s="228">
        <f>F35</f>
        <v>797</v>
      </c>
      <c r="G34" s="228">
        <f>G35</f>
        <v>3524</v>
      </c>
      <c r="H34" s="228">
        <f>H35</f>
        <v>112</v>
      </c>
      <c r="I34" s="67">
        <f t="shared" ref="I34:Q34" si="5">I35</f>
        <v>600</v>
      </c>
      <c r="J34" s="67">
        <f t="shared" si="5"/>
        <v>1028</v>
      </c>
      <c r="K34" s="67">
        <f t="shared" si="5"/>
        <v>1230</v>
      </c>
      <c r="L34" s="209">
        <f t="shared" si="5"/>
        <v>600</v>
      </c>
      <c r="M34" s="67">
        <f t="shared" si="5"/>
        <v>1048.67</v>
      </c>
      <c r="N34" s="459">
        <f t="shared" si="5"/>
        <v>1510.99</v>
      </c>
      <c r="O34" s="459">
        <f t="shared" si="5"/>
        <v>2000</v>
      </c>
      <c r="P34" s="459">
        <f t="shared" si="5"/>
        <v>0</v>
      </c>
      <c r="Q34" s="459">
        <f t="shared" si="5"/>
        <v>0</v>
      </c>
      <c r="R34" s="505">
        <f>R35</f>
        <v>2000</v>
      </c>
      <c r="T34" s="2"/>
    </row>
    <row r="35" spans="1:20" ht="13.5" thickBot="1" x14ac:dyDescent="0.25">
      <c r="A35" s="233"/>
      <c r="B35" s="237"/>
      <c r="C35" s="238" t="s">
        <v>313</v>
      </c>
      <c r="D35" s="239">
        <v>1328</v>
      </c>
      <c r="E35" s="239">
        <v>332</v>
      </c>
      <c r="F35" s="239">
        <v>797</v>
      </c>
      <c r="G35" s="239">
        <v>3524</v>
      </c>
      <c r="H35" s="239">
        <v>112</v>
      </c>
      <c r="I35" s="115">
        <v>600</v>
      </c>
      <c r="J35" s="115">
        <v>1028</v>
      </c>
      <c r="K35" s="83">
        <v>1230</v>
      </c>
      <c r="L35" s="240">
        <v>600</v>
      </c>
      <c r="M35" s="83">
        <v>1048.67</v>
      </c>
      <c r="N35" s="12">
        <v>1510.99</v>
      </c>
      <c r="O35" s="461">
        <v>2000</v>
      </c>
      <c r="P35" s="490"/>
      <c r="Q35" s="573"/>
      <c r="R35" s="574">
        <f>O35+P35+Q35</f>
        <v>2000</v>
      </c>
      <c r="T35" s="2"/>
    </row>
    <row r="36" spans="1:20" ht="15.75" thickBot="1" x14ac:dyDescent="0.3">
      <c r="A36" s="242" t="s">
        <v>314</v>
      </c>
      <c r="B36" s="735" t="s">
        <v>315</v>
      </c>
      <c r="C36" s="746"/>
      <c r="D36" s="208">
        <v>64894</v>
      </c>
      <c r="E36" s="208">
        <v>59384</v>
      </c>
      <c r="F36" s="208">
        <v>62471</v>
      </c>
      <c r="G36" s="208">
        <v>47851</v>
      </c>
      <c r="H36" s="14">
        <f>SUM(H37:H39)</f>
        <v>43042</v>
      </c>
      <c r="I36" s="14">
        <f>SUM(I37:I39)</f>
        <v>42993</v>
      </c>
      <c r="J36" s="14">
        <f>SUM(J37:J39)</f>
        <v>45897</v>
      </c>
      <c r="K36" s="14">
        <f>SUM(K37:K40)</f>
        <v>45604</v>
      </c>
      <c r="L36" s="243">
        <f>SUM(L37:L40)</f>
        <v>70768.37</v>
      </c>
      <c r="M36" s="14">
        <f>SUM(M37:M40)</f>
        <v>57765.42</v>
      </c>
      <c r="N36" s="462">
        <f>SUM(N37:N40)</f>
        <v>67218.58</v>
      </c>
      <c r="O36" s="462">
        <f>SUM(O37:O39)</f>
        <v>58912</v>
      </c>
      <c r="P36" s="462">
        <f>SUM(P37:P39)</f>
        <v>0</v>
      </c>
      <c r="Q36" s="462">
        <f>SUM(Q37:Q39)</f>
        <v>0</v>
      </c>
      <c r="R36" s="505">
        <f>SUM(R37:R39)</f>
        <v>58912</v>
      </c>
      <c r="T36" s="2"/>
    </row>
    <row r="37" spans="1:20" x14ac:dyDescent="0.2">
      <c r="A37" s="720"/>
      <c r="B37" s="224">
        <v>610</v>
      </c>
      <c r="C37" s="41" t="s">
        <v>292</v>
      </c>
      <c r="D37" s="156"/>
      <c r="E37" s="156"/>
      <c r="F37" s="156"/>
      <c r="G37" s="156"/>
      <c r="H37" s="156">
        <v>19662</v>
      </c>
      <c r="I37" s="41">
        <v>20165</v>
      </c>
      <c r="J37" s="42">
        <v>21683</v>
      </c>
      <c r="K37" s="42">
        <v>23558</v>
      </c>
      <c r="L37" s="198">
        <v>34957.480000000003</v>
      </c>
      <c r="M37" s="93">
        <v>28518.63</v>
      </c>
      <c r="N37" s="93">
        <v>34041.99</v>
      </c>
      <c r="O37" s="472">
        <v>28648</v>
      </c>
      <c r="P37" s="491"/>
      <c r="Q37" s="562"/>
      <c r="R37" s="563">
        <f>O37+P37+Q37</f>
        <v>28648</v>
      </c>
      <c r="T37" s="2"/>
    </row>
    <row r="38" spans="1:20" x14ac:dyDescent="0.2">
      <c r="A38" s="721"/>
      <c r="B38" s="225">
        <v>620</v>
      </c>
      <c r="C38" s="43" t="s">
        <v>293</v>
      </c>
      <c r="D38" s="235"/>
      <c r="E38" s="235"/>
      <c r="F38" s="235"/>
      <c r="G38" s="235"/>
      <c r="H38" s="235">
        <v>6810</v>
      </c>
      <c r="I38" s="43">
        <v>7285</v>
      </c>
      <c r="J38" s="44">
        <v>7713</v>
      </c>
      <c r="K38" s="44">
        <v>8188</v>
      </c>
      <c r="L38" s="200">
        <v>13167.56</v>
      </c>
      <c r="M38" s="26">
        <v>9242.2099999999991</v>
      </c>
      <c r="N38" s="26">
        <v>11670.69</v>
      </c>
      <c r="O38" s="473">
        <v>10264</v>
      </c>
      <c r="P38" s="492"/>
      <c r="Q38" s="564"/>
      <c r="R38" s="565">
        <f>O38+P38+Q38</f>
        <v>10264</v>
      </c>
      <c r="S38" s="2"/>
      <c r="T38" s="2"/>
    </row>
    <row r="39" spans="1:20" x14ac:dyDescent="0.2">
      <c r="A39" s="721"/>
      <c r="B39" s="225">
        <v>630</v>
      </c>
      <c r="C39" s="43" t="s">
        <v>294</v>
      </c>
      <c r="D39" s="235"/>
      <c r="E39" s="235"/>
      <c r="F39" s="235"/>
      <c r="G39" s="235"/>
      <c r="H39" s="235">
        <v>16570</v>
      </c>
      <c r="I39" s="43">
        <v>15543</v>
      </c>
      <c r="J39" s="44">
        <v>16501</v>
      </c>
      <c r="K39" s="44">
        <v>13727</v>
      </c>
      <c r="L39" s="200">
        <v>20379.169999999998</v>
      </c>
      <c r="M39" s="26">
        <v>19888.419999999998</v>
      </c>
      <c r="N39" s="26">
        <v>21248.55</v>
      </c>
      <c r="O39" s="473">
        <v>20000</v>
      </c>
      <c r="P39" s="492"/>
      <c r="Q39" s="564"/>
      <c r="R39" s="565">
        <f>O39+P39+Q39</f>
        <v>20000</v>
      </c>
      <c r="T39" s="2"/>
    </row>
    <row r="40" spans="1:20" ht="13.5" thickBot="1" x14ac:dyDescent="0.25">
      <c r="A40" s="722"/>
      <c r="B40" s="225">
        <v>640</v>
      </c>
      <c r="C40" s="203"/>
      <c r="D40" s="223"/>
      <c r="E40" s="223"/>
      <c r="F40" s="223"/>
      <c r="G40" s="223"/>
      <c r="H40" s="223"/>
      <c r="I40" s="143"/>
      <c r="J40" s="44"/>
      <c r="K40" s="44">
        <v>131</v>
      </c>
      <c r="L40" s="116">
        <v>2264.16</v>
      </c>
      <c r="M40" s="70">
        <v>116.16</v>
      </c>
      <c r="N40" s="70">
        <v>257.35000000000002</v>
      </c>
      <c r="O40" s="460"/>
      <c r="P40" s="493"/>
      <c r="Q40" s="575"/>
      <c r="R40" s="570">
        <f>O40+P40+Q40</f>
        <v>0</v>
      </c>
      <c r="T40" s="2"/>
    </row>
    <row r="41" spans="1:20" ht="15.75" thickBot="1" x14ac:dyDescent="0.3">
      <c r="A41" s="207" t="s">
        <v>316</v>
      </c>
      <c r="B41" s="735" t="s">
        <v>317</v>
      </c>
      <c r="C41" s="746"/>
      <c r="D41" s="228">
        <f>D42</f>
        <v>0</v>
      </c>
      <c r="E41" s="228">
        <f>E42</f>
        <v>0</v>
      </c>
      <c r="F41" s="228">
        <f>F42</f>
        <v>0</v>
      </c>
      <c r="G41" s="228">
        <f>G42</f>
        <v>66</v>
      </c>
      <c r="H41" s="228">
        <f>H42</f>
        <v>175</v>
      </c>
      <c r="I41" s="67">
        <f t="shared" ref="I41:Q41" si="6">I42</f>
        <v>269</v>
      </c>
      <c r="J41" s="67">
        <f t="shared" si="6"/>
        <v>182</v>
      </c>
      <c r="K41" s="67">
        <f t="shared" si="6"/>
        <v>104</v>
      </c>
      <c r="L41" s="209">
        <f t="shared" si="6"/>
        <v>169.4</v>
      </c>
      <c r="M41" s="67">
        <f t="shared" si="6"/>
        <v>87.6</v>
      </c>
      <c r="N41" s="459">
        <f t="shared" si="6"/>
        <v>40.1</v>
      </c>
      <c r="O41" s="459">
        <f t="shared" si="6"/>
        <v>200</v>
      </c>
      <c r="P41" s="459">
        <f t="shared" si="6"/>
        <v>0</v>
      </c>
      <c r="Q41" s="459">
        <f t="shared" si="6"/>
        <v>0</v>
      </c>
      <c r="R41" s="505">
        <f>R42</f>
        <v>200</v>
      </c>
      <c r="T41" s="2"/>
    </row>
    <row r="42" spans="1:20" ht="13.5" thickBot="1" x14ac:dyDescent="0.25">
      <c r="A42" s="244"/>
      <c r="B42" s="245">
        <v>640</v>
      </c>
      <c r="C42" s="143" t="s">
        <v>318</v>
      </c>
      <c r="D42" s="232"/>
      <c r="E42" s="232"/>
      <c r="F42" s="232"/>
      <c r="G42" s="232">
        <v>66</v>
      </c>
      <c r="H42" s="232">
        <v>175</v>
      </c>
      <c r="I42" s="143">
        <v>269</v>
      </c>
      <c r="J42" s="143">
        <v>182</v>
      </c>
      <c r="K42" s="143">
        <v>104</v>
      </c>
      <c r="L42" s="246">
        <v>169.4</v>
      </c>
      <c r="M42" s="83">
        <v>87.6</v>
      </c>
      <c r="N42" s="12">
        <v>40.1</v>
      </c>
      <c r="O42" s="461">
        <v>200</v>
      </c>
      <c r="P42" s="490"/>
      <c r="Q42" s="573"/>
      <c r="R42" s="574">
        <f>O42+P42+Q42</f>
        <v>200</v>
      </c>
      <c r="T42" s="2"/>
    </row>
    <row r="43" spans="1:20" ht="15.75" thickBot="1" x14ac:dyDescent="0.3">
      <c r="A43" s="207" t="s">
        <v>90</v>
      </c>
      <c r="B43" s="735" t="s">
        <v>93</v>
      </c>
      <c r="C43" s="746"/>
      <c r="D43" s="208">
        <v>29310</v>
      </c>
      <c r="E43" s="208">
        <v>30173</v>
      </c>
      <c r="F43" s="208">
        <v>33061</v>
      </c>
      <c r="G43" s="208">
        <v>31215</v>
      </c>
      <c r="H43" s="14">
        <f t="shared" ref="H43:M43" si="7">SUM(H44:H46)</f>
        <v>30188</v>
      </c>
      <c r="I43" s="14">
        <f t="shared" si="7"/>
        <v>30251</v>
      </c>
      <c r="J43" s="14">
        <f t="shared" si="7"/>
        <v>29902</v>
      </c>
      <c r="K43" s="14">
        <f t="shared" si="7"/>
        <v>27922</v>
      </c>
      <c r="L43" s="14">
        <f t="shared" si="7"/>
        <v>26736.059999999998</v>
      </c>
      <c r="M43" s="14">
        <f t="shared" si="7"/>
        <v>31580.040000000005</v>
      </c>
      <c r="N43" s="462">
        <f>SUM(N44:N46)</f>
        <v>36470.850000000006</v>
      </c>
      <c r="O43" s="462">
        <f>SUM(O44:O47)</f>
        <v>50818</v>
      </c>
      <c r="P43" s="462">
        <f>SUM(P44:P47)</f>
        <v>0</v>
      </c>
      <c r="Q43" s="462">
        <f>SUM(Q44:Q47)</f>
        <v>0</v>
      </c>
      <c r="R43" s="505">
        <f>SUM(R44:R47)</f>
        <v>50818</v>
      </c>
      <c r="T43" s="2"/>
    </row>
    <row r="44" spans="1:20" x14ac:dyDescent="0.2">
      <c r="A44" s="720"/>
      <c r="B44" s="224">
        <v>610</v>
      </c>
      <c r="C44" s="41" t="s">
        <v>292</v>
      </c>
      <c r="D44" s="156"/>
      <c r="E44" s="156">
        <v>17128</v>
      </c>
      <c r="F44" s="156">
        <v>19186</v>
      </c>
      <c r="G44" s="156">
        <v>18647</v>
      </c>
      <c r="H44" s="156">
        <v>19330</v>
      </c>
      <c r="I44" s="41">
        <v>19430</v>
      </c>
      <c r="J44" s="42">
        <v>19249</v>
      </c>
      <c r="K44" s="42">
        <v>18860</v>
      </c>
      <c r="L44" s="149">
        <v>17749.95</v>
      </c>
      <c r="M44" s="42">
        <v>21482.58</v>
      </c>
      <c r="N44" s="93">
        <v>23137.49</v>
      </c>
      <c r="O44" s="472">
        <v>25949</v>
      </c>
      <c r="P44" s="491"/>
      <c r="Q44" s="562"/>
      <c r="R44" s="563">
        <f>O44+P44+Q44</f>
        <v>25949</v>
      </c>
      <c r="T44" s="2"/>
    </row>
    <row r="45" spans="1:20" x14ac:dyDescent="0.2">
      <c r="A45" s="721"/>
      <c r="B45" s="225">
        <v>620</v>
      </c>
      <c r="C45" s="43" t="s">
        <v>293</v>
      </c>
      <c r="D45" s="235"/>
      <c r="E45" s="235">
        <v>6174</v>
      </c>
      <c r="F45" s="235">
        <v>6440</v>
      </c>
      <c r="G45" s="235">
        <v>6250</v>
      </c>
      <c r="H45" s="235">
        <v>6780</v>
      </c>
      <c r="I45" s="43">
        <v>6793</v>
      </c>
      <c r="J45" s="44">
        <v>6741</v>
      </c>
      <c r="K45" s="44">
        <v>6528</v>
      </c>
      <c r="L45" s="114">
        <v>6227.83</v>
      </c>
      <c r="M45" s="44">
        <v>7544.26</v>
      </c>
      <c r="N45" s="26">
        <v>8118.17</v>
      </c>
      <c r="O45" s="473">
        <v>9069</v>
      </c>
      <c r="P45" s="492"/>
      <c r="Q45" s="564"/>
      <c r="R45" s="565">
        <f>O45+P45+Q45</f>
        <v>9069</v>
      </c>
      <c r="T45" s="2"/>
    </row>
    <row r="46" spans="1:20" x14ac:dyDescent="0.2">
      <c r="A46" s="721"/>
      <c r="B46" s="199">
        <v>630</v>
      </c>
      <c r="C46" s="43" t="s">
        <v>294</v>
      </c>
      <c r="D46" s="235"/>
      <c r="E46" s="235">
        <v>6871</v>
      </c>
      <c r="F46" s="235">
        <v>7435</v>
      </c>
      <c r="G46" s="235">
        <v>6318</v>
      </c>
      <c r="H46" s="235">
        <v>4078</v>
      </c>
      <c r="I46" s="43">
        <v>4028</v>
      </c>
      <c r="J46" s="44">
        <v>3912</v>
      </c>
      <c r="K46" s="44">
        <f>27588-25054</f>
        <v>2534</v>
      </c>
      <c r="L46" s="114">
        <v>2758.28</v>
      </c>
      <c r="M46" s="44">
        <v>2553.1999999999998</v>
      </c>
      <c r="N46" s="26">
        <v>5215.1899999999996</v>
      </c>
      <c r="O46" s="473">
        <v>2800</v>
      </c>
      <c r="P46" s="492"/>
      <c r="Q46" s="564"/>
      <c r="R46" s="565">
        <f>O46+P46+Q46</f>
        <v>2800</v>
      </c>
      <c r="T46" s="2"/>
    </row>
    <row r="47" spans="1:20" ht="13.5" thickBot="1" x14ac:dyDescent="0.25">
      <c r="A47" s="722"/>
      <c r="B47" s="320">
        <v>630</v>
      </c>
      <c r="C47" s="46" t="s">
        <v>404</v>
      </c>
      <c r="D47" s="151"/>
      <c r="E47" s="151"/>
      <c r="F47" s="151"/>
      <c r="G47" s="151"/>
      <c r="H47" s="151"/>
      <c r="I47" s="46"/>
      <c r="J47" s="60"/>
      <c r="K47" s="60"/>
      <c r="L47" s="295"/>
      <c r="M47" s="60"/>
      <c r="N47" s="48"/>
      <c r="O47" s="464">
        <v>13000</v>
      </c>
      <c r="P47" s="496"/>
      <c r="Q47" s="689"/>
      <c r="R47" s="565">
        <f>O47+P47+Q47</f>
        <v>13000</v>
      </c>
      <c r="T47" s="2"/>
    </row>
    <row r="48" spans="1:20" ht="15.75" thickBot="1" x14ac:dyDescent="0.3">
      <c r="A48" s="207" t="s">
        <v>256</v>
      </c>
      <c r="B48" s="735" t="s">
        <v>258</v>
      </c>
      <c r="C48" s="746"/>
      <c r="D48" s="228">
        <v>13278</v>
      </c>
      <c r="E48" s="228">
        <v>366029</v>
      </c>
      <c r="F48" s="228">
        <v>277733</v>
      </c>
      <c r="G48" s="228">
        <v>398013</v>
      </c>
      <c r="H48" s="228">
        <v>368170</v>
      </c>
      <c r="I48" s="67">
        <f t="shared" ref="I48:Q48" si="8">SUM(I49:I53)</f>
        <v>294633</v>
      </c>
      <c r="J48" s="67">
        <f t="shared" si="8"/>
        <v>216960</v>
      </c>
      <c r="K48" s="67">
        <f t="shared" si="8"/>
        <v>236599</v>
      </c>
      <c r="L48" s="209">
        <f t="shared" si="8"/>
        <v>216987.18</v>
      </c>
      <c r="M48" s="67">
        <f t="shared" si="8"/>
        <v>226497.02000000002</v>
      </c>
      <c r="N48" s="459">
        <f>SUM(N49:N53)</f>
        <v>249510.29</v>
      </c>
      <c r="O48" s="459">
        <f t="shared" si="8"/>
        <v>271417</v>
      </c>
      <c r="P48" s="459">
        <f t="shared" si="8"/>
        <v>0</v>
      </c>
      <c r="Q48" s="459">
        <f t="shared" si="8"/>
        <v>0</v>
      </c>
      <c r="R48" s="505">
        <f>SUM(R49:R53)</f>
        <v>271417</v>
      </c>
      <c r="T48" s="2"/>
    </row>
    <row r="49" spans="1:20" x14ac:dyDescent="0.2">
      <c r="A49" s="771"/>
      <c r="B49" s="253">
        <v>640</v>
      </c>
      <c r="C49" s="250" t="s">
        <v>319</v>
      </c>
      <c r="D49" s="251"/>
      <c r="E49" s="251"/>
      <c r="F49" s="251"/>
      <c r="G49" s="251"/>
      <c r="H49" s="251">
        <v>307476</v>
      </c>
      <c r="I49" s="252">
        <v>234550</v>
      </c>
      <c r="J49" s="42">
        <v>150070</v>
      </c>
      <c r="K49" s="42">
        <v>167336</v>
      </c>
      <c r="L49" s="198">
        <v>148104</v>
      </c>
      <c r="M49" s="142">
        <v>157211</v>
      </c>
      <c r="N49" s="142">
        <v>183945</v>
      </c>
      <c r="O49" s="474">
        <v>167334</v>
      </c>
      <c r="P49" s="603"/>
      <c r="Q49" s="604"/>
      <c r="R49" s="563">
        <f>O49+P49+Q49</f>
        <v>167334</v>
      </c>
      <c r="T49" s="2"/>
    </row>
    <row r="50" spans="1:20" x14ac:dyDescent="0.2">
      <c r="A50" s="772"/>
      <c r="B50" s="253">
        <v>640</v>
      </c>
      <c r="C50" s="254" t="s">
        <v>413</v>
      </c>
      <c r="D50" s="255"/>
      <c r="E50" s="255"/>
      <c r="F50" s="255"/>
      <c r="G50" s="255"/>
      <c r="H50" s="255"/>
      <c r="I50" s="256"/>
      <c r="J50" s="57"/>
      <c r="K50" s="57"/>
      <c r="L50" s="118"/>
      <c r="M50" s="21"/>
      <c r="N50" s="21"/>
      <c r="O50" s="477">
        <v>28183</v>
      </c>
      <c r="P50" s="491"/>
      <c r="Q50" s="562"/>
      <c r="R50" s="563">
        <f>O50+P50+Q50</f>
        <v>28183</v>
      </c>
      <c r="T50" s="2"/>
    </row>
    <row r="51" spans="1:20" x14ac:dyDescent="0.2">
      <c r="A51" s="772"/>
      <c r="B51" s="253">
        <v>630</v>
      </c>
      <c r="C51" s="254" t="s">
        <v>257</v>
      </c>
      <c r="D51" s="255"/>
      <c r="E51" s="255"/>
      <c r="F51" s="255"/>
      <c r="G51" s="255"/>
      <c r="H51" s="255">
        <v>9596</v>
      </c>
      <c r="I51" s="256">
        <v>3094</v>
      </c>
      <c r="J51" s="44">
        <v>2060</v>
      </c>
      <c r="K51" s="44">
        <v>1011</v>
      </c>
      <c r="L51" s="118">
        <v>1770</v>
      </c>
      <c r="M51" s="21">
        <v>1790</v>
      </c>
      <c r="N51" s="21">
        <v>1340</v>
      </c>
      <c r="O51" s="477">
        <v>10900</v>
      </c>
      <c r="P51" s="492"/>
      <c r="Q51" s="564"/>
      <c r="R51" s="565">
        <f>O51+P51+Q51</f>
        <v>10900</v>
      </c>
      <c r="T51" s="2"/>
    </row>
    <row r="52" spans="1:20" x14ac:dyDescent="0.2">
      <c r="A52" s="772"/>
      <c r="B52" s="253">
        <v>630</v>
      </c>
      <c r="C52" s="254" t="s">
        <v>310</v>
      </c>
      <c r="D52" s="255"/>
      <c r="E52" s="255"/>
      <c r="F52" s="255"/>
      <c r="G52" s="255"/>
      <c r="H52" s="255"/>
      <c r="I52" s="256"/>
      <c r="J52" s="44"/>
      <c r="K52" s="44"/>
      <c r="L52" s="118"/>
      <c r="M52" s="21"/>
      <c r="N52" s="21">
        <v>0</v>
      </c>
      <c r="O52" s="477"/>
      <c r="P52" s="492"/>
      <c r="Q52" s="566"/>
      <c r="R52" s="565">
        <f>O52+P52+Q52</f>
        <v>0</v>
      </c>
      <c r="T52" s="2"/>
    </row>
    <row r="53" spans="1:20" ht="13.5" thickBot="1" x14ac:dyDescent="0.25">
      <c r="A53" s="773"/>
      <c r="B53" s="226">
        <v>640</v>
      </c>
      <c r="C53" s="257" t="s">
        <v>320</v>
      </c>
      <c r="D53" s="258"/>
      <c r="E53" s="258"/>
      <c r="F53" s="258"/>
      <c r="G53" s="258"/>
      <c r="H53" s="258">
        <v>49953</v>
      </c>
      <c r="I53" s="259">
        <v>56989</v>
      </c>
      <c r="J53" s="60">
        <v>64830</v>
      </c>
      <c r="K53" s="60">
        <v>68252</v>
      </c>
      <c r="L53" s="206">
        <v>67113.179999999993</v>
      </c>
      <c r="M53" s="84">
        <v>67496.02</v>
      </c>
      <c r="N53" s="84">
        <v>64225.29</v>
      </c>
      <c r="O53" s="478">
        <v>65000</v>
      </c>
      <c r="P53" s="496"/>
      <c r="Q53" s="605"/>
      <c r="R53" s="570">
        <f>O53+P53+Q53</f>
        <v>65000</v>
      </c>
      <c r="T53" s="2"/>
    </row>
    <row r="54" spans="1:20" ht="15.75" thickBot="1" x14ac:dyDescent="0.3">
      <c r="A54" s="260" t="s">
        <v>100</v>
      </c>
      <c r="B54" s="775" t="s">
        <v>101</v>
      </c>
      <c r="C54" s="751"/>
      <c r="D54" s="262">
        <v>33426</v>
      </c>
      <c r="E54" s="262">
        <v>39800</v>
      </c>
      <c r="F54" s="262">
        <v>42953</v>
      </c>
      <c r="G54" s="262">
        <v>66506</v>
      </c>
      <c r="H54" s="262">
        <v>76065</v>
      </c>
      <c r="I54" s="79">
        <f>SUM(I59:I66)+I55</f>
        <v>59613</v>
      </c>
      <c r="J54" s="79">
        <f>SUM(J59:J66)+J55</f>
        <v>58168</v>
      </c>
      <c r="K54" s="79">
        <f>SUM(K59:K66)+K55</f>
        <v>57293</v>
      </c>
      <c r="L54" s="79">
        <f t="shared" ref="L54:R54" si="9">SUM(L59:L67)+L55</f>
        <v>53359.31</v>
      </c>
      <c r="M54" s="79">
        <f t="shared" si="9"/>
        <v>49261.270000000004</v>
      </c>
      <c r="N54" s="463">
        <f t="shared" si="9"/>
        <v>69492.78</v>
      </c>
      <c r="O54" s="463">
        <f t="shared" si="9"/>
        <v>104152</v>
      </c>
      <c r="P54" s="463">
        <f t="shared" si="9"/>
        <v>0</v>
      </c>
      <c r="Q54" s="463">
        <f t="shared" si="9"/>
        <v>0</v>
      </c>
      <c r="R54" s="505">
        <f t="shared" si="9"/>
        <v>104152</v>
      </c>
      <c r="T54" s="2"/>
    </row>
    <row r="55" spans="1:20" ht="13.5" thickBot="1" x14ac:dyDescent="0.25">
      <c r="A55" s="769"/>
      <c r="B55" s="804" t="s">
        <v>321</v>
      </c>
      <c r="C55" s="805"/>
      <c r="D55" s="263">
        <v>0</v>
      </c>
      <c r="E55" s="263">
        <v>13477</v>
      </c>
      <c r="F55" s="263">
        <v>15800</v>
      </c>
      <c r="G55" s="263">
        <v>26596</v>
      </c>
      <c r="H55" s="263">
        <v>25323</v>
      </c>
      <c r="I55" s="10">
        <f t="shared" ref="I55:Q55" si="10">SUM(I56:I58)</f>
        <v>25388</v>
      </c>
      <c r="J55" s="10">
        <f t="shared" si="10"/>
        <v>23577</v>
      </c>
      <c r="K55" s="10">
        <f t="shared" si="10"/>
        <v>25508</v>
      </c>
      <c r="L55" s="10">
        <f>SUM(L56:L58)</f>
        <v>26966.809999999998</v>
      </c>
      <c r="M55" s="10">
        <f t="shared" si="10"/>
        <v>26493.65</v>
      </c>
      <c r="N55" s="461">
        <f>SUM(N56:N58)</f>
        <v>11116.460000000001</v>
      </c>
      <c r="O55" s="461">
        <f t="shared" si="10"/>
        <v>21452</v>
      </c>
      <c r="P55" s="461">
        <f t="shared" si="10"/>
        <v>0</v>
      </c>
      <c r="Q55" s="461">
        <f t="shared" si="10"/>
        <v>0</v>
      </c>
      <c r="R55" s="574">
        <f>SUM(R56:R58)</f>
        <v>21452</v>
      </c>
      <c r="T55" s="2"/>
    </row>
    <row r="56" spans="1:20" x14ac:dyDescent="0.2">
      <c r="A56" s="774"/>
      <c r="B56" s="264">
        <v>610</v>
      </c>
      <c r="C56" s="20" t="s">
        <v>292</v>
      </c>
      <c r="D56" s="89"/>
      <c r="E56" s="89"/>
      <c r="F56" s="89"/>
      <c r="G56" s="89"/>
      <c r="H56" s="89">
        <v>16865</v>
      </c>
      <c r="I56" s="20">
        <v>17260</v>
      </c>
      <c r="J56" s="42">
        <v>15432</v>
      </c>
      <c r="K56" s="42">
        <v>15427</v>
      </c>
      <c r="L56" s="22">
        <v>14767.98</v>
      </c>
      <c r="M56" s="21">
        <v>15800.44</v>
      </c>
      <c r="N56" s="21">
        <v>9158.7800000000007</v>
      </c>
      <c r="O56" s="479">
        <v>10152</v>
      </c>
      <c r="P56" s="491"/>
      <c r="Q56" s="562"/>
      <c r="R56" s="563">
        <f t="shared" ref="R56:R67" si="11">O56+P56+Q56</f>
        <v>10152</v>
      </c>
      <c r="T56" s="2"/>
    </row>
    <row r="57" spans="1:20" x14ac:dyDescent="0.2">
      <c r="A57" s="774"/>
      <c r="B57" s="264">
        <v>620</v>
      </c>
      <c r="C57" s="20" t="s">
        <v>293</v>
      </c>
      <c r="D57" s="89"/>
      <c r="E57" s="89"/>
      <c r="F57" s="89"/>
      <c r="G57" s="89"/>
      <c r="H57" s="89">
        <v>6017</v>
      </c>
      <c r="I57" s="20">
        <v>6225</v>
      </c>
      <c r="J57" s="44">
        <v>5547</v>
      </c>
      <c r="K57" s="44">
        <v>5746</v>
      </c>
      <c r="L57" s="22">
        <v>5836.68</v>
      </c>
      <c r="M57" s="21">
        <v>5402.44</v>
      </c>
      <c r="N57" s="21">
        <v>1957.68</v>
      </c>
      <c r="O57" s="479">
        <v>3800</v>
      </c>
      <c r="P57" s="492"/>
      <c r="Q57" s="564"/>
      <c r="R57" s="565">
        <f t="shared" si="11"/>
        <v>3800</v>
      </c>
      <c r="T57" s="2"/>
    </row>
    <row r="58" spans="1:20" ht="13.5" thickBot="1" x14ac:dyDescent="0.25">
      <c r="A58" s="774"/>
      <c r="B58" s="265">
        <v>630</v>
      </c>
      <c r="C58" s="82" t="s">
        <v>294</v>
      </c>
      <c r="D58" s="266"/>
      <c r="E58" s="266"/>
      <c r="F58" s="266"/>
      <c r="G58" s="266"/>
      <c r="H58" s="266">
        <v>2441</v>
      </c>
      <c r="I58" s="82">
        <v>1903</v>
      </c>
      <c r="J58" s="60">
        <v>2598</v>
      </c>
      <c r="K58" s="60">
        <v>4335</v>
      </c>
      <c r="L58" s="77">
        <v>6362.15</v>
      </c>
      <c r="M58" s="84">
        <v>5290.77</v>
      </c>
      <c r="N58" s="84"/>
      <c r="O58" s="464">
        <v>7500</v>
      </c>
      <c r="P58" s="494"/>
      <c r="Q58" s="576"/>
      <c r="R58" s="577">
        <f t="shared" si="11"/>
        <v>7500</v>
      </c>
      <c r="T58" s="2"/>
    </row>
    <row r="59" spans="1:20" x14ac:dyDescent="0.2">
      <c r="A59" s="774"/>
      <c r="B59" s="264">
        <v>600</v>
      </c>
      <c r="C59" s="20" t="s">
        <v>322</v>
      </c>
      <c r="D59" s="89"/>
      <c r="E59" s="89"/>
      <c r="F59" s="89"/>
      <c r="G59" s="89"/>
      <c r="H59" s="89"/>
      <c r="I59" s="20">
        <v>9190</v>
      </c>
      <c r="J59" s="89">
        <v>6912</v>
      </c>
      <c r="K59" s="89">
        <v>9446</v>
      </c>
      <c r="L59" s="89">
        <v>4778.18</v>
      </c>
      <c r="M59" s="87">
        <v>8683.39</v>
      </c>
      <c r="N59" s="21">
        <v>34595.32</v>
      </c>
      <c r="O59" s="479">
        <v>48400</v>
      </c>
      <c r="P59" s="491"/>
      <c r="Q59" s="562"/>
      <c r="R59" s="563">
        <f t="shared" si="11"/>
        <v>48400</v>
      </c>
      <c r="T59" s="2"/>
    </row>
    <row r="60" spans="1:20" hidden="1" x14ac:dyDescent="0.2">
      <c r="A60" s="774"/>
      <c r="B60" s="264">
        <v>600</v>
      </c>
      <c r="C60" s="20" t="s">
        <v>472</v>
      </c>
      <c r="D60" s="89"/>
      <c r="E60" s="89"/>
      <c r="F60" s="89"/>
      <c r="G60" s="89"/>
      <c r="H60" s="89"/>
      <c r="I60" s="20">
        <v>2000</v>
      </c>
      <c r="J60" s="89"/>
      <c r="K60" s="89"/>
      <c r="L60" s="89"/>
      <c r="M60" s="89"/>
      <c r="N60" s="21">
        <v>0</v>
      </c>
      <c r="O60" s="473"/>
      <c r="P60" s="492"/>
      <c r="Q60" s="564"/>
      <c r="R60" s="565">
        <f t="shared" si="11"/>
        <v>0</v>
      </c>
      <c r="T60" s="2"/>
    </row>
    <row r="61" spans="1:20" x14ac:dyDescent="0.2">
      <c r="A61" s="774"/>
      <c r="B61" s="264">
        <v>600</v>
      </c>
      <c r="C61" s="24" t="s">
        <v>323</v>
      </c>
      <c r="D61" s="90"/>
      <c r="E61" s="90"/>
      <c r="F61" s="90"/>
      <c r="G61" s="90"/>
      <c r="H61" s="90"/>
      <c r="I61" s="24">
        <v>10000</v>
      </c>
      <c r="J61" s="90">
        <v>1500</v>
      </c>
      <c r="K61" s="90">
        <v>370</v>
      </c>
      <c r="L61" s="90">
        <v>592.20000000000005</v>
      </c>
      <c r="M61" s="90">
        <v>1220</v>
      </c>
      <c r="N61" s="25">
        <v>0</v>
      </c>
      <c r="O61" s="473"/>
      <c r="P61" s="492"/>
      <c r="Q61" s="564"/>
      <c r="R61" s="565">
        <f t="shared" si="11"/>
        <v>0</v>
      </c>
      <c r="T61" s="2"/>
    </row>
    <row r="62" spans="1:20" x14ac:dyDescent="0.2">
      <c r="A62" s="774"/>
      <c r="B62" s="264">
        <v>600</v>
      </c>
      <c r="C62" s="24" t="s">
        <v>103</v>
      </c>
      <c r="D62" s="90"/>
      <c r="E62" s="90"/>
      <c r="F62" s="90"/>
      <c r="G62" s="90"/>
      <c r="H62" s="90"/>
      <c r="I62" s="24">
        <v>1871</v>
      </c>
      <c r="J62" s="90">
        <v>2416</v>
      </c>
      <c r="K62" s="90">
        <v>4274</v>
      </c>
      <c r="L62" s="90">
        <v>2000</v>
      </c>
      <c r="M62" s="90">
        <v>3500</v>
      </c>
      <c r="N62" s="25"/>
      <c r="O62" s="473">
        <v>7000</v>
      </c>
      <c r="P62" s="492"/>
      <c r="Q62" s="564"/>
      <c r="R62" s="565">
        <f t="shared" si="11"/>
        <v>7000</v>
      </c>
      <c r="T62" s="2"/>
    </row>
    <row r="63" spans="1:20" x14ac:dyDescent="0.2">
      <c r="A63" s="774"/>
      <c r="B63" s="264">
        <v>600</v>
      </c>
      <c r="C63" s="24" t="s">
        <v>324</v>
      </c>
      <c r="D63" s="90"/>
      <c r="E63" s="90"/>
      <c r="F63" s="90"/>
      <c r="G63" s="90"/>
      <c r="H63" s="90"/>
      <c r="I63" s="24">
        <v>3240</v>
      </c>
      <c r="J63" s="90">
        <v>832</v>
      </c>
      <c r="K63" s="90">
        <v>1493</v>
      </c>
      <c r="L63" s="90">
        <v>1232</v>
      </c>
      <c r="M63" s="90">
        <v>1000</v>
      </c>
      <c r="N63" s="25"/>
      <c r="O63" s="473">
        <v>1000</v>
      </c>
      <c r="P63" s="492"/>
      <c r="Q63" s="564"/>
      <c r="R63" s="565">
        <f t="shared" si="11"/>
        <v>1000</v>
      </c>
      <c r="T63" s="2"/>
    </row>
    <row r="64" spans="1:20" x14ac:dyDescent="0.2">
      <c r="A64" s="774"/>
      <c r="B64" s="264">
        <v>600</v>
      </c>
      <c r="C64" s="24" t="s">
        <v>259</v>
      </c>
      <c r="D64" s="90"/>
      <c r="E64" s="90"/>
      <c r="F64" s="90"/>
      <c r="G64" s="90"/>
      <c r="H64" s="90"/>
      <c r="I64" s="24">
        <v>7924</v>
      </c>
      <c r="J64" s="90">
        <v>11969</v>
      </c>
      <c r="K64" s="90">
        <v>11202</v>
      </c>
      <c r="L64" s="90">
        <v>15790.12</v>
      </c>
      <c r="M64" s="90">
        <v>6364.23</v>
      </c>
      <c r="N64" s="25">
        <v>23781</v>
      </c>
      <c r="O64" s="26">
        <v>26300</v>
      </c>
      <c r="P64" s="492"/>
      <c r="Q64" s="564"/>
      <c r="R64" s="565">
        <f t="shared" si="11"/>
        <v>26300</v>
      </c>
      <c r="T64" s="2"/>
    </row>
    <row r="65" spans="1:21" x14ac:dyDescent="0.2">
      <c r="A65" s="774"/>
      <c r="B65" s="264">
        <v>600</v>
      </c>
      <c r="C65" s="24" t="s">
        <v>325</v>
      </c>
      <c r="D65" s="90"/>
      <c r="E65" s="90"/>
      <c r="F65" s="90"/>
      <c r="G65" s="90"/>
      <c r="H65" s="90"/>
      <c r="I65" s="24"/>
      <c r="J65" s="90">
        <v>4512</v>
      </c>
      <c r="K65" s="90">
        <v>5000</v>
      </c>
      <c r="L65" s="90"/>
      <c r="M65" s="267"/>
      <c r="N65" s="29">
        <v>0</v>
      </c>
      <c r="O65" s="480"/>
      <c r="P65" s="492"/>
      <c r="Q65" s="566"/>
      <c r="R65" s="567">
        <f t="shared" si="11"/>
        <v>0</v>
      </c>
      <c r="T65" s="2"/>
    </row>
    <row r="66" spans="1:21" x14ac:dyDescent="0.2">
      <c r="A66" s="774"/>
      <c r="B66" s="264">
        <v>600</v>
      </c>
      <c r="C66" s="268" t="s">
        <v>326</v>
      </c>
      <c r="D66" s="90"/>
      <c r="E66" s="90"/>
      <c r="F66" s="90"/>
      <c r="G66" s="90"/>
      <c r="H66" s="90"/>
      <c r="I66" s="24"/>
      <c r="J66" s="90">
        <v>6450</v>
      </c>
      <c r="K66" s="89"/>
      <c r="L66" s="90"/>
      <c r="M66" s="90"/>
      <c r="N66" s="25">
        <v>0</v>
      </c>
      <c r="O66" s="480"/>
      <c r="P66" s="492"/>
      <c r="Q66" s="566"/>
      <c r="R66" s="567">
        <f t="shared" si="11"/>
        <v>0</v>
      </c>
      <c r="T66" s="2"/>
    </row>
    <row r="67" spans="1:21" ht="13.5" thickBot="1" x14ac:dyDescent="0.25">
      <c r="A67" s="770"/>
      <c r="B67" s="269">
        <v>600</v>
      </c>
      <c r="C67" s="46" t="s">
        <v>327</v>
      </c>
      <c r="D67" s="236"/>
      <c r="E67" s="236"/>
      <c r="F67" s="236"/>
      <c r="G67" s="236"/>
      <c r="H67" s="236"/>
      <c r="I67" s="143"/>
      <c r="J67" s="143"/>
      <c r="K67" s="270"/>
      <c r="L67" s="270">
        <v>2000</v>
      </c>
      <c r="M67" s="271">
        <v>2000</v>
      </c>
      <c r="N67" s="272">
        <v>0</v>
      </c>
      <c r="O67" s="481"/>
      <c r="P67" s="493"/>
      <c r="Q67" s="568"/>
      <c r="R67" s="569">
        <f t="shared" si="11"/>
        <v>0</v>
      </c>
      <c r="T67" s="2"/>
    </row>
    <row r="68" spans="1:21" ht="15.75" thickBot="1" x14ac:dyDescent="0.3">
      <c r="A68" s="207" t="s">
        <v>328</v>
      </c>
      <c r="B68" s="735" t="s">
        <v>329</v>
      </c>
      <c r="C68" s="746"/>
      <c r="D68" s="208">
        <v>16132</v>
      </c>
      <c r="E68" s="208">
        <v>16995</v>
      </c>
      <c r="F68" s="208">
        <v>21045</v>
      </c>
      <c r="G68" s="208">
        <v>23225</v>
      </c>
      <c r="H68" s="208">
        <v>22830</v>
      </c>
      <c r="I68" s="273">
        <v>22296</v>
      </c>
      <c r="J68" s="273">
        <v>33352</v>
      </c>
      <c r="K68" s="67">
        <v>37492</v>
      </c>
      <c r="L68" s="209">
        <v>38137.74</v>
      </c>
      <c r="M68" s="107">
        <v>48253.93</v>
      </c>
      <c r="N68" s="459">
        <v>65222.28</v>
      </c>
      <c r="O68" s="459">
        <f>SUM(O69:O71)</f>
        <v>77207</v>
      </c>
      <c r="P68" s="459">
        <f>SUM(P69:P71)</f>
        <v>0</v>
      </c>
      <c r="Q68" s="459">
        <f>SUM(Q69:Q71)</f>
        <v>0</v>
      </c>
      <c r="R68" s="505">
        <f>SUM(R69:R71)</f>
        <v>77207</v>
      </c>
      <c r="T68" s="2"/>
    </row>
    <row r="69" spans="1:21" x14ac:dyDescent="0.2">
      <c r="A69" s="769"/>
      <c r="B69" s="274" t="s">
        <v>330</v>
      </c>
      <c r="C69" s="130" t="s">
        <v>292</v>
      </c>
      <c r="D69" s="211"/>
      <c r="E69" s="211"/>
      <c r="F69" s="211"/>
      <c r="G69" s="211"/>
      <c r="H69" s="211"/>
      <c r="I69" s="130"/>
      <c r="J69" s="130"/>
      <c r="K69" s="87"/>
      <c r="L69" s="87"/>
      <c r="M69" s="21"/>
      <c r="N69" s="477">
        <v>65222.28</v>
      </c>
      <c r="O69" s="477">
        <v>56468</v>
      </c>
      <c r="P69" s="491"/>
      <c r="Q69" s="562"/>
      <c r="R69" s="563">
        <f>O69+P69+Q69</f>
        <v>56468</v>
      </c>
      <c r="T69" s="2"/>
    </row>
    <row r="70" spans="1:21" x14ac:dyDescent="0.2">
      <c r="A70" s="774"/>
      <c r="B70" s="275" t="s">
        <v>330</v>
      </c>
      <c r="C70" s="24" t="s">
        <v>293</v>
      </c>
      <c r="D70" s="214"/>
      <c r="E70" s="214"/>
      <c r="F70" s="214"/>
      <c r="G70" s="214"/>
      <c r="H70" s="214"/>
      <c r="I70" s="24"/>
      <c r="J70" s="24"/>
      <c r="K70" s="90"/>
      <c r="L70" s="90"/>
      <c r="M70" s="25"/>
      <c r="N70" s="482"/>
      <c r="O70" s="482">
        <v>20739</v>
      </c>
      <c r="P70" s="492"/>
      <c r="Q70" s="564"/>
      <c r="R70" s="565">
        <f>O70+P70+Q70</f>
        <v>20739</v>
      </c>
      <c r="T70" s="2"/>
    </row>
    <row r="71" spans="1:21" ht="13.5" thickBot="1" x14ac:dyDescent="0.25">
      <c r="A71" s="770"/>
      <c r="B71" s="247">
        <v>600</v>
      </c>
      <c r="C71" s="46" t="s">
        <v>294</v>
      </c>
      <c r="D71" s="151"/>
      <c r="E71" s="151"/>
      <c r="F71" s="151"/>
      <c r="G71" s="151"/>
      <c r="H71" s="151"/>
      <c r="I71" s="46"/>
      <c r="J71" s="46"/>
      <c r="K71" s="60"/>
      <c r="L71" s="60"/>
      <c r="M71" s="30"/>
      <c r="N71" s="483"/>
      <c r="O71" s="483">
        <v>0</v>
      </c>
      <c r="P71" s="493"/>
      <c r="Q71" s="575"/>
      <c r="R71" s="570">
        <f>O71+P71+Q71</f>
        <v>0</v>
      </c>
      <c r="T71" s="2"/>
    </row>
    <row r="72" spans="1:21" ht="15.75" thickBot="1" x14ac:dyDescent="0.3">
      <c r="A72" s="260" t="s">
        <v>97</v>
      </c>
      <c r="B72" s="806" t="s">
        <v>98</v>
      </c>
      <c r="C72" s="807"/>
      <c r="D72" s="262">
        <v>1016763</v>
      </c>
      <c r="E72" s="262">
        <v>271062</v>
      </c>
      <c r="F72" s="262">
        <v>471453</v>
      </c>
      <c r="G72" s="262">
        <v>456862</v>
      </c>
      <c r="H72" s="79">
        <f t="shared" ref="H72:Q72" si="12">SUM(H73:H76)</f>
        <v>440003</v>
      </c>
      <c r="I72" s="79">
        <f t="shared" si="12"/>
        <v>428961</v>
      </c>
      <c r="J72" s="79">
        <f t="shared" si="12"/>
        <v>454364</v>
      </c>
      <c r="K72" s="79">
        <f t="shared" si="12"/>
        <v>445324</v>
      </c>
      <c r="L72" s="80">
        <f>SUM(L73:L76)</f>
        <v>440667.17</v>
      </c>
      <c r="M72" s="67">
        <f t="shared" si="12"/>
        <v>406831.45</v>
      </c>
      <c r="N72" s="459">
        <f t="shared" si="12"/>
        <v>398077.16</v>
      </c>
      <c r="O72" s="459">
        <f t="shared" si="12"/>
        <v>552293</v>
      </c>
      <c r="P72" s="459">
        <f t="shared" si="12"/>
        <v>0</v>
      </c>
      <c r="Q72" s="459">
        <f t="shared" si="12"/>
        <v>0</v>
      </c>
      <c r="R72" s="505">
        <f>SUM(R73:R76)</f>
        <v>552293</v>
      </c>
      <c r="T72" s="2"/>
    </row>
    <row r="73" spans="1:21" x14ac:dyDescent="0.2">
      <c r="A73" s="771"/>
      <c r="B73" s="210">
        <v>650</v>
      </c>
      <c r="C73" s="276" t="s">
        <v>410</v>
      </c>
      <c r="D73" s="277"/>
      <c r="E73" s="277"/>
      <c r="F73" s="277"/>
      <c r="G73" s="277"/>
      <c r="H73" s="251">
        <v>4585</v>
      </c>
      <c r="I73" s="278">
        <v>1644</v>
      </c>
      <c r="J73" s="276"/>
      <c r="K73" s="87"/>
      <c r="L73" s="377"/>
      <c r="M73" s="21"/>
      <c r="N73" s="21"/>
      <c r="O73" s="686">
        <v>18568</v>
      </c>
      <c r="P73" s="690"/>
      <c r="Q73" s="606"/>
      <c r="R73" s="563">
        <f>O73+P73+Q73</f>
        <v>18568</v>
      </c>
      <c r="T73" s="2"/>
      <c r="U73" s="2"/>
    </row>
    <row r="74" spans="1:21" x14ac:dyDescent="0.2">
      <c r="A74" s="772"/>
      <c r="B74" s="275" t="s">
        <v>73</v>
      </c>
      <c r="C74" s="279" t="s">
        <v>331</v>
      </c>
      <c r="D74" s="280"/>
      <c r="E74" s="280"/>
      <c r="F74" s="280"/>
      <c r="G74" s="280"/>
      <c r="H74" s="222">
        <v>7659</v>
      </c>
      <c r="I74" s="281">
        <v>5301</v>
      </c>
      <c r="J74" s="222">
        <v>3974</v>
      </c>
      <c r="K74" s="282">
        <v>3974</v>
      </c>
      <c r="L74" s="162">
        <v>3974.17</v>
      </c>
      <c r="M74" s="25">
        <v>4974.0200000000004</v>
      </c>
      <c r="N74" s="25">
        <v>3974.17</v>
      </c>
      <c r="O74" s="561">
        <v>3900</v>
      </c>
      <c r="P74" s="685"/>
      <c r="Q74" s="564"/>
      <c r="R74" s="565">
        <f>O74+P74+Q74</f>
        <v>3900</v>
      </c>
      <c r="T74" s="2"/>
    </row>
    <row r="75" spans="1:21" x14ac:dyDescent="0.2">
      <c r="A75" s="772"/>
      <c r="B75" s="275" t="s">
        <v>73</v>
      </c>
      <c r="C75" s="279" t="s">
        <v>409</v>
      </c>
      <c r="D75" s="592"/>
      <c r="E75" s="592"/>
      <c r="F75" s="592"/>
      <c r="G75" s="592"/>
      <c r="H75" s="593"/>
      <c r="I75" s="594"/>
      <c r="J75" s="593"/>
      <c r="K75" s="411"/>
      <c r="L75" s="595"/>
      <c r="M75" s="29"/>
      <c r="N75" s="29"/>
      <c r="O75" s="687">
        <v>49000</v>
      </c>
      <c r="P75" s="685"/>
      <c r="Q75" s="575"/>
      <c r="R75" s="570">
        <f>O75+P75+Q75</f>
        <v>49000</v>
      </c>
      <c r="T75" s="2"/>
    </row>
    <row r="76" spans="1:21" ht="13.5" thickBot="1" x14ac:dyDescent="0.25">
      <c r="A76" s="773"/>
      <c r="B76" s="215">
        <v>640</v>
      </c>
      <c r="C76" s="283" t="s">
        <v>477</v>
      </c>
      <c r="D76" s="60"/>
      <c r="E76" s="60"/>
      <c r="F76" s="60"/>
      <c r="G76" s="60"/>
      <c r="H76" s="151">
        <v>427759</v>
      </c>
      <c r="I76" s="284">
        <v>422016</v>
      </c>
      <c r="J76" s="151">
        <v>450390</v>
      </c>
      <c r="K76" s="285">
        <v>441350</v>
      </c>
      <c r="L76" s="152">
        <v>436693</v>
      </c>
      <c r="M76" s="272">
        <v>401857.43</v>
      </c>
      <c r="N76" s="272">
        <v>394102.99</v>
      </c>
      <c r="O76" s="688">
        <v>480825</v>
      </c>
      <c r="Q76" s="605"/>
      <c r="R76" s="570">
        <f>O76+P76+Q76</f>
        <v>480825</v>
      </c>
      <c r="S76" s="2"/>
      <c r="T76" s="2"/>
    </row>
    <row r="77" spans="1:21" ht="15.75" hidden="1" thickBot="1" x14ac:dyDescent="0.3">
      <c r="A77" s="286" t="s">
        <v>332</v>
      </c>
      <c r="B77" s="802" t="s">
        <v>255</v>
      </c>
      <c r="C77" s="803"/>
      <c r="D77" s="287"/>
      <c r="E77" s="287"/>
      <c r="F77" s="287"/>
      <c r="G77" s="287"/>
      <c r="H77" s="287"/>
      <c r="I77" s="288">
        <v>0</v>
      </c>
      <c r="J77" s="288">
        <v>0</v>
      </c>
      <c r="K77" s="289">
        <f>K78</f>
        <v>0</v>
      </c>
      <c r="L77" s="290"/>
      <c r="M77" s="289">
        <f>M78</f>
        <v>0</v>
      </c>
      <c r="N77" s="539"/>
      <c r="O77" s="465">
        <f>O78</f>
        <v>0</v>
      </c>
      <c r="P77" s="490"/>
      <c r="Q77" s="580"/>
      <c r="R77" s="581"/>
      <c r="T77" s="2"/>
    </row>
    <row r="78" spans="1:21" ht="15.75" hidden="1" thickBot="1" x14ac:dyDescent="0.3">
      <c r="A78" s="654"/>
      <c r="B78" s="230">
        <v>630</v>
      </c>
      <c r="C78" s="661" t="s">
        <v>333</v>
      </c>
      <c r="D78" s="227"/>
      <c r="E78" s="227"/>
      <c r="F78" s="227"/>
      <c r="G78" s="227"/>
      <c r="H78" s="227"/>
      <c r="I78" s="662" t="s">
        <v>334</v>
      </c>
      <c r="J78" s="662" t="s">
        <v>334</v>
      </c>
      <c r="K78" s="270"/>
      <c r="L78" s="663"/>
      <c r="M78" s="113"/>
      <c r="N78" s="113"/>
      <c r="O78" s="664"/>
      <c r="P78" s="495"/>
      <c r="Q78" s="582"/>
      <c r="R78" s="583"/>
      <c r="T78" s="2"/>
    </row>
    <row r="79" spans="1:21" ht="15.75" thickBot="1" x14ac:dyDescent="0.3">
      <c r="A79" s="207" t="s">
        <v>94</v>
      </c>
      <c r="B79" s="800" t="s">
        <v>335</v>
      </c>
      <c r="C79" s="801"/>
      <c r="D79" s="208">
        <v>11817</v>
      </c>
      <c r="E79" s="208">
        <v>11784</v>
      </c>
      <c r="F79" s="208">
        <v>12315</v>
      </c>
      <c r="G79" s="208">
        <v>20259</v>
      </c>
      <c r="H79" s="67">
        <f t="shared" ref="H79:M79" si="13">SUM(H80:H83)</f>
        <v>14522</v>
      </c>
      <c r="I79" s="67">
        <f t="shared" si="13"/>
        <v>159820</v>
      </c>
      <c r="J79" s="67">
        <f t="shared" si="13"/>
        <v>64721</v>
      </c>
      <c r="K79" s="67">
        <f t="shared" si="13"/>
        <v>10450</v>
      </c>
      <c r="L79" s="209">
        <f t="shared" si="13"/>
        <v>10682.39</v>
      </c>
      <c r="M79" s="67">
        <f t="shared" si="13"/>
        <v>9819.23</v>
      </c>
      <c r="N79" s="459">
        <f>SUM(N80:N83)</f>
        <v>9873.75</v>
      </c>
      <c r="O79" s="459">
        <f>SUM(O80:O83)</f>
        <v>11287</v>
      </c>
      <c r="P79" s="459">
        <f>SUM(P80:P83)</f>
        <v>0</v>
      </c>
      <c r="Q79" s="459">
        <f>SUM(Q80:Q83)</f>
        <v>0</v>
      </c>
      <c r="R79" s="505">
        <f>SUM(R80:R83)</f>
        <v>11287</v>
      </c>
      <c r="T79" s="2"/>
    </row>
    <row r="80" spans="1:21" x14ac:dyDescent="0.2">
      <c r="A80" s="769"/>
      <c r="B80" s="224">
        <v>610</v>
      </c>
      <c r="C80" s="41" t="s">
        <v>292</v>
      </c>
      <c r="D80" s="156"/>
      <c r="E80" s="156">
        <v>7435</v>
      </c>
      <c r="F80" s="156">
        <v>7170</v>
      </c>
      <c r="G80" s="156">
        <v>13170</v>
      </c>
      <c r="H80" s="156">
        <v>9057</v>
      </c>
      <c r="I80" s="41">
        <v>7158</v>
      </c>
      <c r="J80" s="42">
        <v>7062</v>
      </c>
      <c r="K80" s="42">
        <v>6902</v>
      </c>
      <c r="L80" s="149">
        <v>7013.99</v>
      </c>
      <c r="M80" s="42">
        <v>6670.5</v>
      </c>
      <c r="N80" s="93">
        <v>6756.74</v>
      </c>
      <c r="O80" s="472">
        <v>7623</v>
      </c>
      <c r="P80" s="491"/>
      <c r="Q80" s="562"/>
      <c r="R80" s="563">
        <f>O80+P80+Q80</f>
        <v>7623</v>
      </c>
      <c r="T80" s="2"/>
    </row>
    <row r="81" spans="1:20" x14ac:dyDescent="0.2">
      <c r="A81" s="774"/>
      <c r="B81" s="225">
        <v>620</v>
      </c>
      <c r="C81" s="43" t="s">
        <v>293</v>
      </c>
      <c r="D81" s="235"/>
      <c r="E81" s="235">
        <v>2722</v>
      </c>
      <c r="F81" s="235">
        <v>2589</v>
      </c>
      <c r="G81" s="235">
        <v>4447</v>
      </c>
      <c r="H81" s="235">
        <v>3981</v>
      </c>
      <c r="I81" s="43">
        <v>2874</v>
      </c>
      <c r="J81" s="44">
        <v>2706</v>
      </c>
      <c r="K81" s="44">
        <v>2594</v>
      </c>
      <c r="L81" s="114">
        <v>2904.51</v>
      </c>
      <c r="M81" s="44">
        <v>2212.12</v>
      </c>
      <c r="N81" s="26">
        <v>2382.5100000000002</v>
      </c>
      <c r="O81" s="473">
        <v>2664</v>
      </c>
      <c r="P81" s="492"/>
      <c r="Q81" s="564"/>
      <c r="R81" s="565">
        <f>O81+P81+Q81</f>
        <v>2664</v>
      </c>
      <c r="T81" s="2"/>
    </row>
    <row r="82" spans="1:20" x14ac:dyDescent="0.2">
      <c r="A82" s="774"/>
      <c r="B82" s="225">
        <v>630</v>
      </c>
      <c r="C82" s="43" t="s">
        <v>294</v>
      </c>
      <c r="D82" s="235"/>
      <c r="E82" s="235">
        <v>1627</v>
      </c>
      <c r="F82" s="235">
        <v>2556</v>
      </c>
      <c r="G82" s="235">
        <v>2642</v>
      </c>
      <c r="H82" s="235">
        <v>1484</v>
      </c>
      <c r="I82" s="43">
        <v>1204</v>
      </c>
      <c r="J82" s="44">
        <v>1574</v>
      </c>
      <c r="K82" s="44">
        <v>954</v>
      </c>
      <c r="L82" s="114">
        <v>763.89</v>
      </c>
      <c r="M82" s="44">
        <v>936.61</v>
      </c>
      <c r="N82" s="26">
        <v>734.5</v>
      </c>
      <c r="O82" s="473">
        <v>1000</v>
      </c>
      <c r="P82" s="492"/>
      <c r="Q82" s="564"/>
      <c r="R82" s="565">
        <f>O82+P82+Q82</f>
        <v>1000</v>
      </c>
      <c r="T82" s="2"/>
    </row>
    <row r="83" spans="1:20" ht="13.5" thickBot="1" x14ac:dyDescent="0.25">
      <c r="A83" s="770"/>
      <c r="B83" s="247">
        <v>600</v>
      </c>
      <c r="C83" s="292" t="s">
        <v>336</v>
      </c>
      <c r="D83" s="293"/>
      <c r="E83" s="293"/>
      <c r="F83" s="293"/>
      <c r="G83" s="293"/>
      <c r="H83" s="293"/>
      <c r="I83" s="292">
        <v>148584</v>
      </c>
      <c r="J83" s="294">
        <v>53379</v>
      </c>
      <c r="K83" s="60"/>
      <c r="L83" s="295"/>
      <c r="M83" s="60"/>
      <c r="N83" s="48"/>
      <c r="O83" s="464"/>
      <c r="P83" s="493"/>
      <c r="Q83" s="568"/>
      <c r="R83" s="569">
        <f>O83+P83+Q83</f>
        <v>0</v>
      </c>
      <c r="T83" s="2"/>
    </row>
    <row r="84" spans="1:20" ht="15.75" thickBot="1" x14ac:dyDescent="0.3">
      <c r="A84" s="296" t="s">
        <v>268</v>
      </c>
      <c r="B84" s="800" t="s">
        <v>78</v>
      </c>
      <c r="C84" s="801"/>
      <c r="D84" s="208">
        <v>11518</v>
      </c>
      <c r="E84" s="208">
        <v>13012</v>
      </c>
      <c r="F84" s="208">
        <v>13643</v>
      </c>
      <c r="G84" s="208">
        <v>15109</v>
      </c>
      <c r="H84" s="208">
        <v>14271</v>
      </c>
      <c r="I84" s="67">
        <f t="shared" ref="I84:Q84" si="14">SUM(I85:I87)</f>
        <v>14580</v>
      </c>
      <c r="J84" s="67">
        <f t="shared" si="14"/>
        <v>13755</v>
      </c>
      <c r="K84" s="67">
        <f t="shared" si="14"/>
        <v>12987</v>
      </c>
      <c r="L84" s="209">
        <f t="shared" si="14"/>
        <v>12440.38</v>
      </c>
      <c r="M84" s="67">
        <f>SUM(M85:M88)</f>
        <v>12085.220000000001</v>
      </c>
      <c r="N84" s="459">
        <f>SUM(N85:N88)</f>
        <v>14820</v>
      </c>
      <c r="O84" s="459">
        <f t="shared" si="14"/>
        <v>15852</v>
      </c>
      <c r="P84" s="459">
        <f t="shared" si="14"/>
        <v>0</v>
      </c>
      <c r="Q84" s="459">
        <f t="shared" si="14"/>
        <v>0</v>
      </c>
      <c r="R84" s="505">
        <f>SUM(R85:R87)</f>
        <v>15852</v>
      </c>
      <c r="T84" s="2"/>
    </row>
    <row r="85" spans="1:20" x14ac:dyDescent="0.2">
      <c r="A85" s="769"/>
      <c r="B85" s="224">
        <v>610</v>
      </c>
      <c r="C85" s="41" t="s">
        <v>292</v>
      </c>
      <c r="D85" s="156"/>
      <c r="E85" s="156">
        <v>8099</v>
      </c>
      <c r="F85" s="156">
        <v>8597</v>
      </c>
      <c r="G85" s="156">
        <v>9417</v>
      </c>
      <c r="H85" s="156">
        <v>9528</v>
      </c>
      <c r="I85" s="41">
        <v>9523</v>
      </c>
      <c r="J85" s="42">
        <v>8900</v>
      </c>
      <c r="K85" s="42">
        <v>8730</v>
      </c>
      <c r="L85" s="198">
        <v>8356.07</v>
      </c>
      <c r="M85" s="93">
        <v>8369.9699999999993</v>
      </c>
      <c r="N85" s="93">
        <v>10167.75</v>
      </c>
      <c r="O85" s="472">
        <v>10818</v>
      </c>
      <c r="P85" s="491"/>
      <c r="Q85" s="562"/>
      <c r="R85" s="563">
        <f>O85+P85+Q85</f>
        <v>10818</v>
      </c>
      <c r="T85" s="2"/>
    </row>
    <row r="86" spans="1:20" x14ac:dyDescent="0.2">
      <c r="A86" s="774"/>
      <c r="B86" s="225">
        <v>620</v>
      </c>
      <c r="C86" s="43" t="s">
        <v>293</v>
      </c>
      <c r="D86" s="235"/>
      <c r="E86" s="235">
        <v>2855</v>
      </c>
      <c r="F86" s="235">
        <v>3220</v>
      </c>
      <c r="G86" s="235">
        <v>3567</v>
      </c>
      <c r="H86" s="235">
        <v>3607</v>
      </c>
      <c r="I86" s="43">
        <v>3617</v>
      </c>
      <c r="J86" s="44">
        <v>3393</v>
      </c>
      <c r="K86" s="44">
        <v>3330</v>
      </c>
      <c r="L86" s="200">
        <v>3406.87</v>
      </c>
      <c r="M86" s="26">
        <v>2973.01</v>
      </c>
      <c r="N86" s="26">
        <v>3841.92</v>
      </c>
      <c r="O86" s="473">
        <v>4034</v>
      </c>
      <c r="P86" s="492"/>
      <c r="Q86" s="564"/>
      <c r="R86" s="565">
        <f>O86+P86+Q86</f>
        <v>4034</v>
      </c>
      <c r="T86" s="2"/>
    </row>
    <row r="87" spans="1:20" ht="13.5" thickBot="1" x14ac:dyDescent="0.25">
      <c r="A87" s="774"/>
      <c r="B87" s="303">
        <v>630</v>
      </c>
      <c r="C87" s="47" t="s">
        <v>294</v>
      </c>
      <c r="D87" s="151"/>
      <c r="E87" s="151">
        <v>2058</v>
      </c>
      <c r="F87" s="151">
        <v>1826</v>
      </c>
      <c r="G87" s="151">
        <v>2125</v>
      </c>
      <c r="H87" s="151">
        <v>1136</v>
      </c>
      <c r="I87" s="46">
        <v>1440</v>
      </c>
      <c r="J87" s="60">
        <v>1462</v>
      </c>
      <c r="K87" s="74">
        <v>927</v>
      </c>
      <c r="L87" s="114">
        <v>677.44</v>
      </c>
      <c r="M87" s="44">
        <v>629.37</v>
      </c>
      <c r="N87" s="26">
        <v>810.33</v>
      </c>
      <c r="O87" s="473">
        <v>1000</v>
      </c>
      <c r="P87" s="492"/>
      <c r="Q87" s="564"/>
      <c r="R87" s="565">
        <f>O87+P87+Q87</f>
        <v>1000</v>
      </c>
      <c r="T87" s="2"/>
    </row>
    <row r="88" spans="1:20" ht="13.5" thickBot="1" x14ac:dyDescent="0.25">
      <c r="A88" s="770"/>
      <c r="B88" s="247">
        <v>640</v>
      </c>
      <c r="C88" s="46" t="s">
        <v>295</v>
      </c>
      <c r="D88" s="258"/>
      <c r="E88" s="258"/>
      <c r="F88" s="258"/>
      <c r="G88" s="258"/>
      <c r="H88" s="258"/>
      <c r="I88" s="115"/>
      <c r="J88" s="205"/>
      <c r="K88" s="236"/>
      <c r="L88" s="517"/>
      <c r="M88" s="236">
        <v>112.87</v>
      </c>
      <c r="N88" s="70"/>
      <c r="O88" s="460"/>
      <c r="P88" s="495"/>
      <c r="Q88" s="571"/>
      <c r="R88" s="572">
        <f>O88+P88+Q88</f>
        <v>0</v>
      </c>
      <c r="T88" s="2"/>
    </row>
    <row r="89" spans="1:20" ht="15.75" thickBot="1" x14ac:dyDescent="0.3">
      <c r="A89" s="260" t="s">
        <v>74</v>
      </c>
      <c r="B89" s="775" t="s">
        <v>75</v>
      </c>
      <c r="C89" s="751"/>
      <c r="D89" s="262">
        <v>0</v>
      </c>
      <c r="E89" s="262">
        <v>221337</v>
      </c>
      <c r="F89" s="262">
        <v>136394</v>
      </c>
      <c r="G89" s="262">
        <v>214824</v>
      </c>
      <c r="H89" s="262">
        <v>646088</v>
      </c>
      <c r="I89" s="67">
        <f>SUM(I95:I107)</f>
        <v>152165</v>
      </c>
      <c r="J89" s="67">
        <f>SUM(J95:J107)</f>
        <v>173492</v>
      </c>
      <c r="K89" s="67">
        <f>SUM(K95:K107)</f>
        <v>219663</v>
      </c>
      <c r="L89" s="209">
        <f t="shared" ref="L89:R89" si="15">SUM(L90:L107)</f>
        <v>485501.09</v>
      </c>
      <c r="M89" s="67">
        <f t="shared" si="15"/>
        <v>315963.52000000002</v>
      </c>
      <c r="N89" s="459">
        <f t="shared" si="15"/>
        <v>306308.77</v>
      </c>
      <c r="O89" s="459">
        <f t="shared" si="15"/>
        <v>288272</v>
      </c>
      <c r="P89" s="459">
        <f t="shared" si="15"/>
        <v>0</v>
      </c>
      <c r="Q89" s="459">
        <f t="shared" si="15"/>
        <v>0</v>
      </c>
      <c r="R89" s="505">
        <f t="shared" si="15"/>
        <v>288272</v>
      </c>
      <c r="T89" s="2"/>
    </row>
    <row r="90" spans="1:20" ht="15" x14ac:dyDescent="0.25">
      <c r="A90" s="771"/>
      <c r="B90" s="224">
        <v>630</v>
      </c>
      <c r="C90" s="41" t="s">
        <v>200</v>
      </c>
      <c r="D90" s="297"/>
      <c r="E90" s="297"/>
      <c r="F90" s="297"/>
      <c r="G90" s="297"/>
      <c r="H90" s="297"/>
      <c r="I90" s="298"/>
      <c r="J90" s="298"/>
      <c r="K90" s="298"/>
      <c r="L90" s="212">
        <v>164829</v>
      </c>
      <c r="M90" s="142">
        <v>115488</v>
      </c>
      <c r="N90" s="142">
        <v>98750</v>
      </c>
      <c r="O90" s="484"/>
      <c r="P90" s="491"/>
      <c r="Q90" s="578"/>
      <c r="R90" s="563">
        <f t="shared" ref="R90:R107" si="16">O90+P90+Q90</f>
        <v>0</v>
      </c>
      <c r="T90" s="2"/>
    </row>
    <row r="91" spans="1:20" ht="15" x14ac:dyDescent="0.25">
      <c r="A91" s="772"/>
      <c r="B91" s="225"/>
      <c r="C91" s="47" t="s">
        <v>239</v>
      </c>
      <c r="D91" s="299"/>
      <c r="E91" s="299"/>
      <c r="F91" s="299"/>
      <c r="G91" s="299"/>
      <c r="H91" s="299"/>
      <c r="I91" s="300"/>
      <c r="J91" s="300"/>
      <c r="K91" s="300"/>
      <c r="L91" s="131">
        <v>9696.5400000000009</v>
      </c>
      <c r="M91" s="301"/>
      <c r="N91" s="21">
        <v>17446.490000000002</v>
      </c>
      <c r="O91" s="485"/>
      <c r="P91" s="492"/>
      <c r="Q91" s="566"/>
      <c r="R91" s="565">
        <f t="shared" si="16"/>
        <v>0</v>
      </c>
      <c r="T91" s="2"/>
    </row>
    <row r="92" spans="1:20" ht="15" x14ac:dyDescent="0.25">
      <c r="A92" s="772"/>
      <c r="B92" s="225"/>
      <c r="C92" s="47" t="s">
        <v>337</v>
      </c>
      <c r="D92" s="299"/>
      <c r="E92" s="299"/>
      <c r="F92" s="299"/>
      <c r="G92" s="299"/>
      <c r="H92" s="299"/>
      <c r="I92" s="300"/>
      <c r="J92" s="300"/>
      <c r="K92" s="300"/>
      <c r="L92" s="131">
        <v>9955.2999999999993</v>
      </c>
      <c r="M92" s="301"/>
      <c r="N92" s="301"/>
      <c r="O92" s="485"/>
      <c r="P92" s="492"/>
      <c r="Q92" s="564"/>
      <c r="R92" s="565">
        <f t="shared" si="16"/>
        <v>0</v>
      </c>
      <c r="T92" s="2"/>
    </row>
    <row r="93" spans="1:20" ht="15" x14ac:dyDescent="0.25">
      <c r="A93" s="772"/>
      <c r="B93" s="225"/>
      <c r="C93" s="47" t="s">
        <v>438</v>
      </c>
      <c r="D93" s="299"/>
      <c r="E93" s="299"/>
      <c r="F93" s="299"/>
      <c r="G93" s="299"/>
      <c r="H93" s="299"/>
      <c r="I93" s="300"/>
      <c r="J93" s="300"/>
      <c r="K93" s="300"/>
      <c r="L93" s="131">
        <v>11550</v>
      </c>
      <c r="M93" s="301"/>
      <c r="N93" s="301"/>
      <c r="O93" s="477">
        <v>40060</v>
      </c>
      <c r="P93" s="668"/>
      <c r="Q93" s="564"/>
      <c r="R93" s="565">
        <f t="shared" si="16"/>
        <v>40060</v>
      </c>
      <c r="T93" s="2"/>
    </row>
    <row r="94" spans="1:20" ht="15" x14ac:dyDescent="0.25">
      <c r="A94" s="772"/>
      <c r="B94" s="225"/>
      <c r="C94" s="43" t="s">
        <v>236</v>
      </c>
      <c r="D94" s="299"/>
      <c r="E94" s="299"/>
      <c r="F94" s="299"/>
      <c r="G94" s="299"/>
      <c r="H94" s="299"/>
      <c r="I94" s="300"/>
      <c r="J94" s="300"/>
      <c r="K94" s="300"/>
      <c r="L94" s="131">
        <v>11848</v>
      </c>
      <c r="M94" s="301"/>
      <c r="N94" s="301"/>
      <c r="O94" s="477">
        <v>0</v>
      </c>
      <c r="P94" s="492"/>
      <c r="Q94" s="564"/>
      <c r="R94" s="565">
        <f t="shared" si="16"/>
        <v>0</v>
      </c>
      <c r="T94" s="2"/>
    </row>
    <row r="95" spans="1:20" x14ac:dyDescent="0.2">
      <c r="A95" s="772"/>
      <c r="B95" s="302"/>
      <c r="C95" s="72" t="s">
        <v>338</v>
      </c>
      <c r="D95" s="57"/>
      <c r="E95" s="57"/>
      <c r="F95" s="57"/>
      <c r="G95" s="57"/>
      <c r="H95" s="57"/>
      <c r="I95" s="72"/>
      <c r="J95" s="57"/>
      <c r="K95" s="57"/>
      <c r="L95" s="118">
        <v>55733.87</v>
      </c>
      <c r="M95" s="26">
        <v>17376</v>
      </c>
      <c r="N95" s="22"/>
      <c r="O95" s="479">
        <v>0</v>
      </c>
      <c r="P95" s="492"/>
      <c r="Q95" s="564"/>
      <c r="R95" s="565">
        <f t="shared" si="16"/>
        <v>0</v>
      </c>
      <c r="T95" s="2"/>
    </row>
    <row r="96" spans="1:20" x14ac:dyDescent="0.2">
      <c r="A96" s="772"/>
      <c r="B96" s="303"/>
      <c r="C96" s="47" t="s">
        <v>339</v>
      </c>
      <c r="D96" s="74"/>
      <c r="E96" s="74"/>
      <c r="F96" s="74"/>
      <c r="G96" s="74"/>
      <c r="H96" s="74"/>
      <c r="I96" s="47"/>
      <c r="J96" s="74"/>
      <c r="K96" s="44"/>
      <c r="L96" s="200">
        <v>41848</v>
      </c>
      <c r="M96" s="26"/>
      <c r="N96" s="26"/>
      <c r="O96" s="473">
        <v>0</v>
      </c>
      <c r="P96" s="492"/>
      <c r="Q96" s="564"/>
      <c r="R96" s="565">
        <f t="shared" si="16"/>
        <v>0</v>
      </c>
      <c r="T96" s="2"/>
    </row>
    <row r="97" spans="1:20" x14ac:dyDescent="0.2">
      <c r="A97" s="772"/>
      <c r="B97" s="303"/>
      <c r="C97" s="47" t="s">
        <v>484</v>
      </c>
      <c r="D97" s="74"/>
      <c r="E97" s="74"/>
      <c r="F97" s="74"/>
      <c r="G97" s="74"/>
      <c r="H97" s="74"/>
      <c r="I97" s="47"/>
      <c r="J97" s="74"/>
      <c r="K97" s="44"/>
      <c r="L97" s="26"/>
      <c r="M97" s="26"/>
      <c r="N97" s="26"/>
      <c r="O97" s="473">
        <v>30000</v>
      </c>
      <c r="P97" s="492"/>
      <c r="Q97" s="564"/>
      <c r="R97" s="565">
        <f t="shared" si="16"/>
        <v>30000</v>
      </c>
      <c r="T97" s="2"/>
    </row>
    <row r="98" spans="1:20" hidden="1" x14ac:dyDescent="0.2">
      <c r="A98" s="772"/>
      <c r="B98" s="303"/>
      <c r="C98" s="47"/>
      <c r="D98" s="74"/>
      <c r="E98" s="74"/>
      <c r="F98" s="74"/>
      <c r="G98" s="74"/>
      <c r="H98" s="74"/>
      <c r="I98" s="47"/>
      <c r="J98" s="74"/>
      <c r="K98" s="44"/>
      <c r="L98" s="26"/>
      <c r="M98" s="26"/>
      <c r="N98" s="26"/>
      <c r="O98" s="473">
        <v>0</v>
      </c>
      <c r="P98" s="492"/>
      <c r="Q98" s="564"/>
      <c r="R98" s="565">
        <f t="shared" si="16"/>
        <v>0</v>
      </c>
      <c r="T98" s="2"/>
    </row>
    <row r="99" spans="1:20" hidden="1" x14ac:dyDescent="0.2">
      <c r="A99" s="772"/>
      <c r="B99" s="303"/>
      <c r="C99" s="43"/>
      <c r="D99" s="44"/>
      <c r="E99" s="44"/>
      <c r="F99" s="44"/>
      <c r="G99" s="44"/>
      <c r="H99" s="44"/>
      <c r="I99" s="43"/>
      <c r="J99" s="44"/>
      <c r="K99" s="44"/>
      <c r="L99" s="26"/>
      <c r="M99" s="26"/>
      <c r="N99" s="26"/>
      <c r="O99" s="473">
        <v>0</v>
      </c>
      <c r="P99" s="492"/>
      <c r="Q99" s="566"/>
      <c r="R99" s="565">
        <f t="shared" si="16"/>
        <v>0</v>
      </c>
      <c r="T99" s="2"/>
    </row>
    <row r="100" spans="1:20" hidden="1" x14ac:dyDescent="0.2">
      <c r="A100" s="772"/>
      <c r="B100" s="303">
        <v>630</v>
      </c>
      <c r="C100" s="43" t="s">
        <v>340</v>
      </c>
      <c r="D100" s="44"/>
      <c r="E100" s="44"/>
      <c r="F100" s="44"/>
      <c r="G100" s="44"/>
      <c r="H100" s="44"/>
      <c r="I100" s="43">
        <v>800</v>
      </c>
      <c r="J100" s="44"/>
      <c r="K100" s="44"/>
      <c r="L100" s="26"/>
      <c r="M100" s="26"/>
      <c r="N100" s="26"/>
      <c r="O100" s="473">
        <v>0</v>
      </c>
      <c r="P100" s="492"/>
      <c r="Q100" s="566"/>
      <c r="R100" s="565">
        <f t="shared" si="16"/>
        <v>0</v>
      </c>
      <c r="T100" s="2"/>
    </row>
    <row r="101" spans="1:20" hidden="1" x14ac:dyDescent="0.2">
      <c r="A101" s="772"/>
      <c r="B101" s="303">
        <v>630</v>
      </c>
      <c r="C101" s="43" t="s">
        <v>341</v>
      </c>
      <c r="D101" s="44"/>
      <c r="E101" s="44"/>
      <c r="F101" s="44"/>
      <c r="G101" s="44"/>
      <c r="H101" s="44"/>
      <c r="I101" s="43">
        <v>2124</v>
      </c>
      <c r="J101" s="44">
        <v>1200</v>
      </c>
      <c r="K101" s="26">
        <f>25728+5970+25054</f>
        <v>56752</v>
      </c>
      <c r="L101" s="26"/>
      <c r="M101" s="26"/>
      <c r="N101" s="26"/>
      <c r="O101" s="473">
        <v>0</v>
      </c>
      <c r="P101" s="492"/>
      <c r="Q101" s="566"/>
      <c r="R101" s="565">
        <f t="shared" si="16"/>
        <v>0</v>
      </c>
      <c r="T101" s="2"/>
    </row>
    <row r="102" spans="1:20" ht="15.75" customHeight="1" x14ac:dyDescent="0.2">
      <c r="A102" s="772"/>
      <c r="B102" s="303">
        <v>630</v>
      </c>
      <c r="C102" s="43" t="s">
        <v>342</v>
      </c>
      <c r="D102" s="44"/>
      <c r="E102" s="44"/>
      <c r="F102" s="44"/>
      <c r="G102" s="44"/>
      <c r="H102" s="44"/>
      <c r="I102" s="43"/>
      <c r="J102" s="44">
        <v>22691</v>
      </c>
      <c r="K102" s="26">
        <v>859</v>
      </c>
      <c r="L102" s="26"/>
      <c r="M102" s="26">
        <v>774.55</v>
      </c>
      <c r="N102" s="26"/>
      <c r="O102" s="473">
        <v>0</v>
      </c>
      <c r="P102" s="492"/>
      <c r="Q102" s="566"/>
      <c r="R102" s="565">
        <f t="shared" si="16"/>
        <v>0</v>
      </c>
      <c r="T102" s="2"/>
    </row>
    <row r="103" spans="1:20" x14ac:dyDescent="0.2">
      <c r="A103" s="772"/>
      <c r="B103" s="303">
        <v>630</v>
      </c>
      <c r="C103" s="43" t="s">
        <v>343</v>
      </c>
      <c r="D103" s="44"/>
      <c r="E103" s="44"/>
      <c r="F103" s="44"/>
      <c r="G103" s="44"/>
      <c r="H103" s="44"/>
      <c r="I103" s="43">
        <v>4435</v>
      </c>
      <c r="J103" s="44"/>
      <c r="K103" s="44">
        <v>0</v>
      </c>
      <c r="L103" s="200">
        <v>931.15</v>
      </c>
      <c r="M103" s="26">
        <v>7872</v>
      </c>
      <c r="N103" s="26">
        <v>6215.72</v>
      </c>
      <c r="O103" s="473">
        <v>0</v>
      </c>
      <c r="P103" s="492"/>
      <c r="Q103" s="564"/>
      <c r="R103" s="565">
        <f t="shared" si="16"/>
        <v>0</v>
      </c>
      <c r="T103" s="2"/>
    </row>
    <row r="104" spans="1:20" x14ac:dyDescent="0.2">
      <c r="A104" s="772"/>
      <c r="B104" s="303">
        <v>630</v>
      </c>
      <c r="C104" s="47" t="s">
        <v>344</v>
      </c>
      <c r="D104" s="74"/>
      <c r="E104" s="74"/>
      <c r="F104" s="74"/>
      <c r="G104" s="74"/>
      <c r="H104" s="74"/>
      <c r="I104" s="47"/>
      <c r="J104" s="74"/>
      <c r="K104" s="74"/>
      <c r="L104" s="30"/>
      <c r="M104" s="30"/>
      <c r="N104" s="30">
        <v>0</v>
      </c>
      <c r="O104" s="483">
        <v>0</v>
      </c>
      <c r="P104" s="492"/>
      <c r="Q104" s="566"/>
      <c r="R104" s="565">
        <f t="shared" si="16"/>
        <v>0</v>
      </c>
      <c r="T104" s="2"/>
    </row>
    <row r="105" spans="1:20" hidden="1" x14ac:dyDescent="0.2">
      <c r="A105" s="772"/>
      <c r="B105" s="303">
        <v>630</v>
      </c>
      <c r="C105" s="47" t="s">
        <v>345</v>
      </c>
      <c r="D105" s="74"/>
      <c r="E105" s="74"/>
      <c r="F105" s="74"/>
      <c r="G105" s="74"/>
      <c r="H105" s="74"/>
      <c r="I105" s="47">
        <v>931</v>
      </c>
      <c r="J105" s="74">
        <v>0</v>
      </c>
      <c r="K105" s="74"/>
      <c r="L105" s="74"/>
      <c r="M105" s="74"/>
      <c r="N105" s="30">
        <v>0</v>
      </c>
      <c r="O105" s="483">
        <v>0</v>
      </c>
      <c r="P105" s="492"/>
      <c r="Q105" s="566"/>
      <c r="R105" s="565">
        <f t="shared" si="16"/>
        <v>0</v>
      </c>
      <c r="T105" s="2"/>
    </row>
    <row r="106" spans="1:20" x14ac:dyDescent="0.2">
      <c r="A106" s="772"/>
      <c r="B106" s="303">
        <v>630</v>
      </c>
      <c r="C106" s="47" t="s">
        <v>346</v>
      </c>
      <c r="D106" s="74"/>
      <c r="E106" s="74"/>
      <c r="F106" s="74"/>
      <c r="G106" s="74"/>
      <c r="H106" s="74"/>
      <c r="I106" s="43">
        <v>10805</v>
      </c>
      <c r="J106" s="44">
        <v>3148</v>
      </c>
      <c r="K106" s="74">
        <f>2890+1395+2974+8613+1646</f>
        <v>17518</v>
      </c>
      <c r="L106" s="218">
        <v>34575.230000000003</v>
      </c>
      <c r="M106" s="30">
        <v>22975.97</v>
      </c>
      <c r="N106" s="30">
        <v>28524.560000000001</v>
      </c>
      <c r="O106" s="483">
        <v>48550</v>
      </c>
      <c r="P106" s="492"/>
      <c r="Q106" s="566"/>
      <c r="R106" s="565">
        <f t="shared" si="16"/>
        <v>48550</v>
      </c>
      <c r="T106" s="2"/>
    </row>
    <row r="107" spans="1:20" ht="13.5" thickBot="1" x14ac:dyDescent="0.25">
      <c r="A107" s="773"/>
      <c r="B107" s="247">
        <v>640</v>
      </c>
      <c r="C107" s="46" t="s">
        <v>347</v>
      </c>
      <c r="D107" s="60"/>
      <c r="E107" s="60">
        <v>217951</v>
      </c>
      <c r="F107" s="60">
        <v>132776</v>
      </c>
      <c r="G107" s="60">
        <v>141830</v>
      </c>
      <c r="H107" s="60">
        <v>137000</v>
      </c>
      <c r="I107" s="46">
        <v>133070</v>
      </c>
      <c r="J107" s="60">
        <v>146453</v>
      </c>
      <c r="K107" s="60">
        <v>144534</v>
      </c>
      <c r="L107" s="295">
        <v>144534</v>
      </c>
      <c r="M107" s="60">
        <v>151477</v>
      </c>
      <c r="N107" s="48">
        <v>155372</v>
      </c>
      <c r="O107" s="464">
        <v>169662</v>
      </c>
      <c r="P107" s="493"/>
      <c r="Q107" s="575"/>
      <c r="R107" s="570">
        <f t="shared" si="16"/>
        <v>169662</v>
      </c>
      <c r="T107" s="2"/>
    </row>
    <row r="108" spans="1:20" ht="15.75" thickBot="1" x14ac:dyDescent="0.3">
      <c r="A108" s="207" t="s">
        <v>348</v>
      </c>
      <c r="B108" s="735" t="s">
        <v>77</v>
      </c>
      <c r="C108" s="746"/>
      <c r="D108" s="67">
        <f>D109</f>
        <v>10589</v>
      </c>
      <c r="E108" s="67">
        <f>E109</f>
        <v>11917</v>
      </c>
      <c r="F108" s="67">
        <f>F109</f>
        <v>11883</v>
      </c>
      <c r="G108" s="67">
        <f>G109</f>
        <v>4189</v>
      </c>
      <c r="H108" s="67">
        <v>5005</v>
      </c>
      <c r="I108" s="67">
        <f t="shared" ref="I108:Q108" si="17">I109</f>
        <v>5041</v>
      </c>
      <c r="J108" s="67">
        <f t="shared" si="17"/>
        <v>5609</v>
      </c>
      <c r="K108" s="67">
        <f t="shared" si="17"/>
        <v>6003</v>
      </c>
      <c r="L108" s="209">
        <v>3745.53</v>
      </c>
      <c r="M108" s="67">
        <f t="shared" si="17"/>
        <v>5989.44</v>
      </c>
      <c r="N108" s="459">
        <f t="shared" si="17"/>
        <v>5966.9</v>
      </c>
      <c r="O108" s="459">
        <f t="shared" si="17"/>
        <v>6000</v>
      </c>
      <c r="P108" s="459">
        <f t="shared" si="17"/>
        <v>0</v>
      </c>
      <c r="Q108" s="459">
        <f t="shared" si="17"/>
        <v>0</v>
      </c>
      <c r="R108" s="505">
        <f>R109</f>
        <v>6000</v>
      </c>
      <c r="T108" s="2"/>
    </row>
    <row r="109" spans="1:20" ht="13.5" thickBot="1" x14ac:dyDescent="0.25">
      <c r="A109" s="304"/>
      <c r="B109" s="305"/>
      <c r="C109" s="75" t="s">
        <v>349</v>
      </c>
      <c r="D109" s="83">
        <v>10589</v>
      </c>
      <c r="E109" s="83">
        <v>11917</v>
      </c>
      <c r="F109" s="83">
        <v>11883</v>
      </c>
      <c r="G109" s="83">
        <v>4189</v>
      </c>
      <c r="H109" s="83">
        <v>5005</v>
      </c>
      <c r="I109" s="75">
        <v>5041</v>
      </c>
      <c r="J109" s="83">
        <v>5609</v>
      </c>
      <c r="K109" s="12">
        <v>6003</v>
      </c>
      <c r="L109" s="241">
        <v>3745.53</v>
      </c>
      <c r="M109" s="12">
        <v>5989.44</v>
      </c>
      <c r="N109" s="12">
        <v>5966.9</v>
      </c>
      <c r="O109" s="461">
        <v>6000</v>
      </c>
      <c r="P109" s="490"/>
      <c r="Q109" s="573"/>
      <c r="R109" s="574">
        <f>O109+P109+Q109</f>
        <v>6000</v>
      </c>
      <c r="T109" s="2"/>
    </row>
    <row r="110" spans="1:20" ht="15.75" thickBot="1" x14ac:dyDescent="0.3">
      <c r="A110" s="260" t="s">
        <v>369</v>
      </c>
      <c r="B110" s="775" t="s">
        <v>368</v>
      </c>
      <c r="C110" s="751"/>
      <c r="D110" s="79">
        <f>D112</f>
        <v>0</v>
      </c>
      <c r="E110" s="79">
        <f>E112</f>
        <v>122817</v>
      </c>
      <c r="F110" s="79">
        <f>F112</f>
        <v>236905</v>
      </c>
      <c r="G110" s="79">
        <f>G112</f>
        <v>210760</v>
      </c>
      <c r="H110" s="79">
        <v>216000</v>
      </c>
      <c r="I110" s="79">
        <f t="shared" ref="I110:N110" si="18">I112</f>
        <v>173560</v>
      </c>
      <c r="J110" s="79">
        <f t="shared" si="18"/>
        <v>168880</v>
      </c>
      <c r="K110" s="79">
        <f t="shared" si="18"/>
        <v>168880</v>
      </c>
      <c r="L110" s="80">
        <v>166668</v>
      </c>
      <c r="M110" s="79">
        <f t="shared" si="18"/>
        <v>150364</v>
      </c>
      <c r="N110" s="463">
        <f t="shared" si="18"/>
        <v>136000</v>
      </c>
      <c r="O110" s="463">
        <f>O112+O111</f>
        <v>145152</v>
      </c>
      <c r="P110" s="463">
        <f>P112+P111</f>
        <v>0</v>
      </c>
      <c r="Q110" s="463">
        <f>Q112+Q111</f>
        <v>0</v>
      </c>
      <c r="R110" s="505">
        <f>R112+R111</f>
        <v>145152</v>
      </c>
      <c r="T110" s="2"/>
    </row>
    <row r="111" spans="1:20" ht="15.75" thickBot="1" x14ac:dyDescent="0.3">
      <c r="A111" s="260"/>
      <c r="B111" s="672">
        <v>630</v>
      </c>
      <c r="C111" s="673" t="s">
        <v>468</v>
      </c>
      <c r="D111" s="674"/>
      <c r="E111" s="674"/>
      <c r="F111" s="674"/>
      <c r="G111" s="674"/>
      <c r="H111" s="674"/>
      <c r="I111" s="674"/>
      <c r="J111" s="674"/>
      <c r="K111" s="675"/>
      <c r="L111" s="676"/>
      <c r="M111" s="675"/>
      <c r="N111" s="677"/>
      <c r="O111" s="677">
        <v>7000</v>
      </c>
      <c r="P111" s="677"/>
      <c r="Q111" s="684"/>
      <c r="R111" s="570">
        <f>O111+P111+Q111</f>
        <v>7000</v>
      </c>
      <c r="T111" s="2"/>
    </row>
    <row r="112" spans="1:20" ht="13.5" thickBot="1" x14ac:dyDescent="0.25">
      <c r="A112" s="304"/>
      <c r="B112" s="305">
        <v>640</v>
      </c>
      <c r="C112" s="75" t="s">
        <v>350</v>
      </c>
      <c r="D112" s="83"/>
      <c r="E112" s="83">
        <v>122817</v>
      </c>
      <c r="F112" s="83">
        <v>236905</v>
      </c>
      <c r="G112" s="83">
        <v>210760</v>
      </c>
      <c r="H112" s="83">
        <v>216000</v>
      </c>
      <c r="I112" s="75">
        <v>173560</v>
      </c>
      <c r="J112" s="83">
        <v>168880</v>
      </c>
      <c r="K112" s="12">
        <v>168880</v>
      </c>
      <c r="L112" s="241">
        <v>166668</v>
      </c>
      <c r="M112" s="12">
        <v>150364</v>
      </c>
      <c r="N112" s="12">
        <v>136000</v>
      </c>
      <c r="O112" s="461">
        <v>138152</v>
      </c>
      <c r="P112" s="490"/>
      <c r="Q112" s="573"/>
      <c r="R112" s="574">
        <f>O112+P112+Q112</f>
        <v>138152</v>
      </c>
      <c r="T112" s="2"/>
    </row>
    <row r="113" spans="1:22" ht="15.75" thickBot="1" x14ac:dyDescent="0.3">
      <c r="A113" s="260" t="s">
        <v>87</v>
      </c>
      <c r="B113" s="775" t="s">
        <v>351</v>
      </c>
      <c r="C113" s="751"/>
      <c r="D113" s="79">
        <v>0</v>
      </c>
      <c r="E113" s="79">
        <v>56430</v>
      </c>
      <c r="F113" s="79">
        <v>359789</v>
      </c>
      <c r="G113" s="79">
        <v>312928</v>
      </c>
      <c r="H113" s="79">
        <v>336361</v>
      </c>
      <c r="I113" s="79">
        <f t="shared" ref="I113:Q113" si="19">SUM(I114:I119)</f>
        <v>283963</v>
      </c>
      <c r="J113" s="79">
        <f t="shared" si="19"/>
        <v>347786</v>
      </c>
      <c r="K113" s="79">
        <f t="shared" si="19"/>
        <v>268221</v>
      </c>
      <c r="L113" s="79">
        <f t="shared" si="19"/>
        <v>263798.23</v>
      </c>
      <c r="M113" s="79">
        <f t="shared" si="19"/>
        <v>287887.32</v>
      </c>
      <c r="N113" s="463">
        <f>SUM(N114:N119)</f>
        <v>314491.48</v>
      </c>
      <c r="O113" s="463">
        <f t="shared" si="19"/>
        <v>360339</v>
      </c>
      <c r="P113" s="463">
        <f>SUM(P114:P119)</f>
        <v>0</v>
      </c>
      <c r="Q113" s="463">
        <f t="shared" si="19"/>
        <v>0</v>
      </c>
      <c r="R113" s="505">
        <f>SUM(R114:R119)</f>
        <v>360339</v>
      </c>
      <c r="S113" s="506"/>
      <c r="T113" s="2"/>
    </row>
    <row r="114" spans="1:22" x14ac:dyDescent="0.2">
      <c r="A114" s="771"/>
      <c r="B114" s="224">
        <v>610</v>
      </c>
      <c r="C114" s="41" t="s">
        <v>292</v>
      </c>
      <c r="D114" s="42"/>
      <c r="E114" s="42"/>
      <c r="F114" s="42"/>
      <c r="G114" s="42"/>
      <c r="H114" s="42"/>
      <c r="I114" s="41">
        <v>264635</v>
      </c>
      <c r="J114" s="42">
        <v>24997</v>
      </c>
      <c r="K114" s="42">
        <v>24062</v>
      </c>
      <c r="L114" s="93">
        <v>22719.55</v>
      </c>
      <c r="M114" s="142">
        <v>28495.57</v>
      </c>
      <c r="N114" s="142">
        <v>28348.01</v>
      </c>
      <c r="O114" s="474">
        <v>30245</v>
      </c>
      <c r="P114" s="603"/>
      <c r="Q114" s="604"/>
      <c r="R114" s="563">
        <f t="shared" ref="R114:R119" si="20">O114+P114+Q114</f>
        <v>30245</v>
      </c>
      <c r="T114" s="2"/>
    </row>
    <row r="115" spans="1:22" x14ac:dyDescent="0.2">
      <c r="A115" s="772"/>
      <c r="B115" s="225">
        <v>620</v>
      </c>
      <c r="C115" s="43" t="s">
        <v>293</v>
      </c>
      <c r="D115" s="44"/>
      <c r="E115" s="44"/>
      <c r="F115" s="44"/>
      <c r="G115" s="44"/>
      <c r="H115" s="44"/>
      <c r="I115" s="43"/>
      <c r="J115" s="44">
        <v>9316</v>
      </c>
      <c r="K115" s="44">
        <v>8959</v>
      </c>
      <c r="L115" s="26">
        <v>9337.6200000000008</v>
      </c>
      <c r="M115" s="25">
        <v>10210.040000000001</v>
      </c>
      <c r="N115" s="25">
        <v>10765.88</v>
      </c>
      <c r="O115" s="482">
        <v>11254</v>
      </c>
      <c r="P115" s="492"/>
      <c r="Q115" s="564"/>
      <c r="R115" s="565">
        <f t="shared" si="20"/>
        <v>11254</v>
      </c>
      <c r="T115" s="2"/>
    </row>
    <row r="116" spans="1:22" x14ac:dyDescent="0.2">
      <c r="A116" s="772"/>
      <c r="B116" s="225">
        <v>630</v>
      </c>
      <c r="C116" s="43" t="s">
        <v>294</v>
      </c>
      <c r="D116" s="44"/>
      <c r="E116" s="44"/>
      <c r="F116" s="44"/>
      <c r="G116" s="44"/>
      <c r="H116" s="44"/>
      <c r="I116" s="43"/>
      <c r="J116" s="44">
        <v>291329</v>
      </c>
      <c r="K116" s="44">
        <f>212898</f>
        <v>212898</v>
      </c>
      <c r="L116" s="26">
        <v>204427.59</v>
      </c>
      <c r="M116" s="25">
        <v>218239.71</v>
      </c>
      <c r="N116" s="25">
        <v>254385.59</v>
      </c>
      <c r="O116" s="482">
        <v>300305</v>
      </c>
      <c r="P116" s="668"/>
      <c r="Q116" s="564"/>
      <c r="R116" s="565">
        <f t="shared" si="20"/>
        <v>300305</v>
      </c>
      <c r="T116" s="2"/>
      <c r="V116" s="2"/>
    </row>
    <row r="117" spans="1:22" x14ac:dyDescent="0.2">
      <c r="A117" s="772"/>
      <c r="B117" s="199">
        <v>640</v>
      </c>
      <c r="C117" s="43" t="s">
        <v>295</v>
      </c>
      <c r="D117" s="44"/>
      <c r="E117" s="44"/>
      <c r="F117" s="44"/>
      <c r="G117" s="44"/>
      <c r="H117" s="44"/>
      <c r="I117" s="43"/>
      <c r="J117" s="44"/>
      <c r="K117" s="26">
        <v>158</v>
      </c>
      <c r="L117" s="26">
        <v>169.47</v>
      </c>
      <c r="M117" s="25"/>
      <c r="N117" s="25"/>
      <c r="O117" s="482">
        <v>0</v>
      </c>
      <c r="P117" s="492"/>
      <c r="Q117" s="564"/>
      <c r="R117" s="565">
        <f t="shared" si="20"/>
        <v>0</v>
      </c>
      <c r="T117" s="2"/>
    </row>
    <row r="118" spans="1:22" x14ac:dyDescent="0.2">
      <c r="A118" s="772"/>
      <c r="B118" s="199"/>
      <c r="C118" s="43" t="s">
        <v>381</v>
      </c>
      <c r="D118" s="44"/>
      <c r="E118" s="44"/>
      <c r="F118" s="44"/>
      <c r="G118" s="44"/>
      <c r="H118" s="44"/>
      <c r="I118" s="43"/>
      <c r="J118" s="44"/>
      <c r="K118" s="26"/>
      <c r="L118" s="26"/>
      <c r="M118" s="25"/>
      <c r="N118" s="25"/>
      <c r="O118" s="561">
        <v>0</v>
      </c>
      <c r="P118" s="493"/>
      <c r="Q118" s="575"/>
      <c r="R118" s="570">
        <f t="shared" si="20"/>
        <v>0</v>
      </c>
      <c r="T118" s="2"/>
    </row>
    <row r="119" spans="1:22" ht="13.5" thickBot="1" x14ac:dyDescent="0.25">
      <c r="A119" s="773"/>
      <c r="B119" s="226">
        <v>640</v>
      </c>
      <c r="C119" s="115" t="s">
        <v>350</v>
      </c>
      <c r="D119" s="205"/>
      <c r="E119" s="205">
        <v>56430</v>
      </c>
      <c r="F119" s="205">
        <v>66388</v>
      </c>
      <c r="G119" s="205">
        <v>33070</v>
      </c>
      <c r="H119" s="205">
        <v>34000</v>
      </c>
      <c r="I119" s="115">
        <v>19328</v>
      </c>
      <c r="J119" s="205">
        <v>22144</v>
      </c>
      <c r="K119" s="77">
        <v>22144</v>
      </c>
      <c r="L119" s="77">
        <v>27144</v>
      </c>
      <c r="M119" s="77">
        <v>30942</v>
      </c>
      <c r="N119" s="77">
        <v>20992</v>
      </c>
      <c r="O119" s="468">
        <v>18535</v>
      </c>
      <c r="P119" s="691"/>
      <c r="Q119" s="605"/>
      <c r="R119" s="570">
        <f t="shared" si="20"/>
        <v>18535</v>
      </c>
      <c r="T119" s="2"/>
      <c r="U119" s="2"/>
    </row>
    <row r="120" spans="1:22" ht="15.75" thickBot="1" x14ac:dyDescent="0.3">
      <c r="A120" s="260" t="s">
        <v>266</v>
      </c>
      <c r="B120" s="775" t="s">
        <v>352</v>
      </c>
      <c r="C120" s="751"/>
      <c r="D120" s="79">
        <f t="shared" ref="D120:Q120" si="21">SUM(D121:D123)</f>
        <v>398161</v>
      </c>
      <c r="E120" s="79">
        <f t="shared" si="21"/>
        <v>245269</v>
      </c>
      <c r="F120" s="79">
        <f t="shared" si="21"/>
        <v>266050</v>
      </c>
      <c r="G120" s="79">
        <f t="shared" si="21"/>
        <v>237941</v>
      </c>
      <c r="H120" s="79">
        <f t="shared" si="21"/>
        <v>273708</v>
      </c>
      <c r="I120" s="79">
        <f t="shared" si="21"/>
        <v>262675</v>
      </c>
      <c r="J120" s="79">
        <f t="shared" si="21"/>
        <v>162661</v>
      </c>
      <c r="K120" s="79">
        <f t="shared" si="21"/>
        <v>165913</v>
      </c>
      <c r="L120" s="80">
        <f t="shared" si="21"/>
        <v>173111</v>
      </c>
      <c r="M120" s="79">
        <f t="shared" si="21"/>
        <v>179007.07</v>
      </c>
      <c r="N120" s="463">
        <f t="shared" si="21"/>
        <v>207573.5</v>
      </c>
      <c r="O120" s="463">
        <f t="shared" si="21"/>
        <v>259015</v>
      </c>
      <c r="P120" s="463">
        <f t="shared" si="21"/>
        <v>0</v>
      </c>
      <c r="Q120" s="463">
        <f t="shared" si="21"/>
        <v>0</v>
      </c>
      <c r="R120" s="505">
        <f>SUM(R121:R123)</f>
        <v>259015</v>
      </c>
      <c r="T120" s="2"/>
    </row>
    <row r="121" spans="1:22" x14ac:dyDescent="0.2">
      <c r="A121" s="769"/>
      <c r="B121" s="306"/>
      <c r="C121" s="41" t="s">
        <v>353</v>
      </c>
      <c r="D121" s="42">
        <v>373863</v>
      </c>
      <c r="E121" s="42">
        <v>211312</v>
      </c>
      <c r="F121" s="42">
        <v>220574</v>
      </c>
      <c r="G121" s="42">
        <v>190734</v>
      </c>
      <c r="H121" s="42">
        <v>216608</v>
      </c>
      <c r="I121" s="41">
        <v>202225</v>
      </c>
      <c r="J121" s="44">
        <v>118262</v>
      </c>
      <c r="K121" s="44">
        <v>116713</v>
      </c>
      <c r="L121" s="118">
        <v>116713</v>
      </c>
      <c r="M121" s="22">
        <v>132538</v>
      </c>
      <c r="N121" s="22">
        <v>117290</v>
      </c>
      <c r="O121" s="479">
        <v>150545</v>
      </c>
      <c r="P121" s="491"/>
      <c r="Q121" s="562"/>
      <c r="R121" s="563">
        <f>O121+P121+Q121</f>
        <v>150545</v>
      </c>
      <c r="T121" s="2"/>
    </row>
    <row r="122" spans="1:22" x14ac:dyDescent="0.2">
      <c r="A122" s="774"/>
      <c r="B122" s="307"/>
      <c r="C122" s="143" t="s">
        <v>406</v>
      </c>
      <c r="D122" s="236"/>
      <c r="E122" s="236"/>
      <c r="F122" s="236"/>
      <c r="G122" s="236"/>
      <c r="H122" s="236"/>
      <c r="I122" s="143"/>
      <c r="J122" s="44"/>
      <c r="K122" s="44"/>
      <c r="L122" s="116"/>
      <c r="M122" s="70">
        <v>3467.07</v>
      </c>
      <c r="N122" s="70">
        <v>50283.5</v>
      </c>
      <c r="O122" s="460">
        <v>57470</v>
      </c>
      <c r="P122" s="492"/>
      <c r="Q122" s="564"/>
      <c r="R122" s="565">
        <f>O122+P122+Q122</f>
        <v>57470</v>
      </c>
      <c r="T122" s="2"/>
    </row>
    <row r="123" spans="1:22" ht="13.5" thickBot="1" x14ac:dyDescent="0.25">
      <c r="A123" s="770"/>
      <c r="B123" s="308"/>
      <c r="C123" s="46" t="s">
        <v>354</v>
      </c>
      <c r="D123" s="60">
        <v>24298</v>
      </c>
      <c r="E123" s="60">
        <v>33957</v>
      </c>
      <c r="F123" s="60">
        <v>45476</v>
      </c>
      <c r="G123" s="60">
        <v>47207</v>
      </c>
      <c r="H123" s="60">
        <v>57100</v>
      </c>
      <c r="I123" s="46">
        <v>60450</v>
      </c>
      <c r="J123" s="44">
        <v>44399</v>
      </c>
      <c r="K123" s="44">
        <v>49200</v>
      </c>
      <c r="L123" s="218">
        <v>56398</v>
      </c>
      <c r="M123" s="30">
        <v>43002</v>
      </c>
      <c r="N123" s="30">
        <v>40000</v>
      </c>
      <c r="O123" s="483">
        <v>51000</v>
      </c>
      <c r="P123" s="493"/>
      <c r="Q123" s="575"/>
      <c r="R123" s="570">
        <f>O123+P123+Q123</f>
        <v>51000</v>
      </c>
      <c r="T123" s="2"/>
    </row>
    <row r="124" spans="1:22" ht="15.75" thickBot="1" x14ac:dyDescent="0.3">
      <c r="A124" s="207" t="s">
        <v>367</v>
      </c>
      <c r="B124" s="735" t="s">
        <v>102</v>
      </c>
      <c r="C124" s="746"/>
      <c r="D124" s="67">
        <v>16298</v>
      </c>
      <c r="E124" s="67">
        <f>SUM(E125:E135)</f>
        <v>196674</v>
      </c>
      <c r="F124" s="67">
        <f>SUM(F125:F135)</f>
        <v>276704</v>
      </c>
      <c r="G124" s="67">
        <v>322185</v>
      </c>
      <c r="H124" s="67">
        <v>434860</v>
      </c>
      <c r="I124" s="67">
        <f>SUM(I125:I135)</f>
        <v>350461</v>
      </c>
      <c r="J124" s="67">
        <f>SUM(J125:J135)</f>
        <v>332348</v>
      </c>
      <c r="K124" s="67">
        <f>SUM(K125:K135)</f>
        <v>315787</v>
      </c>
      <c r="L124" s="209">
        <f t="shared" ref="L124:R124" si="22">SUM(L125:L137)</f>
        <v>311192.31999999995</v>
      </c>
      <c r="M124" s="67">
        <f t="shared" si="22"/>
        <v>355810.5</v>
      </c>
      <c r="N124" s="459">
        <f t="shared" si="22"/>
        <v>384915.19</v>
      </c>
      <c r="O124" s="459">
        <f t="shared" si="22"/>
        <v>385798</v>
      </c>
      <c r="P124" s="459">
        <f t="shared" si="22"/>
        <v>0</v>
      </c>
      <c r="Q124" s="459">
        <f t="shared" si="22"/>
        <v>0</v>
      </c>
      <c r="R124" s="505">
        <f t="shared" si="22"/>
        <v>385798</v>
      </c>
      <c r="T124" s="2"/>
    </row>
    <row r="125" spans="1:22" x14ac:dyDescent="0.2">
      <c r="A125" s="769"/>
      <c r="B125" s="309"/>
      <c r="C125" s="219" t="s">
        <v>355</v>
      </c>
      <c r="D125" s="310">
        <v>4913</v>
      </c>
      <c r="E125" s="310">
        <v>3850</v>
      </c>
      <c r="F125" s="310">
        <v>5112</v>
      </c>
      <c r="G125" s="310"/>
      <c r="H125" s="310"/>
      <c r="I125" s="219">
        <v>6756</v>
      </c>
      <c r="J125" s="310">
        <v>7114</v>
      </c>
      <c r="K125" s="42">
        <v>7113</v>
      </c>
      <c r="L125" s="93">
        <v>7438.6</v>
      </c>
      <c r="M125" s="93">
        <v>12903.29</v>
      </c>
      <c r="N125" s="93">
        <v>10157.040000000001</v>
      </c>
      <c r="O125" s="472">
        <v>12701</v>
      </c>
      <c r="P125" s="603"/>
      <c r="Q125" s="604"/>
      <c r="R125" s="563">
        <f t="shared" ref="R125:R137" si="23">O125+P125+Q125</f>
        <v>12701</v>
      </c>
      <c r="T125" s="2"/>
    </row>
    <row r="126" spans="1:22" x14ac:dyDescent="0.2">
      <c r="A126" s="774"/>
      <c r="B126" s="311"/>
      <c r="C126" s="221" t="s">
        <v>264</v>
      </c>
      <c r="D126" s="312"/>
      <c r="E126" s="312"/>
      <c r="F126" s="312"/>
      <c r="G126" s="312"/>
      <c r="H126" s="312"/>
      <c r="I126" s="313">
        <v>24304</v>
      </c>
      <c r="J126" s="312">
        <v>10566</v>
      </c>
      <c r="K126" s="57">
        <v>3350</v>
      </c>
      <c r="L126" s="22">
        <v>4052</v>
      </c>
      <c r="M126" s="22">
        <v>10555.27</v>
      </c>
      <c r="N126" s="22"/>
      <c r="O126" s="479">
        <v>0</v>
      </c>
      <c r="P126" s="668"/>
      <c r="Q126" s="564"/>
      <c r="R126" s="567">
        <f t="shared" si="23"/>
        <v>0</v>
      </c>
      <c r="T126" s="2"/>
    </row>
    <row r="127" spans="1:22" x14ac:dyDescent="0.2">
      <c r="A127" s="774"/>
      <c r="B127" s="311"/>
      <c r="C127" s="221" t="s">
        <v>247</v>
      </c>
      <c r="D127" s="312"/>
      <c r="E127" s="312"/>
      <c r="F127" s="312"/>
      <c r="G127" s="312"/>
      <c r="H127" s="312"/>
      <c r="I127" s="313"/>
      <c r="J127" s="312"/>
      <c r="K127" s="57"/>
      <c r="L127" s="22"/>
      <c r="M127" s="22">
        <v>19000</v>
      </c>
      <c r="N127" s="22">
        <v>10407.57</v>
      </c>
      <c r="O127" s="479">
        <v>19000</v>
      </c>
      <c r="P127" s="668"/>
      <c r="Q127" s="564"/>
      <c r="R127" s="565">
        <f t="shared" si="23"/>
        <v>19000</v>
      </c>
      <c r="T127" s="2"/>
    </row>
    <row r="128" spans="1:22" x14ac:dyDescent="0.2">
      <c r="A128" s="774"/>
      <c r="B128" s="311"/>
      <c r="C128" s="221" t="s">
        <v>408</v>
      </c>
      <c r="D128" s="312"/>
      <c r="E128" s="312"/>
      <c r="F128" s="312"/>
      <c r="G128" s="312"/>
      <c r="H128" s="312"/>
      <c r="I128" s="313"/>
      <c r="J128" s="312"/>
      <c r="K128" s="57"/>
      <c r="L128" s="22"/>
      <c r="M128" s="22"/>
      <c r="N128" s="22">
        <v>15000</v>
      </c>
      <c r="O128" s="479">
        <v>5000</v>
      </c>
      <c r="P128" s="668"/>
      <c r="Q128" s="564"/>
      <c r="R128" s="565">
        <f t="shared" si="23"/>
        <v>5000</v>
      </c>
      <c r="T128" s="2"/>
    </row>
    <row r="129" spans="1:20" x14ac:dyDescent="0.2">
      <c r="A129" s="774"/>
      <c r="B129" s="314"/>
      <c r="C129" s="221" t="s">
        <v>356</v>
      </c>
      <c r="D129" s="201"/>
      <c r="E129" s="201">
        <v>7568</v>
      </c>
      <c r="F129" s="201">
        <v>15767</v>
      </c>
      <c r="G129" s="201">
        <v>15084</v>
      </c>
      <c r="H129" s="201"/>
      <c r="I129" s="221">
        <v>13552</v>
      </c>
      <c r="J129" s="201">
        <v>11060</v>
      </c>
      <c r="K129" s="44">
        <v>9650</v>
      </c>
      <c r="L129" s="26">
        <v>9100</v>
      </c>
      <c r="M129" s="26">
        <v>10889.5</v>
      </c>
      <c r="N129" s="26">
        <v>10000</v>
      </c>
      <c r="O129" s="473">
        <v>9200</v>
      </c>
      <c r="P129" s="668"/>
      <c r="Q129" s="564"/>
      <c r="R129" s="565">
        <f t="shared" si="23"/>
        <v>9200</v>
      </c>
      <c r="T129" s="2"/>
    </row>
    <row r="130" spans="1:20" x14ac:dyDescent="0.2">
      <c r="A130" s="774"/>
      <c r="B130" s="314"/>
      <c r="C130" s="221" t="s">
        <v>476</v>
      </c>
      <c r="D130" s="201"/>
      <c r="E130" s="201"/>
      <c r="F130" s="201"/>
      <c r="G130" s="201"/>
      <c r="H130" s="201"/>
      <c r="I130" s="221"/>
      <c r="J130" s="201"/>
      <c r="K130" s="44"/>
      <c r="L130" s="26"/>
      <c r="M130" s="26"/>
      <c r="N130" s="26">
        <v>5000</v>
      </c>
      <c r="O130" s="473">
        <v>10000</v>
      </c>
      <c r="P130" s="492"/>
      <c r="Q130" s="564"/>
      <c r="R130" s="565">
        <f t="shared" si="23"/>
        <v>10000</v>
      </c>
      <c r="T130" s="2"/>
    </row>
    <row r="131" spans="1:20" x14ac:dyDescent="0.2">
      <c r="A131" s="774"/>
      <c r="B131" s="314"/>
      <c r="C131" s="221" t="s">
        <v>99</v>
      </c>
      <c r="D131" s="201"/>
      <c r="E131" s="201"/>
      <c r="F131" s="201"/>
      <c r="G131" s="201"/>
      <c r="H131" s="201"/>
      <c r="I131" s="221"/>
      <c r="J131" s="201"/>
      <c r="K131" s="44"/>
      <c r="L131" s="26"/>
      <c r="M131" s="26"/>
      <c r="N131" s="26">
        <v>256.58</v>
      </c>
      <c r="O131" s="473">
        <v>4000</v>
      </c>
      <c r="P131" s="492"/>
      <c r="Q131" s="564"/>
      <c r="R131" s="565">
        <f t="shared" si="23"/>
        <v>4000</v>
      </c>
      <c r="T131" s="2"/>
    </row>
    <row r="132" spans="1:20" x14ac:dyDescent="0.2">
      <c r="A132" s="774"/>
      <c r="B132" s="314"/>
      <c r="C132" s="221" t="s">
        <v>394</v>
      </c>
      <c r="D132" s="201"/>
      <c r="E132" s="201"/>
      <c r="F132" s="201"/>
      <c r="G132" s="201"/>
      <c r="H132" s="201"/>
      <c r="I132" s="221"/>
      <c r="J132" s="201"/>
      <c r="K132" s="44"/>
      <c r="L132" s="26"/>
      <c r="M132" s="26"/>
      <c r="N132" s="26">
        <v>4000</v>
      </c>
      <c r="O132" s="473">
        <v>4000</v>
      </c>
      <c r="P132" s="668"/>
      <c r="Q132" s="564"/>
      <c r="R132" s="565">
        <f t="shared" si="23"/>
        <v>4000</v>
      </c>
      <c r="T132" s="2"/>
    </row>
    <row r="133" spans="1:20" x14ac:dyDescent="0.2">
      <c r="A133" s="774"/>
      <c r="B133" s="314"/>
      <c r="C133" s="221" t="s">
        <v>242</v>
      </c>
      <c r="D133" s="201"/>
      <c r="E133" s="201">
        <v>58189</v>
      </c>
      <c r="F133" s="201">
        <v>75483</v>
      </c>
      <c r="G133" s="201">
        <v>91400</v>
      </c>
      <c r="H133" s="201"/>
      <c r="I133" s="221">
        <v>152242</v>
      </c>
      <c r="J133" s="201">
        <v>162681</v>
      </c>
      <c r="K133" s="44">
        <v>150333</v>
      </c>
      <c r="L133" s="26">
        <v>119218</v>
      </c>
      <c r="M133" s="26">
        <v>148153</v>
      </c>
      <c r="N133" s="26">
        <v>76969</v>
      </c>
      <c r="O133" s="473">
        <v>72600</v>
      </c>
      <c r="P133" s="492"/>
      <c r="Q133" s="564"/>
      <c r="R133" s="565">
        <f t="shared" si="23"/>
        <v>72600</v>
      </c>
      <c r="T133" s="2"/>
    </row>
    <row r="134" spans="1:20" x14ac:dyDescent="0.2">
      <c r="A134" s="774"/>
      <c r="B134" s="314"/>
      <c r="C134" s="221" t="s">
        <v>243</v>
      </c>
      <c r="D134" s="201"/>
      <c r="E134" s="201">
        <v>99250</v>
      </c>
      <c r="F134" s="201">
        <v>153754</v>
      </c>
      <c r="G134" s="201">
        <v>143286</v>
      </c>
      <c r="H134" s="201"/>
      <c r="I134" s="221">
        <v>86643</v>
      </c>
      <c r="J134" s="201">
        <v>82311</v>
      </c>
      <c r="K134" s="44">
        <v>93232</v>
      </c>
      <c r="L134" s="26">
        <v>109100</v>
      </c>
      <c r="M134" s="26">
        <v>88221</v>
      </c>
      <c r="N134" s="26">
        <v>81209</v>
      </c>
      <c r="O134" s="473">
        <v>74463</v>
      </c>
      <c r="P134" s="492"/>
      <c r="Q134" s="564"/>
      <c r="R134" s="565">
        <f t="shared" si="23"/>
        <v>74463</v>
      </c>
      <c r="T134" s="2"/>
    </row>
    <row r="135" spans="1:20" x14ac:dyDescent="0.2">
      <c r="A135" s="774"/>
      <c r="B135" s="315"/>
      <c r="C135" s="43" t="s">
        <v>244</v>
      </c>
      <c r="D135" s="44"/>
      <c r="E135" s="44">
        <v>27817</v>
      </c>
      <c r="F135" s="44">
        <v>26588</v>
      </c>
      <c r="G135" s="44">
        <v>25790</v>
      </c>
      <c r="H135" s="44"/>
      <c r="I135" s="43">
        <v>66964</v>
      </c>
      <c r="J135" s="44">
        <v>58616</v>
      </c>
      <c r="K135" s="44">
        <v>52109</v>
      </c>
      <c r="L135" s="44">
        <v>49442</v>
      </c>
      <c r="M135" s="44">
        <v>49808</v>
      </c>
      <c r="N135" s="26">
        <v>60863</v>
      </c>
      <c r="O135" s="473">
        <v>65562</v>
      </c>
      <c r="P135" s="492"/>
      <c r="Q135" s="564"/>
      <c r="R135" s="565">
        <f t="shared" si="23"/>
        <v>65562</v>
      </c>
      <c r="T135" s="2"/>
    </row>
    <row r="136" spans="1:20" x14ac:dyDescent="0.2">
      <c r="A136" s="774"/>
      <c r="B136" s="434"/>
      <c r="C136" s="47" t="s">
        <v>245</v>
      </c>
      <c r="D136" s="74"/>
      <c r="E136" s="74"/>
      <c r="F136" s="74"/>
      <c r="G136" s="74"/>
      <c r="H136" s="74"/>
      <c r="I136" s="47"/>
      <c r="J136" s="74"/>
      <c r="K136" s="74"/>
      <c r="L136" s="74">
        <v>12841.72</v>
      </c>
      <c r="M136" s="74">
        <v>16280.44</v>
      </c>
      <c r="N136" s="30">
        <v>18152</v>
      </c>
      <c r="O136" s="483">
        <v>24031</v>
      </c>
      <c r="P136" s="492"/>
      <c r="Q136" s="564"/>
      <c r="R136" s="565">
        <f t="shared" si="23"/>
        <v>24031</v>
      </c>
      <c r="T136" s="2"/>
    </row>
    <row r="137" spans="1:20" ht="13.5" thickBot="1" x14ac:dyDescent="0.25">
      <c r="A137" s="770"/>
      <c r="B137" s="316"/>
      <c r="C137" s="46" t="s">
        <v>246</v>
      </c>
      <c r="D137" s="60"/>
      <c r="E137" s="60"/>
      <c r="F137" s="60"/>
      <c r="G137" s="60"/>
      <c r="H137" s="60"/>
      <c r="I137" s="46"/>
      <c r="J137" s="60"/>
      <c r="K137" s="60"/>
      <c r="L137" s="60"/>
      <c r="M137" s="60"/>
      <c r="N137" s="48">
        <v>92901</v>
      </c>
      <c r="O137" s="464">
        <v>85241</v>
      </c>
      <c r="P137" s="496"/>
      <c r="Q137" s="605"/>
      <c r="R137" s="570">
        <f t="shared" si="23"/>
        <v>85241</v>
      </c>
      <c r="T137" s="2"/>
    </row>
    <row r="138" spans="1:20" ht="15.75" thickBot="1" x14ac:dyDescent="0.3">
      <c r="A138" s="286" t="s">
        <v>357</v>
      </c>
      <c r="B138" s="735" t="s">
        <v>0</v>
      </c>
      <c r="C138" s="746"/>
      <c r="D138" s="67">
        <f>SUM(D139:D140)</f>
        <v>0</v>
      </c>
      <c r="E138" s="67">
        <f>SUM(E139:E140)</f>
        <v>44944</v>
      </c>
      <c r="F138" s="67">
        <f>SUM(F139:F140)</f>
        <v>55765</v>
      </c>
      <c r="G138" s="67">
        <f>SUM(G139:G140)</f>
        <v>48780</v>
      </c>
      <c r="H138" s="67">
        <f t="shared" ref="H138:M138" si="24">SUM(H139:H140)</f>
        <v>52570</v>
      </c>
      <c r="I138" s="67">
        <f t="shared" si="24"/>
        <v>48691</v>
      </c>
      <c r="J138" s="67">
        <f t="shared" si="24"/>
        <v>46108</v>
      </c>
      <c r="K138" s="79">
        <f t="shared" si="24"/>
        <v>47470</v>
      </c>
      <c r="L138" s="80">
        <f t="shared" si="24"/>
        <v>48334.8</v>
      </c>
      <c r="M138" s="79">
        <f t="shared" si="24"/>
        <v>45244.800000000003</v>
      </c>
      <c r="N138" s="463">
        <f>SUM(N139:N140)</f>
        <v>51246.22</v>
      </c>
      <c r="O138" s="463">
        <f>SUM(O139:O140)</f>
        <v>48850</v>
      </c>
      <c r="P138" s="463">
        <f>SUM(P139:P140)</f>
        <v>0</v>
      </c>
      <c r="Q138" s="463">
        <f>SUM(Q139:Q140)</f>
        <v>0</v>
      </c>
      <c r="R138" s="505">
        <f>SUM(R139:R140)</f>
        <v>48850</v>
      </c>
      <c r="T138" s="2"/>
    </row>
    <row r="139" spans="1:20" x14ac:dyDescent="0.2">
      <c r="A139" s="769"/>
      <c r="B139" s="224">
        <v>630</v>
      </c>
      <c r="C139" s="219" t="s">
        <v>251</v>
      </c>
      <c r="D139" s="310"/>
      <c r="E139" s="310">
        <v>36679</v>
      </c>
      <c r="F139" s="310">
        <v>46803</v>
      </c>
      <c r="G139" s="310">
        <v>39726</v>
      </c>
      <c r="H139" s="310">
        <v>43006</v>
      </c>
      <c r="I139" s="219">
        <v>38795</v>
      </c>
      <c r="J139" s="219">
        <v>36600</v>
      </c>
      <c r="K139" s="42">
        <v>37500</v>
      </c>
      <c r="L139" s="198">
        <v>40890</v>
      </c>
      <c r="M139" s="93">
        <v>37800</v>
      </c>
      <c r="N139" s="93">
        <v>39750</v>
      </c>
      <c r="O139" s="472">
        <v>36600</v>
      </c>
      <c r="P139" s="491"/>
      <c r="Q139" s="562"/>
      <c r="R139" s="563">
        <f>O139+P139+Q139</f>
        <v>36600</v>
      </c>
      <c r="T139" s="2"/>
    </row>
    <row r="140" spans="1:20" ht="13.5" thickBot="1" x14ac:dyDescent="0.25">
      <c r="A140" s="770"/>
      <c r="B140" s="247">
        <v>630</v>
      </c>
      <c r="C140" s="292" t="s">
        <v>1</v>
      </c>
      <c r="D140" s="294"/>
      <c r="E140" s="294">
        <v>8265</v>
      </c>
      <c r="F140" s="294">
        <v>8962</v>
      </c>
      <c r="G140" s="294">
        <v>9054</v>
      </c>
      <c r="H140" s="294">
        <v>9564</v>
      </c>
      <c r="I140" s="292">
        <v>9896</v>
      </c>
      <c r="J140" s="292">
        <v>9508</v>
      </c>
      <c r="K140" s="60">
        <v>9970</v>
      </c>
      <c r="L140" s="249">
        <v>7444.8</v>
      </c>
      <c r="M140" s="48">
        <v>7444.8</v>
      </c>
      <c r="N140" s="48">
        <v>11496.22</v>
      </c>
      <c r="O140" s="464">
        <v>12250</v>
      </c>
      <c r="P140" s="493"/>
      <c r="Q140" s="575"/>
      <c r="R140" s="570">
        <f>O140+P140+Q140</f>
        <v>12250</v>
      </c>
      <c r="T140" s="2"/>
    </row>
    <row r="141" spans="1:20" ht="15.75" thickBot="1" x14ac:dyDescent="0.3">
      <c r="A141" s="260" t="s">
        <v>92</v>
      </c>
      <c r="B141" s="735" t="s">
        <v>2</v>
      </c>
      <c r="C141" s="746"/>
      <c r="D141" s="67">
        <v>6008</v>
      </c>
      <c r="E141" s="67">
        <f>SUM(E142:E145)</f>
        <v>6373</v>
      </c>
      <c r="F141" s="67">
        <f>SUM(F142:F145)</f>
        <v>76413</v>
      </c>
      <c r="G141" s="67">
        <f>SUM(G142:G145)</f>
        <v>50904</v>
      </c>
      <c r="H141" s="67">
        <v>43602</v>
      </c>
      <c r="I141" s="67">
        <f t="shared" ref="I141:R141" si="25">SUM(I142:I145)</f>
        <v>80402</v>
      </c>
      <c r="J141" s="67">
        <f t="shared" si="25"/>
        <v>65201</v>
      </c>
      <c r="K141" s="67">
        <f t="shared" si="25"/>
        <v>82763</v>
      </c>
      <c r="L141" s="209">
        <f t="shared" si="25"/>
        <v>85325.96</v>
      </c>
      <c r="M141" s="67">
        <f t="shared" si="25"/>
        <v>98428.31</v>
      </c>
      <c r="N141" s="459">
        <f t="shared" si="25"/>
        <v>91637.849999999991</v>
      </c>
      <c r="O141" s="459">
        <f t="shared" si="25"/>
        <v>100833</v>
      </c>
      <c r="P141" s="459">
        <f>SUM(P142:P145)</f>
        <v>0</v>
      </c>
      <c r="Q141" s="459">
        <f t="shared" si="25"/>
        <v>0</v>
      </c>
      <c r="R141" s="505">
        <f t="shared" si="25"/>
        <v>100833</v>
      </c>
      <c r="T141" s="2"/>
    </row>
    <row r="142" spans="1:20" x14ac:dyDescent="0.2">
      <c r="A142" s="793"/>
      <c r="B142" s="787"/>
      <c r="C142" s="43" t="s">
        <v>3</v>
      </c>
      <c r="D142" s="44"/>
      <c r="E142" s="44">
        <v>5842</v>
      </c>
      <c r="F142" s="44">
        <v>6108</v>
      </c>
      <c r="G142" s="44">
        <v>13480</v>
      </c>
      <c r="H142" s="44">
        <v>6009</v>
      </c>
      <c r="I142" s="43">
        <v>6900</v>
      </c>
      <c r="J142" s="201">
        <v>3787</v>
      </c>
      <c r="K142" s="44">
        <v>3290</v>
      </c>
      <c r="L142" s="118">
        <v>1483</v>
      </c>
      <c r="M142" s="22">
        <v>9142.9500000000007</v>
      </c>
      <c r="N142" s="22">
        <v>5153.01</v>
      </c>
      <c r="O142" s="479"/>
      <c r="P142" s="622"/>
      <c r="Q142" s="562"/>
      <c r="R142" s="563">
        <f>O142+P142+Q142</f>
        <v>0</v>
      </c>
      <c r="T142" s="2"/>
    </row>
    <row r="143" spans="1:20" x14ac:dyDescent="0.2">
      <c r="A143" s="793"/>
      <c r="B143" s="788"/>
      <c r="C143" s="43" t="s">
        <v>196</v>
      </c>
      <c r="D143" s="44"/>
      <c r="E143" s="44"/>
      <c r="F143" s="44"/>
      <c r="G143" s="44"/>
      <c r="H143" s="44"/>
      <c r="I143" s="43"/>
      <c r="J143" s="201"/>
      <c r="K143" s="44"/>
      <c r="L143" s="118"/>
      <c r="M143" s="22"/>
      <c r="N143" s="22"/>
      <c r="O143" s="479">
        <v>5000</v>
      </c>
      <c r="P143" s="622"/>
      <c r="Q143" s="562"/>
      <c r="R143" s="563">
        <f>O143+P143+Q143</f>
        <v>5000</v>
      </c>
      <c r="T143" s="2"/>
    </row>
    <row r="144" spans="1:20" x14ac:dyDescent="0.2">
      <c r="A144" s="793"/>
      <c r="B144" s="788"/>
      <c r="C144" s="43" t="s">
        <v>4</v>
      </c>
      <c r="D144" s="44"/>
      <c r="E144" s="44">
        <v>0</v>
      </c>
      <c r="F144" s="44">
        <v>66388</v>
      </c>
      <c r="G144" s="44">
        <v>33390</v>
      </c>
      <c r="H144" s="44">
        <v>32749</v>
      </c>
      <c r="I144" s="43">
        <v>70000</v>
      </c>
      <c r="J144" s="201">
        <v>59118</v>
      </c>
      <c r="K144" s="44">
        <v>75103</v>
      </c>
      <c r="L144" s="200">
        <v>81056.960000000006</v>
      </c>
      <c r="M144" s="26">
        <v>86285.36</v>
      </c>
      <c r="N144" s="26">
        <v>5874.72</v>
      </c>
      <c r="O144" s="473">
        <v>92833</v>
      </c>
      <c r="P144" s="564"/>
      <c r="Q144" s="564"/>
      <c r="R144" s="563">
        <f>O144+P144+Q144</f>
        <v>92833</v>
      </c>
      <c r="T144" s="2"/>
    </row>
    <row r="145" spans="1:24" ht="13.5" thickBot="1" x14ac:dyDescent="0.25">
      <c r="A145" s="794"/>
      <c r="B145" s="789"/>
      <c r="C145" s="115" t="s">
        <v>5</v>
      </c>
      <c r="D145" s="205"/>
      <c r="E145" s="205">
        <v>531</v>
      </c>
      <c r="F145" s="205">
        <v>3917</v>
      </c>
      <c r="G145" s="205">
        <v>4034</v>
      </c>
      <c r="H145" s="205">
        <v>796</v>
      </c>
      <c r="I145" s="115">
        <v>3502</v>
      </c>
      <c r="J145" s="201">
        <v>2296</v>
      </c>
      <c r="K145" s="44">
        <v>4370</v>
      </c>
      <c r="L145" s="116">
        <v>2786</v>
      </c>
      <c r="M145" s="70">
        <v>3000</v>
      </c>
      <c r="N145" s="70">
        <v>80610.12</v>
      </c>
      <c r="O145" s="22">
        <v>3000</v>
      </c>
      <c r="P145" s="598"/>
      <c r="Q145" s="597"/>
      <c r="R145" s="570">
        <f>O145+P145+Q145</f>
        <v>3000</v>
      </c>
      <c r="T145" s="2"/>
    </row>
    <row r="146" spans="1:24" ht="15.75" thickBot="1" x14ac:dyDescent="0.3">
      <c r="A146" s="207" t="s">
        <v>6</v>
      </c>
      <c r="B146" s="735" t="s">
        <v>7</v>
      </c>
      <c r="C146" s="746"/>
      <c r="D146" s="67">
        <v>2960832</v>
      </c>
      <c r="E146" s="67">
        <v>3369814</v>
      </c>
      <c r="F146" s="67">
        <v>3780057</v>
      </c>
      <c r="G146" s="67">
        <v>4405952.43</v>
      </c>
      <c r="H146" s="67">
        <v>4455752</v>
      </c>
      <c r="I146" s="67">
        <f t="shared" ref="I146:O146" si="26">I147+I152</f>
        <v>4609033</v>
      </c>
      <c r="J146" s="67">
        <f t="shared" si="26"/>
        <v>4840194</v>
      </c>
      <c r="K146" s="67">
        <f t="shared" si="26"/>
        <v>4773475</v>
      </c>
      <c r="L146" s="209">
        <f>L147+L152</f>
        <v>4944992.8499999996</v>
      </c>
      <c r="M146" s="67">
        <f t="shared" si="26"/>
        <v>5255422.8499999996</v>
      </c>
      <c r="N146" s="459">
        <f t="shared" si="26"/>
        <v>5401219.4500000002</v>
      </c>
      <c r="O146" s="459">
        <f t="shared" si="26"/>
        <v>5501568</v>
      </c>
      <c r="P146" s="459">
        <f>P147+P152</f>
        <v>0</v>
      </c>
      <c r="Q146" s="459">
        <f>Q147+Q152</f>
        <v>124717</v>
      </c>
      <c r="R146" s="505">
        <f>R147+R152</f>
        <v>5626285</v>
      </c>
      <c r="T146" s="2"/>
    </row>
    <row r="147" spans="1:24" ht="15.75" thickBot="1" x14ac:dyDescent="0.3">
      <c r="A147" s="792"/>
      <c r="B147" s="795" t="s">
        <v>265</v>
      </c>
      <c r="C147" s="796"/>
      <c r="D147" s="64">
        <v>29177</v>
      </c>
      <c r="E147" s="64">
        <v>27518</v>
      </c>
      <c r="F147" s="64">
        <v>28447</v>
      </c>
      <c r="G147" s="64">
        <v>30677</v>
      </c>
      <c r="H147" s="64">
        <v>31410</v>
      </c>
      <c r="I147" s="64">
        <f t="shared" ref="I147:O147" si="27">SUM(I148:I150)</f>
        <v>41249</v>
      </c>
      <c r="J147" s="64">
        <f t="shared" si="27"/>
        <v>38808</v>
      </c>
      <c r="K147" s="64">
        <f t="shared" si="27"/>
        <v>36313</v>
      </c>
      <c r="L147" s="153">
        <f>SUM(L148:L150)</f>
        <v>35493.83</v>
      </c>
      <c r="M147" s="64">
        <f>SUM(M148:M151)</f>
        <v>51463.890000000007</v>
      </c>
      <c r="N147" s="466">
        <f t="shared" si="27"/>
        <v>56202.630000000005</v>
      </c>
      <c r="O147" s="466">
        <f t="shared" si="27"/>
        <v>58357</v>
      </c>
      <c r="P147" s="466">
        <f>SUM(P148:P150)</f>
        <v>0</v>
      </c>
      <c r="Q147" s="466">
        <f>SUM(Q148:Q150)</f>
        <v>0</v>
      </c>
      <c r="R147" s="505">
        <f>SUM(R148:R150)</f>
        <v>58357</v>
      </c>
      <c r="T147" s="2"/>
    </row>
    <row r="148" spans="1:24" x14ac:dyDescent="0.2">
      <c r="A148" s="793"/>
      <c r="B148" s="302">
        <v>610</v>
      </c>
      <c r="C148" s="72" t="s">
        <v>292</v>
      </c>
      <c r="D148" s="236"/>
      <c r="E148" s="236">
        <v>18854</v>
      </c>
      <c r="F148" s="236">
        <v>18290</v>
      </c>
      <c r="G148" s="236">
        <v>19464</v>
      </c>
      <c r="H148" s="236">
        <v>22248</v>
      </c>
      <c r="I148" s="143">
        <v>29541</v>
      </c>
      <c r="J148" s="201">
        <v>26330</v>
      </c>
      <c r="K148" s="44">
        <v>25388</v>
      </c>
      <c r="L148" s="236">
        <v>24578.53</v>
      </c>
      <c r="M148" s="627">
        <v>33902.800000000003</v>
      </c>
      <c r="N148" s="540">
        <v>34953.550000000003</v>
      </c>
      <c r="O148" s="486">
        <v>39892</v>
      </c>
      <c r="P148" s="491"/>
      <c r="Q148" s="562"/>
      <c r="R148" s="563">
        <f>O148+P148+Q148</f>
        <v>39892</v>
      </c>
      <c r="T148" s="2"/>
    </row>
    <row r="149" spans="1:24" x14ac:dyDescent="0.2">
      <c r="A149" s="793"/>
      <c r="B149" s="225">
        <v>620</v>
      </c>
      <c r="C149" s="43" t="s">
        <v>293</v>
      </c>
      <c r="D149" s="44"/>
      <c r="E149" s="44">
        <v>6473</v>
      </c>
      <c r="F149" s="44">
        <v>6340</v>
      </c>
      <c r="G149" s="44">
        <v>6869</v>
      </c>
      <c r="H149" s="44">
        <v>6877</v>
      </c>
      <c r="I149" s="43">
        <v>9575</v>
      </c>
      <c r="J149" s="201">
        <v>9735</v>
      </c>
      <c r="K149" s="44">
        <v>9358</v>
      </c>
      <c r="L149" s="44">
        <v>9719.7999999999993</v>
      </c>
      <c r="M149" s="95">
        <v>11551.79</v>
      </c>
      <c r="N149" s="96">
        <v>12736.3</v>
      </c>
      <c r="O149" s="487">
        <v>14410</v>
      </c>
      <c r="P149" s="492"/>
      <c r="Q149" s="564"/>
      <c r="R149" s="565">
        <f>O149+P149+Q149</f>
        <v>14410</v>
      </c>
      <c r="T149" s="2"/>
      <c r="U149" s="2"/>
    </row>
    <row r="150" spans="1:24" ht="13.5" thickBot="1" x14ac:dyDescent="0.25">
      <c r="A150" s="793"/>
      <c r="B150" s="199">
        <v>630</v>
      </c>
      <c r="C150" s="43" t="s">
        <v>294</v>
      </c>
      <c r="D150" s="60"/>
      <c r="E150" s="60">
        <v>2191</v>
      </c>
      <c r="F150" s="60">
        <v>3817</v>
      </c>
      <c r="G150" s="60">
        <v>4344</v>
      </c>
      <c r="H150" s="60">
        <v>2285</v>
      </c>
      <c r="I150" s="46">
        <v>2133</v>
      </c>
      <c r="J150" s="201">
        <v>2743</v>
      </c>
      <c r="K150" s="44">
        <v>1567</v>
      </c>
      <c r="L150" s="44">
        <v>1195.5</v>
      </c>
      <c r="M150" s="44">
        <v>1127.3</v>
      </c>
      <c r="N150" s="26">
        <v>8512.7800000000007</v>
      </c>
      <c r="O150" s="473">
        <v>4055</v>
      </c>
      <c r="P150" s="668"/>
      <c r="Q150" s="564"/>
      <c r="R150" s="565">
        <f>O150+P150+Q150</f>
        <v>4055</v>
      </c>
      <c r="T150" s="2"/>
    </row>
    <row r="151" spans="1:24" ht="13.5" thickBot="1" x14ac:dyDescent="0.25">
      <c r="A151" s="793"/>
      <c r="B151" s="45">
        <v>640</v>
      </c>
      <c r="C151" s="257" t="s">
        <v>295</v>
      </c>
      <c r="D151" s="205"/>
      <c r="E151" s="205"/>
      <c r="F151" s="205"/>
      <c r="G151" s="205"/>
      <c r="H151" s="205"/>
      <c r="I151" s="115"/>
      <c r="J151" s="227"/>
      <c r="K151" s="236"/>
      <c r="L151" s="236"/>
      <c r="M151" s="236">
        <v>4882</v>
      </c>
      <c r="N151" s="70"/>
      <c r="O151" s="460"/>
      <c r="P151" s="495"/>
      <c r="Q151" s="571"/>
      <c r="R151" s="572">
        <f>O151+P151+Q151</f>
        <v>0</v>
      </c>
      <c r="T151" s="2"/>
      <c r="U151" s="2"/>
      <c r="X151" s="2"/>
    </row>
    <row r="152" spans="1:24" ht="13.5" thickBot="1" x14ac:dyDescent="0.25">
      <c r="A152" s="793"/>
      <c r="B152" s="790" t="s">
        <v>8</v>
      </c>
      <c r="C152" s="791"/>
      <c r="D152" s="37">
        <v>2931655</v>
      </c>
      <c r="E152" s="37">
        <v>3342296</v>
      </c>
      <c r="F152" s="37">
        <v>3751610</v>
      </c>
      <c r="G152" s="37">
        <v>4375275.43</v>
      </c>
      <c r="H152" s="37">
        <v>4424342</v>
      </c>
      <c r="I152" s="37">
        <f t="shared" ref="I152:P152" si="28">SUM(I153:I160)</f>
        <v>4567784</v>
      </c>
      <c r="J152" s="37">
        <f t="shared" si="28"/>
        <v>4801386</v>
      </c>
      <c r="K152" s="37">
        <f t="shared" si="28"/>
        <v>4737162</v>
      </c>
      <c r="L152" s="317">
        <f t="shared" si="28"/>
        <v>4909499.0199999996</v>
      </c>
      <c r="M152" s="37">
        <f>SUM(M153:M160)</f>
        <v>5203958.96</v>
      </c>
      <c r="N152" s="467">
        <f t="shared" si="28"/>
        <v>5345016.82</v>
      </c>
      <c r="O152" s="467">
        <f>SUM(O153:O160)</f>
        <v>5443211</v>
      </c>
      <c r="P152" s="467">
        <f t="shared" si="28"/>
        <v>0</v>
      </c>
      <c r="Q152" s="467">
        <f>SUM(Q153:Q160)</f>
        <v>124717</v>
      </c>
      <c r="R152" s="574">
        <f>SUM(R153:R160)</f>
        <v>5567928</v>
      </c>
      <c r="T152" s="2"/>
    </row>
    <row r="153" spans="1:24" x14ac:dyDescent="0.2">
      <c r="A153" s="793"/>
      <c r="B153" s="787"/>
      <c r="C153" s="72" t="s">
        <v>9</v>
      </c>
      <c r="D153" s="57">
        <v>1541725</v>
      </c>
      <c r="E153" s="57">
        <v>1718084</v>
      </c>
      <c r="F153" s="57">
        <v>1793999</v>
      </c>
      <c r="G153" s="57">
        <v>1958942</v>
      </c>
      <c r="H153" s="57">
        <v>2084677</v>
      </c>
      <c r="I153" s="72">
        <v>2039732</v>
      </c>
      <c r="J153" s="57">
        <v>2241882</v>
      </c>
      <c r="K153" s="57">
        <v>2385291</v>
      </c>
      <c r="L153" s="118">
        <v>2363727.67</v>
      </c>
      <c r="M153" s="22">
        <v>2385302.7000000002</v>
      </c>
      <c r="N153" s="22">
        <v>2457964.41</v>
      </c>
      <c r="O153" s="479">
        <v>2364586</v>
      </c>
      <c r="P153" s="622">
        <v>-20420</v>
      </c>
      <c r="Q153" s="562">
        <v>36312</v>
      </c>
      <c r="R153" s="563">
        <f t="shared" ref="R153:R160" si="29">O153+P153+Q153</f>
        <v>2380478</v>
      </c>
      <c r="T153" s="2"/>
      <c r="V153" s="2"/>
    </row>
    <row r="154" spans="1:24" x14ac:dyDescent="0.2">
      <c r="A154" s="793"/>
      <c r="B154" s="788"/>
      <c r="C154" s="43" t="s">
        <v>10</v>
      </c>
      <c r="D154" s="44">
        <v>1389930</v>
      </c>
      <c r="E154" s="44">
        <v>1591682</v>
      </c>
      <c r="F154" s="44">
        <v>1867423</v>
      </c>
      <c r="G154" s="44">
        <v>2134669.4300000002</v>
      </c>
      <c r="H154" s="44">
        <v>2069302</v>
      </c>
      <c r="I154" s="43">
        <v>2182809</v>
      </c>
      <c r="J154" s="44">
        <v>2169532</v>
      </c>
      <c r="K154" s="44">
        <v>1972245</v>
      </c>
      <c r="L154" s="200">
        <v>2097007.99</v>
      </c>
      <c r="M154" s="26">
        <v>2239643.29</v>
      </c>
      <c r="N154" s="26">
        <v>2410623.65</v>
      </c>
      <c r="O154" s="473">
        <v>2541303</v>
      </c>
      <c r="P154" s="668">
        <v>20420</v>
      </c>
      <c r="Q154" s="564"/>
      <c r="R154" s="565">
        <f t="shared" si="29"/>
        <v>2561723</v>
      </c>
      <c r="T154" s="2"/>
    </row>
    <row r="155" spans="1:24" x14ac:dyDescent="0.2">
      <c r="A155" s="793"/>
      <c r="B155" s="788"/>
      <c r="C155" s="47" t="s">
        <v>11</v>
      </c>
      <c r="D155" s="74"/>
      <c r="E155" s="74"/>
      <c r="F155" s="74"/>
      <c r="G155" s="74"/>
      <c r="H155" s="74"/>
      <c r="I155" s="47"/>
      <c r="J155" s="47"/>
      <c r="K155" s="74">
        <v>6822</v>
      </c>
      <c r="L155" s="218">
        <v>58464.77</v>
      </c>
      <c r="M155" s="30">
        <v>145561.9699999993</v>
      </c>
      <c r="N155" s="30">
        <v>13019.76</v>
      </c>
      <c r="O155" s="483"/>
      <c r="P155" s="492"/>
      <c r="Q155" s="564">
        <f>72540+15865</f>
        <v>88405</v>
      </c>
      <c r="R155" s="565">
        <f t="shared" si="29"/>
        <v>88405</v>
      </c>
      <c r="T155" s="2"/>
      <c r="U155" s="2"/>
    </row>
    <row r="156" spans="1:24" hidden="1" x14ac:dyDescent="0.2">
      <c r="A156" s="793"/>
      <c r="B156" s="788"/>
      <c r="C156" s="47" t="s">
        <v>12</v>
      </c>
      <c r="D156" s="74"/>
      <c r="E156" s="74"/>
      <c r="F156" s="74"/>
      <c r="G156" s="74"/>
      <c r="H156" s="74"/>
      <c r="I156" s="47">
        <v>11276</v>
      </c>
      <c r="J156" s="47">
        <v>23184</v>
      </c>
      <c r="K156" s="74">
        <v>0</v>
      </c>
      <c r="L156" s="218">
        <v>4779.37</v>
      </c>
      <c r="M156" s="30">
        <v>0</v>
      </c>
      <c r="N156" s="30">
        <v>0</v>
      </c>
      <c r="O156" s="483"/>
      <c r="P156" s="492"/>
      <c r="Q156" s="564"/>
      <c r="R156" s="565">
        <f t="shared" si="29"/>
        <v>0</v>
      </c>
      <c r="T156" s="2"/>
    </row>
    <row r="157" spans="1:24" hidden="1" x14ac:dyDescent="0.2">
      <c r="A157" s="793"/>
      <c r="B157" s="788"/>
      <c r="C157" s="47" t="s">
        <v>13</v>
      </c>
      <c r="D157" s="74"/>
      <c r="E157" s="74"/>
      <c r="F157" s="74"/>
      <c r="G157" s="74"/>
      <c r="H157" s="74">
        <v>2568</v>
      </c>
      <c r="I157" s="47">
        <v>2134</v>
      </c>
      <c r="J157" s="47"/>
      <c r="K157" s="74">
        <v>0</v>
      </c>
      <c r="L157" s="218">
        <v>240.97</v>
      </c>
      <c r="M157" s="30">
        <v>0</v>
      </c>
      <c r="N157" s="30">
        <v>0</v>
      </c>
      <c r="O157" s="483"/>
      <c r="P157" s="492"/>
      <c r="Q157" s="564"/>
      <c r="R157" s="565">
        <f t="shared" si="29"/>
        <v>0</v>
      </c>
      <c r="T157" s="2"/>
    </row>
    <row r="158" spans="1:24" hidden="1" x14ac:dyDescent="0.2">
      <c r="A158" s="793"/>
      <c r="B158" s="788"/>
      <c r="C158" s="47" t="s">
        <v>14</v>
      </c>
      <c r="D158" s="74"/>
      <c r="E158" s="74"/>
      <c r="F158" s="74"/>
      <c r="G158" s="74"/>
      <c r="H158" s="74"/>
      <c r="I158" s="47"/>
      <c r="J158" s="47"/>
      <c r="K158" s="74"/>
      <c r="L158" s="218">
        <v>8661.25</v>
      </c>
      <c r="M158" s="30"/>
      <c r="N158" s="30">
        <v>0</v>
      </c>
      <c r="O158" s="483"/>
      <c r="P158" s="492"/>
      <c r="Q158" s="564"/>
      <c r="R158" s="565">
        <f t="shared" si="29"/>
        <v>0</v>
      </c>
      <c r="T158" s="2"/>
    </row>
    <row r="159" spans="1:24" x14ac:dyDescent="0.2">
      <c r="A159" s="793"/>
      <c r="B159" s="788"/>
      <c r="C159" s="47" t="s">
        <v>396</v>
      </c>
      <c r="D159" s="74"/>
      <c r="E159" s="74"/>
      <c r="F159" s="74"/>
      <c r="G159" s="74"/>
      <c r="H159" s="74">
        <v>2166</v>
      </c>
      <c r="I159" s="47">
        <v>10924</v>
      </c>
      <c r="J159" s="47">
        <v>33868</v>
      </c>
      <c r="K159" s="74">
        <v>0</v>
      </c>
      <c r="L159" s="218"/>
      <c r="M159" s="30"/>
      <c r="N159" s="30">
        <v>0</v>
      </c>
      <c r="O159" s="483">
        <v>7756</v>
      </c>
      <c r="P159" s="492"/>
      <c r="Q159" s="564"/>
      <c r="R159" s="565">
        <f t="shared" si="29"/>
        <v>7756</v>
      </c>
      <c r="T159" s="2"/>
    </row>
    <row r="160" spans="1:24" ht="13.5" thickBot="1" x14ac:dyDescent="0.25">
      <c r="A160" s="794"/>
      <c r="B160" s="789"/>
      <c r="C160" s="46" t="s">
        <v>15</v>
      </c>
      <c r="D160" s="60"/>
      <c r="E160" s="60">
        <v>32530</v>
      </c>
      <c r="F160" s="60">
        <v>90188</v>
      </c>
      <c r="G160" s="60">
        <v>281664</v>
      </c>
      <c r="H160" s="60">
        <v>265629</v>
      </c>
      <c r="I160" s="46">
        <v>320909</v>
      </c>
      <c r="J160" s="46">
        <v>332920</v>
      </c>
      <c r="K160" s="60">
        <v>372804</v>
      </c>
      <c r="L160" s="249">
        <v>376617</v>
      </c>
      <c r="M160" s="48">
        <v>433451</v>
      </c>
      <c r="N160" s="48">
        <v>463409</v>
      </c>
      <c r="O160" s="464">
        <v>529566</v>
      </c>
      <c r="P160" s="493"/>
      <c r="Q160" s="575"/>
      <c r="R160" s="570">
        <f t="shared" si="29"/>
        <v>529566</v>
      </c>
      <c r="T160" s="2"/>
    </row>
    <row r="161" spans="1:22" ht="15.75" thickBot="1" x14ac:dyDescent="0.3">
      <c r="A161" s="318" t="s">
        <v>16</v>
      </c>
      <c r="B161" s="735" t="s">
        <v>17</v>
      </c>
      <c r="C161" s="746"/>
      <c r="D161" s="67">
        <v>14672</v>
      </c>
      <c r="E161" s="67">
        <v>18356</v>
      </c>
      <c r="F161" s="67">
        <v>24962</v>
      </c>
      <c r="G161" s="67">
        <v>26012</v>
      </c>
      <c r="H161" s="67">
        <v>24167</v>
      </c>
      <c r="I161" s="67">
        <f t="shared" ref="I161:N161" si="30">SUM(I162:I165)</f>
        <v>21978</v>
      </c>
      <c r="J161" s="67">
        <f t="shared" si="30"/>
        <v>26182</v>
      </c>
      <c r="K161" s="67">
        <f t="shared" si="30"/>
        <v>16605</v>
      </c>
      <c r="L161" s="209">
        <f t="shared" si="30"/>
        <v>19312.66</v>
      </c>
      <c r="M161" s="67">
        <f t="shared" si="30"/>
        <v>17232.5</v>
      </c>
      <c r="N161" s="459">
        <f t="shared" si="30"/>
        <v>19393.890000000003</v>
      </c>
      <c r="O161" s="459">
        <f>SUM(O162:O164)</f>
        <v>0</v>
      </c>
      <c r="P161" s="459">
        <f>SUM(P162:P164)</f>
        <v>0</v>
      </c>
      <c r="Q161" s="459">
        <f>SUM(Q162:Q164)</f>
        <v>0</v>
      </c>
      <c r="R161" s="504">
        <f>SUM(R162:R164)</f>
        <v>0</v>
      </c>
      <c r="T161" s="2"/>
    </row>
    <row r="162" spans="1:22" x14ac:dyDescent="0.2">
      <c r="A162" s="797"/>
      <c r="B162" s="319">
        <v>610</v>
      </c>
      <c r="C162" s="72" t="s">
        <v>292</v>
      </c>
      <c r="D162" s="57"/>
      <c r="E162" s="57">
        <v>11817</v>
      </c>
      <c r="F162" s="57">
        <v>16331</v>
      </c>
      <c r="G162" s="57">
        <v>16188</v>
      </c>
      <c r="H162" s="57">
        <v>16639</v>
      </c>
      <c r="I162" s="57">
        <v>14808</v>
      </c>
      <c r="J162" s="57">
        <v>14984</v>
      </c>
      <c r="K162" s="57">
        <v>11095</v>
      </c>
      <c r="L162" s="118">
        <v>11946.75</v>
      </c>
      <c r="M162" s="22">
        <v>12156.96</v>
      </c>
      <c r="N162" s="22">
        <v>13480.65</v>
      </c>
      <c r="O162" s="479">
        <v>0</v>
      </c>
      <c r="P162" s="491"/>
      <c r="Q162" s="562"/>
      <c r="R162" s="563">
        <f>O162+P162+Q162</f>
        <v>0</v>
      </c>
      <c r="T162" s="2"/>
    </row>
    <row r="163" spans="1:22" x14ac:dyDescent="0.2">
      <c r="A163" s="798"/>
      <c r="B163" s="199">
        <v>620</v>
      </c>
      <c r="C163" s="43" t="s">
        <v>293</v>
      </c>
      <c r="D163" s="44"/>
      <c r="E163" s="44">
        <v>3983</v>
      </c>
      <c r="F163" s="44">
        <v>5610</v>
      </c>
      <c r="G163" s="44">
        <v>5689</v>
      </c>
      <c r="H163" s="44">
        <v>5822</v>
      </c>
      <c r="I163" s="44">
        <v>5320</v>
      </c>
      <c r="J163" s="44">
        <v>5972</v>
      </c>
      <c r="K163" s="44">
        <v>4227</v>
      </c>
      <c r="L163" s="200">
        <v>4902.95</v>
      </c>
      <c r="M163" s="26">
        <v>3941.03</v>
      </c>
      <c r="N163" s="26">
        <v>4701.62</v>
      </c>
      <c r="O163" s="473">
        <v>0</v>
      </c>
      <c r="P163" s="492"/>
      <c r="Q163" s="564"/>
      <c r="R163" s="565">
        <f>O163+P163+Q163</f>
        <v>0</v>
      </c>
      <c r="T163" s="2"/>
    </row>
    <row r="164" spans="1:22" x14ac:dyDescent="0.2">
      <c r="A164" s="798"/>
      <c r="B164" s="199">
        <v>630</v>
      </c>
      <c r="C164" s="43" t="s">
        <v>294</v>
      </c>
      <c r="D164" s="44"/>
      <c r="E164" s="44">
        <v>2556</v>
      </c>
      <c r="F164" s="44">
        <v>3021</v>
      </c>
      <c r="G164" s="44">
        <v>4135</v>
      </c>
      <c r="H164" s="44">
        <v>1706</v>
      </c>
      <c r="I164" s="44">
        <f>1591+259</f>
        <v>1850</v>
      </c>
      <c r="J164" s="44">
        <v>1495</v>
      </c>
      <c r="K164" s="44">
        <v>1200</v>
      </c>
      <c r="L164" s="200">
        <v>931.46</v>
      </c>
      <c r="M164" s="26">
        <v>1055.02</v>
      </c>
      <c r="N164" s="26">
        <v>1132.97</v>
      </c>
      <c r="O164" s="473">
        <v>0</v>
      </c>
      <c r="P164" s="492"/>
      <c r="Q164" s="564"/>
      <c r="R164" s="565">
        <f>O164+P164+Q164</f>
        <v>0</v>
      </c>
      <c r="T164" s="2"/>
      <c r="V164" s="2"/>
    </row>
    <row r="165" spans="1:22" ht="13.5" thickBot="1" x14ac:dyDescent="0.25">
      <c r="A165" s="799"/>
      <c r="B165" s="320">
        <v>640</v>
      </c>
      <c r="C165" s="46" t="s">
        <v>18</v>
      </c>
      <c r="D165" s="60"/>
      <c r="E165" s="60"/>
      <c r="F165" s="60"/>
      <c r="G165" s="60"/>
      <c r="H165" s="60"/>
      <c r="I165" s="60"/>
      <c r="J165" s="60">
        <v>3731</v>
      </c>
      <c r="K165" s="205">
        <v>83</v>
      </c>
      <c r="L165" s="206">
        <v>1531.5</v>
      </c>
      <c r="M165" s="77">
        <v>79.489999999999995</v>
      </c>
      <c r="N165" s="77">
        <v>78.650000000000006</v>
      </c>
      <c r="O165" s="468"/>
      <c r="P165" s="496"/>
      <c r="Q165" s="605"/>
      <c r="R165" s="665">
        <f>O165+P165+Q165</f>
        <v>0</v>
      </c>
      <c r="T165" s="2"/>
    </row>
    <row r="166" spans="1:22" ht="15.75" thickBot="1" x14ac:dyDescent="0.3">
      <c r="A166" s="207" t="s">
        <v>19</v>
      </c>
      <c r="B166" s="735" t="s">
        <v>20</v>
      </c>
      <c r="C166" s="746"/>
      <c r="D166" s="67">
        <v>42988</v>
      </c>
      <c r="E166" s="67">
        <v>41924</v>
      </c>
      <c r="F166" s="67">
        <v>49127</v>
      </c>
      <c r="G166" s="67">
        <v>48507</v>
      </c>
      <c r="H166" s="67">
        <v>53865</v>
      </c>
      <c r="I166" s="67">
        <f t="shared" ref="I166:O166" si="31">I167+I173+I172</f>
        <v>59113.2</v>
      </c>
      <c r="J166" s="67">
        <f t="shared" si="31"/>
        <v>51352</v>
      </c>
      <c r="K166" s="67">
        <f t="shared" si="31"/>
        <v>57413</v>
      </c>
      <c r="L166" s="209">
        <f>L167+L173+L172</f>
        <v>142019.73000000001</v>
      </c>
      <c r="M166" s="67">
        <f t="shared" si="31"/>
        <v>67235.890000000014</v>
      </c>
      <c r="N166" s="459">
        <f>N167+N173+N172</f>
        <v>59484.65</v>
      </c>
      <c r="O166" s="459">
        <f t="shared" si="31"/>
        <v>64466</v>
      </c>
      <c r="P166" s="459">
        <f>P167+P173+P172</f>
        <v>0</v>
      </c>
      <c r="Q166" s="459">
        <f>Q167+Q173+Q172</f>
        <v>0</v>
      </c>
      <c r="R166" s="505">
        <f>R167+R173+R172</f>
        <v>64466</v>
      </c>
      <c r="T166" s="2"/>
    </row>
    <row r="167" spans="1:22" ht="15.75" thickBot="1" x14ac:dyDescent="0.3">
      <c r="A167" s="792"/>
      <c r="B167" s="795" t="s">
        <v>21</v>
      </c>
      <c r="C167" s="796"/>
      <c r="D167" s="64">
        <v>39801</v>
      </c>
      <c r="E167" s="64">
        <v>41194</v>
      </c>
      <c r="F167" s="64">
        <v>47169</v>
      </c>
      <c r="G167" s="64">
        <v>47600</v>
      </c>
      <c r="H167" s="64">
        <v>53724</v>
      </c>
      <c r="I167" s="64">
        <f>SUM(I168:I170)</f>
        <v>56208.2</v>
      </c>
      <c r="J167" s="64">
        <f>SUM(J168:J170)</f>
        <v>47897</v>
      </c>
      <c r="K167" s="64">
        <f>SUM(K168:K171)</f>
        <v>54913</v>
      </c>
      <c r="L167" s="153">
        <f>SUM(L168:L171)</f>
        <v>59991.65</v>
      </c>
      <c r="M167" s="64">
        <f>SUM(M168:M171)</f>
        <v>64735.890000000007</v>
      </c>
      <c r="N167" s="466">
        <f>SUM(N168:N171)</f>
        <v>54463.6</v>
      </c>
      <c r="O167" s="466">
        <f>SUM(O168:O170)</f>
        <v>61446</v>
      </c>
      <c r="P167" s="466">
        <f>SUM(P168:P170)</f>
        <v>0</v>
      </c>
      <c r="Q167" s="466">
        <f>SUM(Q168:Q170)</f>
        <v>0</v>
      </c>
      <c r="R167" s="505">
        <f>SUM(R168:R170)</f>
        <v>61446</v>
      </c>
      <c r="T167" s="2"/>
    </row>
    <row r="168" spans="1:22" x14ac:dyDescent="0.2">
      <c r="A168" s="793"/>
      <c r="B168" s="302">
        <v>610</v>
      </c>
      <c r="C168" s="72" t="s">
        <v>292</v>
      </c>
      <c r="D168" s="57"/>
      <c r="E168" s="57">
        <v>22141</v>
      </c>
      <c r="F168" s="57">
        <v>25294</v>
      </c>
      <c r="G168" s="57">
        <v>27320</v>
      </c>
      <c r="H168" s="57">
        <v>30945</v>
      </c>
      <c r="I168" s="57">
        <v>30403</v>
      </c>
      <c r="J168" s="57">
        <v>28630</v>
      </c>
      <c r="K168" s="57">
        <v>28741</v>
      </c>
      <c r="L168" s="118">
        <v>31950.86</v>
      </c>
      <c r="M168" s="22">
        <v>36896.54</v>
      </c>
      <c r="N168" s="22">
        <v>32643.72</v>
      </c>
      <c r="O168" s="479">
        <v>34798</v>
      </c>
      <c r="P168" s="491"/>
      <c r="Q168" s="562"/>
      <c r="R168" s="563">
        <f>O168+P168+Q168</f>
        <v>34798</v>
      </c>
      <c r="T168" s="2"/>
    </row>
    <row r="169" spans="1:22" x14ac:dyDescent="0.2">
      <c r="A169" s="793"/>
      <c r="B169" s="225">
        <v>620</v>
      </c>
      <c r="C169" s="43" t="s">
        <v>293</v>
      </c>
      <c r="D169" s="44"/>
      <c r="E169" s="44">
        <v>8265</v>
      </c>
      <c r="F169" s="44">
        <v>9427</v>
      </c>
      <c r="G169" s="44">
        <v>10234</v>
      </c>
      <c r="H169" s="44">
        <v>11482</v>
      </c>
      <c r="I169" s="44">
        <f>11947-(14.4+22.4+180)</f>
        <v>11730.2</v>
      </c>
      <c r="J169" s="44">
        <v>10691</v>
      </c>
      <c r="K169" s="44">
        <v>10646</v>
      </c>
      <c r="L169" s="200">
        <v>12860.64</v>
      </c>
      <c r="M169" s="26">
        <v>12687.37</v>
      </c>
      <c r="N169" s="26">
        <v>12446.38</v>
      </c>
      <c r="O169" s="473">
        <v>13098</v>
      </c>
      <c r="P169" s="492"/>
      <c r="Q169" s="564"/>
      <c r="R169" s="565">
        <f>O169+P169+Q169</f>
        <v>13098</v>
      </c>
      <c r="T169" s="2"/>
    </row>
    <row r="170" spans="1:22" x14ac:dyDescent="0.2">
      <c r="A170" s="793"/>
      <c r="B170" s="303">
        <v>630</v>
      </c>
      <c r="C170" s="47" t="s">
        <v>294</v>
      </c>
      <c r="D170" s="44"/>
      <c r="E170" s="44">
        <v>10788</v>
      </c>
      <c r="F170" s="44">
        <v>12448</v>
      </c>
      <c r="G170" s="44">
        <v>10046</v>
      </c>
      <c r="H170" s="44">
        <v>11297</v>
      </c>
      <c r="I170" s="44">
        <f>16682-(2550+28+110)+81</f>
        <v>14075</v>
      </c>
      <c r="J170" s="44">
        <f>11880-3455+151</f>
        <v>8576</v>
      </c>
      <c r="K170" s="44">
        <v>15451</v>
      </c>
      <c r="L170" s="114">
        <v>15180.15</v>
      </c>
      <c r="M170" s="44">
        <v>15023.18</v>
      </c>
      <c r="N170" s="26">
        <v>9257.17</v>
      </c>
      <c r="O170" s="473">
        <v>13550</v>
      </c>
      <c r="P170" s="492"/>
      <c r="Q170" s="564"/>
      <c r="R170" s="565">
        <f>O170+P170+Q170</f>
        <v>13550</v>
      </c>
      <c r="T170" s="2"/>
    </row>
    <row r="171" spans="1:22" ht="13.5" thickBot="1" x14ac:dyDescent="0.25">
      <c r="A171" s="793"/>
      <c r="B171" s="320">
        <v>640</v>
      </c>
      <c r="C171" s="292" t="s">
        <v>295</v>
      </c>
      <c r="D171" s="291"/>
      <c r="E171" s="291"/>
      <c r="F171" s="291"/>
      <c r="G171" s="291"/>
      <c r="H171" s="291"/>
      <c r="I171" s="205"/>
      <c r="J171" s="205"/>
      <c r="K171" s="205">
        <v>75</v>
      </c>
      <c r="L171" s="48"/>
      <c r="M171" s="48">
        <v>128.80000000000001</v>
      </c>
      <c r="N171" s="48">
        <v>116.33</v>
      </c>
      <c r="O171" s="464"/>
      <c r="P171" s="496"/>
      <c r="Q171" s="584"/>
      <c r="R171" s="585">
        <f>O171+P171+Q171</f>
        <v>0</v>
      </c>
      <c r="T171" s="2"/>
    </row>
    <row r="172" spans="1:22" ht="13.5" thickBot="1" x14ac:dyDescent="0.25">
      <c r="A172" s="793"/>
      <c r="B172" s="305">
        <v>630</v>
      </c>
      <c r="C172" s="257" t="s">
        <v>205</v>
      </c>
      <c r="D172" s="291"/>
      <c r="E172" s="291"/>
      <c r="F172" s="291"/>
      <c r="G172" s="291"/>
      <c r="H172" s="291"/>
      <c r="I172" s="321"/>
      <c r="J172" s="321"/>
      <c r="K172" s="60"/>
      <c r="L172" s="206">
        <v>82028.08</v>
      </c>
      <c r="M172" s="77"/>
      <c r="N172" s="77"/>
      <c r="O172" s="468"/>
      <c r="P172" s="490"/>
      <c r="Q172" s="580"/>
      <c r="R172" s="581">
        <f>O172+P172+Q172</f>
        <v>0</v>
      </c>
      <c r="T172" s="2"/>
    </row>
    <row r="173" spans="1:22" ht="15.75" thickBot="1" x14ac:dyDescent="0.3">
      <c r="A173" s="793"/>
      <c r="B173" s="790" t="s">
        <v>22</v>
      </c>
      <c r="C173" s="791"/>
      <c r="D173" s="322">
        <v>3187</v>
      </c>
      <c r="E173" s="322">
        <v>730</v>
      </c>
      <c r="F173" s="322">
        <v>1958</v>
      </c>
      <c r="G173" s="322">
        <v>907</v>
      </c>
      <c r="H173" s="322">
        <v>141</v>
      </c>
      <c r="I173" s="321">
        <f>I174</f>
        <v>2905</v>
      </c>
      <c r="J173" s="321">
        <f>J174</f>
        <v>3455</v>
      </c>
      <c r="K173" s="321">
        <f>K174</f>
        <v>2500</v>
      </c>
      <c r="L173" s="321">
        <v>0</v>
      </c>
      <c r="M173" s="321">
        <f t="shared" ref="M173:R173" si="32">M174</f>
        <v>2500</v>
      </c>
      <c r="N173" s="321">
        <f t="shared" si="32"/>
        <v>5021.05</v>
      </c>
      <c r="O173" s="469">
        <f t="shared" si="32"/>
        <v>3020</v>
      </c>
      <c r="P173" s="469">
        <f t="shared" si="32"/>
        <v>0</v>
      </c>
      <c r="Q173" s="469">
        <f t="shared" si="32"/>
        <v>0</v>
      </c>
      <c r="R173" s="505">
        <f t="shared" si="32"/>
        <v>3020</v>
      </c>
      <c r="T173" s="2"/>
    </row>
    <row r="174" spans="1:22" ht="13.5" thickBot="1" x14ac:dyDescent="0.25">
      <c r="A174" s="794"/>
      <c r="B174" s="323">
        <v>630</v>
      </c>
      <c r="C174" s="46" t="s">
        <v>294</v>
      </c>
      <c r="D174" s="60">
        <v>3187</v>
      </c>
      <c r="E174" s="60">
        <v>730</v>
      </c>
      <c r="F174" s="60">
        <v>1958</v>
      </c>
      <c r="G174" s="60">
        <v>907</v>
      </c>
      <c r="H174" s="60">
        <v>141</v>
      </c>
      <c r="I174" s="46">
        <v>2905</v>
      </c>
      <c r="J174" s="46">
        <v>3455</v>
      </c>
      <c r="K174" s="60">
        <v>2500</v>
      </c>
      <c r="L174" s="48">
        <v>0</v>
      </c>
      <c r="M174" s="48">
        <v>2500</v>
      </c>
      <c r="N174" s="48">
        <v>5021.05</v>
      </c>
      <c r="O174" s="464">
        <v>3020</v>
      </c>
      <c r="P174" s="490"/>
      <c r="Q174" s="573"/>
      <c r="R174" s="574">
        <f>O174+P174+Q174</f>
        <v>3020</v>
      </c>
      <c r="T174" s="2"/>
    </row>
    <row r="175" spans="1:22" ht="15.75" thickBot="1" x14ac:dyDescent="0.3">
      <c r="A175" s="324" t="s">
        <v>19</v>
      </c>
      <c r="B175" s="775" t="s">
        <v>23</v>
      </c>
      <c r="C175" s="751"/>
      <c r="D175" s="79">
        <v>90752</v>
      </c>
      <c r="E175" s="79">
        <v>96030</v>
      </c>
      <c r="F175" s="79">
        <v>117540</v>
      </c>
      <c r="G175" s="79">
        <v>141455</v>
      </c>
      <c r="H175" s="79">
        <f t="shared" ref="H175:Q175" si="33">SUM(H176:H180)</f>
        <v>157876</v>
      </c>
      <c r="I175" s="79">
        <f t="shared" si="33"/>
        <v>153798</v>
      </c>
      <c r="J175" s="79">
        <f t="shared" si="33"/>
        <v>141580</v>
      </c>
      <c r="K175" s="79">
        <f t="shared" si="33"/>
        <v>144793</v>
      </c>
      <c r="L175" s="80">
        <f t="shared" si="33"/>
        <v>138341.56</v>
      </c>
      <c r="M175" s="79">
        <f t="shared" si="33"/>
        <v>147764.81</v>
      </c>
      <c r="N175" s="463">
        <f t="shared" si="33"/>
        <v>187629.79</v>
      </c>
      <c r="O175" s="463">
        <f t="shared" si="33"/>
        <v>227824</v>
      </c>
      <c r="P175" s="463">
        <f t="shared" si="33"/>
        <v>0</v>
      </c>
      <c r="Q175" s="463">
        <f t="shared" si="33"/>
        <v>0</v>
      </c>
      <c r="R175" s="505">
        <f>SUM(R176:R179)</f>
        <v>227824</v>
      </c>
      <c r="T175" s="2"/>
    </row>
    <row r="176" spans="1:22" x14ac:dyDescent="0.2">
      <c r="A176" s="781"/>
      <c r="B176" s="224">
        <v>610</v>
      </c>
      <c r="C176" s="41" t="s">
        <v>292</v>
      </c>
      <c r="D176" s="42"/>
      <c r="E176" s="42">
        <v>65691</v>
      </c>
      <c r="F176" s="42">
        <v>80097</v>
      </c>
      <c r="G176" s="42">
        <v>93395</v>
      </c>
      <c r="H176" s="42">
        <v>102238</v>
      </c>
      <c r="I176" s="41">
        <v>102422</v>
      </c>
      <c r="J176" s="42">
        <v>93404</v>
      </c>
      <c r="K176" s="42">
        <v>93846</v>
      </c>
      <c r="L176" s="198">
        <v>85213.93</v>
      </c>
      <c r="M176" s="42">
        <v>101710.97</v>
      </c>
      <c r="N176" s="93">
        <v>126027.75</v>
      </c>
      <c r="O176" s="472">
        <v>156816</v>
      </c>
      <c r="P176" s="603"/>
      <c r="Q176" s="604"/>
      <c r="R176" s="563">
        <f>O176+P176+Q176</f>
        <v>156816</v>
      </c>
      <c r="T176" s="2"/>
    </row>
    <row r="177" spans="1:20" x14ac:dyDescent="0.2">
      <c r="A177" s="782"/>
      <c r="B177" s="225">
        <v>620</v>
      </c>
      <c r="C177" s="43" t="s">
        <v>293</v>
      </c>
      <c r="D177" s="44"/>
      <c r="E177" s="44">
        <v>22738</v>
      </c>
      <c r="F177" s="44">
        <v>27783</v>
      </c>
      <c r="G177" s="44">
        <v>32056</v>
      </c>
      <c r="H177" s="44">
        <v>35361</v>
      </c>
      <c r="I177" s="43">
        <v>35526</v>
      </c>
      <c r="J177" s="44">
        <v>32703</v>
      </c>
      <c r="K177" s="44">
        <v>32877</v>
      </c>
      <c r="L177" s="200">
        <v>32579.829999999994</v>
      </c>
      <c r="M177" s="44">
        <v>29560.18</v>
      </c>
      <c r="N177" s="26">
        <v>41405.870000000003</v>
      </c>
      <c r="O177" s="473">
        <v>55238</v>
      </c>
      <c r="P177" s="492"/>
      <c r="Q177" s="564"/>
      <c r="R177" s="565">
        <f>O177+P177+Q177</f>
        <v>55238</v>
      </c>
      <c r="T177" s="2"/>
    </row>
    <row r="178" spans="1:20" x14ac:dyDescent="0.2">
      <c r="A178" s="782"/>
      <c r="B178" s="303">
        <v>630</v>
      </c>
      <c r="C178" s="47" t="s">
        <v>294</v>
      </c>
      <c r="D178" s="74"/>
      <c r="E178" s="74">
        <v>7369</v>
      </c>
      <c r="F178" s="74">
        <v>8830</v>
      </c>
      <c r="G178" s="74">
        <v>15669</v>
      </c>
      <c r="H178" s="74">
        <v>19477</v>
      </c>
      <c r="I178" s="47">
        <v>15050</v>
      </c>
      <c r="J178" s="44">
        <v>14133</v>
      </c>
      <c r="K178" s="44">
        <v>17748</v>
      </c>
      <c r="L178" s="218">
        <v>20156.86</v>
      </c>
      <c r="M178" s="30">
        <v>15870.11</v>
      </c>
      <c r="N178" s="30">
        <v>19809.259999999998</v>
      </c>
      <c r="O178" s="483">
        <v>15770</v>
      </c>
      <c r="P178" s="492"/>
      <c r="Q178" s="564"/>
      <c r="R178" s="565">
        <f>O178+P178+Q178</f>
        <v>15770</v>
      </c>
      <c r="T178" s="2"/>
    </row>
    <row r="179" spans="1:20" ht="13.5" thickBot="1" x14ac:dyDescent="0.25">
      <c r="A179" s="782"/>
      <c r="B179" s="247">
        <v>640</v>
      </c>
      <c r="C179" s="46" t="s">
        <v>295</v>
      </c>
      <c r="D179" s="60"/>
      <c r="E179" s="60"/>
      <c r="F179" s="60"/>
      <c r="G179" s="60"/>
      <c r="H179" s="60"/>
      <c r="I179" s="46"/>
      <c r="J179" s="60">
        <v>1340</v>
      </c>
      <c r="K179" s="60">
        <v>322</v>
      </c>
      <c r="L179" s="249">
        <v>390.94</v>
      </c>
      <c r="M179" s="48">
        <v>623.54999999999995</v>
      </c>
      <c r="N179" s="48">
        <v>386.91</v>
      </c>
      <c r="O179" s="464"/>
      <c r="P179" s="496"/>
      <c r="Q179" s="605"/>
      <c r="R179" s="570">
        <f>O179+P179+Q179</f>
        <v>0</v>
      </c>
      <c r="T179" s="2"/>
    </row>
    <row r="180" spans="1:20" ht="13.5" hidden="1" thickBot="1" x14ac:dyDescent="0.25">
      <c r="A180" s="783"/>
      <c r="B180" s="226">
        <v>630</v>
      </c>
      <c r="C180" s="115" t="s">
        <v>24</v>
      </c>
      <c r="D180" s="205"/>
      <c r="E180" s="205">
        <v>232</v>
      </c>
      <c r="F180" s="205">
        <v>830</v>
      </c>
      <c r="G180" s="205">
        <v>335</v>
      </c>
      <c r="H180" s="205">
        <v>800</v>
      </c>
      <c r="I180" s="115">
        <v>800</v>
      </c>
      <c r="J180" s="115"/>
      <c r="K180" s="205"/>
      <c r="L180" s="77"/>
      <c r="M180" s="77"/>
      <c r="N180" s="77"/>
      <c r="O180" s="468"/>
      <c r="P180" s="490"/>
      <c r="Q180" s="580"/>
      <c r="R180" s="581"/>
      <c r="T180" s="2"/>
    </row>
    <row r="181" spans="1:20" ht="15.75" thickBot="1" x14ac:dyDescent="0.3">
      <c r="A181" s="508" t="s">
        <v>25</v>
      </c>
      <c r="B181" s="775" t="s">
        <v>79</v>
      </c>
      <c r="C181" s="751"/>
      <c r="D181" s="262">
        <v>35152</v>
      </c>
      <c r="E181" s="262">
        <v>34654</v>
      </c>
      <c r="F181" s="262">
        <v>45741</v>
      </c>
      <c r="G181" s="262">
        <v>45381</v>
      </c>
      <c r="H181" s="79">
        <f>SUM(H182:H185)</f>
        <v>47758</v>
      </c>
      <c r="I181" s="79">
        <f>SUM(I182:I185)</f>
        <v>57427</v>
      </c>
      <c r="J181" s="79">
        <f>SUM(J182:J184)</f>
        <v>33860</v>
      </c>
      <c r="K181" s="79">
        <f>SUM(K182:K185)</f>
        <v>33843</v>
      </c>
      <c r="L181" s="80">
        <f>SUM(L182:L185)</f>
        <v>35020.590000000004</v>
      </c>
      <c r="M181" s="79">
        <f>SUM(M182:M185)</f>
        <v>40552.410000000003</v>
      </c>
      <c r="N181" s="463">
        <f>SUM(N182:N185)</f>
        <v>37850.049999999996</v>
      </c>
      <c r="O181" s="463">
        <f>SUM(O182:O184)</f>
        <v>40597</v>
      </c>
      <c r="P181" s="463">
        <f>SUM(P182:P184)</f>
        <v>0</v>
      </c>
      <c r="Q181" s="463">
        <f>SUM(Q182:Q184)</f>
        <v>0</v>
      </c>
      <c r="R181" s="505">
        <f>SUM(R182:R185)</f>
        <v>40597</v>
      </c>
      <c r="T181" s="2"/>
    </row>
    <row r="182" spans="1:20" x14ac:dyDescent="0.2">
      <c r="A182" s="784"/>
      <c r="B182" s="224">
        <v>610</v>
      </c>
      <c r="C182" s="219" t="s">
        <v>292</v>
      </c>
      <c r="D182" s="310"/>
      <c r="E182" s="310">
        <v>21277</v>
      </c>
      <c r="F182" s="310">
        <v>26622</v>
      </c>
      <c r="G182" s="310">
        <v>27938</v>
      </c>
      <c r="H182" s="310">
        <v>29205</v>
      </c>
      <c r="I182" s="42">
        <v>32982</v>
      </c>
      <c r="J182" s="42">
        <v>19537</v>
      </c>
      <c r="K182" s="42">
        <v>19331</v>
      </c>
      <c r="L182" s="198">
        <v>19931.3</v>
      </c>
      <c r="M182" s="93">
        <v>21474.28</v>
      </c>
      <c r="N182" s="93">
        <v>19698.37</v>
      </c>
      <c r="O182" s="472">
        <v>23566</v>
      </c>
      <c r="P182" s="491"/>
      <c r="Q182" s="562"/>
      <c r="R182" s="563">
        <f>O182+P182+Q182</f>
        <v>23566</v>
      </c>
      <c r="T182" s="2"/>
    </row>
    <row r="183" spans="1:20" x14ac:dyDescent="0.2">
      <c r="A183" s="785"/>
      <c r="B183" s="225">
        <v>620</v>
      </c>
      <c r="C183" s="221" t="s">
        <v>293</v>
      </c>
      <c r="D183" s="201"/>
      <c r="E183" s="201">
        <v>8033</v>
      </c>
      <c r="F183" s="201">
        <v>9792</v>
      </c>
      <c r="G183" s="201">
        <v>10190</v>
      </c>
      <c r="H183" s="201">
        <v>10431</v>
      </c>
      <c r="I183" s="44">
        <v>13206</v>
      </c>
      <c r="J183" s="44">
        <v>7857</v>
      </c>
      <c r="K183" s="44">
        <v>7510</v>
      </c>
      <c r="L183" s="200">
        <v>8330.59</v>
      </c>
      <c r="M183" s="26">
        <v>7982.2</v>
      </c>
      <c r="N183" s="26">
        <v>7602.19</v>
      </c>
      <c r="O183" s="473">
        <v>8741</v>
      </c>
      <c r="P183" s="492"/>
      <c r="Q183" s="564"/>
      <c r="R183" s="565">
        <f>O183+P183+Q183</f>
        <v>8741</v>
      </c>
      <c r="T183" s="2"/>
    </row>
    <row r="184" spans="1:20" x14ac:dyDescent="0.2">
      <c r="A184" s="785"/>
      <c r="B184" s="225">
        <v>630</v>
      </c>
      <c r="C184" s="221" t="s">
        <v>294</v>
      </c>
      <c r="D184" s="201"/>
      <c r="E184" s="201">
        <v>5344</v>
      </c>
      <c r="F184" s="201">
        <v>9327</v>
      </c>
      <c r="G184" s="201">
        <v>7253</v>
      </c>
      <c r="H184" s="201">
        <v>8122</v>
      </c>
      <c r="I184" s="44">
        <v>7483</v>
      </c>
      <c r="J184" s="44">
        <v>6466</v>
      </c>
      <c r="K184" s="44">
        <v>6899</v>
      </c>
      <c r="L184" s="200">
        <v>6669.76</v>
      </c>
      <c r="M184" s="26">
        <v>10990.38</v>
      </c>
      <c r="N184" s="26">
        <v>10449.24</v>
      </c>
      <c r="O184" s="473">
        <v>8290</v>
      </c>
      <c r="P184" s="492"/>
      <c r="Q184" s="564"/>
      <c r="R184" s="565">
        <f>O184+P184+Q184</f>
        <v>8290</v>
      </c>
      <c r="T184" s="2"/>
    </row>
    <row r="185" spans="1:20" ht="13.5" thickBot="1" x14ac:dyDescent="0.25">
      <c r="A185" s="786"/>
      <c r="B185" s="226">
        <v>640</v>
      </c>
      <c r="C185" s="257" t="s">
        <v>295</v>
      </c>
      <c r="D185" s="291"/>
      <c r="E185" s="291"/>
      <c r="F185" s="291"/>
      <c r="G185" s="291"/>
      <c r="H185" s="291"/>
      <c r="I185" s="205">
        <v>3756</v>
      </c>
      <c r="J185" s="205"/>
      <c r="K185" s="205">
        <v>103</v>
      </c>
      <c r="L185" s="325">
        <v>88.94</v>
      </c>
      <c r="M185" s="60">
        <v>105.55</v>
      </c>
      <c r="N185" s="48">
        <v>100.25</v>
      </c>
      <c r="O185" s="464"/>
      <c r="P185" s="493"/>
      <c r="Q185" s="568"/>
      <c r="R185" s="569">
        <f>O185+P185+Q185</f>
        <v>0</v>
      </c>
      <c r="T185" s="2"/>
    </row>
    <row r="186" spans="1:20" ht="15.75" thickBot="1" x14ac:dyDescent="0.3">
      <c r="A186" s="326" t="s">
        <v>26</v>
      </c>
      <c r="B186" s="776" t="s">
        <v>27</v>
      </c>
      <c r="C186" s="777"/>
      <c r="D186" s="327">
        <v>105855</v>
      </c>
      <c r="E186" s="327">
        <v>102071</v>
      </c>
      <c r="F186" s="327">
        <v>77475</v>
      </c>
      <c r="G186" s="327">
        <v>119794</v>
      </c>
      <c r="H186" s="328">
        <v>122484</v>
      </c>
      <c r="I186" s="328">
        <f>I187+I192+I193+I194+I195+I196+I198+I200+I197</f>
        <v>95592</v>
      </c>
      <c r="J186" s="328">
        <f>J187+J192+J193+J194+J195+J196+J198+J200+J197</f>
        <v>235945</v>
      </c>
      <c r="K186" s="328">
        <f>K187+K192+K193+K194+K195+K196+K198+K200+K197</f>
        <v>566990</v>
      </c>
      <c r="L186" s="329">
        <f>L187+L192+L193+L194+L195+L196+L198+L200+L197</f>
        <v>568843.26</v>
      </c>
      <c r="M186" s="328">
        <f>M187+M192+M195+M196+M197+M198-M197</f>
        <v>470939.22999999992</v>
      </c>
      <c r="N186" s="470">
        <f>SUM(N192:N200)+N187</f>
        <v>341351.46</v>
      </c>
      <c r="O186" s="470">
        <f>O187+O192+O195+O197+O199+O198+O194+O200+O193</f>
        <v>284000</v>
      </c>
      <c r="P186" s="470">
        <f>P187+P192+P195+P197+P199+P198+P194+P200</f>
        <v>0</v>
      </c>
      <c r="Q186" s="470">
        <f>Q187+Q192+Q195+Q197+Q199+Q198+Q194+Q200+Q193</f>
        <v>-16799</v>
      </c>
      <c r="R186" s="505">
        <f>R187+R192+R195+R197+R199+R198+R194+R200+R193</f>
        <v>267201</v>
      </c>
      <c r="T186" s="2"/>
    </row>
    <row r="187" spans="1:20" ht="15.75" thickBot="1" x14ac:dyDescent="0.3">
      <c r="A187" s="778"/>
      <c r="B187" s="779" t="s">
        <v>28</v>
      </c>
      <c r="C187" s="780"/>
      <c r="D187" s="330">
        <v>26024</v>
      </c>
      <c r="E187" s="330">
        <v>26422</v>
      </c>
      <c r="F187" s="330">
        <v>12381</v>
      </c>
      <c r="G187" s="330">
        <v>67096</v>
      </c>
      <c r="H187" s="331">
        <f t="shared" ref="H187:O187" si="34">SUM(H188:H190)</f>
        <v>63788</v>
      </c>
      <c r="I187" s="331">
        <f t="shared" si="34"/>
        <v>2494</v>
      </c>
      <c r="J187" s="331">
        <f t="shared" si="34"/>
        <v>41385</v>
      </c>
      <c r="K187" s="331">
        <f>SUM(K188:K191)</f>
        <v>80229</v>
      </c>
      <c r="L187" s="332">
        <f>SUM(L188:L191)</f>
        <v>66952.969999999987</v>
      </c>
      <c r="M187" s="331">
        <f>SUM(M188:M191)</f>
        <v>85074.98</v>
      </c>
      <c r="N187" s="331">
        <f t="shared" si="34"/>
        <v>7365</v>
      </c>
      <c r="O187" s="331">
        <f t="shared" si="34"/>
        <v>4500</v>
      </c>
      <c r="P187" s="331">
        <f>SUM(P188:P190)</f>
        <v>0</v>
      </c>
      <c r="Q187" s="331">
        <f>SUM(Q188:Q190)</f>
        <v>0</v>
      </c>
      <c r="R187" s="505">
        <f>SUM(R188:R190)</f>
        <v>4500</v>
      </c>
      <c r="T187" s="2"/>
    </row>
    <row r="188" spans="1:20" x14ac:dyDescent="0.2">
      <c r="A188" s="778"/>
      <c r="B188" s="197">
        <v>610</v>
      </c>
      <c r="C188" s="41" t="s">
        <v>292</v>
      </c>
      <c r="D188" s="42"/>
      <c r="E188" s="42">
        <v>16132</v>
      </c>
      <c r="F188" s="42">
        <v>7933</v>
      </c>
      <c r="G188" s="42">
        <v>43567</v>
      </c>
      <c r="H188" s="42">
        <v>42257</v>
      </c>
      <c r="I188" s="333">
        <v>2163</v>
      </c>
      <c r="J188" s="333">
        <v>27310</v>
      </c>
      <c r="K188" s="333">
        <v>54820</v>
      </c>
      <c r="L188" s="334">
        <v>43998.71</v>
      </c>
      <c r="M188" s="333">
        <v>61007.02</v>
      </c>
      <c r="N188" s="541">
        <v>1010.2</v>
      </c>
      <c r="O188" s="541">
        <v>0</v>
      </c>
      <c r="P188" s="491"/>
      <c r="Q188" s="578"/>
      <c r="R188" s="579">
        <f t="shared" ref="R188:R200" si="35">O188+P188+Q188</f>
        <v>0</v>
      </c>
      <c r="T188" s="2"/>
    </row>
    <row r="189" spans="1:20" x14ac:dyDescent="0.2">
      <c r="A189" s="778"/>
      <c r="B189" s="199">
        <v>620</v>
      </c>
      <c r="C189" s="43" t="s">
        <v>293</v>
      </c>
      <c r="D189" s="44"/>
      <c r="E189" s="44">
        <v>5344</v>
      </c>
      <c r="F189" s="44">
        <v>2622</v>
      </c>
      <c r="G189" s="44">
        <v>14529</v>
      </c>
      <c r="H189" s="44">
        <v>14713</v>
      </c>
      <c r="I189" s="335">
        <v>323</v>
      </c>
      <c r="J189" s="335">
        <v>10254</v>
      </c>
      <c r="K189" s="335">
        <v>19614</v>
      </c>
      <c r="L189" s="336">
        <v>18142.439999999999</v>
      </c>
      <c r="M189" s="337">
        <v>19303.48</v>
      </c>
      <c r="N189" s="337">
        <v>430.73</v>
      </c>
      <c r="O189" s="337">
        <v>0</v>
      </c>
      <c r="P189" s="492"/>
      <c r="Q189" s="566"/>
      <c r="R189" s="567">
        <f t="shared" si="35"/>
        <v>0</v>
      </c>
      <c r="T189" s="2"/>
    </row>
    <row r="190" spans="1:20" x14ac:dyDescent="0.2">
      <c r="A190" s="778"/>
      <c r="B190" s="199">
        <v>630</v>
      </c>
      <c r="C190" s="43" t="s">
        <v>294</v>
      </c>
      <c r="D190" s="44"/>
      <c r="E190" s="44">
        <v>4946</v>
      </c>
      <c r="F190" s="44">
        <v>1826</v>
      </c>
      <c r="G190" s="44">
        <v>9000</v>
      </c>
      <c r="H190" s="44">
        <v>6818</v>
      </c>
      <c r="I190" s="44">
        <v>8</v>
      </c>
      <c r="J190" s="44">
        <f>3526+295</f>
        <v>3821</v>
      </c>
      <c r="K190" s="335">
        <v>5011</v>
      </c>
      <c r="L190" s="336">
        <v>4277.1499999999996</v>
      </c>
      <c r="M190" s="337">
        <v>4479.7</v>
      </c>
      <c r="N190" s="337">
        <v>5924.07</v>
      </c>
      <c r="O190" s="337">
        <v>4500</v>
      </c>
      <c r="P190" s="492"/>
      <c r="Q190" s="564"/>
      <c r="R190" s="565">
        <f t="shared" si="35"/>
        <v>4500</v>
      </c>
      <c r="T190" s="2"/>
    </row>
    <row r="191" spans="1:20" ht="13.5" thickBot="1" x14ac:dyDescent="0.25">
      <c r="A191" s="778"/>
      <c r="B191" s="320"/>
      <c r="C191" s="292"/>
      <c r="D191" s="294"/>
      <c r="E191" s="294"/>
      <c r="F191" s="294"/>
      <c r="G191" s="294"/>
      <c r="H191" s="294"/>
      <c r="I191" s="294"/>
      <c r="J191" s="294"/>
      <c r="K191" s="338">
        <v>784</v>
      </c>
      <c r="L191" s="339">
        <v>534.66999999999996</v>
      </c>
      <c r="M191" s="340">
        <v>284.77999999999997</v>
      </c>
      <c r="N191" s="340"/>
      <c r="O191" s="488"/>
      <c r="P191" s="496"/>
      <c r="Q191" s="584"/>
      <c r="R191" s="585">
        <f t="shared" si="35"/>
        <v>0</v>
      </c>
      <c r="T191" s="2"/>
    </row>
    <row r="192" spans="1:20" x14ac:dyDescent="0.2">
      <c r="A192" s="778"/>
      <c r="B192" s="341"/>
      <c r="C192" s="313" t="s">
        <v>29</v>
      </c>
      <c r="D192" s="312"/>
      <c r="E192" s="312"/>
      <c r="F192" s="312"/>
      <c r="G192" s="312"/>
      <c r="H192" s="312"/>
      <c r="I192" s="313">
        <v>9265</v>
      </c>
      <c r="J192" s="201">
        <v>11343</v>
      </c>
      <c r="K192" s="44">
        <v>6313</v>
      </c>
      <c r="L192" s="118">
        <v>5404.14</v>
      </c>
      <c r="M192" s="22">
        <v>4327.68</v>
      </c>
      <c r="N192" s="22"/>
      <c r="O192" s="479">
        <v>7000</v>
      </c>
      <c r="P192" s="491"/>
      <c r="Q192" s="22"/>
      <c r="R192" s="563">
        <f t="shared" si="35"/>
        <v>7000</v>
      </c>
      <c r="T192" s="2"/>
    </row>
    <row r="193" spans="1:22" x14ac:dyDescent="0.2">
      <c r="A193" s="778"/>
      <c r="B193" s="342"/>
      <c r="C193" s="221" t="s">
        <v>481</v>
      </c>
      <c r="D193" s="201"/>
      <c r="E193" s="201"/>
      <c r="F193" s="201"/>
      <c r="G193" s="201"/>
      <c r="H193" s="201"/>
      <c r="I193" s="221"/>
      <c r="J193" s="201"/>
      <c r="K193" s="44"/>
      <c r="L193" s="200"/>
      <c r="M193" s="26"/>
      <c r="N193" s="26">
        <v>0</v>
      </c>
      <c r="O193" s="473">
        <v>22376</v>
      </c>
      <c r="P193" s="492"/>
      <c r="Q193" s="26"/>
      <c r="R193" s="565">
        <f t="shared" si="35"/>
        <v>22376</v>
      </c>
      <c r="T193" s="2"/>
    </row>
    <row r="194" spans="1:22" ht="12.75" customHeight="1" x14ac:dyDescent="0.2">
      <c r="A194" s="778"/>
      <c r="B194" s="342">
        <v>630</v>
      </c>
      <c r="C194" s="221" t="s">
        <v>30</v>
      </c>
      <c r="D194" s="201"/>
      <c r="E194" s="201"/>
      <c r="F194" s="201"/>
      <c r="G194" s="201"/>
      <c r="H194" s="201"/>
      <c r="I194" s="221"/>
      <c r="J194" s="201"/>
      <c r="K194" s="44"/>
      <c r="L194" s="200"/>
      <c r="M194" s="26"/>
      <c r="N194" s="26">
        <v>0</v>
      </c>
      <c r="O194" s="473"/>
      <c r="P194" s="492"/>
      <c r="Q194" s="26"/>
      <c r="R194" s="565">
        <f t="shared" si="35"/>
        <v>0</v>
      </c>
      <c r="T194" s="2"/>
    </row>
    <row r="195" spans="1:22" ht="12.75" customHeight="1" x14ac:dyDescent="0.2">
      <c r="A195" s="778"/>
      <c r="B195" s="342">
        <v>630</v>
      </c>
      <c r="C195" s="221" t="s">
        <v>31</v>
      </c>
      <c r="D195" s="201"/>
      <c r="E195" s="201"/>
      <c r="F195" s="201"/>
      <c r="G195" s="201"/>
      <c r="H195" s="201"/>
      <c r="I195" s="221">
        <v>66358</v>
      </c>
      <c r="J195" s="201">
        <v>95746</v>
      </c>
      <c r="K195" s="44">
        <f>5530+80179</f>
        <v>85709</v>
      </c>
      <c r="L195" s="200">
        <v>56320.98000000001</v>
      </c>
      <c r="M195" s="26">
        <v>47905.93</v>
      </c>
      <c r="N195" s="26">
        <v>34336.340000000004</v>
      </c>
      <c r="O195" s="473">
        <v>35000</v>
      </c>
      <c r="P195" s="492"/>
      <c r="Q195" s="26">
        <v>-5505</v>
      </c>
      <c r="R195" s="565">
        <f t="shared" si="35"/>
        <v>29495</v>
      </c>
      <c r="T195" s="2"/>
      <c r="V195" s="2"/>
    </row>
    <row r="196" spans="1:22" hidden="1" x14ac:dyDescent="0.2">
      <c r="A196" s="778"/>
      <c r="B196" s="342">
        <v>630</v>
      </c>
      <c r="C196" s="221"/>
      <c r="D196" s="201"/>
      <c r="E196" s="201"/>
      <c r="F196" s="201"/>
      <c r="G196" s="201"/>
      <c r="H196" s="201"/>
      <c r="I196" s="44">
        <v>642</v>
      </c>
      <c r="J196" s="201"/>
      <c r="K196" s="44"/>
      <c r="L196" s="200"/>
      <c r="M196" s="26">
        <v>323039.83999999997</v>
      </c>
      <c r="N196" s="26">
        <v>0</v>
      </c>
      <c r="O196" s="473"/>
      <c r="P196" s="492"/>
      <c r="Q196" s="26"/>
      <c r="R196" s="565">
        <f t="shared" si="35"/>
        <v>0</v>
      </c>
      <c r="T196" s="2"/>
      <c r="V196" s="2"/>
    </row>
    <row r="197" spans="1:22" x14ac:dyDescent="0.2">
      <c r="A197" s="778"/>
      <c r="B197" s="342"/>
      <c r="C197" s="221" t="s">
        <v>202</v>
      </c>
      <c r="D197" s="201"/>
      <c r="E197" s="201"/>
      <c r="F197" s="201"/>
      <c r="G197" s="201"/>
      <c r="H197" s="201"/>
      <c r="I197" s="221"/>
      <c r="J197" s="201">
        <v>85602</v>
      </c>
      <c r="K197" s="44">
        <f>4915+388479</f>
        <v>393394</v>
      </c>
      <c r="L197" s="200">
        <v>426977.77</v>
      </c>
      <c r="M197" s="26">
        <v>6176.6</v>
      </c>
      <c r="N197" s="26">
        <v>281171.12</v>
      </c>
      <c r="O197" s="473">
        <v>192900</v>
      </c>
      <c r="P197" s="492"/>
      <c r="Q197" s="26">
        <v>-1933</v>
      </c>
      <c r="R197" s="565">
        <f t="shared" si="35"/>
        <v>190967</v>
      </c>
      <c r="T197" s="2"/>
      <c r="V197" s="2"/>
    </row>
    <row r="198" spans="1:22" x14ac:dyDescent="0.2">
      <c r="A198" s="778"/>
      <c r="B198" s="342">
        <v>630</v>
      </c>
      <c r="C198" s="221" t="s">
        <v>377</v>
      </c>
      <c r="D198" s="201"/>
      <c r="E198" s="201"/>
      <c r="F198" s="201"/>
      <c r="G198" s="201"/>
      <c r="H198" s="201"/>
      <c r="I198" s="221">
        <v>16833</v>
      </c>
      <c r="J198" s="201">
        <v>1809</v>
      </c>
      <c r="K198" s="44">
        <v>1345</v>
      </c>
      <c r="L198" s="200">
        <v>13077.4</v>
      </c>
      <c r="M198" s="26">
        <v>10590.8</v>
      </c>
      <c r="N198" s="26">
        <v>6654.32</v>
      </c>
      <c r="O198" s="473"/>
      <c r="P198" s="492"/>
      <c r="Q198" s="26">
        <v>3343</v>
      </c>
      <c r="R198" s="565">
        <f t="shared" si="35"/>
        <v>3343</v>
      </c>
      <c r="T198" s="2"/>
      <c r="V198" s="2"/>
    </row>
    <row r="199" spans="1:22" x14ac:dyDescent="0.2">
      <c r="A199" s="778"/>
      <c r="B199" s="543"/>
      <c r="C199" s="221" t="s">
        <v>32</v>
      </c>
      <c r="D199" s="544"/>
      <c r="E199" s="544"/>
      <c r="F199" s="544"/>
      <c r="G199" s="544"/>
      <c r="H199" s="544"/>
      <c r="I199" s="407"/>
      <c r="J199" s="201"/>
      <c r="K199" s="44"/>
      <c r="L199" s="218"/>
      <c r="M199" s="30"/>
      <c r="N199" s="30">
        <v>9556.68</v>
      </c>
      <c r="O199" s="483">
        <v>20224</v>
      </c>
      <c r="P199" s="493"/>
      <c r="Q199" s="30">
        <v>-12704</v>
      </c>
      <c r="R199" s="570">
        <f t="shared" si="35"/>
        <v>7520</v>
      </c>
      <c r="T199" s="697"/>
      <c r="V199" s="2"/>
    </row>
    <row r="200" spans="1:22" ht="13.5" thickBot="1" x14ac:dyDescent="0.25">
      <c r="A200" s="778"/>
      <c r="B200" s="343">
        <v>630</v>
      </c>
      <c r="C200" s="344" t="s">
        <v>33</v>
      </c>
      <c r="D200" s="345"/>
      <c r="E200" s="345"/>
      <c r="F200" s="345"/>
      <c r="G200" s="345"/>
      <c r="H200" s="345"/>
      <c r="I200" s="344"/>
      <c r="J200" s="201">
        <v>60</v>
      </c>
      <c r="K200" s="44"/>
      <c r="L200" s="218">
        <v>110</v>
      </c>
      <c r="M200" s="346"/>
      <c r="N200" s="346">
        <v>2268</v>
      </c>
      <c r="O200" s="489">
        <v>2000</v>
      </c>
      <c r="P200" s="493"/>
      <c r="Q200" s="568"/>
      <c r="R200" s="570">
        <f t="shared" si="35"/>
        <v>2000</v>
      </c>
      <c r="T200" s="2"/>
    </row>
    <row r="201" spans="1:22" ht="17.25" thickTop="1" thickBot="1" x14ac:dyDescent="0.3">
      <c r="A201" s="347"/>
      <c r="B201" s="348"/>
      <c r="C201" s="146" t="s">
        <v>34</v>
      </c>
      <c r="D201" s="101">
        <f t="shared" ref="D201:R201" si="36">D4+D10+D14+D25+D27+D29+D34+D36+D41+D48+D54+D68+D72+D79+D84+D89+D108+D110+D120+D124+D138+D141+D146+D161+D166+D175+D181+D186+D113+D19+D43+D77</f>
        <v>5867125</v>
      </c>
      <c r="E201" s="101">
        <f t="shared" si="36"/>
        <v>6460200</v>
      </c>
      <c r="F201" s="101">
        <f t="shared" si="36"/>
        <v>7832271</v>
      </c>
      <c r="G201" s="101">
        <f t="shared" si="36"/>
        <v>8716285.4299999997</v>
      </c>
      <c r="H201" s="101">
        <f t="shared" si="36"/>
        <v>9309387</v>
      </c>
      <c r="I201" s="101">
        <f t="shared" si="36"/>
        <v>8694541.1999999993</v>
      </c>
      <c r="J201" s="101">
        <f t="shared" si="36"/>
        <v>8908071</v>
      </c>
      <c r="K201" s="101">
        <f t="shared" si="36"/>
        <v>8934542</v>
      </c>
      <c r="L201" s="349">
        <f t="shared" si="36"/>
        <v>9572545.3800000008</v>
      </c>
      <c r="M201" s="101">
        <f t="shared" si="36"/>
        <v>9554914.7999999989</v>
      </c>
      <c r="N201" s="471">
        <f>N4+N10+N14+N25+N27+N29+N34+N36+N41+N48+N54+N68+N72+N79+N84+N89+N108+N110+N120+N124+N138+N141+N146+N161+N166+N175+N181+N186+N113+N19+N43+N77</f>
        <v>9695081.3400000017</v>
      </c>
      <c r="O201" s="471">
        <f t="shared" si="36"/>
        <v>10205856</v>
      </c>
      <c r="P201" s="471">
        <f t="shared" si="36"/>
        <v>7597</v>
      </c>
      <c r="Q201" s="471">
        <f t="shared" si="36"/>
        <v>107918</v>
      </c>
      <c r="R201" s="507">
        <f t="shared" si="36"/>
        <v>10321371</v>
      </c>
      <c r="T201" s="2"/>
    </row>
    <row r="202" spans="1:22" ht="13.5" thickTop="1" x14ac:dyDescent="0.2">
      <c r="P202" s="433"/>
    </row>
    <row r="203" spans="1:22" x14ac:dyDescent="0.2">
      <c r="N203" s="2"/>
      <c r="O203" s="2"/>
      <c r="P203" s="433"/>
      <c r="R203" s="586"/>
    </row>
    <row r="204" spans="1:22" x14ac:dyDescent="0.2">
      <c r="P204" s="433"/>
      <c r="Q204" s="586"/>
      <c r="R204" s="586"/>
    </row>
    <row r="205" spans="1:22" x14ac:dyDescent="0.2">
      <c r="P205" s="433"/>
      <c r="Q205" s="586"/>
      <c r="R205" s="586"/>
    </row>
    <row r="206" spans="1:22" x14ac:dyDescent="0.2">
      <c r="N206" s="433"/>
      <c r="O206" s="2"/>
      <c r="P206" s="433"/>
      <c r="R206" s="586"/>
    </row>
    <row r="207" spans="1:22" x14ac:dyDescent="0.2">
      <c r="O207" s="2"/>
      <c r="P207" s="433"/>
    </row>
    <row r="208" spans="1:22" x14ac:dyDescent="0.2">
      <c r="L208" s="2"/>
      <c r="N208" s="2"/>
      <c r="O208" s="2"/>
      <c r="P208" s="433"/>
      <c r="Q208" s="586"/>
      <c r="R208" s="586"/>
    </row>
    <row r="209" spans="14:18" x14ac:dyDescent="0.2">
      <c r="P209" s="433"/>
    </row>
    <row r="210" spans="14:18" x14ac:dyDescent="0.2">
      <c r="N210" s="2"/>
      <c r="P210" s="433"/>
    </row>
    <row r="211" spans="14:18" x14ac:dyDescent="0.2">
      <c r="P211" s="433"/>
      <c r="R211" s="586"/>
    </row>
    <row r="212" spans="14:18" x14ac:dyDescent="0.2">
      <c r="P212" s="433"/>
    </row>
    <row r="213" spans="14:18" x14ac:dyDescent="0.2">
      <c r="P213" s="433"/>
    </row>
    <row r="214" spans="14:18" x14ac:dyDescent="0.2">
      <c r="P214" s="433"/>
    </row>
    <row r="215" spans="14:18" x14ac:dyDescent="0.2">
      <c r="P215" s="433"/>
    </row>
    <row r="216" spans="14:18" x14ac:dyDescent="0.2">
      <c r="P216" s="433"/>
    </row>
    <row r="217" spans="14:18" x14ac:dyDescent="0.2">
      <c r="P217" s="433"/>
    </row>
    <row r="218" spans="14:18" x14ac:dyDescent="0.2">
      <c r="P218" s="433"/>
    </row>
    <row r="219" spans="14:18" x14ac:dyDescent="0.2">
      <c r="P219" s="433"/>
    </row>
    <row r="220" spans="14:18" x14ac:dyDescent="0.2">
      <c r="P220" s="433"/>
    </row>
    <row r="221" spans="14:18" x14ac:dyDescent="0.2">
      <c r="P221" s="433"/>
    </row>
    <row r="222" spans="14:18" x14ac:dyDescent="0.2">
      <c r="P222" s="433"/>
    </row>
    <row r="223" spans="14:18" x14ac:dyDescent="0.2">
      <c r="P223" s="433"/>
    </row>
    <row r="224" spans="14:18" x14ac:dyDescent="0.2">
      <c r="P224" s="433"/>
    </row>
    <row r="225" spans="16:16" x14ac:dyDescent="0.2">
      <c r="P225" s="433"/>
    </row>
    <row r="226" spans="16:16" x14ac:dyDescent="0.2">
      <c r="P226" s="433"/>
    </row>
    <row r="227" spans="16:16" x14ac:dyDescent="0.2">
      <c r="P227" s="433"/>
    </row>
    <row r="228" spans="16:16" x14ac:dyDescent="0.2">
      <c r="P228" s="433"/>
    </row>
    <row r="229" spans="16:16" x14ac:dyDescent="0.2">
      <c r="P229" s="433"/>
    </row>
    <row r="230" spans="16:16" x14ac:dyDescent="0.2">
      <c r="P230" s="433"/>
    </row>
    <row r="231" spans="16:16" x14ac:dyDescent="0.2">
      <c r="P231" s="433"/>
    </row>
    <row r="232" spans="16:16" x14ac:dyDescent="0.2">
      <c r="P232" s="433"/>
    </row>
    <row r="233" spans="16:16" x14ac:dyDescent="0.2">
      <c r="P233" s="433"/>
    </row>
    <row r="234" spans="16:16" x14ac:dyDescent="0.2">
      <c r="P234" s="433"/>
    </row>
    <row r="235" spans="16:16" x14ac:dyDescent="0.2">
      <c r="P235" s="433"/>
    </row>
    <row r="236" spans="16:16" x14ac:dyDescent="0.2">
      <c r="P236" s="433"/>
    </row>
    <row r="237" spans="16:16" x14ac:dyDescent="0.2">
      <c r="P237" s="433"/>
    </row>
    <row r="238" spans="16:16" x14ac:dyDescent="0.2">
      <c r="P238" s="433"/>
    </row>
    <row r="239" spans="16:16" x14ac:dyDescent="0.2">
      <c r="P239" s="433"/>
    </row>
    <row r="240" spans="16:16" x14ac:dyDescent="0.2">
      <c r="P240" s="433"/>
    </row>
    <row r="241" spans="16:16" x14ac:dyDescent="0.2">
      <c r="P241" s="433"/>
    </row>
    <row r="242" spans="16:16" x14ac:dyDescent="0.2">
      <c r="P242" s="433"/>
    </row>
    <row r="243" spans="16:16" x14ac:dyDescent="0.2">
      <c r="P243" s="433"/>
    </row>
    <row r="244" spans="16:16" x14ac:dyDescent="0.2">
      <c r="P244" s="433"/>
    </row>
    <row r="245" spans="16:16" x14ac:dyDescent="0.2">
      <c r="P245" s="433"/>
    </row>
    <row r="246" spans="16:16" x14ac:dyDescent="0.2">
      <c r="P246" s="433"/>
    </row>
  </sheetData>
  <mergeCells count="83">
    <mergeCell ref="P2:Q2"/>
    <mergeCell ref="D2:D3"/>
    <mergeCell ref="A15:A18"/>
    <mergeCell ref="B19:C19"/>
    <mergeCell ref="A20:A24"/>
    <mergeCell ref="A2:A3"/>
    <mergeCell ref="B2:B3"/>
    <mergeCell ref="C2:C3"/>
    <mergeCell ref="A11:A13"/>
    <mergeCell ref="B10:C10"/>
    <mergeCell ref="O2:O3"/>
    <mergeCell ref="B4:C4"/>
    <mergeCell ref="I2:I3"/>
    <mergeCell ref="J2:J3"/>
    <mergeCell ref="K2:K3"/>
    <mergeCell ref="L2:L3"/>
    <mergeCell ref="H2:H3"/>
    <mergeCell ref="F2:F3"/>
    <mergeCell ref="B113:C113"/>
    <mergeCell ref="B89:C89"/>
    <mergeCell ref="B55:C55"/>
    <mergeCell ref="B110:C110"/>
    <mergeCell ref="B72:C72"/>
    <mergeCell ref="G2:G3"/>
    <mergeCell ref="E2:E3"/>
    <mergeCell ref="B36:C36"/>
    <mergeCell ref="B14:C14"/>
    <mergeCell ref="B34:C34"/>
    <mergeCell ref="B25:C25"/>
    <mergeCell ref="B68:C68"/>
    <mergeCell ref="B108:C108"/>
    <mergeCell ref="A37:A40"/>
    <mergeCell ref="B41:C41"/>
    <mergeCell ref="B43:C43"/>
    <mergeCell ref="B48:C48"/>
    <mergeCell ref="B79:C79"/>
    <mergeCell ref="A49:A53"/>
    <mergeCell ref="B54:C54"/>
    <mergeCell ref="A55:A67"/>
    <mergeCell ref="A44:A47"/>
    <mergeCell ref="A80:A83"/>
    <mergeCell ref="B84:C84"/>
    <mergeCell ref="B77:C77"/>
    <mergeCell ref="A90:A107"/>
    <mergeCell ref="A85:A88"/>
    <mergeCell ref="A142:A145"/>
    <mergeCell ref="B142:B145"/>
    <mergeCell ref="B146:C146"/>
    <mergeCell ref="B138:C138"/>
    <mergeCell ref="B141:C141"/>
    <mergeCell ref="B153:B160"/>
    <mergeCell ref="B173:C173"/>
    <mergeCell ref="A147:A160"/>
    <mergeCell ref="B147:C147"/>
    <mergeCell ref="B152:C152"/>
    <mergeCell ref="B161:C161"/>
    <mergeCell ref="B167:C167"/>
    <mergeCell ref="A167:A174"/>
    <mergeCell ref="A162:A165"/>
    <mergeCell ref="B166:C166"/>
    <mergeCell ref="B186:C186"/>
    <mergeCell ref="A187:A200"/>
    <mergeCell ref="B187:C187"/>
    <mergeCell ref="B175:C175"/>
    <mergeCell ref="A176:A180"/>
    <mergeCell ref="B181:C181"/>
    <mergeCell ref="A182:A185"/>
    <mergeCell ref="A1:C1"/>
    <mergeCell ref="M2:M3"/>
    <mergeCell ref="A139:A140"/>
    <mergeCell ref="N2:N3"/>
    <mergeCell ref="R2:R3"/>
    <mergeCell ref="A30:A33"/>
    <mergeCell ref="B27:C27"/>
    <mergeCell ref="B29:C29"/>
    <mergeCell ref="A5:A9"/>
    <mergeCell ref="A114:A119"/>
    <mergeCell ref="A69:A71"/>
    <mergeCell ref="B120:C120"/>
    <mergeCell ref="A121:A123"/>
    <mergeCell ref="B124:C124"/>
    <mergeCell ref="A125:A137"/>
    <mergeCell ref="A73:A76"/>
  </mergeCells>
  <phoneticPr fontId="2" type="noConversion"/>
  <pageMargins left="0.23622047244094491" right="0.31496062992125984" top="0.19685039370078741" bottom="0.39370078740157483" header="0.51181102362204722" footer="0.51181102362204722"/>
  <pageSetup paperSize="9" scale="76" orientation="portrait" r:id="rId1"/>
  <headerFooter alignWithMargins="0"/>
  <rowBreaks count="2" manualBreakCount="2">
    <brk id="76" max="16383" man="1"/>
    <brk id="165" max="16383" man="1"/>
  </rowBreaks>
  <ignoredErrors>
    <ignoredError sqref="O72 B69:M72 B74:B76" numberStoredAsText="1"/>
    <ignoredError sqref="L110:M110 L109 L112 R20:R20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U57"/>
  <sheetViews>
    <sheetView topLeftCell="B1" workbookViewId="0">
      <selection activeCell="Q59" sqref="Q59"/>
    </sheetView>
  </sheetViews>
  <sheetFormatPr defaultRowHeight="12.75" x14ac:dyDescent="0.2"/>
  <cols>
    <col min="3" max="3" width="34.85546875" customWidth="1"/>
    <col min="4" max="11" width="11.7109375" hidden="1" customWidth="1"/>
    <col min="12" max="12" width="14.7109375" hidden="1" customWidth="1"/>
    <col min="13" max="13" width="14" style="2" customWidth="1"/>
    <col min="14" max="14" width="14" customWidth="1"/>
    <col min="15" max="15" width="13" customWidth="1"/>
    <col min="16" max="16" width="11.42578125" customWidth="1"/>
    <col min="17" max="17" width="12.140625" customWidth="1"/>
  </cols>
  <sheetData>
    <row r="1" spans="1:19" ht="16.5" customHeight="1" x14ac:dyDescent="0.25">
      <c r="A1" s="710" t="s">
        <v>431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</row>
    <row r="2" spans="1:19" ht="16.5" customHeight="1" thickBot="1" x14ac:dyDescent="0.3">
      <c r="A2" s="699" t="s">
        <v>432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3" spans="1:19" ht="14.25" customHeight="1" thickTop="1" x14ac:dyDescent="0.2">
      <c r="A3" s="752" t="s">
        <v>115</v>
      </c>
      <c r="B3" s="754" t="s">
        <v>116</v>
      </c>
      <c r="C3" s="739" t="s">
        <v>117</v>
      </c>
      <c r="D3" s="739" t="s">
        <v>212</v>
      </c>
      <c r="E3" s="739" t="s">
        <v>213</v>
      </c>
      <c r="F3" s="739" t="s">
        <v>214</v>
      </c>
      <c r="G3" s="739" t="s">
        <v>215</v>
      </c>
      <c r="H3" s="739" t="s">
        <v>216</v>
      </c>
      <c r="I3" s="739" t="s">
        <v>123</v>
      </c>
      <c r="J3" s="739" t="s">
        <v>124</v>
      </c>
      <c r="K3" s="739" t="s">
        <v>125</v>
      </c>
      <c r="L3" s="739" t="s">
        <v>126</v>
      </c>
      <c r="M3" s="766" t="s">
        <v>376</v>
      </c>
      <c r="N3" s="739" t="s">
        <v>474</v>
      </c>
      <c r="O3" s="822" t="s">
        <v>426</v>
      </c>
      <c r="P3" s="617" t="s">
        <v>491</v>
      </c>
      <c r="Q3" s="741" t="s">
        <v>420</v>
      </c>
    </row>
    <row r="4" spans="1:19" ht="27.75" customHeight="1" thickBot="1" x14ac:dyDescent="0.25">
      <c r="A4" s="753"/>
      <c r="B4" s="755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67"/>
      <c r="N4" s="740"/>
      <c r="O4" s="823"/>
      <c r="P4" s="602" t="s">
        <v>128</v>
      </c>
      <c r="Q4" s="742"/>
    </row>
    <row r="5" spans="1:19" ht="17.25" thickTop="1" thickBot="1" x14ac:dyDescent="0.3">
      <c r="A5" s="103">
        <v>200</v>
      </c>
      <c r="B5" s="760" t="s">
        <v>146</v>
      </c>
      <c r="C5" s="761"/>
      <c r="D5" s="104">
        <f>D6</f>
        <v>355009</v>
      </c>
      <c r="E5" s="104">
        <f>E6</f>
        <v>311359</v>
      </c>
      <c r="F5" s="104">
        <f>F6</f>
        <v>955255</v>
      </c>
      <c r="G5" s="104">
        <f>G6</f>
        <v>1090339</v>
      </c>
      <c r="H5" s="104">
        <f>H6</f>
        <v>496614</v>
      </c>
      <c r="I5" s="104">
        <f t="shared" ref="I5:Q5" si="0">I6</f>
        <v>174771</v>
      </c>
      <c r="J5" s="104">
        <f t="shared" si="0"/>
        <v>74221</v>
      </c>
      <c r="K5" s="104">
        <f t="shared" si="0"/>
        <v>98051</v>
      </c>
      <c r="L5" s="104">
        <f t="shared" si="0"/>
        <v>223532.5</v>
      </c>
      <c r="M5" s="104">
        <f t="shared" si="0"/>
        <v>61991.15</v>
      </c>
      <c r="N5" s="104">
        <f t="shared" si="0"/>
        <v>87107.9</v>
      </c>
      <c r="O5" s="104">
        <f>O6</f>
        <v>511433</v>
      </c>
      <c r="P5" s="104">
        <f>P6</f>
        <v>0</v>
      </c>
      <c r="Q5" s="105">
        <f t="shared" si="0"/>
        <v>511433</v>
      </c>
      <c r="S5" s="2"/>
    </row>
    <row r="6" spans="1:19" ht="15.75" thickBot="1" x14ac:dyDescent="0.3">
      <c r="A6" s="106">
        <v>230</v>
      </c>
      <c r="B6" s="734" t="s">
        <v>217</v>
      </c>
      <c r="C6" s="746"/>
      <c r="D6" s="107">
        <f t="shared" ref="D6:K6" si="1">D7+D11</f>
        <v>355009</v>
      </c>
      <c r="E6" s="107">
        <f t="shared" si="1"/>
        <v>311359</v>
      </c>
      <c r="F6" s="107">
        <f t="shared" si="1"/>
        <v>955255</v>
      </c>
      <c r="G6" s="107">
        <f t="shared" si="1"/>
        <v>1090339</v>
      </c>
      <c r="H6" s="107">
        <f t="shared" si="1"/>
        <v>496614</v>
      </c>
      <c r="I6" s="107">
        <f t="shared" si="1"/>
        <v>174771</v>
      </c>
      <c r="J6" s="107">
        <f t="shared" si="1"/>
        <v>74221</v>
      </c>
      <c r="K6" s="107">
        <f t="shared" si="1"/>
        <v>98051</v>
      </c>
      <c r="L6" s="107">
        <f t="shared" ref="L6:Q6" si="2">L7+L11</f>
        <v>223532.5</v>
      </c>
      <c r="M6" s="107">
        <f t="shared" si="2"/>
        <v>61991.15</v>
      </c>
      <c r="N6" s="107">
        <f t="shared" si="2"/>
        <v>87107.9</v>
      </c>
      <c r="O6" s="67">
        <f t="shared" si="2"/>
        <v>511433</v>
      </c>
      <c r="P6" s="67">
        <f t="shared" si="2"/>
        <v>0</v>
      </c>
      <c r="Q6" s="68">
        <f t="shared" si="2"/>
        <v>511433</v>
      </c>
      <c r="S6" s="2"/>
    </row>
    <row r="7" spans="1:19" ht="13.5" thickBot="1" x14ac:dyDescent="0.25">
      <c r="A7" s="731"/>
      <c r="B7" s="108">
        <v>231</v>
      </c>
      <c r="C7" s="62" t="s">
        <v>218</v>
      </c>
      <c r="D7" s="98">
        <f t="shared" ref="D7:O7" si="3">SUM(D8:D10)</f>
        <v>351125</v>
      </c>
      <c r="E7" s="98">
        <f t="shared" si="3"/>
        <v>106121</v>
      </c>
      <c r="F7" s="98">
        <f t="shared" si="3"/>
        <v>227246</v>
      </c>
      <c r="G7" s="98">
        <f t="shared" si="3"/>
        <v>45397</v>
      </c>
      <c r="H7" s="98">
        <f t="shared" si="3"/>
        <v>103200</v>
      </c>
      <c r="I7" s="98">
        <f t="shared" si="3"/>
        <v>85320</v>
      </c>
      <c r="J7" s="98">
        <f t="shared" si="3"/>
        <v>21933</v>
      </c>
      <c r="K7" s="98">
        <f t="shared" si="3"/>
        <v>32153</v>
      </c>
      <c r="L7" s="98">
        <f>SUM(L8:L10)</f>
        <v>84811.72</v>
      </c>
      <c r="M7" s="98">
        <f>SUM(M8:M10)</f>
        <v>23898.959999999999</v>
      </c>
      <c r="N7" s="98">
        <f>SUM(N8:N10)</f>
        <v>33003</v>
      </c>
      <c r="O7" s="64">
        <f t="shared" si="3"/>
        <v>141283</v>
      </c>
      <c r="P7" s="64">
        <f>SUM(P8:P10)</f>
        <v>0</v>
      </c>
      <c r="Q7" s="65">
        <f>SUM(Q8:Q10)</f>
        <v>141283</v>
      </c>
      <c r="S7" s="2"/>
    </row>
    <row r="8" spans="1:19" x14ac:dyDescent="0.2">
      <c r="A8" s="732"/>
      <c r="B8" s="717"/>
      <c r="C8" s="109" t="s">
        <v>219</v>
      </c>
      <c r="D8" s="110">
        <v>192923</v>
      </c>
      <c r="E8" s="110">
        <v>101839</v>
      </c>
      <c r="F8" s="110">
        <v>227246</v>
      </c>
      <c r="G8" s="110">
        <v>45397</v>
      </c>
      <c r="H8" s="110">
        <v>103200</v>
      </c>
      <c r="I8" s="88">
        <v>85320</v>
      </c>
      <c r="J8" s="21">
        <v>21933</v>
      </c>
      <c r="K8" s="22">
        <v>23657</v>
      </c>
      <c r="L8" s="22">
        <v>83346.52</v>
      </c>
      <c r="M8" s="22">
        <v>19336.16</v>
      </c>
      <c r="N8" s="22">
        <v>33003</v>
      </c>
      <c r="O8" s="57">
        <v>135383</v>
      </c>
      <c r="P8" s="57"/>
      <c r="Q8" s="23">
        <f>O8+P8</f>
        <v>135383</v>
      </c>
      <c r="S8" s="2"/>
    </row>
    <row r="9" spans="1:19" x14ac:dyDescent="0.2">
      <c r="A9" s="732"/>
      <c r="B9" s="718"/>
      <c r="C9" s="43" t="s">
        <v>220</v>
      </c>
      <c r="D9" s="111"/>
      <c r="E9" s="111"/>
      <c r="F9" s="111"/>
      <c r="G9" s="111"/>
      <c r="H9" s="111"/>
      <c r="I9" s="112"/>
      <c r="J9" s="113"/>
      <c r="K9" s="70"/>
      <c r="L9" s="114"/>
      <c r="M9" s="22">
        <v>4562.8</v>
      </c>
      <c r="N9" s="22"/>
      <c r="O9" s="57">
        <v>5900</v>
      </c>
      <c r="P9" s="57"/>
      <c r="Q9" s="23">
        <f>O9+P9</f>
        <v>5900</v>
      </c>
      <c r="S9" s="2"/>
    </row>
    <row r="10" spans="1:19" ht="13.5" thickBot="1" x14ac:dyDescent="0.25">
      <c r="A10" s="732"/>
      <c r="B10" s="719"/>
      <c r="C10" s="115" t="s">
        <v>221</v>
      </c>
      <c r="D10" s="59">
        <v>158202</v>
      </c>
      <c r="E10" s="59">
        <v>4282</v>
      </c>
      <c r="F10" s="59">
        <v>0</v>
      </c>
      <c r="G10" s="59"/>
      <c r="H10" s="59"/>
      <c r="I10" s="59"/>
      <c r="J10" s="59"/>
      <c r="K10" s="48">
        <v>8496</v>
      </c>
      <c r="L10" s="22">
        <v>1465.2</v>
      </c>
      <c r="M10" s="70"/>
      <c r="N10" s="70"/>
      <c r="O10" s="57"/>
      <c r="P10" s="57"/>
      <c r="Q10" s="23">
        <f>O10+P10</f>
        <v>0</v>
      </c>
      <c r="S10" s="2"/>
    </row>
    <row r="11" spans="1:19" ht="13.5" thickBot="1" x14ac:dyDescent="0.25">
      <c r="A11" s="732"/>
      <c r="B11" s="117">
        <v>233</v>
      </c>
      <c r="C11" s="61" t="s">
        <v>222</v>
      </c>
      <c r="D11" s="98">
        <f t="shared" ref="D11:P11" si="4">SUM(D12:D16)</f>
        <v>3884</v>
      </c>
      <c r="E11" s="98">
        <f t="shared" si="4"/>
        <v>205238</v>
      </c>
      <c r="F11" s="98">
        <f t="shared" si="4"/>
        <v>728009</v>
      </c>
      <c r="G11" s="98">
        <f t="shared" si="4"/>
        <v>1044942</v>
      </c>
      <c r="H11" s="98">
        <f t="shared" si="4"/>
        <v>393414</v>
      </c>
      <c r="I11" s="98">
        <f t="shared" si="4"/>
        <v>89451</v>
      </c>
      <c r="J11" s="98">
        <f t="shared" si="4"/>
        <v>52288</v>
      </c>
      <c r="K11" s="98">
        <f t="shared" si="4"/>
        <v>65898</v>
      </c>
      <c r="L11" s="98">
        <f t="shared" si="4"/>
        <v>138720.78</v>
      </c>
      <c r="M11" s="98">
        <f t="shared" si="4"/>
        <v>38092.19</v>
      </c>
      <c r="N11" s="98">
        <f t="shared" si="4"/>
        <v>54104.9</v>
      </c>
      <c r="O11" s="64">
        <f t="shared" si="4"/>
        <v>370150</v>
      </c>
      <c r="P11" s="64">
        <f t="shared" si="4"/>
        <v>0</v>
      </c>
      <c r="Q11" s="65">
        <f>SUM(Q12:Q16)</f>
        <v>370150</v>
      </c>
      <c r="S11" s="2"/>
    </row>
    <row r="12" spans="1:19" ht="13.5" thickBot="1" x14ac:dyDescent="0.25">
      <c r="A12" s="732"/>
      <c r="B12" s="717"/>
      <c r="C12" s="41" t="s">
        <v>223</v>
      </c>
      <c r="D12" s="56">
        <v>3884</v>
      </c>
      <c r="E12" s="56">
        <v>205238</v>
      </c>
      <c r="F12" s="56">
        <v>728009</v>
      </c>
      <c r="G12" s="56">
        <v>98695</v>
      </c>
      <c r="H12" s="56">
        <v>393414</v>
      </c>
      <c r="I12" s="56">
        <v>89451</v>
      </c>
      <c r="J12" s="22">
        <v>52288</v>
      </c>
      <c r="K12" s="22">
        <v>65898</v>
      </c>
      <c r="L12" s="22">
        <v>138720.78</v>
      </c>
      <c r="M12" s="550">
        <v>38092.19</v>
      </c>
      <c r="N12" s="550">
        <v>54104.9</v>
      </c>
      <c r="O12" s="57">
        <v>370150</v>
      </c>
      <c r="P12" s="57"/>
      <c r="Q12" s="23">
        <f>O12+P12</f>
        <v>370150</v>
      </c>
      <c r="S12" s="2"/>
    </row>
    <row r="13" spans="1:19" ht="13.5" hidden="1" thickBot="1" x14ac:dyDescent="0.25">
      <c r="A13" s="732"/>
      <c r="B13" s="718"/>
      <c r="C13" s="119" t="s">
        <v>224</v>
      </c>
      <c r="D13" s="120"/>
      <c r="E13" s="120"/>
      <c r="F13" s="120"/>
      <c r="G13" s="120"/>
      <c r="H13" s="120"/>
      <c r="I13" s="120"/>
      <c r="J13" s="120"/>
      <c r="K13" s="96"/>
      <c r="L13" s="121"/>
      <c r="M13" s="121"/>
      <c r="N13" s="121"/>
      <c r="O13" s="182"/>
      <c r="P13" s="558"/>
      <c r="Q13" s="122"/>
      <c r="S13" s="2"/>
    </row>
    <row r="14" spans="1:19" ht="13.5" hidden="1" thickBot="1" x14ac:dyDescent="0.25">
      <c r="A14" s="732"/>
      <c r="B14" s="718"/>
      <c r="C14" s="119" t="s">
        <v>225</v>
      </c>
      <c r="D14" s="120"/>
      <c r="E14" s="120"/>
      <c r="F14" s="120"/>
      <c r="G14" s="120"/>
      <c r="H14" s="120"/>
      <c r="I14" s="120"/>
      <c r="J14" s="120"/>
      <c r="K14" s="96"/>
      <c r="L14" s="118"/>
      <c r="M14" s="121"/>
      <c r="N14" s="121"/>
      <c r="O14" s="182"/>
      <c r="P14" s="558"/>
      <c r="Q14" s="122"/>
      <c r="S14" s="2"/>
    </row>
    <row r="15" spans="1:19" ht="13.5" hidden="1" thickBot="1" x14ac:dyDescent="0.25">
      <c r="A15" s="732"/>
      <c r="B15" s="718"/>
      <c r="C15" s="119" t="s">
        <v>226</v>
      </c>
      <c r="D15" s="120"/>
      <c r="E15" s="120"/>
      <c r="F15" s="120"/>
      <c r="G15" s="120"/>
      <c r="H15" s="120"/>
      <c r="I15" s="120"/>
      <c r="J15" s="120"/>
      <c r="K15" s="96"/>
      <c r="L15" s="121"/>
      <c r="M15" s="121"/>
      <c r="N15" s="121"/>
      <c r="O15" s="182"/>
      <c r="P15" s="558"/>
      <c r="Q15" s="122"/>
      <c r="S15" s="2"/>
    </row>
    <row r="16" spans="1:19" ht="13.5" hidden="1" thickBot="1" x14ac:dyDescent="0.25">
      <c r="A16" s="732"/>
      <c r="B16" s="719"/>
      <c r="C16" s="123" t="s">
        <v>227</v>
      </c>
      <c r="D16" s="59"/>
      <c r="E16" s="59"/>
      <c r="F16" s="59"/>
      <c r="G16" s="59">
        <v>946247</v>
      </c>
      <c r="H16" s="59"/>
      <c r="I16" s="59"/>
      <c r="J16" s="59"/>
      <c r="K16" s="48"/>
      <c r="L16" s="70"/>
      <c r="M16" s="70"/>
      <c r="N16" s="70"/>
      <c r="O16" s="57"/>
      <c r="P16" s="73"/>
      <c r="Q16" s="23"/>
      <c r="S16" s="2"/>
    </row>
    <row r="17" spans="1:19" ht="16.5" thickBot="1" x14ac:dyDescent="0.3">
      <c r="A17" s="124">
        <v>300</v>
      </c>
      <c r="B17" s="715" t="s">
        <v>179</v>
      </c>
      <c r="C17" s="824"/>
      <c r="D17" s="125">
        <f>D18+D52</f>
        <v>1758083</v>
      </c>
      <c r="E17" s="125">
        <f>E18+E52</f>
        <v>706599</v>
      </c>
      <c r="F17" s="125">
        <f>F18+F52</f>
        <v>290114</v>
      </c>
      <c r="G17" s="125">
        <f>G18+G52</f>
        <v>3301074</v>
      </c>
      <c r="H17" s="125">
        <v>2959527</v>
      </c>
      <c r="I17" s="125">
        <f t="shared" ref="I17:Q17" si="5">I18+I52</f>
        <v>4474942</v>
      </c>
      <c r="J17" s="125">
        <f t="shared" si="5"/>
        <v>4428553.0599999996</v>
      </c>
      <c r="K17" s="125">
        <f t="shared" si="5"/>
        <v>3580446</v>
      </c>
      <c r="L17" s="125">
        <f t="shared" si="5"/>
        <v>994806.09</v>
      </c>
      <c r="M17" s="125">
        <f t="shared" si="5"/>
        <v>690306.37</v>
      </c>
      <c r="N17" s="125">
        <f t="shared" si="5"/>
        <v>848428.28</v>
      </c>
      <c r="O17" s="497">
        <f t="shared" si="5"/>
        <v>1271358</v>
      </c>
      <c r="P17" s="497">
        <f t="shared" si="5"/>
        <v>-355264</v>
      </c>
      <c r="Q17" s="126">
        <f t="shared" si="5"/>
        <v>916094</v>
      </c>
      <c r="S17" s="2"/>
    </row>
    <row r="18" spans="1:19" ht="15.75" thickBot="1" x14ac:dyDescent="0.3">
      <c r="A18" s="106">
        <v>320</v>
      </c>
      <c r="B18" s="734" t="s">
        <v>228</v>
      </c>
      <c r="C18" s="746"/>
      <c r="D18" s="127">
        <f>D19</f>
        <v>1758083</v>
      </c>
      <c r="E18" s="127">
        <f>E19</f>
        <v>706599</v>
      </c>
      <c r="F18" s="127">
        <f>F19</f>
        <v>290114</v>
      </c>
      <c r="G18" s="127">
        <f>G19</f>
        <v>3301074</v>
      </c>
      <c r="H18" s="127">
        <v>2959527</v>
      </c>
      <c r="I18" s="127">
        <f t="shared" ref="I18:Q18" si="6">I19</f>
        <v>4417142</v>
      </c>
      <c r="J18" s="127">
        <f t="shared" si="6"/>
        <v>4408068.0599999996</v>
      </c>
      <c r="K18" s="127">
        <f t="shared" si="6"/>
        <v>3580446</v>
      </c>
      <c r="L18" s="127">
        <f t="shared" si="6"/>
        <v>994806.09</v>
      </c>
      <c r="M18" s="127">
        <f t="shared" si="6"/>
        <v>690306.37</v>
      </c>
      <c r="N18" s="498">
        <f t="shared" si="6"/>
        <v>848428.28</v>
      </c>
      <c r="O18" s="498">
        <f t="shared" si="6"/>
        <v>1271358</v>
      </c>
      <c r="P18" s="498">
        <f t="shared" si="6"/>
        <v>-355264</v>
      </c>
      <c r="Q18" s="128">
        <f t="shared" si="6"/>
        <v>916094</v>
      </c>
      <c r="S18" s="2"/>
    </row>
    <row r="19" spans="1:19" ht="13.5" customHeight="1" thickBot="1" x14ac:dyDescent="0.25">
      <c r="A19" s="819"/>
      <c r="B19" s="117">
        <v>321</v>
      </c>
      <c r="C19" s="61" t="s">
        <v>181</v>
      </c>
      <c r="D19" s="62">
        <v>1758083</v>
      </c>
      <c r="E19" s="62">
        <v>706599</v>
      </c>
      <c r="F19" s="62">
        <v>290114</v>
      </c>
      <c r="G19" s="62">
        <v>3301074</v>
      </c>
      <c r="H19" s="62">
        <v>2959527</v>
      </c>
      <c r="I19" s="129">
        <v>4417142</v>
      </c>
      <c r="J19" s="129">
        <v>4408068.0599999996</v>
      </c>
      <c r="K19" s="129">
        <v>3580446</v>
      </c>
      <c r="L19" s="129">
        <v>994806.09</v>
      </c>
      <c r="M19" s="129">
        <f>SUM(M20:M51)</f>
        <v>690306.37</v>
      </c>
      <c r="N19" s="129">
        <f>SUM(N20:N51)</f>
        <v>848428.28</v>
      </c>
      <c r="O19" s="37">
        <f>SUM(O20:O51)</f>
        <v>1271358</v>
      </c>
      <c r="P19" s="37">
        <f>SUM(P20:P51)</f>
        <v>-355264</v>
      </c>
      <c r="Q19" s="38">
        <f>SUM(Q20:Q51)</f>
        <v>916094</v>
      </c>
      <c r="S19" s="2"/>
    </row>
    <row r="20" spans="1:19" ht="12.75" customHeight="1" x14ac:dyDescent="0.2">
      <c r="A20" s="820"/>
      <c r="B20" s="818"/>
      <c r="C20" s="130" t="s">
        <v>229</v>
      </c>
      <c r="D20" s="88"/>
      <c r="E20" s="88"/>
      <c r="F20" s="88"/>
      <c r="G20" s="88"/>
      <c r="H20" s="88"/>
      <c r="I20" s="88"/>
      <c r="J20" s="88"/>
      <c r="K20" s="21"/>
      <c r="L20" s="131"/>
      <c r="M20" s="21">
        <v>66064.149999999994</v>
      </c>
      <c r="N20" s="21"/>
      <c r="O20" s="57">
        <v>0</v>
      </c>
      <c r="P20" s="73"/>
      <c r="Q20" s="23">
        <f t="shared" ref="Q20:Q51" si="7">O20+P20</f>
        <v>0</v>
      </c>
      <c r="S20" s="2"/>
    </row>
    <row r="21" spans="1:19" ht="12.75" customHeight="1" x14ac:dyDescent="0.2">
      <c r="A21" s="820"/>
      <c r="B21" s="818"/>
      <c r="C21" s="20" t="s">
        <v>207</v>
      </c>
      <c r="D21" s="88"/>
      <c r="E21" s="88"/>
      <c r="F21" s="88"/>
      <c r="G21" s="88"/>
      <c r="H21" s="88"/>
      <c r="I21" s="88"/>
      <c r="J21" s="88"/>
      <c r="K21" s="21"/>
      <c r="L21" s="131"/>
      <c r="M21" s="21">
        <v>58454.17</v>
      </c>
      <c r="N21" s="21"/>
      <c r="O21" s="57">
        <v>0</v>
      </c>
      <c r="P21" s="73"/>
      <c r="Q21" s="23">
        <f t="shared" si="7"/>
        <v>0</v>
      </c>
      <c r="S21" s="2"/>
    </row>
    <row r="22" spans="1:19" ht="12.75" customHeight="1" x14ac:dyDescent="0.2">
      <c r="A22" s="820"/>
      <c r="B22" s="818"/>
      <c r="C22" s="20" t="s">
        <v>459</v>
      </c>
      <c r="D22" s="56"/>
      <c r="E22" s="56"/>
      <c r="F22" s="56"/>
      <c r="G22" s="56"/>
      <c r="H22" s="56"/>
      <c r="I22" s="56"/>
      <c r="J22" s="56"/>
      <c r="K22" s="21"/>
      <c r="L22" s="131"/>
      <c r="M22" s="21"/>
      <c r="N22" s="21">
        <v>4000</v>
      </c>
      <c r="O22" s="57">
        <v>0</v>
      </c>
      <c r="P22" s="73"/>
      <c r="Q22" s="23">
        <f t="shared" si="7"/>
        <v>0</v>
      </c>
      <c r="S22" s="2"/>
    </row>
    <row r="23" spans="1:19" ht="12.75" customHeight="1" x14ac:dyDescent="0.2">
      <c r="A23" s="820"/>
      <c r="B23" s="818"/>
      <c r="C23" s="20" t="s">
        <v>231</v>
      </c>
      <c r="D23" s="20"/>
      <c r="E23" s="20"/>
      <c r="F23" s="20"/>
      <c r="G23" s="20"/>
      <c r="H23" s="20">
        <v>341897</v>
      </c>
      <c r="I23" s="89">
        <v>341897</v>
      </c>
      <c r="J23" s="89">
        <v>344900</v>
      </c>
      <c r="K23" s="25">
        <v>341900</v>
      </c>
      <c r="L23" s="22">
        <v>341900</v>
      </c>
      <c r="M23" s="21">
        <v>340000</v>
      </c>
      <c r="N23" s="21">
        <v>340000</v>
      </c>
      <c r="O23" s="57">
        <v>500000</v>
      </c>
      <c r="P23" s="73"/>
      <c r="Q23" s="23">
        <f t="shared" si="7"/>
        <v>500000</v>
      </c>
      <c r="S23" s="2"/>
    </row>
    <row r="24" spans="1:19" ht="12.75" customHeight="1" x14ac:dyDescent="0.2">
      <c r="A24" s="820"/>
      <c r="B24" s="818"/>
      <c r="C24" s="43" t="s">
        <v>232</v>
      </c>
      <c r="D24" s="58"/>
      <c r="E24" s="58"/>
      <c r="F24" s="58"/>
      <c r="G24" s="58"/>
      <c r="H24" s="58"/>
      <c r="I24" s="58"/>
      <c r="J24" s="58"/>
      <c r="K24" s="25"/>
      <c r="L24" s="22">
        <v>68448.02</v>
      </c>
      <c r="M24" s="21">
        <v>6610.12</v>
      </c>
      <c r="N24" s="21"/>
      <c r="O24" s="57">
        <v>0</v>
      </c>
      <c r="P24" s="73"/>
      <c r="Q24" s="23">
        <f t="shared" si="7"/>
        <v>0</v>
      </c>
      <c r="S24" s="2"/>
    </row>
    <row r="25" spans="1:19" ht="12.75" customHeight="1" x14ac:dyDescent="0.2">
      <c r="A25" s="820"/>
      <c r="B25" s="818"/>
      <c r="C25" s="43" t="s">
        <v>233</v>
      </c>
      <c r="D25" s="58"/>
      <c r="E25" s="58"/>
      <c r="F25" s="58"/>
      <c r="G25" s="58"/>
      <c r="H25" s="58"/>
      <c r="I25" s="58"/>
      <c r="J25" s="58"/>
      <c r="K25" s="25"/>
      <c r="L25" s="131"/>
      <c r="M25" s="21">
        <v>9000</v>
      </c>
      <c r="N25" s="21"/>
      <c r="O25" s="57">
        <v>0</v>
      </c>
      <c r="P25" s="73"/>
      <c r="Q25" s="23">
        <f t="shared" si="7"/>
        <v>0</v>
      </c>
      <c r="S25" s="2"/>
    </row>
    <row r="26" spans="1:19" ht="12.75" customHeight="1" x14ac:dyDescent="0.2">
      <c r="A26" s="820"/>
      <c r="B26" s="818"/>
      <c r="C26" s="132" t="s">
        <v>206</v>
      </c>
      <c r="D26" s="133"/>
      <c r="E26" s="133"/>
      <c r="F26" s="133"/>
      <c r="G26" s="133"/>
      <c r="H26" s="133"/>
      <c r="I26" s="58"/>
      <c r="J26" s="58"/>
      <c r="K26" s="25"/>
      <c r="L26" s="131"/>
      <c r="M26" s="21">
        <v>8142.7</v>
      </c>
      <c r="N26" s="21">
        <v>1221.4000000000001</v>
      </c>
      <c r="O26" s="57">
        <v>0</v>
      </c>
      <c r="P26" s="73"/>
      <c r="Q26" s="23">
        <f t="shared" si="7"/>
        <v>0</v>
      </c>
      <c r="S26" s="2"/>
    </row>
    <row r="27" spans="1:19" ht="12.75" customHeight="1" x14ac:dyDescent="0.2">
      <c r="A27" s="820"/>
      <c r="B27" s="818"/>
      <c r="C27" s="43" t="s">
        <v>492</v>
      </c>
      <c r="D27" s="58"/>
      <c r="E27" s="58"/>
      <c r="F27" s="58"/>
      <c r="G27" s="58"/>
      <c r="H27" s="58"/>
      <c r="I27" s="58"/>
      <c r="J27" s="58"/>
      <c r="K27" s="25"/>
      <c r="L27" s="134"/>
      <c r="M27" s="25"/>
      <c r="N27" s="25"/>
      <c r="O27" s="44">
        <v>0</v>
      </c>
      <c r="P27" s="44">
        <v>69000</v>
      </c>
      <c r="Q27" s="27">
        <f t="shared" si="7"/>
        <v>69000</v>
      </c>
      <c r="S27" s="2"/>
    </row>
    <row r="28" spans="1:19" ht="15" customHeight="1" x14ac:dyDescent="0.2">
      <c r="A28" s="820"/>
      <c r="B28" s="818"/>
      <c r="C28" s="43" t="s">
        <v>452</v>
      </c>
      <c r="D28" s="58"/>
      <c r="E28" s="58"/>
      <c r="F28" s="58"/>
      <c r="G28" s="58"/>
      <c r="H28" s="58"/>
      <c r="I28" s="58"/>
      <c r="J28" s="58"/>
      <c r="K28" s="25"/>
      <c r="L28" s="134"/>
      <c r="M28" s="25"/>
      <c r="N28" s="25"/>
      <c r="O28" s="44">
        <v>0</v>
      </c>
      <c r="P28" s="44"/>
      <c r="Q28" s="27">
        <f t="shared" si="7"/>
        <v>0</v>
      </c>
      <c r="S28" s="2"/>
    </row>
    <row r="29" spans="1:19" ht="15" customHeight="1" x14ac:dyDescent="0.2">
      <c r="A29" s="820"/>
      <c r="B29" s="818"/>
      <c r="C29" s="43" t="s">
        <v>493</v>
      </c>
      <c r="D29" s="58"/>
      <c r="E29" s="58"/>
      <c r="F29" s="58"/>
      <c r="G29" s="58"/>
      <c r="H29" s="58"/>
      <c r="I29" s="58"/>
      <c r="J29" s="58"/>
      <c r="K29" s="25"/>
      <c r="L29" s="134"/>
      <c r="M29" s="25"/>
      <c r="N29" s="25"/>
      <c r="O29" s="44">
        <v>0</v>
      </c>
      <c r="P29" s="44">
        <v>10000</v>
      </c>
      <c r="Q29" s="27">
        <f t="shared" si="7"/>
        <v>10000</v>
      </c>
      <c r="S29" s="2"/>
    </row>
    <row r="30" spans="1:19" ht="15" hidden="1" customHeight="1" x14ac:dyDescent="0.2">
      <c r="A30" s="820"/>
      <c r="B30" s="818"/>
      <c r="C30" s="43" t="s">
        <v>235</v>
      </c>
      <c r="D30" s="58"/>
      <c r="E30" s="58"/>
      <c r="F30" s="58"/>
      <c r="G30" s="58"/>
      <c r="H30" s="58"/>
      <c r="I30" s="58"/>
      <c r="J30" s="58"/>
      <c r="K30" s="25"/>
      <c r="L30" s="134"/>
      <c r="M30" s="25"/>
      <c r="N30" s="25"/>
      <c r="O30" s="44">
        <v>0</v>
      </c>
      <c r="P30" s="114"/>
      <c r="Q30" s="27">
        <f t="shared" si="7"/>
        <v>0</v>
      </c>
      <c r="S30" s="2"/>
    </row>
    <row r="31" spans="1:19" ht="15" hidden="1" customHeight="1" x14ac:dyDescent="0.2">
      <c r="A31" s="820"/>
      <c r="B31" s="818"/>
      <c r="C31" s="72" t="s">
        <v>236</v>
      </c>
      <c r="D31" s="66"/>
      <c r="E31" s="66"/>
      <c r="F31" s="66"/>
      <c r="G31" s="66"/>
      <c r="H31" s="66"/>
      <c r="I31" s="58"/>
      <c r="J31" s="58"/>
      <c r="K31" s="25"/>
      <c r="L31" s="134"/>
      <c r="M31" s="25"/>
      <c r="N31" s="25"/>
      <c r="O31" s="114">
        <v>0</v>
      </c>
      <c r="P31" s="114"/>
      <c r="Q31" s="27">
        <f t="shared" si="7"/>
        <v>0</v>
      </c>
      <c r="S31" s="2"/>
    </row>
    <row r="32" spans="1:19" ht="15" hidden="1" customHeight="1" x14ac:dyDescent="0.2">
      <c r="A32" s="820"/>
      <c r="B32" s="818"/>
      <c r="C32" s="72" t="s">
        <v>237</v>
      </c>
      <c r="D32" s="56"/>
      <c r="E32" s="56"/>
      <c r="F32" s="56"/>
      <c r="G32" s="56"/>
      <c r="H32" s="56"/>
      <c r="I32" s="58"/>
      <c r="J32" s="58"/>
      <c r="K32" s="25"/>
      <c r="L32" s="134"/>
      <c r="M32" s="25"/>
      <c r="N32" s="25"/>
      <c r="O32" s="114">
        <v>0</v>
      </c>
      <c r="P32" s="114"/>
      <c r="Q32" s="27">
        <f t="shared" si="7"/>
        <v>0</v>
      </c>
      <c r="S32" s="2"/>
    </row>
    <row r="33" spans="1:21" ht="15" hidden="1" customHeight="1" x14ac:dyDescent="0.2">
      <c r="A33" s="820"/>
      <c r="B33" s="818"/>
      <c r="C33" s="72" t="s">
        <v>270</v>
      </c>
      <c r="D33" s="58"/>
      <c r="E33" s="58"/>
      <c r="F33" s="58"/>
      <c r="G33" s="58"/>
      <c r="H33" s="58"/>
      <c r="I33" s="58"/>
      <c r="J33" s="58"/>
      <c r="K33" s="25">
        <v>0</v>
      </c>
      <c r="L33" s="134"/>
      <c r="M33" s="25"/>
      <c r="N33" s="25"/>
      <c r="O33" s="114">
        <v>0</v>
      </c>
      <c r="P33" s="114"/>
      <c r="Q33" s="27">
        <f t="shared" si="7"/>
        <v>0</v>
      </c>
      <c r="S33" s="2"/>
    </row>
    <row r="34" spans="1:21" ht="15" hidden="1" customHeight="1" x14ac:dyDescent="0.2">
      <c r="A34" s="820"/>
      <c r="B34" s="818"/>
      <c r="C34" s="72" t="s">
        <v>271</v>
      </c>
      <c r="D34" s="58"/>
      <c r="E34" s="58"/>
      <c r="F34" s="58"/>
      <c r="G34" s="58"/>
      <c r="H34" s="58"/>
      <c r="I34" s="58"/>
      <c r="J34" s="58"/>
      <c r="K34" s="25">
        <v>0</v>
      </c>
      <c r="L34" s="134"/>
      <c r="M34" s="25"/>
      <c r="N34" s="25"/>
      <c r="O34" s="114">
        <v>0</v>
      </c>
      <c r="P34" s="114"/>
      <c r="Q34" s="27">
        <f t="shared" si="7"/>
        <v>0</v>
      </c>
      <c r="S34" s="2"/>
    </row>
    <row r="35" spans="1:21" ht="15" hidden="1" customHeight="1" x14ac:dyDescent="0.2">
      <c r="A35" s="820"/>
      <c r="B35" s="818"/>
      <c r="C35" s="72" t="s">
        <v>272</v>
      </c>
      <c r="D35" s="58"/>
      <c r="E35" s="58"/>
      <c r="F35" s="58"/>
      <c r="G35" s="58"/>
      <c r="H35" s="58"/>
      <c r="I35" s="58"/>
      <c r="J35" s="58"/>
      <c r="K35" s="25"/>
      <c r="L35" s="134"/>
      <c r="M35" s="25"/>
      <c r="N35" s="25"/>
      <c r="O35" s="114">
        <v>0</v>
      </c>
      <c r="P35" s="114"/>
      <c r="Q35" s="27">
        <f t="shared" si="7"/>
        <v>0</v>
      </c>
      <c r="S35" s="2"/>
    </row>
    <row r="36" spans="1:21" ht="15" hidden="1" customHeight="1" x14ac:dyDescent="0.2">
      <c r="A36" s="820"/>
      <c r="B36" s="818"/>
      <c r="C36" s="43" t="s">
        <v>273</v>
      </c>
      <c r="D36" s="58"/>
      <c r="E36" s="58"/>
      <c r="F36" s="58"/>
      <c r="G36" s="58"/>
      <c r="H36" s="58"/>
      <c r="I36" s="58"/>
      <c r="J36" s="58"/>
      <c r="K36" s="25"/>
      <c r="L36" s="134"/>
      <c r="M36" s="25"/>
      <c r="N36" s="25"/>
      <c r="O36" s="114">
        <v>0</v>
      </c>
      <c r="P36" s="114"/>
      <c r="Q36" s="27">
        <f t="shared" si="7"/>
        <v>0</v>
      </c>
      <c r="S36" s="2"/>
    </row>
    <row r="37" spans="1:21" ht="15" hidden="1" customHeight="1" x14ac:dyDescent="0.2">
      <c r="A37" s="820"/>
      <c r="B37" s="818"/>
      <c r="C37" s="43" t="s">
        <v>274</v>
      </c>
      <c r="D37" s="58"/>
      <c r="E37" s="58"/>
      <c r="F37" s="58"/>
      <c r="G37" s="58"/>
      <c r="H37" s="58"/>
      <c r="I37" s="58"/>
      <c r="J37" s="58"/>
      <c r="K37" s="25"/>
      <c r="L37" s="134"/>
      <c r="M37" s="25"/>
      <c r="N37" s="25"/>
      <c r="O37" s="114">
        <v>0</v>
      </c>
      <c r="P37" s="114"/>
      <c r="Q37" s="27">
        <f t="shared" si="7"/>
        <v>0</v>
      </c>
      <c r="S37" s="2"/>
    </row>
    <row r="38" spans="1:21" ht="15" hidden="1" customHeight="1" x14ac:dyDescent="0.2">
      <c r="A38" s="820"/>
      <c r="B38" s="818"/>
      <c r="C38" s="43" t="s">
        <v>275</v>
      </c>
      <c r="D38" s="58"/>
      <c r="E38" s="58"/>
      <c r="F38" s="58"/>
      <c r="G38" s="58"/>
      <c r="H38" s="58"/>
      <c r="I38" s="58"/>
      <c r="J38" s="58"/>
      <c r="K38" s="25"/>
      <c r="L38" s="134"/>
      <c r="M38" s="25"/>
      <c r="N38" s="25"/>
      <c r="O38" s="114">
        <v>0</v>
      </c>
      <c r="P38" s="114"/>
      <c r="Q38" s="27">
        <f t="shared" si="7"/>
        <v>0</v>
      </c>
      <c r="S38" s="2"/>
    </row>
    <row r="39" spans="1:21" ht="15" customHeight="1" x14ac:dyDescent="0.2">
      <c r="A39" s="820"/>
      <c r="B39" s="818"/>
      <c r="C39" s="43" t="s">
        <v>276</v>
      </c>
      <c r="D39" s="58"/>
      <c r="E39" s="58"/>
      <c r="F39" s="58"/>
      <c r="G39" s="58"/>
      <c r="H39" s="58"/>
      <c r="I39" s="58"/>
      <c r="J39" s="58"/>
      <c r="K39" s="25"/>
      <c r="L39" s="134"/>
      <c r="M39" s="25">
        <v>136054.5</v>
      </c>
      <c r="N39" s="25"/>
      <c r="O39" s="114">
        <v>0</v>
      </c>
      <c r="P39" s="114"/>
      <c r="Q39" s="27">
        <f t="shared" si="7"/>
        <v>0</v>
      </c>
      <c r="S39" s="2"/>
    </row>
    <row r="40" spans="1:21" ht="15" customHeight="1" x14ac:dyDescent="0.2">
      <c r="A40" s="820"/>
      <c r="B40" s="818"/>
      <c r="C40" s="43" t="s">
        <v>372</v>
      </c>
      <c r="D40" s="58"/>
      <c r="E40" s="58"/>
      <c r="F40" s="58"/>
      <c r="G40" s="58"/>
      <c r="H40" s="58"/>
      <c r="I40" s="58"/>
      <c r="J40" s="58"/>
      <c r="K40" s="25"/>
      <c r="L40" s="134"/>
      <c r="M40" s="25">
        <v>65980.73</v>
      </c>
      <c r="N40" s="25"/>
      <c r="O40" s="44">
        <v>0</v>
      </c>
      <c r="P40" s="114"/>
      <c r="Q40" s="27">
        <f t="shared" si="7"/>
        <v>0</v>
      </c>
      <c r="S40" s="2"/>
    </row>
    <row r="41" spans="1:21" ht="15" customHeight="1" x14ac:dyDescent="0.2">
      <c r="A41" s="820"/>
      <c r="B41" s="818"/>
      <c r="C41" s="43" t="s">
        <v>382</v>
      </c>
      <c r="D41" s="58"/>
      <c r="E41" s="58"/>
      <c r="F41" s="58"/>
      <c r="G41" s="58"/>
      <c r="H41" s="58"/>
      <c r="I41" s="58"/>
      <c r="J41" s="58"/>
      <c r="K41" s="25"/>
      <c r="L41" s="134"/>
      <c r="M41" s="25"/>
      <c r="N41" s="25">
        <v>4000</v>
      </c>
      <c r="O41" s="44">
        <v>0</v>
      </c>
      <c r="P41" s="114"/>
      <c r="Q41" s="27">
        <f t="shared" si="7"/>
        <v>0</v>
      </c>
      <c r="S41" s="2"/>
    </row>
    <row r="42" spans="1:21" ht="15" customHeight="1" x14ac:dyDescent="0.2">
      <c r="A42" s="820"/>
      <c r="B42" s="818"/>
      <c r="C42" s="43" t="s">
        <v>383</v>
      </c>
      <c r="D42" s="58"/>
      <c r="E42" s="58"/>
      <c r="F42" s="58"/>
      <c r="G42" s="58"/>
      <c r="H42" s="58"/>
      <c r="I42" s="58"/>
      <c r="J42" s="58"/>
      <c r="K42" s="25"/>
      <c r="L42" s="134"/>
      <c r="M42" s="25"/>
      <c r="N42" s="25">
        <v>15000</v>
      </c>
      <c r="O42" s="44">
        <v>0</v>
      </c>
      <c r="P42" s="114"/>
      <c r="Q42" s="27">
        <f t="shared" si="7"/>
        <v>0</v>
      </c>
      <c r="S42" s="2"/>
    </row>
    <row r="43" spans="1:21" ht="15" customHeight="1" x14ac:dyDescent="0.2">
      <c r="A43" s="820"/>
      <c r="B43" s="818"/>
      <c r="C43" s="43" t="s">
        <v>404</v>
      </c>
      <c r="D43" s="58"/>
      <c r="E43" s="58"/>
      <c r="F43" s="58"/>
      <c r="G43" s="58"/>
      <c r="H43" s="58"/>
      <c r="I43" s="58"/>
      <c r="J43" s="58"/>
      <c r="K43" s="25"/>
      <c r="L43" s="134"/>
      <c r="M43" s="25"/>
      <c r="N43" s="25"/>
      <c r="O43" s="44">
        <v>0</v>
      </c>
      <c r="P43" s="44"/>
      <c r="Q43" s="27">
        <f t="shared" si="7"/>
        <v>0</v>
      </c>
      <c r="S43" s="2"/>
    </row>
    <row r="44" spans="1:21" ht="15" customHeight="1" x14ac:dyDescent="0.2">
      <c r="A44" s="820"/>
      <c r="B44" s="818"/>
      <c r="C44" s="43" t="s">
        <v>368</v>
      </c>
      <c r="D44" s="58"/>
      <c r="E44" s="58"/>
      <c r="F44" s="58"/>
      <c r="G44" s="58"/>
      <c r="H44" s="58"/>
      <c r="I44" s="58"/>
      <c r="J44" s="58"/>
      <c r="K44" s="25"/>
      <c r="L44" s="134"/>
      <c r="M44" s="25"/>
      <c r="N44" s="25">
        <v>484206.88</v>
      </c>
      <c r="O44" s="44">
        <v>0</v>
      </c>
      <c r="P44" s="114"/>
      <c r="Q44" s="27">
        <f t="shared" si="7"/>
        <v>0</v>
      </c>
      <c r="S44" s="2"/>
    </row>
    <row r="45" spans="1:21" ht="15" customHeight="1" x14ac:dyDescent="0.2">
      <c r="A45" s="820"/>
      <c r="B45" s="818"/>
      <c r="C45" s="43" t="s">
        <v>397</v>
      </c>
      <c r="D45" s="58"/>
      <c r="E45" s="58"/>
      <c r="F45" s="58"/>
      <c r="G45" s="58"/>
      <c r="H45" s="58"/>
      <c r="I45" s="58"/>
      <c r="J45" s="58"/>
      <c r="K45" s="25"/>
      <c r="L45" s="134"/>
      <c r="M45" s="25"/>
      <c r="N45" s="25"/>
      <c r="O45" s="44">
        <v>0</v>
      </c>
      <c r="P45" s="114"/>
      <c r="Q45" s="27">
        <f t="shared" si="7"/>
        <v>0</v>
      </c>
      <c r="S45" s="2"/>
    </row>
    <row r="46" spans="1:21" ht="15" customHeight="1" x14ac:dyDescent="0.2">
      <c r="A46" s="820"/>
      <c r="B46" s="818"/>
      <c r="C46" s="43" t="s">
        <v>396</v>
      </c>
      <c r="D46" s="58"/>
      <c r="E46" s="58"/>
      <c r="F46" s="58"/>
      <c r="G46" s="58"/>
      <c r="H46" s="58"/>
      <c r="I46" s="58"/>
      <c r="J46" s="58"/>
      <c r="K46" s="25"/>
      <c r="L46" s="134"/>
      <c r="M46" s="25"/>
      <c r="N46" s="25"/>
      <c r="O46" s="44">
        <v>591596</v>
      </c>
      <c r="P46" s="44">
        <v>-434264</v>
      </c>
      <c r="Q46" s="27">
        <f t="shared" si="7"/>
        <v>157332</v>
      </c>
      <c r="S46" s="2"/>
      <c r="U46" s="2"/>
    </row>
    <row r="47" spans="1:21" ht="15" customHeight="1" x14ac:dyDescent="0.2">
      <c r="A47" s="820"/>
      <c r="B47" s="818"/>
      <c r="C47" s="43" t="s">
        <v>410</v>
      </c>
      <c r="D47" s="58"/>
      <c r="E47" s="58"/>
      <c r="F47" s="58"/>
      <c r="G47" s="58"/>
      <c r="H47" s="58"/>
      <c r="I47" s="58"/>
      <c r="J47" s="58"/>
      <c r="K47" s="25"/>
      <c r="L47" s="134"/>
      <c r="M47" s="25"/>
      <c r="N47" s="25"/>
      <c r="O47" s="44">
        <v>141762</v>
      </c>
      <c r="P47" s="44"/>
      <c r="Q47" s="27">
        <f t="shared" si="7"/>
        <v>141762</v>
      </c>
      <c r="S47" s="2"/>
    </row>
    <row r="48" spans="1:21" ht="15" customHeight="1" x14ac:dyDescent="0.2">
      <c r="A48" s="820"/>
      <c r="B48" s="818"/>
      <c r="C48" s="43" t="s">
        <v>400</v>
      </c>
      <c r="D48" s="58"/>
      <c r="E48" s="58"/>
      <c r="F48" s="58"/>
      <c r="G48" s="58"/>
      <c r="H48" s="58"/>
      <c r="I48" s="58"/>
      <c r="J48" s="58"/>
      <c r="K48" s="25"/>
      <c r="L48" s="134"/>
      <c r="M48" s="25"/>
      <c r="N48" s="25"/>
      <c r="O48" s="44">
        <v>0</v>
      </c>
      <c r="P48" s="114"/>
      <c r="Q48" s="27">
        <f t="shared" si="7"/>
        <v>0</v>
      </c>
      <c r="S48" s="2"/>
    </row>
    <row r="49" spans="1:19" ht="15" customHeight="1" x14ac:dyDescent="0.2">
      <c r="A49" s="820"/>
      <c r="B49" s="818"/>
      <c r="C49" s="43" t="s">
        <v>439</v>
      </c>
      <c r="D49" s="58"/>
      <c r="E49" s="58"/>
      <c r="F49" s="58"/>
      <c r="G49" s="58"/>
      <c r="H49" s="58"/>
      <c r="I49" s="58"/>
      <c r="J49" s="58"/>
      <c r="K49" s="25"/>
      <c r="L49" s="134"/>
      <c r="M49" s="25"/>
      <c r="N49" s="25"/>
      <c r="O49" s="44">
        <v>0</v>
      </c>
      <c r="P49" s="44"/>
      <c r="Q49" s="27">
        <f t="shared" si="7"/>
        <v>0</v>
      </c>
      <c r="S49" s="2"/>
    </row>
    <row r="50" spans="1:19" ht="15" customHeight="1" x14ac:dyDescent="0.2">
      <c r="A50" s="820"/>
      <c r="B50" s="818"/>
      <c r="C50" s="43" t="s">
        <v>415</v>
      </c>
      <c r="D50" s="58"/>
      <c r="E50" s="58"/>
      <c r="F50" s="58"/>
      <c r="G50" s="58"/>
      <c r="H50" s="58"/>
      <c r="I50" s="58"/>
      <c r="J50" s="58"/>
      <c r="K50" s="25"/>
      <c r="L50" s="134"/>
      <c r="M50" s="25"/>
      <c r="N50" s="25"/>
      <c r="O50" s="44">
        <v>3000</v>
      </c>
      <c r="P50" s="114"/>
      <c r="Q50" s="27">
        <f t="shared" si="7"/>
        <v>3000</v>
      </c>
      <c r="S50" s="2"/>
    </row>
    <row r="51" spans="1:19" ht="15.75" customHeight="1" thickBot="1" x14ac:dyDescent="0.25">
      <c r="A51" s="821"/>
      <c r="B51" s="818"/>
      <c r="C51" s="43" t="s">
        <v>239</v>
      </c>
      <c r="D51" s="58"/>
      <c r="E51" s="58"/>
      <c r="F51" s="58"/>
      <c r="G51" s="58"/>
      <c r="H51" s="58"/>
      <c r="I51" s="58"/>
      <c r="J51" s="58"/>
      <c r="K51" s="25"/>
      <c r="L51" s="134"/>
      <c r="M51" s="25"/>
      <c r="N51" s="25"/>
      <c r="O51" s="44">
        <v>35000</v>
      </c>
      <c r="P51" s="44"/>
      <c r="Q51" s="27">
        <f t="shared" si="7"/>
        <v>35000</v>
      </c>
      <c r="S51" s="2"/>
    </row>
    <row r="52" spans="1:19" ht="15.75" thickBot="1" x14ac:dyDescent="0.3">
      <c r="A52" s="135">
        <v>330</v>
      </c>
      <c r="B52" s="734" t="s">
        <v>209</v>
      </c>
      <c r="C52" s="746"/>
      <c r="D52" s="136">
        <f t="shared" ref="D52:Q53" si="8">D53</f>
        <v>0</v>
      </c>
      <c r="E52" s="136">
        <f t="shared" si="8"/>
        <v>0</v>
      </c>
      <c r="F52" s="136">
        <f t="shared" si="8"/>
        <v>0</v>
      </c>
      <c r="G52" s="136">
        <f t="shared" si="8"/>
        <v>0</v>
      </c>
      <c r="H52" s="136">
        <f t="shared" si="8"/>
        <v>0</v>
      </c>
      <c r="I52" s="136">
        <f t="shared" si="8"/>
        <v>57800</v>
      </c>
      <c r="J52" s="137">
        <f t="shared" si="8"/>
        <v>20485</v>
      </c>
      <c r="K52" s="136">
        <f t="shared" si="8"/>
        <v>0</v>
      </c>
      <c r="L52" s="138"/>
      <c r="M52" s="228">
        <f t="shared" si="8"/>
        <v>0</v>
      </c>
      <c r="N52" s="136"/>
      <c r="O52" s="499">
        <f t="shared" si="8"/>
        <v>0</v>
      </c>
      <c r="P52" s="499">
        <f t="shared" si="8"/>
        <v>0</v>
      </c>
      <c r="Q52" s="139">
        <f t="shared" si="8"/>
        <v>0</v>
      </c>
      <c r="S52" s="2"/>
    </row>
    <row r="53" spans="1:19" ht="13.5" thickBot="1" x14ac:dyDescent="0.25">
      <c r="A53" s="720"/>
      <c r="B53" s="117">
        <v>332</v>
      </c>
      <c r="C53" s="61" t="s">
        <v>277</v>
      </c>
      <c r="D53" s="62">
        <f t="shared" si="8"/>
        <v>0</v>
      </c>
      <c r="E53" s="62">
        <f t="shared" si="8"/>
        <v>0</v>
      </c>
      <c r="F53" s="62">
        <f t="shared" si="8"/>
        <v>0</v>
      </c>
      <c r="G53" s="62">
        <f t="shared" si="8"/>
        <v>0</v>
      </c>
      <c r="H53" s="62">
        <f t="shared" si="8"/>
        <v>0</v>
      </c>
      <c r="I53" s="62">
        <f>I54</f>
        <v>57800</v>
      </c>
      <c r="J53" s="98">
        <f>J54</f>
        <v>20485</v>
      </c>
      <c r="K53" s="62">
        <f>K54</f>
        <v>0</v>
      </c>
      <c r="L53" s="140"/>
      <c r="M53" s="98">
        <f>M54</f>
        <v>0</v>
      </c>
      <c r="N53" s="62"/>
      <c r="O53" s="153"/>
      <c r="P53" s="153"/>
      <c r="Q53" s="141"/>
      <c r="S53" s="2"/>
    </row>
    <row r="54" spans="1:19" x14ac:dyDescent="0.2">
      <c r="A54" s="721"/>
      <c r="B54" s="717"/>
      <c r="C54" s="130" t="s">
        <v>278</v>
      </c>
      <c r="D54" s="86"/>
      <c r="E54" s="86"/>
      <c r="F54" s="86"/>
      <c r="G54" s="86"/>
      <c r="H54" s="86"/>
      <c r="I54" s="86">
        <v>57800</v>
      </c>
      <c r="J54" s="142">
        <v>20485</v>
      </c>
      <c r="K54" s="142"/>
      <c r="L54" s="21"/>
      <c r="M54" s="21"/>
      <c r="N54" s="21"/>
      <c r="O54" s="73"/>
      <c r="P54" s="73"/>
      <c r="Q54" s="23">
        <f>O54+P54</f>
        <v>0</v>
      </c>
      <c r="S54" s="2"/>
    </row>
    <row r="55" spans="1:19" ht="13.5" thickBot="1" x14ac:dyDescent="0.25">
      <c r="A55" s="721"/>
      <c r="B55" s="718"/>
      <c r="C55" s="143"/>
      <c r="D55" s="69"/>
      <c r="E55" s="69"/>
      <c r="F55" s="69"/>
      <c r="G55" s="69"/>
      <c r="H55" s="69"/>
      <c r="I55" s="69"/>
      <c r="J55" s="69"/>
      <c r="K55" s="70"/>
      <c r="L55" s="70"/>
      <c r="M55" s="70"/>
      <c r="N55" s="70"/>
      <c r="O55" s="73"/>
      <c r="P55" s="73"/>
      <c r="Q55" s="23">
        <f>O55+P55</f>
        <v>0</v>
      </c>
      <c r="S55" s="2"/>
    </row>
    <row r="56" spans="1:19" ht="17.25" thickTop="1" thickBot="1" x14ac:dyDescent="0.3">
      <c r="A56" s="144"/>
      <c r="B56" s="145"/>
      <c r="C56" s="146" t="s">
        <v>279</v>
      </c>
      <c r="D56" s="101">
        <f t="shared" ref="D56:O56" si="9">D17+D5</f>
        <v>2113092</v>
      </c>
      <c r="E56" s="101">
        <f t="shared" si="9"/>
        <v>1017958</v>
      </c>
      <c r="F56" s="101">
        <f t="shared" si="9"/>
        <v>1245369</v>
      </c>
      <c r="G56" s="101">
        <f t="shared" si="9"/>
        <v>4391413</v>
      </c>
      <c r="H56" s="101">
        <f t="shared" si="9"/>
        <v>3456141</v>
      </c>
      <c r="I56" s="101">
        <f t="shared" si="9"/>
        <v>4649713</v>
      </c>
      <c r="J56" s="101">
        <f t="shared" si="9"/>
        <v>4502774.0599999996</v>
      </c>
      <c r="K56" s="101">
        <f t="shared" si="9"/>
        <v>3678497</v>
      </c>
      <c r="L56" s="101">
        <f t="shared" si="9"/>
        <v>1218338.5899999999</v>
      </c>
      <c r="M56" s="101">
        <f t="shared" si="9"/>
        <v>752297.52</v>
      </c>
      <c r="N56" s="101">
        <f t="shared" si="9"/>
        <v>935536.18</v>
      </c>
      <c r="O56" s="101">
        <f t="shared" si="9"/>
        <v>1782791</v>
      </c>
      <c r="P56" s="101">
        <f>P17+P5</f>
        <v>-355264</v>
      </c>
      <c r="Q56" s="102">
        <f>Q17+Q5</f>
        <v>1427527</v>
      </c>
      <c r="S56" s="2"/>
    </row>
    <row r="57" spans="1:19" ht="13.5" thickTop="1" x14ac:dyDescent="0.2"/>
  </sheetData>
  <mergeCells count="28">
    <mergeCell ref="B17:C17"/>
    <mergeCell ref="B5:C5"/>
    <mergeCell ref="A7:A16"/>
    <mergeCell ref="B8:B10"/>
    <mergeCell ref="B12:B16"/>
    <mergeCell ref="B6:C6"/>
    <mergeCell ref="H3:H4"/>
    <mergeCell ref="I3:I4"/>
    <mergeCell ref="J3:J4"/>
    <mergeCell ref="A3:A4"/>
    <mergeCell ref="B3:B4"/>
    <mergeCell ref="C3:C4"/>
    <mergeCell ref="N3:N4"/>
    <mergeCell ref="Q3:Q4"/>
    <mergeCell ref="A53:A55"/>
    <mergeCell ref="B54:B55"/>
    <mergeCell ref="B18:C18"/>
    <mergeCell ref="B20:B51"/>
    <mergeCell ref="B52:C52"/>
    <mergeCell ref="A19:A51"/>
    <mergeCell ref="M3:M4"/>
    <mergeCell ref="O3:O4"/>
    <mergeCell ref="D3:D4"/>
    <mergeCell ref="K3:K4"/>
    <mergeCell ref="L3:L4"/>
    <mergeCell ref="E3:E4"/>
    <mergeCell ref="F3:F4"/>
    <mergeCell ref="G3:G4"/>
  </mergeCells>
  <phoneticPr fontId="2" type="noConversion"/>
  <pageMargins left="0.47244094488188981" right="0.43307086614173229" top="0.19685039370078741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Y160"/>
  <sheetViews>
    <sheetView topLeftCell="A112" workbookViewId="0">
      <selection activeCell="R151" sqref="R151"/>
    </sheetView>
  </sheetViews>
  <sheetFormatPr defaultRowHeight="12.75" x14ac:dyDescent="0.2"/>
  <cols>
    <col min="1" max="1" width="11.7109375" customWidth="1"/>
    <col min="2" max="2" width="8.7109375" customWidth="1"/>
    <col min="3" max="3" width="30" customWidth="1"/>
    <col min="4" max="11" width="9.140625" hidden="1" customWidth="1"/>
    <col min="12" max="12" width="14.42578125" hidden="1" customWidth="1"/>
    <col min="13" max="13" width="11.42578125" style="2" customWidth="1"/>
    <col min="14" max="14" width="11.7109375" customWidth="1"/>
    <col min="15" max="15" width="12" customWidth="1"/>
    <col min="16" max="16" width="10.85546875" customWidth="1"/>
    <col min="17" max="17" width="11.85546875" customWidth="1"/>
    <col min="18" max="18" width="12.140625" customWidth="1"/>
    <col min="19" max="19" width="18" customWidth="1"/>
    <col min="20" max="20" width="14.7109375" customWidth="1"/>
    <col min="21" max="21" width="14.85546875" customWidth="1"/>
  </cols>
  <sheetData>
    <row r="1" spans="1:22" ht="13.5" thickBot="1" x14ac:dyDescent="0.25">
      <c r="A1" s="843" t="s">
        <v>433</v>
      </c>
      <c r="B1" s="843"/>
      <c r="C1" s="843"/>
      <c r="D1" s="843"/>
      <c r="E1" s="843"/>
      <c r="F1" s="843"/>
      <c r="G1" s="843"/>
      <c r="H1" s="843"/>
      <c r="I1" s="843"/>
      <c r="J1" s="843"/>
    </row>
    <row r="2" spans="1:22" ht="14.25" customHeight="1" thickTop="1" thickBot="1" x14ac:dyDescent="0.25">
      <c r="A2" s="810" t="s">
        <v>71</v>
      </c>
      <c r="B2" s="844" t="s">
        <v>116</v>
      </c>
      <c r="C2" s="814" t="s">
        <v>72</v>
      </c>
      <c r="D2" s="739" t="s">
        <v>212</v>
      </c>
      <c r="E2" s="739" t="s">
        <v>213</v>
      </c>
      <c r="F2" s="739" t="s">
        <v>214</v>
      </c>
      <c r="G2" s="739" t="s">
        <v>215</v>
      </c>
      <c r="H2" s="739" t="s">
        <v>216</v>
      </c>
      <c r="I2" s="739" t="s">
        <v>123</v>
      </c>
      <c r="J2" s="739" t="s">
        <v>124</v>
      </c>
      <c r="K2" s="739" t="s">
        <v>125</v>
      </c>
      <c r="L2" s="739" t="s">
        <v>126</v>
      </c>
      <c r="M2" s="766" t="s">
        <v>376</v>
      </c>
      <c r="N2" s="739" t="s">
        <v>474</v>
      </c>
      <c r="O2" s="822" t="s">
        <v>426</v>
      </c>
      <c r="P2" s="808" t="s">
        <v>491</v>
      </c>
      <c r="Q2" s="809"/>
      <c r="R2" s="741" t="s">
        <v>420</v>
      </c>
    </row>
    <row r="3" spans="1:22" ht="30" customHeight="1" thickBot="1" x14ac:dyDescent="0.25">
      <c r="A3" s="811"/>
      <c r="B3" s="845"/>
      <c r="C3" s="815"/>
      <c r="D3" s="740"/>
      <c r="E3" s="740"/>
      <c r="F3" s="740"/>
      <c r="G3" s="740"/>
      <c r="H3" s="740"/>
      <c r="I3" s="740"/>
      <c r="J3" s="740"/>
      <c r="K3" s="740"/>
      <c r="L3" s="740"/>
      <c r="M3" s="767"/>
      <c r="N3" s="740"/>
      <c r="O3" s="823"/>
      <c r="P3" s="618" t="s">
        <v>285</v>
      </c>
      <c r="Q3" s="619" t="s">
        <v>289</v>
      </c>
      <c r="R3" s="742"/>
    </row>
    <row r="4" spans="1:22" ht="16.5" thickTop="1" thickBot="1" x14ac:dyDescent="0.3">
      <c r="A4" s="260" t="s">
        <v>290</v>
      </c>
      <c r="B4" s="832" t="s">
        <v>35</v>
      </c>
      <c r="C4" s="832"/>
      <c r="D4" s="350">
        <v>372735</v>
      </c>
      <c r="E4" s="350">
        <v>64629</v>
      </c>
      <c r="F4" s="350">
        <v>39833</v>
      </c>
      <c r="G4" s="350">
        <v>3383</v>
      </c>
      <c r="H4" s="350"/>
      <c r="I4" s="351">
        <v>18260</v>
      </c>
      <c r="J4" s="351">
        <v>0</v>
      </c>
      <c r="K4" s="351">
        <v>0</v>
      </c>
      <c r="L4" s="351">
        <v>0</v>
      </c>
      <c r="M4" s="623">
        <v>0</v>
      </c>
      <c r="N4" s="350">
        <f>N5+N9</f>
        <v>6946.8</v>
      </c>
      <c r="O4" s="350">
        <f>SUM(O5:O9)</f>
        <v>13044</v>
      </c>
      <c r="P4" s="350">
        <f>P5+P6+P7+P9</f>
        <v>0</v>
      </c>
      <c r="Q4" s="350">
        <f>Q5+Q6+Q9+Q8</f>
        <v>0</v>
      </c>
      <c r="R4" s="625">
        <f>R5+R6+R9+R7+R8</f>
        <v>13044</v>
      </c>
      <c r="T4" s="2"/>
      <c r="V4" s="2"/>
    </row>
    <row r="5" spans="1:22" x14ac:dyDescent="0.2">
      <c r="A5" s="769"/>
      <c r="B5" s="826"/>
      <c r="C5" s="72" t="s">
        <v>249</v>
      </c>
      <c r="D5" s="22"/>
      <c r="E5" s="22"/>
      <c r="F5" s="22"/>
      <c r="G5" s="22"/>
      <c r="H5" s="56"/>
      <c r="I5" s="56"/>
      <c r="J5" s="56"/>
      <c r="K5" s="22"/>
      <c r="L5" s="22"/>
      <c r="M5" s="22"/>
      <c r="N5" s="22">
        <v>4510.8</v>
      </c>
      <c r="O5" s="57">
        <v>4500</v>
      </c>
      <c r="P5" s="57"/>
      <c r="Q5" s="57"/>
      <c r="R5" s="23">
        <f>O5+P5+Q5</f>
        <v>4500</v>
      </c>
      <c r="T5" s="2"/>
    </row>
    <row r="6" spans="1:22" hidden="1" x14ac:dyDescent="0.2">
      <c r="A6" s="774"/>
      <c r="B6" s="827"/>
      <c r="C6" s="72" t="s">
        <v>411</v>
      </c>
      <c r="D6" s="22"/>
      <c r="E6" s="22"/>
      <c r="F6" s="22"/>
      <c r="G6" s="22"/>
      <c r="H6" s="56"/>
      <c r="I6" s="56"/>
      <c r="J6" s="56"/>
      <c r="K6" s="22"/>
      <c r="L6" s="22"/>
      <c r="M6" s="22"/>
      <c r="N6" s="22"/>
      <c r="O6" s="57">
        <v>0</v>
      </c>
      <c r="P6" s="57"/>
      <c r="Q6" s="57"/>
      <c r="R6" s="23">
        <f>O6+P6+Q6</f>
        <v>0</v>
      </c>
      <c r="T6" s="2"/>
    </row>
    <row r="7" spans="1:22" x14ac:dyDescent="0.2">
      <c r="A7" s="774"/>
      <c r="B7" s="827"/>
      <c r="C7" s="72" t="s">
        <v>425</v>
      </c>
      <c r="D7" s="22"/>
      <c r="E7" s="22"/>
      <c r="F7" s="22"/>
      <c r="G7" s="22"/>
      <c r="H7" s="56"/>
      <c r="I7" s="56"/>
      <c r="J7" s="56"/>
      <c r="K7" s="22"/>
      <c r="L7" s="22"/>
      <c r="M7" s="22"/>
      <c r="N7" s="22"/>
      <c r="O7" s="57">
        <v>5544</v>
      </c>
      <c r="P7" s="57"/>
      <c r="Q7" s="57"/>
      <c r="R7" s="23">
        <f>O7+P7+Q7</f>
        <v>5544</v>
      </c>
      <c r="T7" s="2"/>
    </row>
    <row r="8" spans="1:22" x14ac:dyDescent="0.2">
      <c r="A8" s="774"/>
      <c r="B8" s="827"/>
      <c r="C8" s="72" t="s">
        <v>443</v>
      </c>
      <c r="D8" s="22"/>
      <c r="E8" s="22"/>
      <c r="F8" s="22"/>
      <c r="G8" s="22"/>
      <c r="H8" s="56"/>
      <c r="I8" s="56"/>
      <c r="J8" s="56"/>
      <c r="K8" s="22"/>
      <c r="L8" s="22"/>
      <c r="M8" s="22"/>
      <c r="N8" s="22"/>
      <c r="O8" s="57">
        <v>3000</v>
      </c>
      <c r="P8" s="57"/>
      <c r="Q8" s="57"/>
      <c r="R8" s="23">
        <f>O8+P8+Q8</f>
        <v>3000</v>
      </c>
      <c r="T8" s="2"/>
    </row>
    <row r="9" spans="1:22" ht="13.5" thickBot="1" x14ac:dyDescent="0.25">
      <c r="A9" s="770"/>
      <c r="B9" s="828"/>
      <c r="C9" s="72" t="s">
        <v>384</v>
      </c>
      <c r="D9" s="22"/>
      <c r="E9" s="22"/>
      <c r="F9" s="22"/>
      <c r="G9" s="22"/>
      <c r="H9" s="56"/>
      <c r="I9" s="56"/>
      <c r="J9" s="56"/>
      <c r="K9" s="22"/>
      <c r="L9" s="22"/>
      <c r="M9" s="22"/>
      <c r="N9" s="22">
        <v>2436</v>
      </c>
      <c r="O9" s="57">
        <v>0</v>
      </c>
      <c r="P9" s="73"/>
      <c r="Q9" s="73"/>
      <c r="R9" s="23">
        <f>O9+P9+Q9</f>
        <v>0</v>
      </c>
      <c r="T9" s="2"/>
    </row>
    <row r="10" spans="1:22" ht="15.75" thickBot="1" x14ac:dyDescent="0.3">
      <c r="A10" s="207" t="s">
        <v>95</v>
      </c>
      <c r="B10" s="825" t="s">
        <v>96</v>
      </c>
      <c r="C10" s="825"/>
      <c r="D10" s="228">
        <v>17958</v>
      </c>
      <c r="E10" s="228">
        <v>0</v>
      </c>
      <c r="F10" s="228">
        <v>19916</v>
      </c>
      <c r="G10" s="228">
        <v>18253</v>
      </c>
      <c r="H10" s="228">
        <v>16675</v>
      </c>
      <c r="I10" s="136">
        <v>3031</v>
      </c>
      <c r="J10" s="136">
        <v>0</v>
      </c>
      <c r="K10" s="67">
        <f>SUM(K11:K12)</f>
        <v>10398</v>
      </c>
      <c r="L10" s="67"/>
      <c r="M10" s="67">
        <f t="shared" ref="M10:R10" si="0">SUM(M11:M12)</f>
        <v>0</v>
      </c>
      <c r="N10" s="67">
        <f t="shared" si="0"/>
        <v>5666.4</v>
      </c>
      <c r="O10" s="67">
        <f t="shared" si="0"/>
        <v>12000</v>
      </c>
      <c r="P10" s="67">
        <f>SUM(P11:P12)</f>
        <v>0</v>
      </c>
      <c r="Q10" s="67">
        <f t="shared" si="0"/>
        <v>0</v>
      </c>
      <c r="R10" s="68">
        <f t="shared" si="0"/>
        <v>12000</v>
      </c>
      <c r="T10" s="2"/>
      <c r="V10" s="2"/>
    </row>
    <row r="11" spans="1:22" x14ac:dyDescent="0.2">
      <c r="A11" s="769"/>
      <c r="B11" s="826"/>
      <c r="C11" s="41" t="s">
        <v>36</v>
      </c>
      <c r="D11" s="93"/>
      <c r="E11" s="93"/>
      <c r="F11" s="93"/>
      <c r="G11" s="93"/>
      <c r="H11" s="55"/>
      <c r="I11" s="55"/>
      <c r="J11" s="55"/>
      <c r="K11" s="93">
        <v>10398</v>
      </c>
      <c r="L11" s="93"/>
      <c r="M11" s="93"/>
      <c r="N11" s="93"/>
      <c r="O11" s="42">
        <v>12000</v>
      </c>
      <c r="P11" s="149"/>
      <c r="Q11" s="42"/>
      <c r="R11" s="94">
        <f>O11+P11+Q11</f>
        <v>12000</v>
      </c>
      <c r="T11" s="2"/>
      <c r="V11" s="2"/>
    </row>
    <row r="12" spans="1:22" ht="13.5" thickBot="1" x14ac:dyDescent="0.25">
      <c r="A12" s="770"/>
      <c r="B12" s="828"/>
      <c r="C12" s="143" t="s">
        <v>249</v>
      </c>
      <c r="D12" s="70"/>
      <c r="E12" s="70"/>
      <c r="F12" s="70"/>
      <c r="G12" s="70"/>
      <c r="H12" s="69"/>
      <c r="I12" s="69"/>
      <c r="J12" s="69"/>
      <c r="K12" s="70"/>
      <c r="L12" s="70"/>
      <c r="M12" s="70"/>
      <c r="N12" s="70">
        <v>5666.4</v>
      </c>
      <c r="O12" s="57"/>
      <c r="P12" s="73"/>
      <c r="Q12" s="57"/>
      <c r="R12" s="23">
        <f>O12+P12+Q12</f>
        <v>0</v>
      </c>
      <c r="T12" s="2"/>
      <c r="V12" s="2"/>
    </row>
    <row r="13" spans="1:22" ht="15.75" thickBot="1" x14ac:dyDescent="0.3">
      <c r="A13" s="207" t="s">
        <v>90</v>
      </c>
      <c r="B13" s="825" t="s">
        <v>91</v>
      </c>
      <c r="C13" s="825"/>
      <c r="D13" s="228">
        <v>894211</v>
      </c>
      <c r="E13" s="228">
        <v>382958</v>
      </c>
      <c r="F13" s="228">
        <v>343590</v>
      </c>
      <c r="G13" s="228">
        <v>610914</v>
      </c>
      <c r="H13" s="228">
        <v>1718795</v>
      </c>
      <c r="I13" s="136">
        <v>495900</v>
      </c>
      <c r="J13" s="228">
        <v>421522</v>
      </c>
      <c r="K13" s="67">
        <f>SUM(K14:K31)</f>
        <v>2058954</v>
      </c>
      <c r="L13" s="67">
        <v>108548.12</v>
      </c>
      <c r="M13" s="67">
        <f t="shared" ref="M13:R13" si="1">SUM(M14:M31)</f>
        <v>187078.06</v>
      </c>
      <c r="N13" s="67">
        <f t="shared" si="1"/>
        <v>923357.06</v>
      </c>
      <c r="O13" s="67">
        <f t="shared" si="1"/>
        <v>736554</v>
      </c>
      <c r="P13" s="67">
        <f t="shared" si="1"/>
        <v>0</v>
      </c>
      <c r="Q13" s="67">
        <f>SUM(Q14:Q31)</f>
        <v>0</v>
      </c>
      <c r="R13" s="68">
        <f t="shared" si="1"/>
        <v>736554</v>
      </c>
      <c r="T13" s="2"/>
      <c r="V13" s="2"/>
    </row>
    <row r="14" spans="1:22" x14ac:dyDescent="0.2">
      <c r="A14" s="774"/>
      <c r="B14" s="841"/>
      <c r="C14" s="72" t="s">
        <v>37</v>
      </c>
      <c r="D14" s="22"/>
      <c r="E14" s="22"/>
      <c r="F14" s="22"/>
      <c r="G14" s="22"/>
      <c r="H14" s="56"/>
      <c r="I14" s="56"/>
      <c r="J14" s="22"/>
      <c r="K14" s="22">
        <v>47371</v>
      </c>
      <c r="L14" s="22">
        <v>31209.200000000001</v>
      </c>
      <c r="M14" s="22">
        <v>11397.78</v>
      </c>
      <c r="N14" s="22">
        <v>30293.599999999999</v>
      </c>
      <c r="O14" s="57">
        <v>99478</v>
      </c>
      <c r="P14" s="57"/>
      <c r="Q14" s="57"/>
      <c r="R14" s="23">
        <f>SUM(O14:Q14)</f>
        <v>99478</v>
      </c>
      <c r="S14" s="2"/>
      <c r="T14" s="2"/>
      <c r="V14" s="2"/>
    </row>
    <row r="15" spans="1:22" hidden="1" x14ac:dyDescent="0.2">
      <c r="A15" s="774"/>
      <c r="B15" s="841"/>
      <c r="C15" s="72" t="s">
        <v>105</v>
      </c>
      <c r="D15" s="22"/>
      <c r="E15" s="22"/>
      <c r="F15" s="22"/>
      <c r="G15" s="22"/>
      <c r="H15" s="56"/>
      <c r="I15" s="56"/>
      <c r="J15" s="22"/>
      <c r="K15" s="22"/>
      <c r="L15" s="22"/>
      <c r="M15" s="22"/>
      <c r="N15" s="22"/>
      <c r="O15" s="57">
        <v>0</v>
      </c>
      <c r="P15" s="73"/>
      <c r="Q15" s="57"/>
      <c r="R15" s="23">
        <f t="shared" ref="R15:R31" si="2">O15+P15+Q15</f>
        <v>0</v>
      </c>
      <c r="T15" s="2"/>
      <c r="V15" s="2"/>
    </row>
    <row r="16" spans="1:22" x14ac:dyDescent="0.2">
      <c r="A16" s="774"/>
      <c r="B16" s="841"/>
      <c r="C16" s="43" t="s">
        <v>38</v>
      </c>
      <c r="D16" s="26"/>
      <c r="E16" s="26"/>
      <c r="F16" s="26"/>
      <c r="G16" s="26"/>
      <c r="H16" s="58"/>
      <c r="I16" s="58"/>
      <c r="J16" s="26"/>
      <c r="K16" s="26"/>
      <c r="L16" s="22"/>
      <c r="M16" s="22">
        <v>4562.8</v>
      </c>
      <c r="N16" s="22"/>
      <c r="O16" s="57">
        <v>0</v>
      </c>
      <c r="P16" s="73"/>
      <c r="Q16" s="57"/>
      <c r="R16" s="23">
        <f t="shared" si="2"/>
        <v>0</v>
      </c>
      <c r="T16" s="2"/>
      <c r="V16" s="2"/>
    </row>
    <row r="17" spans="1:22" x14ac:dyDescent="0.2">
      <c r="A17" s="774"/>
      <c r="B17" s="841"/>
      <c r="C17" s="47" t="s">
        <v>104</v>
      </c>
      <c r="D17" s="30"/>
      <c r="E17" s="30"/>
      <c r="F17" s="30"/>
      <c r="G17" s="30"/>
      <c r="H17" s="66"/>
      <c r="I17" s="66"/>
      <c r="J17" s="30"/>
      <c r="K17" s="30"/>
      <c r="L17" s="22"/>
      <c r="M17" s="22"/>
      <c r="N17" s="22">
        <v>203363.5</v>
      </c>
      <c r="O17" s="57">
        <v>0</v>
      </c>
      <c r="P17" s="57"/>
      <c r="Q17" s="57"/>
      <c r="R17" s="23">
        <f t="shared" si="2"/>
        <v>0</v>
      </c>
      <c r="T17" s="2"/>
      <c r="V17" s="2"/>
    </row>
    <row r="18" spans="1:22" x14ac:dyDescent="0.2">
      <c r="A18" s="774"/>
      <c r="B18" s="841"/>
      <c r="C18" s="47" t="s">
        <v>238</v>
      </c>
      <c r="D18" s="30"/>
      <c r="E18" s="30"/>
      <c r="F18" s="30"/>
      <c r="G18" s="30"/>
      <c r="H18" s="66"/>
      <c r="I18" s="66"/>
      <c r="J18" s="30"/>
      <c r="K18" s="30">
        <v>282056</v>
      </c>
      <c r="L18" s="22"/>
      <c r="M18" s="44">
        <v>0</v>
      </c>
      <c r="N18" s="57"/>
      <c r="O18" s="57">
        <v>36000</v>
      </c>
      <c r="P18" s="57"/>
      <c r="Q18" s="57"/>
      <c r="R18" s="23">
        <f t="shared" si="2"/>
        <v>36000</v>
      </c>
      <c r="S18" s="2"/>
      <c r="T18" s="2"/>
      <c r="V18" s="2"/>
    </row>
    <row r="19" spans="1:22" x14ac:dyDescent="0.2">
      <c r="A19" s="774"/>
      <c r="B19" s="841"/>
      <c r="C19" s="43" t="s">
        <v>424</v>
      </c>
      <c r="D19" s="26"/>
      <c r="E19" s="26"/>
      <c r="F19" s="26"/>
      <c r="G19" s="26"/>
      <c r="H19" s="58"/>
      <c r="I19" s="58"/>
      <c r="J19" s="26"/>
      <c r="K19" s="26">
        <v>881052</v>
      </c>
      <c r="L19" s="22">
        <v>70504.899999999994</v>
      </c>
      <c r="M19" s="22"/>
      <c r="N19" s="22"/>
      <c r="O19" s="57">
        <v>287053</v>
      </c>
      <c r="P19" s="57"/>
      <c r="Q19" s="57"/>
      <c r="R19" s="23">
        <f t="shared" si="2"/>
        <v>287053</v>
      </c>
      <c r="T19" s="2"/>
      <c r="V19" s="2"/>
    </row>
    <row r="20" spans="1:22" x14ac:dyDescent="0.2">
      <c r="A20" s="774"/>
      <c r="B20" s="841"/>
      <c r="C20" s="43" t="s">
        <v>39</v>
      </c>
      <c r="D20" s="26"/>
      <c r="E20" s="26"/>
      <c r="F20" s="26"/>
      <c r="G20" s="26"/>
      <c r="H20" s="58"/>
      <c r="I20" s="58"/>
      <c r="J20" s="26"/>
      <c r="K20" s="26">
        <v>100004</v>
      </c>
      <c r="L20" s="22"/>
      <c r="M20" s="22">
        <v>13200</v>
      </c>
      <c r="N20" s="22"/>
      <c r="O20" s="57">
        <v>0</v>
      </c>
      <c r="P20" s="57"/>
      <c r="Q20" s="57"/>
      <c r="R20" s="23">
        <f t="shared" si="2"/>
        <v>0</v>
      </c>
      <c r="T20" s="2"/>
      <c r="V20" s="2"/>
    </row>
    <row r="21" spans="1:22" x14ac:dyDescent="0.2">
      <c r="A21" s="774"/>
      <c r="B21" s="841"/>
      <c r="C21" s="43" t="s">
        <v>40</v>
      </c>
      <c r="D21" s="26"/>
      <c r="E21" s="26"/>
      <c r="F21" s="26"/>
      <c r="G21" s="26"/>
      <c r="H21" s="58"/>
      <c r="I21" s="58"/>
      <c r="J21" s="26"/>
      <c r="K21" s="26">
        <v>0</v>
      </c>
      <c r="L21" s="22"/>
      <c r="M21" s="22"/>
      <c r="N21" s="22"/>
      <c r="O21" s="57">
        <v>0</v>
      </c>
      <c r="P21" s="57"/>
      <c r="Q21" s="57"/>
      <c r="R21" s="23">
        <f t="shared" si="2"/>
        <v>0</v>
      </c>
      <c r="T21" s="2"/>
      <c r="V21" s="2"/>
    </row>
    <row r="22" spans="1:22" x14ac:dyDescent="0.2">
      <c r="A22" s="774"/>
      <c r="B22" s="841"/>
      <c r="C22" s="43" t="s">
        <v>276</v>
      </c>
      <c r="D22" s="26"/>
      <c r="E22" s="26"/>
      <c r="F22" s="26"/>
      <c r="G22" s="26"/>
      <c r="H22" s="58"/>
      <c r="I22" s="58"/>
      <c r="J22" s="26"/>
      <c r="K22" s="26"/>
      <c r="L22" s="22"/>
      <c r="M22" s="22">
        <v>144897.48000000001</v>
      </c>
      <c r="N22" s="22">
        <v>2799.96</v>
      </c>
      <c r="O22" s="57">
        <v>106909</v>
      </c>
      <c r="P22" s="57"/>
      <c r="Q22" s="57"/>
      <c r="R22" s="23">
        <f t="shared" si="2"/>
        <v>106909</v>
      </c>
      <c r="T22" s="2"/>
      <c r="V22" s="2"/>
    </row>
    <row r="23" spans="1:22" x14ac:dyDescent="0.2">
      <c r="A23" s="774"/>
      <c r="B23" s="841"/>
      <c r="C23" s="43" t="s">
        <v>240</v>
      </c>
      <c r="D23" s="26"/>
      <c r="E23" s="26"/>
      <c r="F23" s="26"/>
      <c r="G23" s="26"/>
      <c r="H23" s="58"/>
      <c r="I23" s="58"/>
      <c r="J23" s="26"/>
      <c r="K23" s="26"/>
      <c r="L23" s="22"/>
      <c r="M23" s="22"/>
      <c r="N23" s="22"/>
      <c r="O23" s="57">
        <v>0</v>
      </c>
      <c r="P23" s="73"/>
      <c r="Q23" s="57"/>
      <c r="R23" s="23">
        <f t="shared" si="2"/>
        <v>0</v>
      </c>
      <c r="T23" s="2"/>
      <c r="V23" s="2"/>
    </row>
    <row r="24" spans="1:22" x14ac:dyDescent="0.2">
      <c r="A24" s="774"/>
      <c r="B24" s="841"/>
      <c r="C24" s="43" t="s">
        <v>370</v>
      </c>
      <c r="D24" s="26"/>
      <c r="E24" s="26"/>
      <c r="F24" s="26"/>
      <c r="G24" s="26"/>
      <c r="H24" s="58"/>
      <c r="I24" s="58"/>
      <c r="J24" s="26"/>
      <c r="K24" s="26"/>
      <c r="L24" s="26"/>
      <c r="M24" s="26"/>
      <c r="N24" s="26">
        <v>681900</v>
      </c>
      <c r="O24" s="26">
        <v>0</v>
      </c>
      <c r="P24" s="73"/>
      <c r="Q24" s="44"/>
      <c r="R24" s="23">
        <f t="shared" si="2"/>
        <v>0</v>
      </c>
      <c r="T24" s="2"/>
      <c r="V24" s="2"/>
    </row>
    <row r="25" spans="1:22" x14ac:dyDescent="0.2">
      <c r="A25" s="774"/>
      <c r="B25" s="841"/>
      <c r="C25" s="43" t="s">
        <v>239</v>
      </c>
      <c r="D25" s="26"/>
      <c r="E25" s="26"/>
      <c r="F25" s="26"/>
      <c r="G25" s="26"/>
      <c r="H25" s="58"/>
      <c r="I25" s="58"/>
      <c r="J25" s="26"/>
      <c r="K25" s="26"/>
      <c r="L25" s="26"/>
      <c r="M25" s="26"/>
      <c r="N25" s="26"/>
      <c r="O25" s="44">
        <v>0</v>
      </c>
      <c r="P25" s="73"/>
      <c r="Q25" s="44"/>
      <c r="R25" s="23">
        <f t="shared" si="2"/>
        <v>0</v>
      </c>
      <c r="T25" s="2"/>
      <c r="V25" s="2"/>
    </row>
    <row r="26" spans="1:22" x14ac:dyDescent="0.2">
      <c r="A26" s="774"/>
      <c r="B26" s="841"/>
      <c r="C26" s="43" t="s">
        <v>371</v>
      </c>
      <c r="D26" s="26"/>
      <c r="E26" s="26"/>
      <c r="F26" s="26"/>
      <c r="G26" s="26"/>
      <c r="H26" s="58"/>
      <c r="I26" s="58"/>
      <c r="J26" s="26"/>
      <c r="K26" s="26"/>
      <c r="L26" s="26"/>
      <c r="M26" s="26">
        <v>1500</v>
      </c>
      <c r="N26" s="26">
        <v>5000</v>
      </c>
      <c r="O26" s="44">
        <v>0</v>
      </c>
      <c r="P26" s="114"/>
      <c r="Q26" s="44"/>
      <c r="R26" s="23">
        <f t="shared" si="2"/>
        <v>0</v>
      </c>
      <c r="T26" s="2"/>
      <c r="V26" s="2"/>
    </row>
    <row r="27" spans="1:22" x14ac:dyDescent="0.2">
      <c r="A27" s="774"/>
      <c r="B27" s="841"/>
      <c r="C27" s="43" t="s">
        <v>404</v>
      </c>
      <c r="D27" s="26"/>
      <c r="E27" s="26"/>
      <c r="F27" s="26"/>
      <c r="G27" s="26"/>
      <c r="H27" s="58"/>
      <c r="I27" s="58"/>
      <c r="J27" s="26"/>
      <c r="K27" s="26"/>
      <c r="L27" s="26"/>
      <c r="M27" s="26"/>
      <c r="N27" s="26"/>
      <c r="O27" s="44">
        <v>131114</v>
      </c>
      <c r="P27" s="44"/>
      <c r="Q27" s="57"/>
      <c r="R27" s="23">
        <f t="shared" si="2"/>
        <v>131114</v>
      </c>
      <c r="T27" s="2"/>
      <c r="V27" s="2"/>
    </row>
    <row r="28" spans="1:22" x14ac:dyDescent="0.2">
      <c r="A28" s="774"/>
      <c r="B28" s="841"/>
      <c r="C28" s="43" t="s">
        <v>397</v>
      </c>
      <c r="D28" s="648"/>
      <c r="E28" s="648"/>
      <c r="F28" s="648"/>
      <c r="G28" s="648"/>
      <c r="H28" s="649"/>
      <c r="I28" s="649"/>
      <c r="J28" s="648"/>
      <c r="K28" s="648"/>
      <c r="L28" s="648"/>
      <c r="M28" s="648"/>
      <c r="N28" s="648"/>
      <c r="O28" s="44">
        <v>0</v>
      </c>
      <c r="P28" s="44"/>
      <c r="Q28" s="57"/>
      <c r="R28" s="23">
        <f>O28+P28+Q28</f>
        <v>0</v>
      </c>
      <c r="T28" s="2"/>
      <c r="V28" s="2"/>
    </row>
    <row r="29" spans="1:22" x14ac:dyDescent="0.2">
      <c r="A29" s="774"/>
      <c r="B29" s="841"/>
      <c r="C29" s="43" t="s">
        <v>438</v>
      </c>
      <c r="D29" s="26"/>
      <c r="E29" s="26"/>
      <c r="F29" s="26"/>
      <c r="G29" s="26"/>
      <c r="H29" s="58"/>
      <c r="I29" s="58"/>
      <c r="J29" s="26"/>
      <c r="K29" s="26"/>
      <c r="L29" s="26"/>
      <c r="M29" s="26"/>
      <c r="N29" s="26"/>
      <c r="O29" s="44">
        <v>0</v>
      </c>
      <c r="P29" s="44"/>
      <c r="Q29" s="57"/>
      <c r="R29" s="23">
        <f>O29+P29+Q29</f>
        <v>0</v>
      </c>
      <c r="T29" s="2"/>
      <c r="V29" s="2"/>
    </row>
    <row r="30" spans="1:22" x14ac:dyDescent="0.2">
      <c r="A30" s="774"/>
      <c r="B30" s="841"/>
      <c r="C30" s="43" t="s">
        <v>239</v>
      </c>
      <c r="D30" s="26"/>
      <c r="E30" s="26"/>
      <c r="F30" s="26"/>
      <c r="G30" s="26"/>
      <c r="H30" s="58"/>
      <c r="I30" s="58"/>
      <c r="J30" s="26"/>
      <c r="K30" s="26"/>
      <c r="L30" s="26"/>
      <c r="M30" s="26"/>
      <c r="N30" s="26"/>
      <c r="O30" s="44">
        <v>76000</v>
      </c>
      <c r="P30" s="114"/>
      <c r="Q30" s="57"/>
      <c r="R30" s="23">
        <f t="shared" si="2"/>
        <v>76000</v>
      </c>
      <c r="T30" s="2"/>
      <c r="V30" s="2"/>
    </row>
    <row r="31" spans="1:22" ht="13.5" thickBot="1" x14ac:dyDescent="0.25">
      <c r="A31" s="770"/>
      <c r="B31" s="842"/>
      <c r="C31" s="143" t="s">
        <v>233</v>
      </c>
      <c r="D31" s="70"/>
      <c r="E31" s="70"/>
      <c r="F31" s="70"/>
      <c r="G31" s="70"/>
      <c r="H31" s="69"/>
      <c r="I31" s="69"/>
      <c r="J31" s="70"/>
      <c r="K31" s="70">
        <v>748471</v>
      </c>
      <c r="L31" s="70"/>
      <c r="M31" s="70">
        <v>11520</v>
      </c>
      <c r="N31" s="70"/>
      <c r="O31" s="57">
        <v>0</v>
      </c>
      <c r="P31" s="73"/>
      <c r="Q31" s="57"/>
      <c r="R31" s="23">
        <f t="shared" si="2"/>
        <v>0</v>
      </c>
      <c r="T31" s="2"/>
      <c r="V31" s="2"/>
    </row>
    <row r="32" spans="1:22" ht="15.75" thickBot="1" x14ac:dyDescent="0.3">
      <c r="A32" s="353" t="s">
        <v>256</v>
      </c>
      <c r="B32" s="734" t="s">
        <v>41</v>
      </c>
      <c r="C32" s="746"/>
      <c r="D32" s="228">
        <v>154053</v>
      </c>
      <c r="E32" s="228">
        <v>194317</v>
      </c>
      <c r="F32" s="228">
        <v>340238</v>
      </c>
      <c r="G32" s="228">
        <v>484191</v>
      </c>
      <c r="H32" s="228">
        <v>181309</v>
      </c>
      <c r="I32" s="136">
        <v>33695</v>
      </c>
      <c r="J32" s="228">
        <v>79908</v>
      </c>
      <c r="K32" s="67">
        <f>SUM(K33:K57)</f>
        <v>0</v>
      </c>
      <c r="L32" s="67">
        <f>SUM(L33:L57)</f>
        <v>75693</v>
      </c>
      <c r="M32" s="67">
        <f>SUM(M33:M50)</f>
        <v>107849.53999999998</v>
      </c>
      <c r="N32" s="67">
        <f>SUM(N33:N51)</f>
        <v>206988.84</v>
      </c>
      <c r="O32" s="67">
        <f>SUM(O33:O57)</f>
        <v>685834</v>
      </c>
      <c r="P32" s="67">
        <f>SUM(P33:P57)</f>
        <v>0</v>
      </c>
      <c r="Q32" s="67">
        <f>SUM(Q33:Q57)</f>
        <v>0</v>
      </c>
      <c r="R32" s="68">
        <f>SUM(R33:R57)</f>
        <v>685834</v>
      </c>
      <c r="T32" s="2"/>
      <c r="V32" s="2"/>
    </row>
    <row r="33" spans="1:22" x14ac:dyDescent="0.2">
      <c r="A33" s="769"/>
      <c r="B33" s="826"/>
      <c r="C33" s="43" t="s">
        <v>416</v>
      </c>
      <c r="D33" s="26"/>
      <c r="E33" s="26"/>
      <c r="F33" s="26"/>
      <c r="G33" s="26"/>
      <c r="H33" s="58"/>
      <c r="I33" s="355"/>
      <c r="J33" s="356"/>
      <c r="K33" s="26"/>
      <c r="L33" s="22">
        <v>23757.119999999999</v>
      </c>
      <c r="M33" s="22"/>
      <c r="N33" s="22"/>
      <c r="O33" s="57">
        <v>11730</v>
      </c>
      <c r="P33" s="57"/>
      <c r="Q33" s="57"/>
      <c r="R33" s="23">
        <f t="shared" ref="R33:R57" si="3">O33+P33+Q33</f>
        <v>11730</v>
      </c>
      <c r="T33" s="2"/>
      <c r="V33" s="2"/>
    </row>
    <row r="34" spans="1:22" x14ac:dyDescent="0.2">
      <c r="A34" s="774"/>
      <c r="B34" s="827"/>
      <c r="C34" s="43" t="s">
        <v>440</v>
      </c>
      <c r="D34" s="26"/>
      <c r="E34" s="26"/>
      <c r="F34" s="26"/>
      <c r="G34" s="26"/>
      <c r="H34" s="58"/>
      <c r="I34" s="355"/>
      <c r="J34" s="356"/>
      <c r="K34" s="26"/>
      <c r="L34" s="22"/>
      <c r="M34" s="22"/>
      <c r="N34" s="22"/>
      <c r="O34" s="57">
        <v>1800</v>
      </c>
      <c r="P34" s="73"/>
      <c r="Q34" s="57"/>
      <c r="R34" s="23">
        <f t="shared" si="3"/>
        <v>1800</v>
      </c>
      <c r="T34" s="2"/>
      <c r="V34" s="2"/>
    </row>
    <row r="35" spans="1:22" x14ac:dyDescent="0.2">
      <c r="A35" s="774"/>
      <c r="B35" s="827"/>
      <c r="C35" s="43" t="s">
        <v>441</v>
      </c>
      <c r="D35" s="26"/>
      <c r="E35" s="26"/>
      <c r="F35" s="26"/>
      <c r="G35" s="26"/>
      <c r="H35" s="58"/>
      <c r="I35" s="355"/>
      <c r="J35" s="356"/>
      <c r="K35" s="26"/>
      <c r="L35" s="22"/>
      <c r="M35" s="22"/>
      <c r="N35" s="22"/>
      <c r="O35" s="57">
        <v>10000</v>
      </c>
      <c r="P35" s="73"/>
      <c r="Q35" s="57"/>
      <c r="R35" s="23">
        <f t="shared" si="3"/>
        <v>10000</v>
      </c>
      <c r="T35" s="2"/>
      <c r="V35" s="2"/>
    </row>
    <row r="36" spans="1:22" x14ac:dyDescent="0.2">
      <c r="A36" s="774"/>
      <c r="B36" s="827"/>
      <c r="C36" s="43" t="s">
        <v>113</v>
      </c>
      <c r="D36" s="26"/>
      <c r="E36" s="26"/>
      <c r="F36" s="26"/>
      <c r="G36" s="26"/>
      <c r="H36" s="58"/>
      <c r="I36" s="355"/>
      <c r="J36" s="356"/>
      <c r="K36" s="26"/>
      <c r="L36" s="22"/>
      <c r="M36" s="22"/>
      <c r="N36" s="22">
        <v>23667.99</v>
      </c>
      <c r="O36" s="57">
        <v>0</v>
      </c>
      <c r="P36" s="73"/>
      <c r="Q36" s="57"/>
      <c r="R36" s="23">
        <f t="shared" si="3"/>
        <v>0</v>
      </c>
      <c r="T36" s="2"/>
      <c r="V36" s="2"/>
    </row>
    <row r="37" spans="1:22" x14ac:dyDescent="0.2">
      <c r="A37" s="774"/>
      <c r="B37" s="827"/>
      <c r="C37" s="43" t="s">
        <v>114</v>
      </c>
      <c r="D37" s="26"/>
      <c r="E37" s="26"/>
      <c r="F37" s="26"/>
      <c r="G37" s="26"/>
      <c r="H37" s="58"/>
      <c r="I37" s="355"/>
      <c r="J37" s="356"/>
      <c r="K37" s="26"/>
      <c r="L37" s="22"/>
      <c r="M37" s="22"/>
      <c r="N37" s="22">
        <v>52202.27</v>
      </c>
      <c r="O37" s="57">
        <v>0</v>
      </c>
      <c r="P37" s="73"/>
      <c r="Q37" s="57"/>
      <c r="R37" s="23">
        <f t="shared" si="3"/>
        <v>0</v>
      </c>
      <c r="T37" s="2"/>
      <c r="V37" s="2"/>
    </row>
    <row r="38" spans="1:22" x14ac:dyDescent="0.2">
      <c r="A38" s="774"/>
      <c r="B38" s="827"/>
      <c r="C38" s="43" t="s">
        <v>460</v>
      </c>
      <c r="D38" s="26"/>
      <c r="E38" s="26"/>
      <c r="F38" s="26"/>
      <c r="G38" s="26"/>
      <c r="H38" s="58"/>
      <c r="I38" s="355"/>
      <c r="J38" s="356"/>
      <c r="K38" s="26"/>
      <c r="L38" s="22"/>
      <c r="M38" s="22"/>
      <c r="N38" s="22">
        <v>5220</v>
      </c>
      <c r="O38" s="57"/>
      <c r="P38" s="73"/>
      <c r="Q38" s="57"/>
      <c r="R38" s="23"/>
      <c r="T38" s="2"/>
      <c r="V38" s="2"/>
    </row>
    <row r="39" spans="1:22" x14ac:dyDescent="0.2">
      <c r="A39" s="774"/>
      <c r="B39" s="827"/>
      <c r="C39" s="43" t="s">
        <v>461</v>
      </c>
      <c r="D39" s="26"/>
      <c r="E39" s="26"/>
      <c r="F39" s="26"/>
      <c r="G39" s="26"/>
      <c r="H39" s="58"/>
      <c r="I39" s="355"/>
      <c r="J39" s="356"/>
      <c r="K39" s="26"/>
      <c r="L39" s="22"/>
      <c r="M39" s="22"/>
      <c r="N39" s="22">
        <v>6499</v>
      </c>
      <c r="O39" s="57"/>
      <c r="P39" s="73"/>
      <c r="Q39" s="57"/>
      <c r="R39" s="23"/>
      <c r="T39" s="2"/>
      <c r="V39" s="2"/>
    </row>
    <row r="40" spans="1:22" x14ac:dyDescent="0.2">
      <c r="A40" s="774"/>
      <c r="B40" s="827"/>
      <c r="C40" s="43" t="s">
        <v>398</v>
      </c>
      <c r="D40" s="26"/>
      <c r="E40" s="26"/>
      <c r="F40" s="26"/>
      <c r="G40" s="26"/>
      <c r="H40" s="58"/>
      <c r="I40" s="355"/>
      <c r="J40" s="356"/>
      <c r="K40" s="26"/>
      <c r="L40" s="22"/>
      <c r="M40" s="22"/>
      <c r="N40" s="22"/>
      <c r="O40" s="57">
        <v>19400</v>
      </c>
      <c r="P40" s="57"/>
      <c r="Q40" s="57"/>
      <c r="R40" s="23">
        <f t="shared" si="3"/>
        <v>19400</v>
      </c>
      <c r="T40" s="2"/>
      <c r="V40" s="2"/>
    </row>
    <row r="41" spans="1:22" x14ac:dyDescent="0.2">
      <c r="A41" s="774"/>
      <c r="B41" s="827"/>
      <c r="C41" s="43" t="s">
        <v>451</v>
      </c>
      <c r="D41" s="26"/>
      <c r="E41" s="26"/>
      <c r="F41" s="26"/>
      <c r="G41" s="26"/>
      <c r="H41" s="58"/>
      <c r="I41" s="355"/>
      <c r="J41" s="356"/>
      <c r="K41" s="26"/>
      <c r="L41" s="22"/>
      <c r="M41" s="22"/>
      <c r="N41" s="22"/>
      <c r="O41" s="57">
        <v>38584</v>
      </c>
      <c r="P41" s="57"/>
      <c r="Q41" s="57"/>
      <c r="R41" s="23">
        <f t="shared" si="3"/>
        <v>38584</v>
      </c>
      <c r="T41" s="2"/>
      <c r="V41" s="2"/>
    </row>
    <row r="42" spans="1:22" x14ac:dyDescent="0.2">
      <c r="A42" s="774"/>
      <c r="B42" s="827"/>
      <c r="C42" s="43" t="s">
        <v>412</v>
      </c>
      <c r="D42" s="26"/>
      <c r="E42" s="26"/>
      <c r="F42" s="26"/>
      <c r="G42" s="26"/>
      <c r="H42" s="58"/>
      <c r="I42" s="355"/>
      <c r="J42" s="356"/>
      <c r="K42" s="26"/>
      <c r="L42" s="22"/>
      <c r="M42" s="22"/>
      <c r="N42" s="22"/>
      <c r="O42" s="57">
        <v>275000</v>
      </c>
      <c r="P42" s="57"/>
      <c r="Q42" s="57"/>
      <c r="R42" s="23">
        <f t="shared" si="3"/>
        <v>275000</v>
      </c>
      <c r="T42" s="2"/>
      <c r="V42" s="2"/>
    </row>
    <row r="43" spans="1:22" x14ac:dyDescent="0.2">
      <c r="A43" s="774"/>
      <c r="B43" s="827"/>
      <c r="C43" s="43" t="s">
        <v>399</v>
      </c>
      <c r="D43" s="26"/>
      <c r="E43" s="26"/>
      <c r="F43" s="26"/>
      <c r="G43" s="26"/>
      <c r="H43" s="58"/>
      <c r="I43" s="355"/>
      <c r="J43" s="356"/>
      <c r="K43" s="26"/>
      <c r="L43" s="22"/>
      <c r="M43" s="22"/>
      <c r="N43" s="22"/>
      <c r="O43" s="57">
        <v>8000</v>
      </c>
      <c r="P43" s="57"/>
      <c r="Q43" s="57"/>
      <c r="R43" s="23">
        <f t="shared" si="3"/>
        <v>8000</v>
      </c>
      <c r="T43" s="2"/>
      <c r="U43" s="433"/>
      <c r="V43" s="2"/>
    </row>
    <row r="44" spans="1:22" x14ac:dyDescent="0.2">
      <c r="A44" s="774"/>
      <c r="B44" s="827"/>
      <c r="C44" s="43" t="s">
        <v>436</v>
      </c>
      <c r="D44" s="26"/>
      <c r="E44" s="26"/>
      <c r="F44" s="26"/>
      <c r="G44" s="26"/>
      <c r="H44" s="58"/>
      <c r="I44" s="355"/>
      <c r="J44" s="356"/>
      <c r="K44" s="26"/>
      <c r="L44" s="22">
        <v>29104.44</v>
      </c>
      <c r="M44" s="22"/>
      <c r="N44" s="22"/>
      <c r="O44" s="57">
        <v>4820</v>
      </c>
      <c r="P44" s="73"/>
      <c r="Q44" s="57"/>
      <c r="R44" s="23">
        <f t="shared" si="3"/>
        <v>4820</v>
      </c>
      <c r="T44" s="2"/>
      <c r="U44" s="2"/>
      <c r="V44" s="2"/>
    </row>
    <row r="45" spans="1:22" x14ac:dyDescent="0.2">
      <c r="A45" s="774"/>
      <c r="B45" s="827"/>
      <c r="C45" s="43" t="s">
        <v>42</v>
      </c>
      <c r="D45" s="26"/>
      <c r="E45" s="26"/>
      <c r="F45" s="26"/>
      <c r="G45" s="26"/>
      <c r="H45" s="58"/>
      <c r="I45" s="355"/>
      <c r="J45" s="356"/>
      <c r="K45" s="26"/>
      <c r="L45" s="22"/>
      <c r="M45" s="22">
        <v>35969.53</v>
      </c>
      <c r="N45" s="22"/>
      <c r="O45" s="57">
        <v>0</v>
      </c>
      <c r="P45" s="73"/>
      <c r="Q45" s="57"/>
      <c r="R45" s="23">
        <f t="shared" si="3"/>
        <v>0</v>
      </c>
      <c r="T45" s="2"/>
      <c r="V45" s="2"/>
    </row>
    <row r="46" spans="1:22" x14ac:dyDescent="0.2">
      <c r="A46" s="774"/>
      <c r="B46" s="827"/>
      <c r="C46" s="43" t="s">
        <v>43</v>
      </c>
      <c r="D46" s="30"/>
      <c r="E46" s="30"/>
      <c r="F46" s="30"/>
      <c r="G46" s="30"/>
      <c r="H46" s="66"/>
      <c r="I46" s="357"/>
      <c r="J46" s="358"/>
      <c r="K46" s="30"/>
      <c r="L46" s="30"/>
      <c r="M46" s="22">
        <v>2200</v>
      </c>
      <c r="N46" s="22"/>
      <c r="O46" s="57">
        <v>0</v>
      </c>
      <c r="P46" s="73"/>
      <c r="Q46" s="57"/>
      <c r="R46" s="23">
        <f t="shared" si="3"/>
        <v>0</v>
      </c>
      <c r="T46" s="2"/>
      <c r="V46" s="2"/>
    </row>
    <row r="47" spans="1:22" x14ac:dyDescent="0.2">
      <c r="A47" s="774"/>
      <c r="B47" s="827"/>
      <c r="C47" s="43" t="s">
        <v>378</v>
      </c>
      <c r="D47" s="30"/>
      <c r="E47" s="30"/>
      <c r="F47" s="30"/>
      <c r="G47" s="30"/>
      <c r="H47" s="66"/>
      <c r="I47" s="357"/>
      <c r="J47" s="358"/>
      <c r="K47" s="30"/>
      <c r="L47" s="30"/>
      <c r="M47" s="22">
        <v>28928.71</v>
      </c>
      <c r="N47" s="22"/>
      <c r="O47" s="57">
        <v>0</v>
      </c>
      <c r="P47" s="73"/>
      <c r="Q47" s="57"/>
      <c r="R47" s="23">
        <f t="shared" si="3"/>
        <v>0</v>
      </c>
      <c r="T47" s="2"/>
      <c r="V47" s="2"/>
    </row>
    <row r="48" spans="1:22" x14ac:dyDescent="0.2">
      <c r="A48" s="774"/>
      <c r="B48" s="827"/>
      <c r="C48" s="43" t="s">
        <v>44</v>
      </c>
      <c r="D48" s="30"/>
      <c r="E48" s="30"/>
      <c r="F48" s="30"/>
      <c r="G48" s="30"/>
      <c r="H48" s="66"/>
      <c r="I48" s="357"/>
      <c r="J48" s="358"/>
      <c r="K48" s="30"/>
      <c r="L48" s="30"/>
      <c r="M48" s="26">
        <v>19756.98</v>
      </c>
      <c r="N48" s="22"/>
      <c r="O48" s="57">
        <v>0</v>
      </c>
      <c r="P48" s="73"/>
      <c r="Q48" s="57"/>
      <c r="R48" s="23">
        <f t="shared" si="3"/>
        <v>0</v>
      </c>
      <c r="T48" s="2"/>
      <c r="V48" s="2"/>
    </row>
    <row r="49" spans="1:25" x14ac:dyDescent="0.2">
      <c r="A49" s="774"/>
      <c r="B49" s="827"/>
      <c r="C49" s="43" t="s">
        <v>45</v>
      </c>
      <c r="D49" s="30"/>
      <c r="E49" s="30"/>
      <c r="F49" s="30"/>
      <c r="G49" s="30"/>
      <c r="H49" s="66"/>
      <c r="I49" s="357"/>
      <c r="J49" s="358"/>
      <c r="K49" s="30"/>
      <c r="L49" s="30"/>
      <c r="M49" s="26">
        <v>20994.32</v>
      </c>
      <c r="N49" s="22"/>
      <c r="O49" s="57">
        <v>0</v>
      </c>
      <c r="P49" s="73"/>
      <c r="Q49" s="57"/>
      <c r="R49" s="23">
        <f t="shared" si="3"/>
        <v>0</v>
      </c>
      <c r="T49" s="2"/>
      <c r="V49" s="2"/>
    </row>
    <row r="50" spans="1:25" x14ac:dyDescent="0.2">
      <c r="A50" s="774"/>
      <c r="B50" s="827"/>
      <c r="C50" s="43" t="s">
        <v>46</v>
      </c>
      <c r="D50" s="30"/>
      <c r="E50" s="30"/>
      <c r="F50" s="30"/>
      <c r="G50" s="30"/>
      <c r="H50" s="66"/>
      <c r="I50" s="357"/>
      <c r="J50" s="358"/>
      <c r="K50" s="30"/>
      <c r="L50" s="30">
        <v>22831.440000000002</v>
      </c>
      <c r="M50" s="26">
        <v>0</v>
      </c>
      <c r="N50" s="22">
        <v>114400.26</v>
      </c>
      <c r="O50" s="57">
        <v>0</v>
      </c>
      <c r="P50" s="73"/>
      <c r="Q50" s="57"/>
      <c r="R50" s="23">
        <f t="shared" si="3"/>
        <v>0</v>
      </c>
      <c r="T50" s="2"/>
      <c r="V50" s="2"/>
    </row>
    <row r="51" spans="1:25" x14ac:dyDescent="0.2">
      <c r="A51" s="774"/>
      <c r="B51" s="827"/>
      <c r="C51" s="43" t="s">
        <v>385</v>
      </c>
      <c r="D51" s="30"/>
      <c r="E51" s="30"/>
      <c r="F51" s="30"/>
      <c r="G51" s="30"/>
      <c r="H51" s="66"/>
      <c r="I51" s="357"/>
      <c r="J51" s="358"/>
      <c r="K51" s="30"/>
      <c r="L51" s="30"/>
      <c r="M51" s="26"/>
      <c r="N51" s="22">
        <v>4999.32</v>
      </c>
      <c r="O51" s="57">
        <v>0</v>
      </c>
      <c r="P51" s="73"/>
      <c r="Q51" s="57"/>
      <c r="R51" s="23">
        <f>O51+P51+Q51</f>
        <v>0</v>
      </c>
      <c r="T51" s="2"/>
      <c r="V51" s="2"/>
    </row>
    <row r="52" spans="1:25" x14ac:dyDescent="0.2">
      <c r="A52" s="774"/>
      <c r="B52" s="827"/>
      <c r="C52" s="43" t="s">
        <v>469</v>
      </c>
      <c r="D52" s="30"/>
      <c r="E52" s="30"/>
      <c r="F52" s="30"/>
      <c r="G52" s="30"/>
      <c r="H52" s="66"/>
      <c r="I52" s="357"/>
      <c r="J52" s="358"/>
      <c r="K52" s="30"/>
      <c r="L52" s="30"/>
      <c r="M52" s="26"/>
      <c r="N52" s="26"/>
      <c r="O52" s="44">
        <v>16000</v>
      </c>
      <c r="P52" s="57"/>
      <c r="Q52" s="57"/>
      <c r="R52" s="23">
        <f t="shared" si="3"/>
        <v>16000</v>
      </c>
      <c r="T52" s="2"/>
      <c r="V52" s="2"/>
    </row>
    <row r="53" spans="1:25" x14ac:dyDescent="0.2">
      <c r="A53" s="774"/>
      <c r="B53" s="827"/>
      <c r="C53" s="43" t="s">
        <v>470</v>
      </c>
      <c r="D53" s="30"/>
      <c r="E53" s="30"/>
      <c r="F53" s="30"/>
      <c r="G53" s="30"/>
      <c r="H53" s="66"/>
      <c r="I53" s="357"/>
      <c r="J53" s="358"/>
      <c r="K53" s="30"/>
      <c r="L53" s="30"/>
      <c r="M53" s="26"/>
      <c r="N53" s="26"/>
      <c r="O53" s="44">
        <v>63500</v>
      </c>
      <c r="P53" s="57"/>
      <c r="Q53" s="57"/>
      <c r="R53" s="23">
        <f t="shared" si="3"/>
        <v>63500</v>
      </c>
      <c r="T53" s="2"/>
      <c r="V53" s="2"/>
      <c r="Y53" s="2"/>
    </row>
    <row r="54" spans="1:25" x14ac:dyDescent="0.2">
      <c r="A54" s="774"/>
      <c r="B54" s="827"/>
      <c r="C54" s="43" t="s">
        <v>471</v>
      </c>
      <c r="D54" s="30"/>
      <c r="E54" s="30"/>
      <c r="F54" s="30"/>
      <c r="G54" s="30"/>
      <c r="H54" s="66"/>
      <c r="I54" s="357"/>
      <c r="J54" s="358"/>
      <c r="K54" s="30"/>
      <c r="L54" s="30"/>
      <c r="M54" s="26"/>
      <c r="N54" s="26"/>
      <c r="O54" s="44">
        <v>146000</v>
      </c>
      <c r="P54" s="57"/>
      <c r="Q54" s="57"/>
      <c r="R54" s="23">
        <f t="shared" si="3"/>
        <v>146000</v>
      </c>
      <c r="T54" s="2"/>
      <c r="V54" s="2"/>
    </row>
    <row r="55" spans="1:25" x14ac:dyDescent="0.2">
      <c r="A55" s="774"/>
      <c r="B55" s="827"/>
      <c r="C55" s="43" t="s">
        <v>444</v>
      </c>
      <c r="D55" s="30"/>
      <c r="E55" s="30"/>
      <c r="F55" s="30"/>
      <c r="G55" s="30"/>
      <c r="H55" s="66"/>
      <c r="I55" s="357"/>
      <c r="J55" s="358"/>
      <c r="K55" s="30"/>
      <c r="L55" s="30"/>
      <c r="M55" s="26"/>
      <c r="N55" s="26"/>
      <c r="O55" s="44">
        <v>30000</v>
      </c>
      <c r="P55" s="73"/>
      <c r="Q55" s="57"/>
      <c r="R55" s="23">
        <f t="shared" si="3"/>
        <v>30000</v>
      </c>
      <c r="T55" s="2"/>
      <c r="V55" s="2"/>
    </row>
    <row r="56" spans="1:25" x14ac:dyDescent="0.2">
      <c r="A56" s="774"/>
      <c r="B56" s="827"/>
      <c r="C56" s="43" t="s">
        <v>445</v>
      </c>
      <c r="D56" s="30"/>
      <c r="E56" s="30"/>
      <c r="F56" s="30"/>
      <c r="G56" s="30"/>
      <c r="H56" s="66"/>
      <c r="I56" s="357"/>
      <c r="J56" s="358"/>
      <c r="K56" s="30"/>
      <c r="L56" s="30"/>
      <c r="M56" s="26"/>
      <c r="N56" s="26"/>
      <c r="O56" s="44">
        <v>37000</v>
      </c>
      <c r="P56" s="57"/>
      <c r="Q56" s="57"/>
      <c r="R56" s="23">
        <f t="shared" si="3"/>
        <v>37000</v>
      </c>
      <c r="T56" s="2"/>
      <c r="V56" s="2"/>
    </row>
    <row r="57" spans="1:25" ht="13.5" thickBot="1" x14ac:dyDescent="0.25">
      <c r="A57" s="770"/>
      <c r="B57" s="828"/>
      <c r="C57" s="43" t="s">
        <v>446</v>
      </c>
      <c r="D57" s="30"/>
      <c r="E57" s="30"/>
      <c r="F57" s="30"/>
      <c r="G57" s="30"/>
      <c r="H57" s="66"/>
      <c r="I57" s="357"/>
      <c r="J57" s="358"/>
      <c r="K57" s="30"/>
      <c r="L57" s="30"/>
      <c r="M57" s="48"/>
      <c r="N57" s="48"/>
      <c r="O57" s="60">
        <v>24000</v>
      </c>
      <c r="P57" s="57"/>
      <c r="Q57" s="57"/>
      <c r="R57" s="23">
        <f t="shared" si="3"/>
        <v>24000</v>
      </c>
      <c r="T57" s="2"/>
      <c r="V57" s="2"/>
    </row>
    <row r="58" spans="1:25" ht="15.75" thickBot="1" x14ac:dyDescent="0.3">
      <c r="A58" s="359" t="s">
        <v>97</v>
      </c>
      <c r="B58" s="734" t="s">
        <v>47</v>
      </c>
      <c r="C58" s="746"/>
      <c r="D58" s="360">
        <v>80894</v>
      </c>
      <c r="E58" s="228">
        <v>8298</v>
      </c>
      <c r="F58" s="228">
        <v>71666</v>
      </c>
      <c r="G58" s="228">
        <v>1330064</v>
      </c>
      <c r="H58" s="228">
        <v>2147096</v>
      </c>
      <c r="I58" s="136">
        <v>8121</v>
      </c>
      <c r="J58" s="228">
        <v>93729</v>
      </c>
      <c r="K58" s="67">
        <f t="shared" ref="K58:R58" si="4">SUM(K59:K64)</f>
        <v>28919</v>
      </c>
      <c r="L58" s="67">
        <f t="shared" si="4"/>
        <v>0</v>
      </c>
      <c r="M58" s="67">
        <f t="shared" si="4"/>
        <v>69453.41</v>
      </c>
      <c r="N58" s="67">
        <f t="shared" si="4"/>
        <v>5501</v>
      </c>
      <c r="O58" s="67">
        <f t="shared" si="4"/>
        <v>551998</v>
      </c>
      <c r="P58" s="67">
        <f t="shared" si="4"/>
        <v>0</v>
      </c>
      <c r="Q58" s="67">
        <f t="shared" si="4"/>
        <v>0</v>
      </c>
      <c r="R58" s="68">
        <f t="shared" si="4"/>
        <v>551998</v>
      </c>
      <c r="T58" s="2"/>
      <c r="V58" s="2"/>
    </row>
    <row r="59" spans="1:25" hidden="1" x14ac:dyDescent="0.2">
      <c r="A59" s="361"/>
      <c r="B59" s="362"/>
      <c r="C59" s="41" t="s">
        <v>386</v>
      </c>
      <c r="D59" s="93"/>
      <c r="E59" s="93"/>
      <c r="F59" s="93"/>
      <c r="G59" s="93"/>
      <c r="H59" s="55"/>
      <c r="I59" s="363"/>
      <c r="J59" s="364"/>
      <c r="K59" s="93">
        <v>28919</v>
      </c>
      <c r="L59" s="22"/>
      <c r="M59" s="22"/>
      <c r="N59" s="22"/>
      <c r="O59" s="57"/>
      <c r="P59" s="73"/>
      <c r="Q59" s="57"/>
      <c r="R59" s="23"/>
      <c r="T59" s="2"/>
      <c r="V59" s="2"/>
    </row>
    <row r="60" spans="1:25" x14ac:dyDescent="0.2">
      <c r="A60" s="774"/>
      <c r="B60" s="827"/>
      <c r="C60" s="72" t="s">
        <v>372</v>
      </c>
      <c r="D60" s="22"/>
      <c r="E60" s="22"/>
      <c r="F60" s="22"/>
      <c r="G60" s="22"/>
      <c r="H60" s="56"/>
      <c r="I60" s="365"/>
      <c r="J60" s="366"/>
      <c r="K60" s="22"/>
      <c r="L60" s="22"/>
      <c r="M60" s="22">
        <v>69453.41</v>
      </c>
      <c r="N60" s="22"/>
      <c r="O60" s="57"/>
      <c r="P60" s="57"/>
      <c r="Q60" s="57"/>
      <c r="R60" s="23">
        <f t="shared" ref="R60:R66" si="5">O60+P60+Q60</f>
        <v>0</v>
      </c>
      <c r="T60" s="2"/>
      <c r="V60" s="2"/>
    </row>
    <row r="61" spans="1:25" x14ac:dyDescent="0.2">
      <c r="A61" s="774"/>
      <c r="B61" s="827"/>
      <c r="C61" s="43" t="s">
        <v>410</v>
      </c>
      <c r="D61" s="22"/>
      <c r="E61" s="22"/>
      <c r="F61" s="22"/>
      <c r="G61" s="22"/>
      <c r="H61" s="56"/>
      <c r="I61" s="365"/>
      <c r="J61" s="366"/>
      <c r="K61" s="22"/>
      <c r="L61" s="22"/>
      <c r="M61" s="22"/>
      <c r="N61" s="22"/>
      <c r="O61" s="57">
        <v>531998</v>
      </c>
      <c r="P61" s="57"/>
      <c r="Q61" s="57"/>
      <c r="R61" s="23">
        <f t="shared" si="5"/>
        <v>531998</v>
      </c>
      <c r="T61" s="2"/>
      <c r="V61" s="2"/>
    </row>
    <row r="62" spans="1:25" x14ac:dyDescent="0.2">
      <c r="A62" s="774"/>
      <c r="B62" s="827"/>
      <c r="C62" s="43" t="s">
        <v>462</v>
      </c>
      <c r="D62" s="26"/>
      <c r="E62" s="26"/>
      <c r="F62" s="26"/>
      <c r="G62" s="26"/>
      <c r="H62" s="58"/>
      <c r="I62" s="355"/>
      <c r="J62" s="356"/>
      <c r="K62" s="26"/>
      <c r="L62" s="26"/>
      <c r="M62" s="26"/>
      <c r="N62" s="26">
        <v>5501</v>
      </c>
      <c r="O62" s="44"/>
      <c r="P62" s="44"/>
      <c r="Q62" s="44"/>
      <c r="R62" s="27">
        <f t="shared" si="5"/>
        <v>0</v>
      </c>
      <c r="T62" s="2"/>
      <c r="V62" s="2"/>
    </row>
    <row r="63" spans="1:25" ht="12.75" hidden="1" customHeight="1" x14ac:dyDescent="0.2">
      <c r="A63" s="774"/>
      <c r="B63" s="827"/>
      <c r="C63" s="43" t="s">
        <v>48</v>
      </c>
      <c r="D63" s="26"/>
      <c r="E63" s="26"/>
      <c r="F63" s="26"/>
      <c r="G63" s="26"/>
      <c r="H63" s="58"/>
      <c r="I63" s="355"/>
      <c r="J63" s="356"/>
      <c r="K63" s="26"/>
      <c r="L63" s="26"/>
      <c r="M63" s="26"/>
      <c r="N63" s="26"/>
      <c r="O63" s="44"/>
      <c r="P63" s="44"/>
      <c r="Q63" s="44"/>
      <c r="R63" s="27">
        <f t="shared" si="5"/>
        <v>0</v>
      </c>
      <c r="T63" s="2"/>
      <c r="V63" s="2"/>
    </row>
    <row r="64" spans="1:25" ht="13.5" thickBot="1" x14ac:dyDescent="0.25">
      <c r="A64" s="770"/>
      <c r="B64" s="828"/>
      <c r="C64" s="72" t="s">
        <v>414</v>
      </c>
      <c r="D64" s="70"/>
      <c r="E64" s="70"/>
      <c r="F64" s="70"/>
      <c r="G64" s="70"/>
      <c r="H64" s="69"/>
      <c r="I64" s="367"/>
      <c r="J64" s="368"/>
      <c r="K64" s="77"/>
      <c r="L64" s="70"/>
      <c r="M64" s="70"/>
      <c r="N64" s="70"/>
      <c r="O64" s="236">
        <v>20000</v>
      </c>
      <c r="P64" s="236"/>
      <c r="Q64" s="236"/>
      <c r="R64" s="71">
        <f t="shared" si="5"/>
        <v>20000</v>
      </c>
      <c r="T64" s="2"/>
      <c r="V64" s="2"/>
    </row>
    <row r="65" spans="1:22" ht="15.75" hidden="1" thickBot="1" x14ac:dyDescent="0.3">
      <c r="A65" s="369" t="s">
        <v>268</v>
      </c>
      <c r="B65" s="825" t="s">
        <v>269</v>
      </c>
      <c r="C65" s="825"/>
      <c r="D65" s="370"/>
      <c r="E65" s="370"/>
      <c r="F65" s="370"/>
      <c r="G65" s="370"/>
      <c r="H65" s="371">
        <v>182399</v>
      </c>
      <c r="I65" s="371"/>
      <c r="J65" s="372"/>
      <c r="K65" s="107"/>
      <c r="L65" s="107"/>
      <c r="M65" s="107"/>
      <c r="N65" s="107"/>
      <c r="O65" s="67"/>
      <c r="P65" s="209"/>
      <c r="Q65" s="67"/>
      <c r="R65" s="68">
        <f t="shared" si="5"/>
        <v>0</v>
      </c>
      <c r="T65" s="2"/>
      <c r="V65" s="2"/>
    </row>
    <row r="66" spans="1:22" ht="13.5" hidden="1" thickBot="1" x14ac:dyDescent="0.25">
      <c r="A66" s="352"/>
      <c r="B66" s="354"/>
      <c r="C66" s="69"/>
      <c r="D66" s="70"/>
      <c r="E66" s="70"/>
      <c r="F66" s="70"/>
      <c r="G66" s="70"/>
      <c r="H66" s="69"/>
      <c r="I66" s="367"/>
      <c r="J66" s="368"/>
      <c r="K66" s="70"/>
      <c r="L66" s="70"/>
      <c r="M66" s="70"/>
      <c r="N66" s="70"/>
      <c r="O66" s="236"/>
      <c r="P66" s="517"/>
      <c r="Q66" s="236"/>
      <c r="R66" s="71">
        <f t="shared" si="5"/>
        <v>0</v>
      </c>
      <c r="T66" s="2"/>
      <c r="V66" s="2"/>
    </row>
    <row r="67" spans="1:22" ht="15.75" thickBot="1" x14ac:dyDescent="0.3">
      <c r="A67" s="207" t="s">
        <v>74</v>
      </c>
      <c r="B67" s="734" t="s">
        <v>75</v>
      </c>
      <c r="C67" s="746"/>
      <c r="D67" s="208">
        <v>0</v>
      </c>
      <c r="E67" s="208">
        <v>0</v>
      </c>
      <c r="F67" s="208">
        <v>6639</v>
      </c>
      <c r="G67" s="208">
        <v>113606</v>
      </c>
      <c r="H67" s="208">
        <v>254005</v>
      </c>
      <c r="I67" s="273">
        <v>2699311</v>
      </c>
      <c r="J67" s="208">
        <v>3603230</v>
      </c>
      <c r="K67" s="67">
        <f>SUM(K74:K74)</f>
        <v>1781346</v>
      </c>
      <c r="L67" s="67">
        <f t="shared" ref="L67:R67" si="6">SUM(L68:L74)</f>
        <v>11891.04</v>
      </c>
      <c r="M67" s="67">
        <f t="shared" si="6"/>
        <v>1099.52</v>
      </c>
      <c r="N67" s="67">
        <f t="shared" si="6"/>
        <v>9688.17</v>
      </c>
      <c r="O67" s="67">
        <f t="shared" si="6"/>
        <v>132724</v>
      </c>
      <c r="P67" s="67">
        <f t="shared" si="6"/>
        <v>0</v>
      </c>
      <c r="Q67" s="67">
        <f t="shared" si="6"/>
        <v>0</v>
      </c>
      <c r="R67" s="68">
        <f t="shared" si="6"/>
        <v>132724</v>
      </c>
      <c r="T67" s="2"/>
      <c r="V67" s="2"/>
    </row>
    <row r="68" spans="1:22" ht="15" x14ac:dyDescent="0.25">
      <c r="A68" s="771"/>
      <c r="B68" s="833"/>
      <c r="C68" s="373" t="s">
        <v>234</v>
      </c>
      <c r="D68" s="374"/>
      <c r="E68" s="374"/>
      <c r="F68" s="374"/>
      <c r="G68" s="374"/>
      <c r="H68" s="373"/>
      <c r="I68" s="375"/>
      <c r="J68" s="376"/>
      <c r="K68" s="298"/>
      <c r="L68" s="87">
        <v>11891.04</v>
      </c>
      <c r="M68" s="87">
        <v>1099.52</v>
      </c>
      <c r="N68" s="377"/>
      <c r="O68" s="87"/>
      <c r="P68" s="377"/>
      <c r="Q68" s="500"/>
      <c r="R68" s="378">
        <f t="shared" ref="R68:R74" si="7">O68+P68+Q68</f>
        <v>0</v>
      </c>
      <c r="T68" s="2"/>
      <c r="V68" s="2"/>
    </row>
    <row r="69" spans="1:22" ht="15" x14ac:dyDescent="0.25">
      <c r="A69" s="772"/>
      <c r="B69" s="834"/>
      <c r="C69" s="379" t="s">
        <v>401</v>
      </c>
      <c r="D69" s="380"/>
      <c r="E69" s="380"/>
      <c r="F69" s="380"/>
      <c r="G69" s="380"/>
      <c r="H69" s="379"/>
      <c r="I69" s="381"/>
      <c r="J69" s="382"/>
      <c r="K69" s="300"/>
      <c r="L69" s="89"/>
      <c r="M69" s="89"/>
      <c r="N69" s="520"/>
      <c r="O69" s="89">
        <v>20000</v>
      </c>
      <c r="P69" s="520"/>
      <c r="Q69" s="557"/>
      <c r="R69" s="424">
        <f t="shared" si="7"/>
        <v>20000</v>
      </c>
      <c r="T69" s="2"/>
      <c r="V69" s="2"/>
    </row>
    <row r="70" spans="1:22" ht="15" x14ac:dyDescent="0.25">
      <c r="A70" s="772"/>
      <c r="B70" s="834"/>
      <c r="C70" s="379" t="s">
        <v>387</v>
      </c>
      <c r="D70" s="380"/>
      <c r="E70" s="380"/>
      <c r="F70" s="380"/>
      <c r="G70" s="380"/>
      <c r="H70" s="379"/>
      <c r="I70" s="381"/>
      <c r="J70" s="382"/>
      <c r="K70" s="300"/>
      <c r="L70" s="300"/>
      <c r="M70" s="383"/>
      <c r="N70" s="89">
        <v>5467.2</v>
      </c>
      <c r="O70" s="383"/>
      <c r="P70" s="518"/>
      <c r="Q70" s="383"/>
      <c r="R70" s="424">
        <f t="shared" si="7"/>
        <v>0</v>
      </c>
      <c r="T70" s="2"/>
      <c r="V70" s="2"/>
    </row>
    <row r="71" spans="1:22" ht="15" x14ac:dyDescent="0.25">
      <c r="A71" s="772"/>
      <c r="B71" s="834"/>
      <c r="C71" s="379" t="s">
        <v>407</v>
      </c>
      <c r="D71" s="380"/>
      <c r="E71" s="380"/>
      <c r="F71" s="380"/>
      <c r="G71" s="380"/>
      <c r="H71" s="379"/>
      <c r="I71" s="381"/>
      <c r="J71" s="382"/>
      <c r="K71" s="300"/>
      <c r="L71" s="300"/>
      <c r="M71" s="300"/>
      <c r="N71" s="300"/>
      <c r="O71" s="89">
        <v>12000</v>
      </c>
      <c r="P71" s="520"/>
      <c r="Q71" s="557"/>
      <c r="R71" s="424">
        <f t="shared" si="7"/>
        <v>12000</v>
      </c>
      <c r="T71" s="2"/>
      <c r="V71" s="2"/>
    </row>
    <row r="72" spans="1:22" ht="15" x14ac:dyDescent="0.25">
      <c r="A72" s="772"/>
      <c r="B72" s="834"/>
      <c r="C72" s="384" t="s">
        <v>418</v>
      </c>
      <c r="D72" s="385"/>
      <c r="E72" s="385"/>
      <c r="F72" s="385"/>
      <c r="G72" s="385"/>
      <c r="H72" s="384"/>
      <c r="I72" s="386"/>
      <c r="J72" s="387"/>
      <c r="K72" s="388"/>
      <c r="L72" s="388"/>
      <c r="M72" s="388"/>
      <c r="N72" s="388"/>
      <c r="O72" s="90">
        <v>90000</v>
      </c>
      <c r="P72" s="542"/>
      <c r="Q72" s="90"/>
      <c r="R72" s="514">
        <f t="shared" si="7"/>
        <v>90000</v>
      </c>
      <c r="T72" s="2"/>
      <c r="V72" s="2"/>
    </row>
    <row r="73" spans="1:22" ht="15.75" thickBot="1" x14ac:dyDescent="0.3">
      <c r="A73" s="772"/>
      <c r="B73" s="834"/>
      <c r="C73" s="384" t="s">
        <v>52</v>
      </c>
      <c r="D73" s="385"/>
      <c r="E73" s="385"/>
      <c r="F73" s="385"/>
      <c r="G73" s="385"/>
      <c r="H73" s="384"/>
      <c r="I73" s="386"/>
      <c r="J73" s="387"/>
      <c r="K73" s="388"/>
      <c r="L73" s="388"/>
      <c r="M73" s="388"/>
      <c r="N73" s="90">
        <v>4220.97</v>
      </c>
      <c r="O73" s="90">
        <v>10724</v>
      </c>
      <c r="P73" s="90"/>
      <c r="Q73" s="90"/>
      <c r="R73" s="514">
        <f t="shared" si="7"/>
        <v>10724</v>
      </c>
      <c r="T73" s="2"/>
      <c r="V73" s="2"/>
    </row>
    <row r="74" spans="1:22" ht="13.5" hidden="1" thickBot="1" x14ac:dyDescent="0.25">
      <c r="A74" s="773"/>
      <c r="B74" s="835"/>
      <c r="C74" s="46" t="s">
        <v>346</v>
      </c>
      <c r="D74" s="48"/>
      <c r="E74" s="48"/>
      <c r="F74" s="48"/>
      <c r="G74" s="48"/>
      <c r="H74" s="59"/>
      <c r="I74" s="389"/>
      <c r="J74" s="390"/>
      <c r="K74" s="48">
        <v>1781346</v>
      </c>
      <c r="L74" s="77"/>
      <c r="M74" s="77"/>
      <c r="N74" s="77"/>
      <c r="O74" s="205"/>
      <c r="P74" s="325"/>
      <c r="Q74" s="205"/>
      <c r="R74" s="78">
        <f t="shared" si="7"/>
        <v>0</v>
      </c>
      <c r="T74" s="2"/>
      <c r="V74" s="2"/>
    </row>
    <row r="75" spans="1:22" ht="15.75" thickBot="1" x14ac:dyDescent="0.3">
      <c r="A75" s="353" t="s">
        <v>369</v>
      </c>
      <c r="B75" s="825" t="s">
        <v>368</v>
      </c>
      <c r="C75" s="825"/>
      <c r="D75" s="228">
        <v>38040</v>
      </c>
      <c r="E75" s="228">
        <v>144792</v>
      </c>
      <c r="F75" s="228">
        <v>36414</v>
      </c>
      <c r="G75" s="228">
        <v>3228</v>
      </c>
      <c r="H75" s="228">
        <v>15058</v>
      </c>
      <c r="I75" s="371"/>
      <c r="J75" s="372"/>
      <c r="K75" s="107">
        <f t="shared" ref="K75:R75" si="8">SUM(K76:K79)</f>
        <v>5000</v>
      </c>
      <c r="L75" s="107">
        <f t="shared" si="8"/>
        <v>35480.800000000003</v>
      </c>
      <c r="M75" s="107">
        <f t="shared" si="8"/>
        <v>555131.6</v>
      </c>
      <c r="N75" s="107">
        <f t="shared" si="8"/>
        <v>10197.6</v>
      </c>
      <c r="O75" s="107">
        <f t="shared" si="8"/>
        <v>0</v>
      </c>
      <c r="P75" s="107">
        <f t="shared" si="8"/>
        <v>0</v>
      </c>
      <c r="Q75" s="107">
        <f t="shared" si="8"/>
        <v>0</v>
      </c>
      <c r="R75" s="68">
        <f t="shared" si="8"/>
        <v>0</v>
      </c>
      <c r="T75" s="2"/>
      <c r="V75" s="2"/>
    </row>
    <row r="76" spans="1:22" ht="14.25" hidden="1" x14ac:dyDescent="0.2">
      <c r="A76" s="771"/>
      <c r="B76" s="829"/>
      <c r="C76" s="41" t="s">
        <v>49</v>
      </c>
      <c r="D76" s="93"/>
      <c r="E76" s="93"/>
      <c r="F76" s="93"/>
      <c r="G76" s="93"/>
      <c r="H76" s="55"/>
      <c r="I76" s="363"/>
      <c r="J76" s="364"/>
      <c r="K76" s="392">
        <v>5000</v>
      </c>
      <c r="L76" s="392">
        <v>20503.12</v>
      </c>
      <c r="M76" s="392"/>
      <c r="N76" s="392"/>
      <c r="O76" s="501"/>
      <c r="P76" s="519"/>
      <c r="Q76" s="501"/>
      <c r="R76" s="393">
        <f>O76+P76+Q76</f>
        <v>0</v>
      </c>
      <c r="T76" s="2"/>
      <c r="V76" s="2"/>
    </row>
    <row r="77" spans="1:22" ht="14.25" x14ac:dyDescent="0.2">
      <c r="A77" s="772"/>
      <c r="B77" s="830"/>
      <c r="C77" s="72" t="s">
        <v>379</v>
      </c>
      <c r="D77" s="70"/>
      <c r="E77" s="70"/>
      <c r="F77" s="70"/>
      <c r="G77" s="70"/>
      <c r="H77" s="69"/>
      <c r="I77" s="367"/>
      <c r="J77" s="368"/>
      <c r="K77" s="545"/>
      <c r="L77" s="588"/>
      <c r="M77" s="26">
        <v>555131.6</v>
      </c>
      <c r="N77" s="26">
        <v>9000</v>
      </c>
      <c r="O77" s="589"/>
      <c r="P77" s="590"/>
      <c r="Q77" s="589"/>
      <c r="R77" s="591">
        <f>O77+P77+Q77</f>
        <v>0</v>
      </c>
      <c r="T77" s="2"/>
      <c r="V77" s="2"/>
    </row>
    <row r="78" spans="1:22" ht="14.25" x14ac:dyDescent="0.2">
      <c r="A78" s="772"/>
      <c r="B78" s="830"/>
      <c r="C78" s="72" t="s">
        <v>442</v>
      </c>
      <c r="D78" s="70"/>
      <c r="E78" s="70"/>
      <c r="F78" s="70"/>
      <c r="G78" s="70"/>
      <c r="H78" s="69"/>
      <c r="I78" s="367"/>
      <c r="J78" s="368"/>
      <c r="K78" s="545"/>
      <c r="L78" s="545"/>
      <c r="M78" s="545"/>
      <c r="N78" s="545"/>
      <c r="O78" s="652"/>
      <c r="P78" s="653"/>
      <c r="Q78" s="652"/>
      <c r="R78" s="71">
        <f>O78+P78+Q78</f>
        <v>0</v>
      </c>
      <c r="T78" s="2"/>
      <c r="V78" s="2"/>
    </row>
    <row r="79" spans="1:22" ht="13.5" thickBot="1" x14ac:dyDescent="0.25">
      <c r="A79" s="773"/>
      <c r="B79" s="831"/>
      <c r="C79" s="46" t="s">
        <v>463</v>
      </c>
      <c r="D79" s="77"/>
      <c r="E79" s="77"/>
      <c r="F79" s="77"/>
      <c r="G79" s="77"/>
      <c r="H79" s="76"/>
      <c r="I79" s="666"/>
      <c r="J79" s="667"/>
      <c r="K79" s="77"/>
      <c r="L79" s="77">
        <v>14977.68</v>
      </c>
      <c r="M79" s="77"/>
      <c r="N79" s="77">
        <v>1197.5999999999999</v>
      </c>
      <c r="O79" s="205"/>
      <c r="P79" s="325"/>
      <c r="Q79" s="205"/>
      <c r="R79" s="78">
        <f>O79+P79+Q79</f>
        <v>0</v>
      </c>
      <c r="T79" s="2"/>
      <c r="V79" s="2"/>
    </row>
    <row r="80" spans="1:22" ht="15.75" thickBot="1" x14ac:dyDescent="0.3">
      <c r="A80" s="353" t="s">
        <v>87</v>
      </c>
      <c r="B80" s="825" t="s">
        <v>351</v>
      </c>
      <c r="C80" s="825"/>
      <c r="D80" s="228">
        <v>326960</v>
      </c>
      <c r="E80" s="228">
        <v>144858</v>
      </c>
      <c r="F80" s="228">
        <v>123880</v>
      </c>
      <c r="G80" s="228">
        <v>20761</v>
      </c>
      <c r="H80" s="228">
        <v>158221</v>
      </c>
      <c r="I80" s="136">
        <v>92051</v>
      </c>
      <c r="J80" s="228">
        <v>68225</v>
      </c>
      <c r="K80" s="67">
        <f t="shared" ref="K80:R80" si="9">SUM(K81:K100)</f>
        <v>16198</v>
      </c>
      <c r="L80" s="67">
        <f t="shared" si="9"/>
        <v>1305435.6399999999</v>
      </c>
      <c r="M80" s="67">
        <f t="shared" si="9"/>
        <v>139207.66</v>
      </c>
      <c r="N80" s="67">
        <f t="shared" si="9"/>
        <v>44614.21</v>
      </c>
      <c r="O80" s="67">
        <f t="shared" si="9"/>
        <v>58100</v>
      </c>
      <c r="P80" s="67">
        <f t="shared" si="9"/>
        <v>0</v>
      </c>
      <c r="Q80" s="67">
        <f t="shared" si="9"/>
        <v>0</v>
      </c>
      <c r="R80" s="68">
        <f t="shared" si="9"/>
        <v>58100</v>
      </c>
      <c r="T80" s="2"/>
      <c r="V80" s="2"/>
    </row>
    <row r="81" spans="1:22" x14ac:dyDescent="0.2">
      <c r="A81" s="769"/>
      <c r="B81" s="826"/>
      <c r="C81" s="394" t="s">
        <v>50</v>
      </c>
      <c r="D81" s="395"/>
      <c r="E81" s="395"/>
      <c r="F81" s="395"/>
      <c r="G81" s="395"/>
      <c r="H81" s="396"/>
      <c r="I81" s="397"/>
      <c r="J81" s="398"/>
      <c r="K81" s="93"/>
      <c r="L81" s="93"/>
      <c r="M81" s="93">
        <v>1289.08</v>
      </c>
      <c r="N81" s="22"/>
      <c r="O81" s="44">
        <v>0</v>
      </c>
      <c r="P81" s="114"/>
      <c r="Q81" s="44"/>
      <c r="R81" s="27">
        <f t="shared" ref="R81:R100" si="10">O81+P81+Q81</f>
        <v>0</v>
      </c>
      <c r="T81" s="2"/>
      <c r="V81" s="2"/>
    </row>
    <row r="82" spans="1:22" x14ac:dyDescent="0.2">
      <c r="A82" s="774"/>
      <c r="B82" s="827"/>
      <c r="C82" s="221" t="s">
        <v>437</v>
      </c>
      <c r="D82" s="399"/>
      <c r="E82" s="399"/>
      <c r="F82" s="399"/>
      <c r="G82" s="399"/>
      <c r="H82" s="400"/>
      <c r="I82" s="401"/>
      <c r="J82" s="282"/>
      <c r="K82" s="26"/>
      <c r="L82" s="22"/>
      <c r="M82" s="22">
        <v>0</v>
      </c>
      <c r="N82" s="22"/>
      <c r="O82" s="44">
        <v>2200</v>
      </c>
      <c r="P82" s="114"/>
      <c r="Q82" s="44"/>
      <c r="R82" s="27">
        <f t="shared" si="10"/>
        <v>2200</v>
      </c>
      <c r="T82" s="2"/>
      <c r="V82" s="2"/>
    </row>
    <row r="83" spans="1:22" x14ac:dyDescent="0.2">
      <c r="A83" s="774"/>
      <c r="B83" s="827"/>
      <c r="C83" s="221" t="s">
        <v>51</v>
      </c>
      <c r="D83" s="399"/>
      <c r="E83" s="399"/>
      <c r="F83" s="399"/>
      <c r="G83" s="399"/>
      <c r="H83" s="400"/>
      <c r="I83" s="401"/>
      <c r="J83" s="282"/>
      <c r="K83" s="26"/>
      <c r="L83" s="22"/>
      <c r="M83" s="22">
        <v>0</v>
      </c>
      <c r="N83" s="22"/>
      <c r="O83" s="44">
        <v>0</v>
      </c>
      <c r="P83" s="114"/>
      <c r="Q83" s="44"/>
      <c r="R83" s="27">
        <f t="shared" si="10"/>
        <v>0</v>
      </c>
      <c r="T83" s="2"/>
      <c r="V83" s="2"/>
    </row>
    <row r="84" spans="1:22" x14ac:dyDescent="0.2">
      <c r="A84" s="774"/>
      <c r="B84" s="827"/>
      <c r="C84" s="221" t="s">
        <v>52</v>
      </c>
      <c r="D84" s="399"/>
      <c r="E84" s="399"/>
      <c r="F84" s="399"/>
      <c r="G84" s="399"/>
      <c r="H84" s="400"/>
      <c r="I84" s="401"/>
      <c r="J84" s="282"/>
      <c r="K84" s="26"/>
      <c r="L84" s="22"/>
      <c r="M84" s="22">
        <v>0</v>
      </c>
      <c r="N84" s="22"/>
      <c r="O84" s="44">
        <v>0</v>
      </c>
      <c r="P84" s="114"/>
      <c r="Q84" s="44"/>
      <c r="R84" s="27">
        <f t="shared" si="10"/>
        <v>0</v>
      </c>
      <c r="T84" s="2"/>
      <c r="V84" s="2"/>
    </row>
    <row r="85" spans="1:22" x14ac:dyDescent="0.2">
      <c r="A85" s="774"/>
      <c r="B85" s="827"/>
      <c r="C85" s="221" t="s">
        <v>53</v>
      </c>
      <c r="D85" s="399"/>
      <c r="E85" s="399"/>
      <c r="F85" s="399"/>
      <c r="G85" s="399"/>
      <c r="H85" s="400"/>
      <c r="I85" s="401"/>
      <c r="J85" s="282"/>
      <c r="K85" s="26"/>
      <c r="L85" s="22"/>
      <c r="M85" s="22">
        <v>0</v>
      </c>
      <c r="N85" s="22"/>
      <c r="O85" s="44">
        <v>0</v>
      </c>
      <c r="P85" s="114"/>
      <c r="Q85" s="44"/>
      <c r="R85" s="27">
        <f t="shared" si="10"/>
        <v>0</v>
      </c>
      <c r="T85" s="2"/>
      <c r="V85" s="2"/>
    </row>
    <row r="86" spans="1:22" x14ac:dyDescent="0.2">
      <c r="A86" s="774"/>
      <c r="B86" s="827"/>
      <c r="C86" s="402" t="s">
        <v>54</v>
      </c>
      <c r="D86" s="403"/>
      <c r="E86" s="403"/>
      <c r="F86" s="403"/>
      <c r="G86" s="403"/>
      <c r="H86" s="404"/>
      <c r="I86" s="405"/>
      <c r="J86" s="406"/>
      <c r="K86" s="30"/>
      <c r="L86" s="70"/>
      <c r="M86" s="70">
        <v>0</v>
      </c>
      <c r="N86" s="70"/>
      <c r="O86" s="44">
        <v>0</v>
      </c>
      <c r="P86" s="114"/>
      <c r="Q86" s="44"/>
      <c r="R86" s="27">
        <f t="shared" si="10"/>
        <v>0</v>
      </c>
      <c r="T86" s="2"/>
      <c r="V86" s="2"/>
    </row>
    <row r="87" spans="1:22" x14ac:dyDescent="0.2">
      <c r="A87" s="774"/>
      <c r="B87" s="827"/>
      <c r="C87" s="407" t="s">
        <v>55</v>
      </c>
      <c r="D87" s="408"/>
      <c r="E87" s="408"/>
      <c r="F87" s="408"/>
      <c r="G87" s="408"/>
      <c r="H87" s="409"/>
      <c r="I87" s="410"/>
      <c r="J87" s="411"/>
      <c r="K87" s="30"/>
      <c r="L87" s="70"/>
      <c r="M87" s="70">
        <v>0</v>
      </c>
      <c r="N87" s="70"/>
      <c r="O87" s="44">
        <v>0</v>
      </c>
      <c r="P87" s="114"/>
      <c r="Q87" s="44"/>
      <c r="R87" s="27">
        <f t="shared" si="10"/>
        <v>0</v>
      </c>
      <c r="T87" s="2"/>
      <c r="V87" s="2"/>
    </row>
    <row r="88" spans="1:22" x14ac:dyDescent="0.2">
      <c r="A88" s="774"/>
      <c r="B88" s="827"/>
      <c r="C88" s="221" t="s">
        <v>56</v>
      </c>
      <c r="D88" s="408"/>
      <c r="E88" s="408"/>
      <c r="F88" s="408"/>
      <c r="G88" s="408"/>
      <c r="H88" s="409"/>
      <c r="I88" s="410"/>
      <c r="J88" s="411"/>
      <c r="K88" s="30"/>
      <c r="L88" s="70"/>
      <c r="M88" s="70">
        <v>0</v>
      </c>
      <c r="N88" s="70"/>
      <c r="O88" s="44">
        <v>0</v>
      </c>
      <c r="P88" s="114"/>
      <c r="Q88" s="44"/>
      <c r="R88" s="27">
        <f t="shared" si="10"/>
        <v>0</v>
      </c>
      <c r="T88" s="2"/>
      <c r="V88" s="2"/>
    </row>
    <row r="89" spans="1:22" x14ac:dyDescent="0.2">
      <c r="A89" s="774"/>
      <c r="B89" s="827"/>
      <c r="C89" s="43" t="s">
        <v>57</v>
      </c>
      <c r="D89" s="26"/>
      <c r="E89" s="26"/>
      <c r="F89" s="26"/>
      <c r="G89" s="26"/>
      <c r="H89" s="58"/>
      <c r="I89" s="355"/>
      <c r="J89" s="356"/>
      <c r="K89" s="26"/>
      <c r="L89" s="26"/>
      <c r="M89" s="26">
        <v>0</v>
      </c>
      <c r="N89" s="26"/>
      <c r="O89" s="44">
        <v>0</v>
      </c>
      <c r="P89" s="114"/>
      <c r="Q89" s="44"/>
      <c r="R89" s="27">
        <f t="shared" si="10"/>
        <v>0</v>
      </c>
      <c r="T89" s="2"/>
      <c r="V89" s="2"/>
    </row>
    <row r="90" spans="1:22" x14ac:dyDescent="0.2">
      <c r="A90" s="774"/>
      <c r="B90" s="827"/>
      <c r="C90" s="43" t="s">
        <v>483</v>
      </c>
      <c r="D90" s="26"/>
      <c r="E90" s="26"/>
      <c r="F90" s="26"/>
      <c r="G90" s="26"/>
      <c r="H90" s="58"/>
      <c r="I90" s="355"/>
      <c r="J90" s="356"/>
      <c r="K90" s="26">
        <v>7632</v>
      </c>
      <c r="L90" s="26"/>
      <c r="M90" s="26">
        <v>0</v>
      </c>
      <c r="N90" s="26"/>
      <c r="O90" s="44">
        <v>1000</v>
      </c>
      <c r="P90" s="114"/>
      <c r="Q90" s="44"/>
      <c r="R90" s="27">
        <f t="shared" si="10"/>
        <v>1000</v>
      </c>
      <c r="T90" s="2"/>
      <c r="V90" s="2"/>
    </row>
    <row r="91" spans="1:22" x14ac:dyDescent="0.2">
      <c r="A91" s="774"/>
      <c r="B91" s="827"/>
      <c r="C91" s="43" t="s">
        <v>249</v>
      </c>
      <c r="D91" s="26"/>
      <c r="E91" s="26"/>
      <c r="F91" s="26"/>
      <c r="G91" s="26"/>
      <c r="H91" s="58"/>
      <c r="I91" s="355"/>
      <c r="J91" s="356"/>
      <c r="K91" s="26"/>
      <c r="L91" s="26"/>
      <c r="M91" s="26">
        <v>0</v>
      </c>
      <c r="N91" s="26">
        <v>11867.59</v>
      </c>
      <c r="O91" s="44">
        <v>0</v>
      </c>
      <c r="P91" s="114"/>
      <c r="Q91" s="44"/>
      <c r="R91" s="27">
        <f t="shared" si="10"/>
        <v>0</v>
      </c>
      <c r="T91" s="2"/>
      <c r="V91" s="2"/>
    </row>
    <row r="92" spans="1:22" x14ac:dyDescent="0.2">
      <c r="A92" s="774"/>
      <c r="B92" s="827"/>
      <c r="C92" s="43" t="s">
        <v>421</v>
      </c>
      <c r="D92" s="26"/>
      <c r="E92" s="26"/>
      <c r="F92" s="26"/>
      <c r="G92" s="26"/>
      <c r="H92" s="58"/>
      <c r="I92" s="355"/>
      <c r="J92" s="356"/>
      <c r="K92" s="26">
        <v>0</v>
      </c>
      <c r="L92" s="26"/>
      <c r="M92" s="26">
        <v>0</v>
      </c>
      <c r="N92" s="26"/>
      <c r="O92" s="44">
        <v>4800</v>
      </c>
      <c r="P92" s="44"/>
      <c r="Q92" s="44"/>
      <c r="R92" s="27">
        <f t="shared" si="10"/>
        <v>4800</v>
      </c>
      <c r="T92" s="2"/>
      <c r="V92" s="2"/>
    </row>
    <row r="93" spans="1:22" x14ac:dyDescent="0.2">
      <c r="A93" s="774"/>
      <c r="B93" s="827"/>
      <c r="C93" s="43" t="s">
        <v>58</v>
      </c>
      <c r="D93" s="26"/>
      <c r="E93" s="26"/>
      <c r="F93" s="26"/>
      <c r="G93" s="26"/>
      <c r="H93" s="58"/>
      <c r="I93" s="355"/>
      <c r="J93" s="356"/>
      <c r="K93" s="26">
        <v>0</v>
      </c>
      <c r="L93" s="26">
        <v>1302435.6399999999</v>
      </c>
      <c r="M93" s="26">
        <v>95467.839999999997</v>
      </c>
      <c r="N93" s="26"/>
      <c r="O93" s="44">
        <v>0</v>
      </c>
      <c r="P93" s="114"/>
      <c r="Q93" s="44"/>
      <c r="R93" s="27">
        <f t="shared" si="10"/>
        <v>0</v>
      </c>
      <c r="T93" s="2"/>
      <c r="V93" s="2"/>
    </row>
    <row r="94" spans="1:22" x14ac:dyDescent="0.2">
      <c r="A94" s="774"/>
      <c r="B94" s="827"/>
      <c r="C94" s="43" t="s">
        <v>59</v>
      </c>
      <c r="D94" s="26"/>
      <c r="E94" s="26"/>
      <c r="F94" s="26"/>
      <c r="G94" s="26"/>
      <c r="H94" s="58"/>
      <c r="I94" s="355"/>
      <c r="J94" s="356"/>
      <c r="K94" s="26"/>
      <c r="L94" s="26"/>
      <c r="M94" s="26">
        <v>38905.74</v>
      </c>
      <c r="N94" s="26"/>
      <c r="O94" s="44">
        <v>0</v>
      </c>
      <c r="P94" s="114"/>
      <c r="Q94" s="44"/>
      <c r="R94" s="27">
        <f t="shared" si="10"/>
        <v>0</v>
      </c>
      <c r="T94" s="2"/>
      <c r="V94" s="2"/>
    </row>
    <row r="95" spans="1:22" x14ac:dyDescent="0.2">
      <c r="A95" s="774"/>
      <c r="B95" s="827"/>
      <c r="C95" s="43" t="s">
        <v>415</v>
      </c>
      <c r="D95" s="26"/>
      <c r="E95" s="26"/>
      <c r="F95" s="26"/>
      <c r="G95" s="26"/>
      <c r="H95" s="58"/>
      <c r="I95" s="355"/>
      <c r="J95" s="356"/>
      <c r="K95" s="26"/>
      <c r="L95" s="26"/>
      <c r="M95" s="26"/>
      <c r="N95" s="26"/>
      <c r="O95" s="44">
        <v>25600</v>
      </c>
      <c r="P95" s="44"/>
      <c r="Q95" s="44"/>
      <c r="R95" s="27">
        <f>O95+P95+Q95</f>
        <v>25600</v>
      </c>
      <c r="T95" s="2"/>
      <c r="V95" s="2"/>
    </row>
    <row r="96" spans="1:22" x14ac:dyDescent="0.2">
      <c r="A96" s="774"/>
      <c r="B96" s="827"/>
      <c r="C96" s="43" t="s">
        <v>417</v>
      </c>
      <c r="D96" s="26"/>
      <c r="E96" s="26"/>
      <c r="F96" s="26"/>
      <c r="G96" s="26"/>
      <c r="H96" s="58"/>
      <c r="I96" s="355"/>
      <c r="J96" s="356"/>
      <c r="K96" s="26"/>
      <c r="L96" s="26"/>
      <c r="M96" s="26">
        <v>0</v>
      </c>
      <c r="N96" s="26"/>
      <c r="O96" s="44">
        <v>6630</v>
      </c>
      <c r="P96" s="114"/>
      <c r="Q96" s="44"/>
      <c r="R96" s="27">
        <f t="shared" si="10"/>
        <v>6630</v>
      </c>
      <c r="T96" s="2"/>
      <c r="V96" s="2"/>
    </row>
    <row r="97" spans="1:22" x14ac:dyDescent="0.2">
      <c r="A97" s="774"/>
      <c r="B97" s="827"/>
      <c r="C97" s="43" t="s">
        <v>448</v>
      </c>
      <c r="D97" s="26"/>
      <c r="E97" s="26"/>
      <c r="F97" s="26"/>
      <c r="G97" s="26"/>
      <c r="H97" s="58"/>
      <c r="I97" s="355"/>
      <c r="J97" s="356"/>
      <c r="K97" s="26">
        <v>8090</v>
      </c>
      <c r="L97" s="26"/>
      <c r="M97" s="26">
        <v>0</v>
      </c>
      <c r="N97" s="26"/>
      <c r="O97" s="44">
        <v>0</v>
      </c>
      <c r="P97" s="114"/>
      <c r="Q97" s="44"/>
      <c r="R97" s="27">
        <f t="shared" si="10"/>
        <v>0</v>
      </c>
      <c r="T97" s="2"/>
      <c r="V97" s="2"/>
    </row>
    <row r="98" spans="1:22" x14ac:dyDescent="0.2">
      <c r="A98" s="774"/>
      <c r="B98" s="827"/>
      <c r="C98" s="43" t="s">
        <v>388</v>
      </c>
      <c r="D98" s="26"/>
      <c r="E98" s="26"/>
      <c r="F98" s="26"/>
      <c r="G98" s="26"/>
      <c r="H98" s="58"/>
      <c r="I98" s="355"/>
      <c r="J98" s="356"/>
      <c r="K98" s="26"/>
      <c r="L98" s="26"/>
      <c r="M98" s="26"/>
      <c r="N98" s="26">
        <v>8453.9699999999993</v>
      </c>
      <c r="O98" s="44">
        <v>15870</v>
      </c>
      <c r="P98" s="114"/>
      <c r="Q98" s="44"/>
      <c r="R98" s="27">
        <f t="shared" si="10"/>
        <v>15870</v>
      </c>
      <c r="T98" s="2"/>
      <c r="V98" s="2"/>
    </row>
    <row r="99" spans="1:22" x14ac:dyDescent="0.2">
      <c r="A99" s="774"/>
      <c r="B99" s="827"/>
      <c r="C99" s="43" t="s">
        <v>389</v>
      </c>
      <c r="D99" s="30"/>
      <c r="E99" s="30"/>
      <c r="F99" s="30"/>
      <c r="G99" s="30"/>
      <c r="H99" s="66"/>
      <c r="I99" s="357"/>
      <c r="J99" s="358"/>
      <c r="K99" s="30"/>
      <c r="L99" s="30"/>
      <c r="M99" s="30"/>
      <c r="N99" s="30">
        <v>24292.65</v>
      </c>
      <c r="O99" s="44">
        <v>0</v>
      </c>
      <c r="P99" s="114"/>
      <c r="Q99" s="44"/>
      <c r="R99" s="27">
        <f t="shared" si="10"/>
        <v>0</v>
      </c>
      <c r="T99" s="2"/>
      <c r="V99" s="2"/>
    </row>
    <row r="100" spans="1:22" ht="13.5" thickBot="1" x14ac:dyDescent="0.25">
      <c r="A100" s="770"/>
      <c r="B100" s="828"/>
      <c r="C100" s="115" t="s">
        <v>52</v>
      </c>
      <c r="D100" s="48"/>
      <c r="E100" s="48"/>
      <c r="F100" s="48"/>
      <c r="G100" s="48"/>
      <c r="H100" s="59"/>
      <c r="I100" s="389"/>
      <c r="J100" s="390"/>
      <c r="K100" s="48">
        <v>476</v>
      </c>
      <c r="L100" s="48">
        <v>3000</v>
      </c>
      <c r="M100" s="48">
        <v>3545</v>
      </c>
      <c r="N100" s="30"/>
      <c r="O100" s="74">
        <v>2000</v>
      </c>
      <c r="P100" s="248"/>
      <c r="Q100" s="74"/>
      <c r="R100" s="31">
        <f t="shared" si="10"/>
        <v>2000</v>
      </c>
      <c r="T100" s="2"/>
      <c r="V100" s="2"/>
    </row>
    <row r="101" spans="1:22" ht="15.75" hidden="1" thickBot="1" x14ac:dyDescent="0.3">
      <c r="A101" s="286" t="s">
        <v>60</v>
      </c>
      <c r="B101" s="750" t="s">
        <v>0</v>
      </c>
      <c r="C101" s="751"/>
      <c r="D101" s="412"/>
      <c r="E101" s="412"/>
      <c r="F101" s="412"/>
      <c r="G101" s="412"/>
      <c r="H101" s="261"/>
      <c r="I101" s="413"/>
      <c r="J101" s="414"/>
      <c r="K101" s="391"/>
      <c r="L101" s="391"/>
      <c r="M101" s="391"/>
      <c r="N101" s="391"/>
      <c r="O101" s="67"/>
      <c r="P101" s="209"/>
      <c r="Q101" s="67"/>
      <c r="R101" s="68"/>
      <c r="T101" s="2"/>
      <c r="V101" s="2"/>
    </row>
    <row r="102" spans="1:22" hidden="1" x14ac:dyDescent="0.2">
      <c r="A102" s="352"/>
      <c r="B102" s="354"/>
      <c r="C102" s="43" t="s">
        <v>61</v>
      </c>
      <c r="D102" s="26"/>
      <c r="E102" s="26"/>
      <c r="F102" s="26"/>
      <c r="G102" s="26"/>
      <c r="H102" s="58"/>
      <c r="I102" s="355"/>
      <c r="J102" s="356"/>
      <c r="K102" s="26"/>
      <c r="L102" s="26"/>
      <c r="M102" s="26"/>
      <c r="N102" s="26"/>
      <c r="O102" s="44"/>
      <c r="P102" s="114"/>
      <c r="Q102" s="44"/>
      <c r="R102" s="27"/>
      <c r="T102" s="2"/>
      <c r="V102" s="2"/>
    </row>
    <row r="103" spans="1:22" hidden="1" x14ac:dyDescent="0.2">
      <c r="A103" s="352"/>
      <c r="B103" s="354"/>
      <c r="C103" s="43"/>
      <c r="D103" s="26"/>
      <c r="E103" s="26"/>
      <c r="F103" s="26"/>
      <c r="G103" s="26"/>
      <c r="H103" s="58"/>
      <c r="I103" s="355"/>
      <c r="J103" s="356"/>
      <c r="K103" s="26"/>
      <c r="L103" s="26"/>
      <c r="M103" s="26"/>
      <c r="N103" s="26"/>
      <c r="O103" s="44"/>
      <c r="P103" s="114"/>
      <c r="Q103" s="44"/>
      <c r="R103" s="27"/>
      <c r="T103" s="2"/>
      <c r="V103" s="2"/>
    </row>
    <row r="104" spans="1:22" ht="13.5" hidden="1" thickBot="1" x14ac:dyDescent="0.25">
      <c r="A104" s="352"/>
      <c r="B104" s="354"/>
      <c r="C104" s="47"/>
      <c r="D104" s="30"/>
      <c r="E104" s="30"/>
      <c r="F104" s="30"/>
      <c r="G104" s="30"/>
      <c r="H104" s="66"/>
      <c r="I104" s="357"/>
      <c r="J104" s="358"/>
      <c r="K104" s="30"/>
      <c r="L104" s="30"/>
      <c r="M104" s="30"/>
      <c r="N104" s="30"/>
      <c r="O104" s="74"/>
      <c r="P104" s="248"/>
      <c r="Q104" s="74"/>
      <c r="R104" s="31"/>
      <c r="T104" s="2"/>
      <c r="V104" s="2"/>
    </row>
    <row r="105" spans="1:22" ht="15.75" thickBot="1" x14ac:dyDescent="0.3">
      <c r="A105" s="353" t="s">
        <v>266</v>
      </c>
      <c r="B105" s="825" t="s">
        <v>267</v>
      </c>
      <c r="C105" s="825"/>
      <c r="D105" s="228">
        <v>8298</v>
      </c>
      <c r="E105" s="228">
        <v>3983</v>
      </c>
      <c r="F105" s="228">
        <v>175065</v>
      </c>
      <c r="G105" s="228">
        <v>138049</v>
      </c>
      <c r="H105" s="228">
        <v>127764</v>
      </c>
      <c r="I105" s="136">
        <v>149292</v>
      </c>
      <c r="J105" s="228">
        <v>3000</v>
      </c>
      <c r="K105" s="67">
        <f>SUM(K110:K112)</f>
        <v>6455</v>
      </c>
      <c r="L105" s="67">
        <f t="shared" ref="L105:R105" si="11">SUM(L106:L112)</f>
        <v>131475.39000000001</v>
      </c>
      <c r="M105" s="67">
        <f t="shared" si="11"/>
        <v>1775474.1500000001</v>
      </c>
      <c r="N105" s="67">
        <f t="shared" si="11"/>
        <v>12967.75</v>
      </c>
      <c r="O105" s="67">
        <f t="shared" si="11"/>
        <v>2000</v>
      </c>
      <c r="P105" s="67">
        <f t="shared" si="11"/>
        <v>0</v>
      </c>
      <c r="Q105" s="67">
        <f t="shared" si="11"/>
        <v>0</v>
      </c>
      <c r="R105" s="68">
        <f t="shared" si="11"/>
        <v>2000</v>
      </c>
      <c r="T105" s="2"/>
      <c r="V105" s="2"/>
    </row>
    <row r="106" spans="1:22" x14ac:dyDescent="0.2">
      <c r="A106" s="771"/>
      <c r="B106" s="833"/>
      <c r="C106" s="373" t="s">
        <v>230</v>
      </c>
      <c r="D106" s="415"/>
      <c r="E106" s="415"/>
      <c r="F106" s="415"/>
      <c r="G106" s="415"/>
      <c r="H106" s="416"/>
      <c r="I106" s="417"/>
      <c r="J106" s="418"/>
      <c r="K106" s="142"/>
      <c r="L106" s="142">
        <v>123141.28</v>
      </c>
      <c r="M106" s="142">
        <v>1602434.8900000001</v>
      </c>
      <c r="N106" s="142">
        <v>7569.59</v>
      </c>
      <c r="O106" s="87"/>
      <c r="P106" s="377"/>
      <c r="Q106" s="87"/>
      <c r="R106" s="419">
        <f t="shared" ref="R106:R112" si="12">O106+P106+Q106</f>
        <v>0</v>
      </c>
      <c r="T106" s="2"/>
      <c r="V106" s="2"/>
    </row>
    <row r="107" spans="1:22" x14ac:dyDescent="0.2">
      <c r="A107" s="772"/>
      <c r="B107" s="834"/>
      <c r="C107" s="379" t="s">
        <v>373</v>
      </c>
      <c r="D107" s="420"/>
      <c r="E107" s="420"/>
      <c r="F107" s="420"/>
      <c r="G107" s="420"/>
      <c r="H107" s="421"/>
      <c r="I107" s="422"/>
      <c r="J107" s="423"/>
      <c r="K107" s="21"/>
      <c r="L107" s="21"/>
      <c r="M107" s="21">
        <v>18092.39</v>
      </c>
      <c r="N107" s="21">
        <v>3400</v>
      </c>
      <c r="O107" s="89">
        <v>2000</v>
      </c>
      <c r="P107" s="89"/>
      <c r="Q107" s="89"/>
      <c r="R107" s="424">
        <f t="shared" si="12"/>
        <v>2000</v>
      </c>
      <c r="T107" s="2"/>
      <c r="V107" s="2"/>
    </row>
    <row r="108" spans="1:22" x14ac:dyDescent="0.2">
      <c r="A108" s="772"/>
      <c r="B108" s="834"/>
      <c r="C108" s="379" t="s">
        <v>62</v>
      </c>
      <c r="D108" s="420"/>
      <c r="E108" s="420"/>
      <c r="F108" s="420"/>
      <c r="G108" s="420"/>
      <c r="H108" s="421"/>
      <c r="I108" s="422"/>
      <c r="J108" s="423"/>
      <c r="K108" s="21"/>
      <c r="L108" s="21"/>
      <c r="M108" s="21">
        <v>16624.5</v>
      </c>
      <c r="N108" s="21"/>
      <c r="O108" s="89"/>
      <c r="P108" s="520"/>
      <c r="Q108" s="89"/>
      <c r="R108" s="424">
        <f t="shared" si="12"/>
        <v>0</v>
      </c>
      <c r="T108" s="2"/>
      <c r="V108" s="2"/>
    </row>
    <row r="109" spans="1:22" x14ac:dyDescent="0.2">
      <c r="A109" s="772"/>
      <c r="B109" s="834"/>
      <c r="C109" s="379" t="s">
        <v>63</v>
      </c>
      <c r="D109" s="420"/>
      <c r="E109" s="420"/>
      <c r="F109" s="420"/>
      <c r="G109" s="420"/>
      <c r="H109" s="421"/>
      <c r="I109" s="422"/>
      <c r="J109" s="423"/>
      <c r="K109" s="21"/>
      <c r="L109" s="21"/>
      <c r="M109" s="21">
        <v>120000</v>
      </c>
      <c r="N109" s="21"/>
      <c r="O109" s="89"/>
      <c r="P109" s="520"/>
      <c r="Q109" s="89"/>
      <c r="R109" s="424">
        <f t="shared" si="12"/>
        <v>0</v>
      </c>
      <c r="T109" s="2"/>
      <c r="V109" s="2"/>
    </row>
    <row r="110" spans="1:22" x14ac:dyDescent="0.2">
      <c r="A110" s="772"/>
      <c r="B110" s="834"/>
      <c r="C110" s="72" t="s">
        <v>64</v>
      </c>
      <c r="D110" s="22"/>
      <c r="E110" s="22"/>
      <c r="F110" s="22"/>
      <c r="G110" s="22"/>
      <c r="H110" s="56"/>
      <c r="I110" s="365"/>
      <c r="J110" s="366"/>
      <c r="K110" s="22">
        <v>6455</v>
      </c>
      <c r="L110" s="22"/>
      <c r="M110" s="22">
        <v>14992.37</v>
      </c>
      <c r="N110" s="22"/>
      <c r="O110" s="57"/>
      <c r="P110" s="73"/>
      <c r="Q110" s="57"/>
      <c r="R110" s="23">
        <f t="shared" si="12"/>
        <v>0</v>
      </c>
      <c r="T110" s="2"/>
      <c r="V110" s="2"/>
    </row>
    <row r="111" spans="1:22" hidden="1" x14ac:dyDescent="0.2">
      <c r="A111" s="772"/>
      <c r="B111" s="834"/>
      <c r="C111" s="643"/>
      <c r="D111" s="644"/>
      <c r="E111" s="644"/>
      <c r="F111" s="644"/>
      <c r="G111" s="644"/>
      <c r="H111" s="645"/>
      <c r="I111" s="646"/>
      <c r="J111" s="647"/>
      <c r="K111" s="644"/>
      <c r="L111" s="642"/>
      <c r="M111" s="635"/>
      <c r="N111" s="639"/>
      <c r="O111" s="640"/>
      <c r="P111" s="641"/>
      <c r="Q111" s="650"/>
      <c r="R111" s="651">
        <f t="shared" si="12"/>
        <v>0</v>
      </c>
      <c r="T111" s="2"/>
      <c r="V111" s="2"/>
    </row>
    <row r="112" spans="1:22" ht="13.5" thickBot="1" x14ac:dyDescent="0.25">
      <c r="A112" s="773"/>
      <c r="B112" s="835"/>
      <c r="C112" s="46" t="s">
        <v>65</v>
      </c>
      <c r="D112" s="48"/>
      <c r="E112" s="48"/>
      <c r="F112" s="48"/>
      <c r="G112" s="48"/>
      <c r="H112" s="59"/>
      <c r="I112" s="389"/>
      <c r="J112" s="390"/>
      <c r="K112" s="48"/>
      <c r="L112" s="77">
        <v>8334.11</v>
      </c>
      <c r="M112" s="77">
        <v>3330</v>
      </c>
      <c r="N112" s="77">
        <v>1998.16</v>
      </c>
      <c r="O112" s="205"/>
      <c r="P112" s="325"/>
      <c r="Q112" s="205"/>
      <c r="R112" s="78">
        <f t="shared" si="12"/>
        <v>0</v>
      </c>
      <c r="T112" s="2"/>
      <c r="V112" s="2"/>
    </row>
    <row r="113" spans="1:22" ht="15.75" thickBot="1" x14ac:dyDescent="0.3">
      <c r="A113" s="353" t="s">
        <v>81</v>
      </c>
      <c r="B113" s="825" t="s">
        <v>102</v>
      </c>
      <c r="C113" s="825"/>
      <c r="D113" s="228"/>
      <c r="E113" s="228">
        <v>22472</v>
      </c>
      <c r="F113" s="228">
        <v>20713</v>
      </c>
      <c r="G113" s="228">
        <v>11074</v>
      </c>
      <c r="H113" s="228">
        <v>15914</v>
      </c>
      <c r="I113" s="136">
        <v>116842</v>
      </c>
      <c r="J113" s="228">
        <v>38905</v>
      </c>
      <c r="K113" s="67">
        <f t="shared" ref="K113:Q113" si="13">SUM(K114:K119)</f>
        <v>15848</v>
      </c>
      <c r="L113" s="67">
        <f t="shared" si="13"/>
        <v>26915.190000000002</v>
      </c>
      <c r="M113" s="67">
        <f t="shared" si="13"/>
        <v>9771.24</v>
      </c>
      <c r="N113" s="67">
        <f t="shared" si="13"/>
        <v>62531.63</v>
      </c>
      <c r="O113" s="67">
        <f t="shared" si="13"/>
        <v>195999</v>
      </c>
      <c r="P113" s="67">
        <f t="shared" si="13"/>
        <v>0</v>
      </c>
      <c r="Q113" s="67">
        <f t="shared" si="13"/>
        <v>0</v>
      </c>
      <c r="R113" s="68">
        <f>SUM(R114:R119)</f>
        <v>195999</v>
      </c>
      <c r="T113" s="2"/>
      <c r="V113" s="2"/>
    </row>
    <row r="114" spans="1:22" x14ac:dyDescent="0.2">
      <c r="A114" s="769"/>
      <c r="B114" s="826"/>
      <c r="C114" s="41" t="s">
        <v>66</v>
      </c>
      <c r="D114" s="93"/>
      <c r="E114" s="93"/>
      <c r="F114" s="93"/>
      <c r="G114" s="93"/>
      <c r="H114" s="55"/>
      <c r="I114" s="363"/>
      <c r="J114" s="364"/>
      <c r="K114" s="93">
        <v>7000</v>
      </c>
      <c r="L114" s="22">
        <v>16662.2</v>
      </c>
      <c r="M114" s="22"/>
      <c r="N114" s="22"/>
      <c r="O114" s="57">
        <v>9000</v>
      </c>
      <c r="P114" s="628"/>
      <c r="Q114" s="57"/>
      <c r="R114" s="23">
        <f t="shared" ref="R114:R119" si="14">O114+P114+Q114</f>
        <v>9000</v>
      </c>
      <c r="T114" s="2"/>
      <c r="V114" s="2"/>
    </row>
    <row r="115" spans="1:22" x14ac:dyDescent="0.2">
      <c r="A115" s="774"/>
      <c r="B115" s="827"/>
      <c r="C115" s="43" t="s">
        <v>390</v>
      </c>
      <c r="D115" s="26"/>
      <c r="E115" s="26"/>
      <c r="F115" s="26"/>
      <c r="G115" s="26"/>
      <c r="H115" s="58"/>
      <c r="I115" s="355"/>
      <c r="J115" s="356"/>
      <c r="K115" s="26"/>
      <c r="L115" s="26"/>
      <c r="M115" s="26"/>
      <c r="N115" s="26">
        <v>62531.63</v>
      </c>
      <c r="O115" s="44">
        <v>0</v>
      </c>
      <c r="P115" s="628"/>
      <c r="Q115" s="57"/>
      <c r="R115" s="23">
        <f t="shared" si="14"/>
        <v>0</v>
      </c>
      <c r="T115" s="2"/>
      <c r="V115" s="2"/>
    </row>
    <row r="116" spans="1:22" x14ac:dyDescent="0.2">
      <c r="A116" s="774"/>
      <c r="B116" s="827"/>
      <c r="C116" s="43" t="s">
        <v>206</v>
      </c>
      <c r="D116" s="26"/>
      <c r="E116" s="26"/>
      <c r="F116" s="26"/>
      <c r="G116" s="26"/>
      <c r="H116" s="58"/>
      <c r="I116" s="355"/>
      <c r="J116" s="356"/>
      <c r="K116" s="26"/>
      <c r="L116" s="26"/>
      <c r="M116" s="26">
        <v>9771.24</v>
      </c>
      <c r="N116" s="26"/>
      <c r="O116" s="90">
        <v>0</v>
      </c>
      <c r="P116" s="629"/>
      <c r="Q116" s="90"/>
      <c r="R116" s="514">
        <f t="shared" si="14"/>
        <v>0</v>
      </c>
      <c r="T116" s="2"/>
      <c r="V116" s="2"/>
    </row>
    <row r="117" spans="1:22" x14ac:dyDescent="0.2">
      <c r="A117" s="774"/>
      <c r="B117" s="827"/>
      <c r="C117" s="43" t="s">
        <v>422</v>
      </c>
      <c r="D117" s="26"/>
      <c r="E117" s="26"/>
      <c r="F117" s="26"/>
      <c r="G117" s="26"/>
      <c r="H117" s="58"/>
      <c r="I117" s="355"/>
      <c r="J117" s="356"/>
      <c r="K117" s="26"/>
      <c r="L117" s="26"/>
      <c r="M117" s="26"/>
      <c r="N117" s="26"/>
      <c r="O117" s="90">
        <v>131640</v>
      </c>
      <c r="P117" s="90"/>
      <c r="Q117" s="90"/>
      <c r="R117" s="514">
        <f t="shared" si="14"/>
        <v>131640</v>
      </c>
      <c r="T117" s="2"/>
      <c r="V117" s="2"/>
    </row>
    <row r="118" spans="1:22" x14ac:dyDescent="0.2">
      <c r="A118" s="774"/>
      <c r="B118" s="827"/>
      <c r="C118" s="43" t="s">
        <v>423</v>
      </c>
      <c r="D118" s="26"/>
      <c r="E118" s="26"/>
      <c r="F118" s="26"/>
      <c r="G118" s="26"/>
      <c r="H118" s="58"/>
      <c r="I118" s="355"/>
      <c r="J118" s="356"/>
      <c r="K118" s="26"/>
      <c r="L118" s="26"/>
      <c r="M118" s="26"/>
      <c r="N118" s="26"/>
      <c r="O118" s="90">
        <v>51359</v>
      </c>
      <c r="P118" s="90"/>
      <c r="Q118" s="90"/>
      <c r="R118" s="514">
        <f t="shared" si="14"/>
        <v>51359</v>
      </c>
      <c r="T118" s="2"/>
      <c r="V118" s="2"/>
    </row>
    <row r="119" spans="1:22" ht="13.5" thickBot="1" x14ac:dyDescent="0.25">
      <c r="A119" s="770"/>
      <c r="B119" s="828"/>
      <c r="C119" s="46" t="s">
        <v>419</v>
      </c>
      <c r="D119" s="48"/>
      <c r="E119" s="48"/>
      <c r="F119" s="48"/>
      <c r="G119" s="48"/>
      <c r="H119" s="59"/>
      <c r="I119" s="389"/>
      <c r="J119" s="390"/>
      <c r="K119" s="48">
        <v>8848</v>
      </c>
      <c r="L119" s="48">
        <v>10252.99</v>
      </c>
      <c r="M119" s="48"/>
      <c r="N119" s="48"/>
      <c r="O119" s="60">
        <v>4000</v>
      </c>
      <c r="P119" s="60"/>
      <c r="Q119" s="60"/>
      <c r="R119" s="49">
        <f t="shared" si="14"/>
        <v>4000</v>
      </c>
      <c r="T119" s="2"/>
      <c r="V119" s="2"/>
    </row>
    <row r="120" spans="1:22" ht="17.25" customHeight="1" thickBot="1" x14ac:dyDescent="0.3">
      <c r="A120" s="369" t="s">
        <v>67</v>
      </c>
      <c r="B120" s="734" t="s">
        <v>2</v>
      </c>
      <c r="C120" s="746"/>
      <c r="D120" s="412"/>
      <c r="E120" s="412"/>
      <c r="F120" s="412"/>
      <c r="G120" s="412"/>
      <c r="H120" s="261"/>
      <c r="I120" s="413"/>
      <c r="J120" s="414"/>
      <c r="K120" s="391">
        <v>5500</v>
      </c>
      <c r="L120" s="391"/>
      <c r="M120" s="391">
        <f>M121</f>
        <v>0</v>
      </c>
      <c r="N120" s="391"/>
      <c r="O120" s="79">
        <f>O121</f>
        <v>10000</v>
      </c>
      <c r="P120" s="79">
        <f>P121</f>
        <v>0</v>
      </c>
      <c r="Q120" s="79">
        <f>Q121</f>
        <v>0</v>
      </c>
      <c r="R120" s="620">
        <f>R121</f>
        <v>10000</v>
      </c>
      <c r="T120" s="2"/>
      <c r="V120" s="2"/>
    </row>
    <row r="121" spans="1:22" ht="17.25" customHeight="1" thickBot="1" x14ac:dyDescent="0.25">
      <c r="A121" s="352"/>
      <c r="B121" s="354"/>
      <c r="C121" s="115" t="s">
        <v>48</v>
      </c>
      <c r="D121" s="70"/>
      <c r="E121" s="70"/>
      <c r="F121" s="70"/>
      <c r="G121" s="70"/>
      <c r="H121" s="69"/>
      <c r="I121" s="367"/>
      <c r="J121" s="368"/>
      <c r="K121" s="70">
        <v>5500</v>
      </c>
      <c r="L121" s="70"/>
      <c r="M121" s="70"/>
      <c r="N121" s="70"/>
      <c r="O121" s="44">
        <v>10000</v>
      </c>
      <c r="P121" s="114"/>
      <c r="Q121" s="44"/>
      <c r="R121" s="27">
        <f>O121+P121+Q121</f>
        <v>10000</v>
      </c>
      <c r="T121" s="2"/>
      <c r="V121" s="2"/>
    </row>
    <row r="122" spans="1:22" ht="17.25" customHeight="1" thickBot="1" x14ac:dyDescent="0.3">
      <c r="A122" s="425" t="s">
        <v>6</v>
      </c>
      <c r="B122" s="838" t="s">
        <v>7</v>
      </c>
      <c r="C122" s="838"/>
      <c r="D122" s="228">
        <v>666567</v>
      </c>
      <c r="E122" s="228">
        <v>223164</v>
      </c>
      <c r="F122" s="228">
        <v>527019</v>
      </c>
      <c r="G122" s="228">
        <v>279677</v>
      </c>
      <c r="H122" s="228">
        <v>1160065</v>
      </c>
      <c r="I122" s="426">
        <v>2097438</v>
      </c>
      <c r="J122" s="228">
        <v>344577</v>
      </c>
      <c r="K122" s="67">
        <f t="shared" ref="K122:P122" si="15">SUM(K123:K137)</f>
        <v>11076</v>
      </c>
      <c r="L122" s="67">
        <f t="shared" si="15"/>
        <v>22611.84</v>
      </c>
      <c r="M122" s="67">
        <f t="shared" si="15"/>
        <v>52135.360000000001</v>
      </c>
      <c r="N122" s="67">
        <f t="shared" si="15"/>
        <v>60359.19</v>
      </c>
      <c r="O122" s="67">
        <f t="shared" si="15"/>
        <v>807396</v>
      </c>
      <c r="P122" s="67">
        <f t="shared" si="15"/>
        <v>-434264</v>
      </c>
      <c r="Q122" s="67">
        <f>SUM(Q123:Q137)</f>
        <v>0</v>
      </c>
      <c r="R122" s="68">
        <f>SUM(R123:R137)</f>
        <v>373132</v>
      </c>
      <c r="T122" s="2"/>
      <c r="V122" s="2"/>
    </row>
    <row r="123" spans="1:22" x14ac:dyDescent="0.2">
      <c r="A123" s="769"/>
      <c r="B123" s="826"/>
      <c r="C123" s="43" t="s">
        <v>391</v>
      </c>
      <c r="D123" s="58"/>
      <c r="E123" s="58"/>
      <c r="F123" s="58"/>
      <c r="G123" s="58"/>
      <c r="H123" s="58"/>
      <c r="I123" s="355"/>
      <c r="J123" s="356"/>
      <c r="K123" s="26">
        <v>11076</v>
      </c>
      <c r="L123" s="22"/>
      <c r="M123" s="22"/>
      <c r="N123" s="22">
        <v>9779.19</v>
      </c>
      <c r="O123" s="57">
        <v>0</v>
      </c>
      <c r="P123" s="73"/>
      <c r="Q123" s="57"/>
      <c r="R123" s="23">
        <f t="shared" ref="R123:R137" si="16">O123+P123+Q123</f>
        <v>0</v>
      </c>
      <c r="T123" s="2"/>
      <c r="V123" s="2"/>
    </row>
    <row r="124" spans="1:22" x14ac:dyDescent="0.2">
      <c r="A124" s="774"/>
      <c r="B124" s="827"/>
      <c r="C124" s="43" t="s">
        <v>392</v>
      </c>
      <c r="D124" s="58"/>
      <c r="E124" s="58"/>
      <c r="F124" s="58"/>
      <c r="G124" s="58"/>
      <c r="H124" s="58"/>
      <c r="I124" s="355"/>
      <c r="J124" s="356"/>
      <c r="K124" s="26"/>
      <c r="L124" s="22"/>
      <c r="M124" s="22"/>
      <c r="N124" s="22">
        <v>19000</v>
      </c>
      <c r="O124" s="57">
        <v>0</v>
      </c>
      <c r="P124" s="73"/>
      <c r="Q124" s="57"/>
      <c r="R124" s="23">
        <f t="shared" si="16"/>
        <v>0</v>
      </c>
      <c r="T124" s="2"/>
      <c r="V124" s="2"/>
    </row>
    <row r="125" spans="1:22" x14ac:dyDescent="0.2">
      <c r="A125" s="774"/>
      <c r="B125" s="827"/>
      <c r="C125" s="43" t="s">
        <v>464</v>
      </c>
      <c r="D125" s="58"/>
      <c r="E125" s="58"/>
      <c r="F125" s="58"/>
      <c r="G125" s="58"/>
      <c r="H125" s="58"/>
      <c r="I125" s="355"/>
      <c r="J125" s="356"/>
      <c r="K125" s="26"/>
      <c r="L125" s="22"/>
      <c r="M125" s="22"/>
      <c r="N125" s="22">
        <v>3480</v>
      </c>
      <c r="O125" s="57">
        <v>2984</v>
      </c>
      <c r="P125" s="57"/>
      <c r="Q125" s="57"/>
      <c r="R125" s="23">
        <f t="shared" si="16"/>
        <v>2984</v>
      </c>
      <c r="T125" s="2"/>
      <c r="V125" s="2"/>
    </row>
    <row r="126" spans="1:22" x14ac:dyDescent="0.2">
      <c r="A126" s="774"/>
      <c r="B126" s="827"/>
      <c r="C126" s="43" t="s">
        <v>396</v>
      </c>
      <c r="D126" s="58"/>
      <c r="E126" s="58"/>
      <c r="F126" s="58"/>
      <c r="G126" s="58"/>
      <c r="H126" s="58"/>
      <c r="I126" s="355"/>
      <c r="J126" s="356"/>
      <c r="K126" s="26"/>
      <c r="L126" s="22"/>
      <c r="M126" s="22"/>
      <c r="N126" s="22"/>
      <c r="O126" s="57">
        <v>686733</v>
      </c>
      <c r="P126" s="73">
        <v>-434264</v>
      </c>
      <c r="Q126" s="57"/>
      <c r="R126" s="23">
        <f t="shared" si="16"/>
        <v>252469</v>
      </c>
      <c r="T126" s="693"/>
      <c r="V126" s="2"/>
    </row>
    <row r="127" spans="1:22" x14ac:dyDescent="0.2">
      <c r="A127" s="774"/>
      <c r="B127" s="827"/>
      <c r="C127" s="43" t="s">
        <v>453</v>
      </c>
      <c r="D127" s="58"/>
      <c r="E127" s="58"/>
      <c r="F127" s="58"/>
      <c r="G127" s="58"/>
      <c r="H127" s="58"/>
      <c r="I127" s="355"/>
      <c r="J127" s="356"/>
      <c r="K127" s="26"/>
      <c r="L127" s="22"/>
      <c r="M127" s="22"/>
      <c r="N127" s="22"/>
      <c r="O127" s="57">
        <v>5798</v>
      </c>
      <c r="P127" s="73"/>
      <c r="Q127" s="57"/>
      <c r="R127" s="23">
        <f t="shared" si="16"/>
        <v>5798</v>
      </c>
      <c r="T127" s="694"/>
      <c r="U127" s="2"/>
      <c r="V127" s="2"/>
    </row>
    <row r="128" spans="1:22" x14ac:dyDescent="0.2">
      <c r="A128" s="774"/>
      <c r="B128" s="827"/>
      <c r="C128" s="43" t="s">
        <v>454</v>
      </c>
      <c r="D128" s="58"/>
      <c r="E128" s="58"/>
      <c r="F128" s="58"/>
      <c r="G128" s="58"/>
      <c r="H128" s="58"/>
      <c r="I128" s="355"/>
      <c r="J128" s="356"/>
      <c r="K128" s="26"/>
      <c r="L128" s="22"/>
      <c r="M128" s="22"/>
      <c r="N128" s="22"/>
      <c r="O128" s="57">
        <v>6399</v>
      </c>
      <c r="P128" s="73"/>
      <c r="Q128" s="57"/>
      <c r="R128" s="23">
        <f t="shared" si="16"/>
        <v>6399</v>
      </c>
      <c r="T128" s="694"/>
      <c r="U128" s="2"/>
      <c r="V128" s="2"/>
    </row>
    <row r="129" spans="1:22" x14ac:dyDescent="0.2">
      <c r="A129" s="774"/>
      <c r="B129" s="827"/>
      <c r="C129" s="43" t="s">
        <v>455</v>
      </c>
      <c r="D129" s="58"/>
      <c r="E129" s="58"/>
      <c r="F129" s="58"/>
      <c r="G129" s="58"/>
      <c r="H129" s="58"/>
      <c r="I129" s="355"/>
      <c r="J129" s="356"/>
      <c r="K129" s="26"/>
      <c r="L129" s="22"/>
      <c r="M129" s="22"/>
      <c r="N129" s="22"/>
      <c r="O129" s="57">
        <v>4219</v>
      </c>
      <c r="P129" s="73"/>
      <c r="Q129" s="57"/>
      <c r="R129" s="23">
        <f t="shared" si="16"/>
        <v>4219</v>
      </c>
      <c r="T129" s="694"/>
      <c r="U129" s="2"/>
      <c r="V129" s="2"/>
    </row>
    <row r="130" spans="1:22" x14ac:dyDescent="0.2">
      <c r="A130" s="774"/>
      <c r="B130" s="827"/>
      <c r="C130" s="43" t="s">
        <v>485</v>
      </c>
      <c r="D130" s="636"/>
      <c r="E130" s="636"/>
      <c r="F130" s="636"/>
      <c r="G130" s="636"/>
      <c r="H130" s="636"/>
      <c r="I130" s="637"/>
      <c r="J130" s="638"/>
      <c r="K130" s="635"/>
      <c r="L130" s="639">
        <v>22611.84</v>
      </c>
      <c r="M130" s="639"/>
      <c r="N130" s="639"/>
      <c r="O130" s="57">
        <v>6203</v>
      </c>
      <c r="P130" s="641"/>
      <c r="Q130" s="57"/>
      <c r="R130" s="23">
        <f t="shared" si="16"/>
        <v>6203</v>
      </c>
      <c r="T130" s="693"/>
      <c r="V130" s="2"/>
    </row>
    <row r="131" spans="1:22" x14ac:dyDescent="0.2">
      <c r="A131" s="774"/>
      <c r="B131" s="827"/>
      <c r="C131" s="43" t="s">
        <v>447</v>
      </c>
      <c r="D131" s="636"/>
      <c r="E131" s="636"/>
      <c r="F131" s="636"/>
      <c r="G131" s="636"/>
      <c r="H131" s="636"/>
      <c r="I131" s="637"/>
      <c r="J131" s="638"/>
      <c r="K131" s="635"/>
      <c r="L131" s="639"/>
      <c r="M131" s="639"/>
      <c r="N131" s="639"/>
      <c r="O131" s="57">
        <v>86500</v>
      </c>
      <c r="P131" s="640"/>
      <c r="Q131" s="57"/>
      <c r="R131" s="23">
        <f t="shared" si="16"/>
        <v>86500</v>
      </c>
      <c r="T131" s="2"/>
      <c r="V131" s="2"/>
    </row>
    <row r="132" spans="1:22" x14ac:dyDescent="0.2">
      <c r="A132" s="774"/>
      <c r="B132" s="827"/>
      <c r="C132" s="43" t="s">
        <v>374</v>
      </c>
      <c r="D132" s="58"/>
      <c r="E132" s="58"/>
      <c r="F132" s="58"/>
      <c r="G132" s="58"/>
      <c r="H132" s="58"/>
      <c r="I132" s="355"/>
      <c r="J132" s="356"/>
      <c r="K132" s="26"/>
      <c r="L132" s="22"/>
      <c r="M132" s="22">
        <v>31200</v>
      </c>
      <c r="N132" s="22"/>
      <c r="O132" s="57">
        <v>0</v>
      </c>
      <c r="P132" s="73"/>
      <c r="Q132" s="57"/>
      <c r="R132" s="23">
        <f t="shared" si="16"/>
        <v>0</v>
      </c>
      <c r="T132" s="2"/>
      <c r="V132" s="2"/>
    </row>
    <row r="133" spans="1:22" x14ac:dyDescent="0.2">
      <c r="A133" s="774"/>
      <c r="B133" s="827"/>
      <c r="C133" s="43" t="s">
        <v>375</v>
      </c>
      <c r="D133" s="58"/>
      <c r="E133" s="58"/>
      <c r="F133" s="58"/>
      <c r="G133" s="58"/>
      <c r="H133" s="58"/>
      <c r="I133" s="355"/>
      <c r="J133" s="356"/>
      <c r="K133" s="26"/>
      <c r="L133" s="22"/>
      <c r="M133" s="22">
        <v>12085.36</v>
      </c>
      <c r="N133" s="22"/>
      <c r="O133" s="57">
        <v>0</v>
      </c>
      <c r="P133" s="73"/>
      <c r="Q133" s="57"/>
      <c r="R133" s="23">
        <f t="shared" si="16"/>
        <v>0</v>
      </c>
      <c r="T133" s="2"/>
      <c r="V133" s="2"/>
    </row>
    <row r="134" spans="1:22" x14ac:dyDescent="0.2">
      <c r="A134" s="774"/>
      <c r="B134" s="827"/>
      <c r="C134" s="43" t="s">
        <v>380</v>
      </c>
      <c r="D134" s="66"/>
      <c r="E134" s="66"/>
      <c r="F134" s="66"/>
      <c r="G134" s="66"/>
      <c r="H134" s="66"/>
      <c r="I134" s="357"/>
      <c r="J134" s="358"/>
      <c r="K134" s="30"/>
      <c r="L134" s="26"/>
      <c r="M134" s="26">
        <v>8850</v>
      </c>
      <c r="N134" s="44"/>
      <c r="O134" s="57">
        <v>6060</v>
      </c>
      <c r="P134" s="57"/>
      <c r="Q134" s="57"/>
      <c r="R134" s="23">
        <f t="shared" si="16"/>
        <v>6060</v>
      </c>
      <c r="T134" s="2"/>
      <c r="V134" s="2"/>
    </row>
    <row r="135" spans="1:22" x14ac:dyDescent="0.2">
      <c r="A135" s="774"/>
      <c r="B135" s="827"/>
      <c r="C135" s="47" t="s">
        <v>450</v>
      </c>
      <c r="D135" s="66"/>
      <c r="E135" s="66"/>
      <c r="F135" s="66"/>
      <c r="G135" s="66"/>
      <c r="H135" s="66"/>
      <c r="I135" s="357"/>
      <c r="J135" s="358"/>
      <c r="K135" s="30"/>
      <c r="L135" s="70"/>
      <c r="M135" s="70"/>
      <c r="N135" s="70"/>
      <c r="O135" s="57">
        <v>2500</v>
      </c>
      <c r="P135" s="73"/>
      <c r="Q135" s="57"/>
      <c r="R135" s="23">
        <f t="shared" si="16"/>
        <v>2500</v>
      </c>
      <c r="T135" s="2"/>
      <c r="V135" s="2"/>
    </row>
    <row r="136" spans="1:22" x14ac:dyDescent="0.2">
      <c r="A136" s="774"/>
      <c r="B136" s="827"/>
      <c r="C136" s="47" t="s">
        <v>248</v>
      </c>
      <c r="D136" s="66"/>
      <c r="E136" s="66"/>
      <c r="F136" s="66"/>
      <c r="G136" s="66"/>
      <c r="H136" s="66"/>
      <c r="I136" s="357"/>
      <c r="J136" s="358"/>
      <c r="K136" s="30"/>
      <c r="L136" s="70"/>
      <c r="M136" s="70"/>
      <c r="N136" s="70">
        <v>250</v>
      </c>
      <c r="O136" s="57">
        <v>0</v>
      </c>
      <c r="P136" s="73"/>
      <c r="Q136" s="57"/>
      <c r="R136" s="23">
        <f t="shared" si="16"/>
        <v>0</v>
      </c>
      <c r="T136" s="2"/>
      <c r="V136" s="2"/>
    </row>
    <row r="137" spans="1:22" ht="13.5" thickBot="1" x14ac:dyDescent="0.25">
      <c r="A137" s="770"/>
      <c r="B137" s="828"/>
      <c r="C137" s="47" t="s">
        <v>393</v>
      </c>
      <c r="D137" s="66"/>
      <c r="E137" s="66"/>
      <c r="F137" s="66"/>
      <c r="G137" s="66"/>
      <c r="H137" s="66"/>
      <c r="I137" s="357"/>
      <c r="J137" s="358"/>
      <c r="K137" s="30"/>
      <c r="L137" s="30"/>
      <c r="M137" s="30"/>
      <c r="N137" s="30">
        <v>27850</v>
      </c>
      <c r="O137" s="44">
        <v>0</v>
      </c>
      <c r="P137" s="114"/>
      <c r="Q137" s="44"/>
      <c r="R137" s="27">
        <f t="shared" si="16"/>
        <v>0</v>
      </c>
      <c r="T137" s="2"/>
      <c r="V137" s="2"/>
    </row>
    <row r="138" spans="1:22" ht="15.75" hidden="1" thickBot="1" x14ac:dyDescent="0.3">
      <c r="A138" s="207" t="s">
        <v>19</v>
      </c>
      <c r="B138" s="734" t="s">
        <v>20</v>
      </c>
      <c r="C138" s="746"/>
      <c r="D138" s="6"/>
      <c r="E138" s="6"/>
      <c r="F138" s="6"/>
      <c r="G138" s="6"/>
      <c r="H138" s="6"/>
      <c r="I138" s="273">
        <v>104542</v>
      </c>
      <c r="J138" s="208">
        <v>66000</v>
      </c>
      <c r="K138" s="67">
        <f>K139+K140</f>
        <v>0</v>
      </c>
      <c r="L138" s="107"/>
      <c r="M138" s="107"/>
      <c r="N138" s="107"/>
      <c r="O138" s="67"/>
      <c r="P138" s="209"/>
      <c r="Q138" s="67"/>
      <c r="R138" s="68"/>
      <c r="T138" s="2"/>
      <c r="V138" s="2"/>
    </row>
    <row r="139" spans="1:22" ht="13.5" hidden="1" thickBot="1" x14ac:dyDescent="0.25">
      <c r="A139" s="427"/>
      <c r="B139" s="428"/>
      <c r="C139" s="551"/>
      <c r="D139" s="428"/>
      <c r="E139" s="428"/>
      <c r="F139" s="428"/>
      <c r="G139" s="428"/>
      <c r="H139" s="428"/>
      <c r="I139" s="428"/>
      <c r="J139" s="428"/>
      <c r="K139" s="428"/>
      <c r="L139" s="552"/>
      <c r="M139" s="624"/>
      <c r="N139" s="553"/>
      <c r="O139" s="551"/>
      <c r="P139" s="554"/>
      <c r="Q139" s="551"/>
      <c r="R139" s="555"/>
      <c r="T139" s="2"/>
      <c r="V139" s="2"/>
    </row>
    <row r="140" spans="1:22" ht="13.5" hidden="1" thickBot="1" x14ac:dyDescent="0.25">
      <c r="A140" s="352"/>
      <c r="B140" s="354"/>
      <c r="C140" s="143" t="s">
        <v>68</v>
      </c>
      <c r="D140" s="69"/>
      <c r="E140" s="69"/>
      <c r="F140" s="69"/>
      <c r="G140" s="69"/>
      <c r="H140" s="69"/>
      <c r="I140" s="69"/>
      <c r="J140" s="69"/>
      <c r="K140" s="70"/>
      <c r="L140" s="70"/>
      <c r="M140" s="70"/>
      <c r="N140" s="70"/>
      <c r="O140" s="236"/>
      <c r="P140" s="517"/>
      <c r="Q140" s="236"/>
      <c r="R140" s="71">
        <f>O140+P140+Q140</f>
        <v>0</v>
      </c>
      <c r="T140" s="2"/>
      <c r="V140" s="2"/>
    </row>
    <row r="141" spans="1:22" ht="13.5" thickBot="1" x14ac:dyDescent="0.25">
      <c r="A141" s="430" t="s">
        <v>69</v>
      </c>
      <c r="B141" s="839" t="s">
        <v>27</v>
      </c>
      <c r="C141" s="840"/>
      <c r="D141" s="431"/>
      <c r="E141" s="431"/>
      <c r="F141" s="431"/>
      <c r="G141" s="431"/>
      <c r="H141" s="431"/>
      <c r="I141" s="129">
        <f>I142</f>
        <v>0</v>
      </c>
      <c r="J141" s="129">
        <f>J142</f>
        <v>0</v>
      </c>
      <c r="K141" s="129">
        <f>K142</f>
        <v>0</v>
      </c>
      <c r="L141" s="129">
        <f>L142</f>
        <v>82887.77</v>
      </c>
      <c r="M141" s="129">
        <v>7399.64</v>
      </c>
      <c r="N141" s="129"/>
      <c r="O141" s="502">
        <f>O142</f>
        <v>0</v>
      </c>
      <c r="P141" s="502">
        <f>P142</f>
        <v>0</v>
      </c>
      <c r="Q141" s="502">
        <f>Q142</f>
        <v>0</v>
      </c>
      <c r="R141" s="621">
        <f>R142</f>
        <v>0</v>
      </c>
      <c r="T141" s="2"/>
      <c r="V141" s="2"/>
    </row>
    <row r="142" spans="1:22" ht="13.5" thickBot="1" x14ac:dyDescent="0.25">
      <c r="A142" s="352"/>
      <c r="B142" s="354"/>
      <c r="C142" s="428" t="s">
        <v>232</v>
      </c>
      <c r="D142" s="428"/>
      <c r="E142" s="428"/>
      <c r="F142" s="428"/>
      <c r="G142" s="428"/>
      <c r="H142" s="428"/>
      <c r="I142" s="69"/>
      <c r="J142" s="69"/>
      <c r="K142" s="70"/>
      <c r="L142" s="70">
        <v>82887.77</v>
      </c>
      <c r="M142" s="70">
        <v>7399.64</v>
      </c>
      <c r="N142" s="70"/>
      <c r="O142" s="236"/>
      <c r="P142" s="517"/>
      <c r="Q142" s="236"/>
      <c r="R142" s="71">
        <f>O142+P142+Q142</f>
        <v>0</v>
      </c>
      <c r="T142" s="2"/>
      <c r="V142" s="2"/>
    </row>
    <row r="143" spans="1:22" ht="17.25" thickTop="1" thickBot="1" x14ac:dyDescent="0.3">
      <c r="A143" s="836" t="s">
        <v>70</v>
      </c>
      <c r="B143" s="837"/>
      <c r="C143" s="837"/>
      <c r="D143" s="101">
        <v>2988050</v>
      </c>
      <c r="E143" s="101">
        <v>1793069</v>
      </c>
      <c r="F143" s="101">
        <v>2942409</v>
      </c>
      <c r="G143" s="101">
        <v>4880528</v>
      </c>
      <c r="H143" s="101">
        <f t="shared" ref="H143:Q143" si="17">H122+H105+H113+H101+H80+H75+H67+H65+H58+H32+H13+H10+H4+H120+H138+H141</f>
        <v>5977301</v>
      </c>
      <c r="I143" s="101">
        <f t="shared" si="17"/>
        <v>5818483</v>
      </c>
      <c r="J143" s="101">
        <f t="shared" si="17"/>
        <v>4719096</v>
      </c>
      <c r="K143" s="101">
        <f t="shared" si="17"/>
        <v>3939694</v>
      </c>
      <c r="L143" s="101">
        <f t="shared" si="17"/>
        <v>1800938.79</v>
      </c>
      <c r="M143" s="101">
        <f t="shared" si="17"/>
        <v>2904600.1800000006</v>
      </c>
      <c r="N143" s="101">
        <f t="shared" si="17"/>
        <v>1348818.6500000001</v>
      </c>
      <c r="O143" s="101">
        <f t="shared" si="17"/>
        <v>3205649</v>
      </c>
      <c r="P143" s="101">
        <f t="shared" si="17"/>
        <v>-434264</v>
      </c>
      <c r="Q143" s="101">
        <f t="shared" si="17"/>
        <v>0</v>
      </c>
      <c r="R143" s="102">
        <f>R122+R105+R113+R101+R80+R75+R67+R65+R58+R32+R13+R10+R4+R120+R138+R141</f>
        <v>2771385</v>
      </c>
      <c r="T143" s="2"/>
      <c r="V143" s="2"/>
    </row>
    <row r="144" spans="1:22" ht="13.5" thickTop="1" x14ac:dyDescent="0.2"/>
    <row r="145" spans="12:21" x14ac:dyDescent="0.2">
      <c r="Q145" s="2"/>
    </row>
    <row r="146" spans="12:21" x14ac:dyDescent="0.2">
      <c r="O146" s="2"/>
      <c r="R146" s="2"/>
      <c r="U146" s="2"/>
    </row>
    <row r="147" spans="12:21" x14ac:dyDescent="0.2">
      <c r="N147" s="670"/>
      <c r="Q147" s="2"/>
    </row>
    <row r="148" spans="12:21" x14ac:dyDescent="0.2">
      <c r="L148">
        <v>115000</v>
      </c>
      <c r="N148" s="2"/>
      <c r="R148" s="2"/>
    </row>
    <row r="149" spans="12:21" x14ac:dyDescent="0.2">
      <c r="L149">
        <v>5700</v>
      </c>
      <c r="R149" s="2"/>
    </row>
    <row r="150" spans="12:21" x14ac:dyDescent="0.2">
      <c r="L150">
        <v>45000</v>
      </c>
    </row>
    <row r="154" spans="12:21" x14ac:dyDescent="0.2">
      <c r="L154">
        <v>30000</v>
      </c>
    </row>
    <row r="155" spans="12:21" x14ac:dyDescent="0.2">
      <c r="L155">
        <v>30000</v>
      </c>
    </row>
    <row r="156" spans="12:21" x14ac:dyDescent="0.2">
      <c r="L156" t="s">
        <v>395</v>
      </c>
    </row>
    <row r="157" spans="12:21" x14ac:dyDescent="0.2">
      <c r="L157" t="s">
        <v>395</v>
      </c>
    </row>
    <row r="158" spans="12:21" x14ac:dyDescent="0.2">
      <c r="L158">
        <v>10000</v>
      </c>
    </row>
    <row r="159" spans="12:21" x14ac:dyDescent="0.2">
      <c r="L159" t="s">
        <v>395</v>
      </c>
    </row>
    <row r="160" spans="12:21" x14ac:dyDescent="0.2">
      <c r="L160">
        <v>10000</v>
      </c>
    </row>
  </sheetData>
  <mergeCells count="57">
    <mergeCell ref="A1:J1"/>
    <mergeCell ref="P2:Q2"/>
    <mergeCell ref="F2:F3"/>
    <mergeCell ref="G2:G3"/>
    <mergeCell ref="E2:E3"/>
    <mergeCell ref="A2:A3"/>
    <mergeCell ref="B2:B3"/>
    <mergeCell ref="C2:C3"/>
    <mergeCell ref="K2:K3"/>
    <mergeCell ref="L2:L3"/>
    <mergeCell ref="D2:D3"/>
    <mergeCell ref="H2:H3"/>
    <mergeCell ref="J2:J3"/>
    <mergeCell ref="A5:A9"/>
    <mergeCell ref="B5:B9"/>
    <mergeCell ref="B11:B12"/>
    <mergeCell ref="B32:C32"/>
    <mergeCell ref="A11:A12"/>
    <mergeCell ref="B14:B31"/>
    <mergeCell ref="A14:A31"/>
    <mergeCell ref="A33:A57"/>
    <mergeCell ref="B33:B57"/>
    <mergeCell ref="A60:A64"/>
    <mergeCell ref="B60:B64"/>
    <mergeCell ref="A143:C143"/>
    <mergeCell ref="B120:C120"/>
    <mergeCell ref="B122:C122"/>
    <mergeCell ref="A123:A137"/>
    <mergeCell ref="B123:B137"/>
    <mergeCell ref="B141:C141"/>
    <mergeCell ref="B138:C138"/>
    <mergeCell ref="A76:A79"/>
    <mergeCell ref="B65:C65"/>
    <mergeCell ref="A114:A119"/>
    <mergeCell ref="B114:B119"/>
    <mergeCell ref="A106:A112"/>
    <mergeCell ref="B106:B112"/>
    <mergeCell ref="A81:A100"/>
    <mergeCell ref="A68:A74"/>
    <mergeCell ref="B68:B74"/>
    <mergeCell ref="B80:C80"/>
    <mergeCell ref="B67:C67"/>
    <mergeCell ref="R2:R3"/>
    <mergeCell ref="B113:C113"/>
    <mergeCell ref="B75:C75"/>
    <mergeCell ref="B101:C101"/>
    <mergeCell ref="B81:B100"/>
    <mergeCell ref="B76:B79"/>
    <mergeCell ref="B105:C105"/>
    <mergeCell ref="B13:C13"/>
    <mergeCell ref="B58:C58"/>
    <mergeCell ref="B10:C10"/>
    <mergeCell ref="N2:N3"/>
    <mergeCell ref="O2:O3"/>
    <mergeCell ref="M2:M3"/>
    <mergeCell ref="B4:C4"/>
    <mergeCell ref="I2:I3"/>
  </mergeCells>
  <phoneticPr fontId="2" type="noConversion"/>
  <pageMargins left="0.23622047244094491" right="0.23622047244094491" top="0.19685039370078741" bottom="0.59055118110236227" header="0.51181102362204722" footer="0.51181102362204722"/>
  <pageSetup paperSize="9" scale="82" orientation="portrait" r:id="rId1"/>
  <headerFooter alignWithMargins="0"/>
  <rowBreaks count="1" manualBreakCount="1">
    <brk id="79" max="16383" man="1"/>
  </rowBreaks>
  <ignoredErrors>
    <ignoredError sqref="R10:R13" formula="1"/>
    <ignoredError sqref="R14:R16 R32" formula="1" formulaRange="1"/>
    <ignoredError sqref="R17:R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U21"/>
  <sheetViews>
    <sheetView workbookViewId="0">
      <selection activeCell="O6" sqref="O6"/>
    </sheetView>
  </sheetViews>
  <sheetFormatPr defaultRowHeight="12.75" x14ac:dyDescent="0.2"/>
  <cols>
    <col min="3" max="3" width="33.5703125" customWidth="1"/>
    <col min="4" max="10" width="11.7109375" hidden="1" customWidth="1"/>
    <col min="11" max="11" width="10.5703125" hidden="1" customWidth="1"/>
    <col min="12" max="12" width="13.7109375" hidden="1" customWidth="1"/>
    <col min="13" max="14" width="13.5703125" customWidth="1"/>
    <col min="15" max="15" width="11.42578125" customWidth="1"/>
    <col min="16" max="17" width="11.7109375" customWidth="1"/>
  </cols>
  <sheetData>
    <row r="1" spans="1:17" x14ac:dyDescent="0.2">
      <c r="A1" s="633" t="s">
        <v>434</v>
      </c>
    </row>
    <row r="2" spans="1:17" ht="13.5" thickBot="1" x14ac:dyDescent="0.25">
      <c r="A2" s="634" t="s">
        <v>435</v>
      </c>
    </row>
    <row r="3" spans="1:17" ht="14.25" customHeight="1" thickTop="1" x14ac:dyDescent="0.2">
      <c r="A3" s="752" t="s">
        <v>115</v>
      </c>
      <c r="B3" s="754" t="s">
        <v>116</v>
      </c>
      <c r="C3" s="739" t="s">
        <v>117</v>
      </c>
      <c r="D3" s="739" t="s">
        <v>212</v>
      </c>
      <c r="E3" s="739" t="s">
        <v>213</v>
      </c>
      <c r="F3" s="739" t="s">
        <v>214</v>
      </c>
      <c r="G3" s="739" t="s">
        <v>215</v>
      </c>
      <c r="H3" s="739" t="s">
        <v>216</v>
      </c>
      <c r="I3" s="739" t="s">
        <v>123</v>
      </c>
      <c r="J3" s="739" t="s">
        <v>124</v>
      </c>
      <c r="K3" s="739" t="s">
        <v>125</v>
      </c>
      <c r="L3" s="739" t="s">
        <v>126</v>
      </c>
      <c r="M3" s="854" t="s">
        <v>127</v>
      </c>
      <c r="N3" s="739" t="s">
        <v>475</v>
      </c>
      <c r="O3" s="822" t="s">
        <v>426</v>
      </c>
      <c r="P3" s="617" t="s">
        <v>491</v>
      </c>
      <c r="Q3" s="741" t="s">
        <v>420</v>
      </c>
    </row>
    <row r="4" spans="1:17" ht="27.75" customHeight="1" thickBot="1" x14ac:dyDescent="0.25">
      <c r="A4" s="753"/>
      <c r="B4" s="755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855"/>
      <c r="N4" s="740"/>
      <c r="O4" s="823"/>
      <c r="P4" s="602" t="s">
        <v>128</v>
      </c>
      <c r="Q4" s="742"/>
    </row>
    <row r="5" spans="1:17" ht="14.25" thickTop="1" thickBot="1" x14ac:dyDescent="0.25">
      <c r="A5" s="39">
        <v>519</v>
      </c>
      <c r="B5" s="849" t="s">
        <v>80</v>
      </c>
      <c r="C5" s="850"/>
      <c r="D5" s="16">
        <f t="shared" ref="D5:M5" si="0">SUM(D6:D7)</f>
        <v>0</v>
      </c>
      <c r="E5" s="16">
        <f t="shared" si="0"/>
        <v>0</v>
      </c>
      <c r="F5" s="16">
        <f t="shared" si="0"/>
        <v>806731</v>
      </c>
      <c r="G5" s="16">
        <f t="shared" si="0"/>
        <v>1932030</v>
      </c>
      <c r="H5" s="16">
        <f t="shared" si="0"/>
        <v>1218758</v>
      </c>
      <c r="I5" s="16">
        <f t="shared" si="0"/>
        <v>1712805</v>
      </c>
      <c r="J5" s="16">
        <f t="shared" si="0"/>
        <v>796126</v>
      </c>
      <c r="K5" s="16">
        <f t="shared" si="0"/>
        <v>889265</v>
      </c>
      <c r="L5" s="147">
        <f t="shared" si="0"/>
        <v>1041848.1</v>
      </c>
      <c r="M5" s="147">
        <f t="shared" si="0"/>
        <v>1842801.75</v>
      </c>
      <c r="N5" s="16">
        <f>SUM(N6:N7)</f>
        <v>1578149.94</v>
      </c>
      <c r="O5" s="16">
        <f>SUM(O6:O7)</f>
        <v>697924</v>
      </c>
      <c r="P5" s="16">
        <f>SUM(P6:P7)</f>
        <v>0</v>
      </c>
      <c r="Q5" s="17">
        <f>SUM(Q6:Q7)</f>
        <v>697924</v>
      </c>
    </row>
    <row r="6" spans="1:17" x14ac:dyDescent="0.2">
      <c r="A6" s="731"/>
      <c r="B6" s="148"/>
      <c r="C6" s="41" t="s">
        <v>281</v>
      </c>
      <c r="D6" s="41"/>
      <c r="E6" s="41"/>
      <c r="F6" s="41"/>
      <c r="G6" s="41">
        <v>186636</v>
      </c>
      <c r="H6" s="41">
        <v>1102901</v>
      </c>
      <c r="I6" s="41">
        <v>1052724</v>
      </c>
      <c r="J6" s="42">
        <v>232649</v>
      </c>
      <c r="K6" s="42">
        <v>638944</v>
      </c>
      <c r="L6" s="149">
        <v>96973.2</v>
      </c>
      <c r="M6" s="149">
        <v>633655.25</v>
      </c>
      <c r="N6" s="42">
        <v>1495900</v>
      </c>
      <c r="O6" s="42">
        <v>433627</v>
      </c>
      <c r="P6" s="42"/>
      <c r="Q6" s="94">
        <f>O6+P6</f>
        <v>433627</v>
      </c>
    </row>
    <row r="7" spans="1:17" ht="13.5" thickBot="1" x14ac:dyDescent="0.25">
      <c r="A7" s="733"/>
      <c r="B7" s="150"/>
      <c r="C7" s="46" t="s">
        <v>282</v>
      </c>
      <c r="D7" s="46"/>
      <c r="E7" s="46"/>
      <c r="F7" s="46">
        <v>806731</v>
      </c>
      <c r="G7" s="46">
        <v>1745394</v>
      </c>
      <c r="H7" s="46">
        <v>115857</v>
      </c>
      <c r="I7" s="46">
        <v>660081</v>
      </c>
      <c r="J7" s="60">
        <v>563477</v>
      </c>
      <c r="K7" s="151">
        <v>250321</v>
      </c>
      <c r="L7" s="152">
        <v>944874.9</v>
      </c>
      <c r="M7" s="152">
        <v>1209146.5</v>
      </c>
      <c r="N7" s="151">
        <v>82249.94</v>
      </c>
      <c r="O7" s="60">
        <v>264297</v>
      </c>
      <c r="P7" s="60"/>
      <c r="Q7" s="49">
        <f>O7+P7</f>
        <v>264297</v>
      </c>
    </row>
    <row r="8" spans="1:17" ht="13.5" thickBot="1" x14ac:dyDescent="0.25">
      <c r="A8" s="18">
        <v>450</v>
      </c>
      <c r="B8" s="847" t="s">
        <v>175</v>
      </c>
      <c r="C8" s="796"/>
      <c r="D8" s="64">
        <f>SUM(D9:D16)</f>
        <v>499436</v>
      </c>
      <c r="E8" s="64">
        <v>313085</v>
      </c>
      <c r="F8" s="64">
        <v>834018</v>
      </c>
      <c r="G8" s="64">
        <f t="shared" ref="G8:M8" si="1">SUM(G9:G16)</f>
        <v>822908</v>
      </c>
      <c r="H8" s="64">
        <f t="shared" si="1"/>
        <v>3260676</v>
      </c>
      <c r="I8" s="64">
        <f t="shared" si="1"/>
        <v>553863</v>
      </c>
      <c r="J8" s="64">
        <f t="shared" si="1"/>
        <v>509280</v>
      </c>
      <c r="K8" s="64">
        <f t="shared" si="1"/>
        <v>620269</v>
      </c>
      <c r="L8" s="153">
        <f t="shared" si="1"/>
        <v>259121.03000000003</v>
      </c>
      <c r="M8" s="153">
        <f t="shared" si="1"/>
        <v>923759.61</v>
      </c>
      <c r="N8" s="64">
        <f>SUM(N9:N16)</f>
        <v>913983.99</v>
      </c>
      <c r="O8" s="64">
        <f>SUM(O9:O16)</f>
        <v>619198</v>
      </c>
      <c r="P8" s="64">
        <f>SUM(P9:P16)</f>
        <v>0</v>
      </c>
      <c r="Q8" s="65">
        <f>SUM(Q9:Q16)</f>
        <v>619198</v>
      </c>
    </row>
    <row r="9" spans="1:17" x14ac:dyDescent="0.2">
      <c r="A9" s="731"/>
      <c r="B9" s="148"/>
      <c r="C9" s="154" t="s">
        <v>83</v>
      </c>
      <c r="D9" s="154">
        <v>190367</v>
      </c>
      <c r="E9" s="154"/>
      <c r="F9" s="154"/>
      <c r="G9" s="42">
        <f>265551+398</f>
        <v>265949</v>
      </c>
      <c r="H9" s="154">
        <v>1534133</v>
      </c>
      <c r="I9" s="154">
        <v>43800</v>
      </c>
      <c r="J9" s="155"/>
      <c r="K9" s="156">
        <v>9775</v>
      </c>
      <c r="L9" s="157">
        <v>16185.64</v>
      </c>
      <c r="M9" s="157"/>
      <c r="N9" s="156">
        <v>191699.89</v>
      </c>
      <c r="O9" s="42"/>
      <c r="P9" s="42"/>
      <c r="Q9" s="94">
        <f>O9+P9</f>
        <v>0</v>
      </c>
    </row>
    <row r="10" spans="1:17" x14ac:dyDescent="0.2">
      <c r="A10" s="732"/>
      <c r="B10" s="158"/>
      <c r="C10" s="159" t="s">
        <v>84</v>
      </c>
      <c r="D10" s="159"/>
      <c r="E10" s="159"/>
      <c r="F10" s="159"/>
      <c r="G10" s="57"/>
      <c r="H10" s="159">
        <v>921499</v>
      </c>
      <c r="I10" s="159">
        <v>220604</v>
      </c>
      <c r="J10" s="160">
        <v>192501</v>
      </c>
      <c r="K10" s="161">
        <v>494</v>
      </c>
      <c r="L10" s="162">
        <v>208144.39</v>
      </c>
      <c r="M10" s="162">
        <v>907789.61</v>
      </c>
      <c r="N10" s="161">
        <v>686557.48</v>
      </c>
      <c r="O10" s="57">
        <v>140649</v>
      </c>
      <c r="P10" s="57"/>
      <c r="Q10" s="23">
        <f>O10+P10</f>
        <v>140649</v>
      </c>
    </row>
    <row r="11" spans="1:17" x14ac:dyDescent="0.2">
      <c r="A11" s="732"/>
      <c r="B11" s="158"/>
      <c r="C11" s="159" t="s">
        <v>465</v>
      </c>
      <c r="D11" s="159"/>
      <c r="E11" s="159"/>
      <c r="F11" s="159"/>
      <c r="G11" s="57"/>
      <c r="H11" s="159"/>
      <c r="I11" s="159"/>
      <c r="J11" s="160"/>
      <c r="K11" s="161"/>
      <c r="L11" s="162"/>
      <c r="M11" s="162"/>
      <c r="N11" s="161">
        <f>34451.42+1275.2</f>
        <v>35726.619999999995</v>
      </c>
      <c r="O11" s="57"/>
      <c r="P11" s="57"/>
      <c r="Q11" s="23"/>
    </row>
    <row r="12" spans="1:17" x14ac:dyDescent="0.2">
      <c r="A12" s="732"/>
      <c r="B12" s="158"/>
      <c r="C12" s="159" t="s">
        <v>85</v>
      </c>
      <c r="D12" s="159"/>
      <c r="E12" s="159"/>
      <c r="F12" s="159"/>
      <c r="G12" s="57">
        <v>545044</v>
      </c>
      <c r="H12" s="159">
        <v>545044</v>
      </c>
      <c r="I12" s="159"/>
      <c r="J12" s="160"/>
      <c r="K12" s="161"/>
      <c r="L12" s="162"/>
      <c r="M12" s="162">
        <v>12870</v>
      </c>
      <c r="N12" s="161"/>
      <c r="O12" s="57"/>
      <c r="P12" s="57"/>
      <c r="Q12" s="23">
        <f>O12+P12</f>
        <v>0</v>
      </c>
    </row>
    <row r="13" spans="1:17" x14ac:dyDescent="0.2">
      <c r="A13" s="732"/>
      <c r="B13" s="158"/>
      <c r="C13" s="159" t="s">
        <v>86</v>
      </c>
      <c r="D13" s="159">
        <v>309069</v>
      </c>
      <c r="E13" s="159"/>
      <c r="F13" s="159"/>
      <c r="G13" s="57"/>
      <c r="H13" s="159">
        <v>260000</v>
      </c>
      <c r="I13" s="159">
        <v>277803</v>
      </c>
      <c r="J13" s="160">
        <v>316779</v>
      </c>
      <c r="K13" s="161">
        <v>610000</v>
      </c>
      <c r="L13" s="162">
        <v>34791</v>
      </c>
      <c r="M13" s="162">
        <v>3100</v>
      </c>
      <c r="N13" s="161"/>
      <c r="O13" s="57">
        <v>448549</v>
      </c>
      <c r="P13" s="57"/>
      <c r="Q13" s="23">
        <f>O13+P13</f>
        <v>448549</v>
      </c>
    </row>
    <row r="14" spans="1:17" ht="13.5" thickBot="1" x14ac:dyDescent="0.25">
      <c r="A14" s="732"/>
      <c r="B14" s="158"/>
      <c r="C14" s="159" t="s">
        <v>484</v>
      </c>
      <c r="D14" s="159"/>
      <c r="E14" s="159"/>
      <c r="F14" s="159"/>
      <c r="G14" s="159">
        <v>11915</v>
      </c>
      <c r="H14" s="159"/>
      <c r="I14" s="159">
        <v>11656</v>
      </c>
      <c r="J14" s="160"/>
      <c r="K14" s="57"/>
      <c r="L14" s="73"/>
      <c r="M14" s="73">
        <v>0</v>
      </c>
      <c r="N14" s="57"/>
      <c r="O14" s="57">
        <v>30000</v>
      </c>
      <c r="P14" s="57"/>
      <c r="Q14" s="23">
        <f>O14+P14</f>
        <v>30000</v>
      </c>
    </row>
    <row r="15" spans="1:17" hidden="1" x14ac:dyDescent="0.2">
      <c r="A15" s="732"/>
      <c r="B15" s="163"/>
      <c r="C15" s="164"/>
      <c r="D15" s="164"/>
      <c r="E15" s="164"/>
      <c r="F15" s="164"/>
      <c r="G15" s="164"/>
      <c r="H15" s="164"/>
      <c r="I15" s="164"/>
      <c r="J15" s="164"/>
      <c r="K15" s="44"/>
      <c r="L15" s="114"/>
      <c r="M15" s="114"/>
      <c r="N15" s="44"/>
      <c r="O15" s="44"/>
      <c r="P15" s="44"/>
      <c r="Q15" s="27"/>
    </row>
    <row r="16" spans="1:17" ht="13.5" hidden="1" thickBot="1" x14ac:dyDescent="0.25">
      <c r="A16" s="848"/>
      <c r="B16" s="163"/>
      <c r="C16" s="164"/>
      <c r="D16" s="164"/>
      <c r="E16" s="164"/>
      <c r="F16" s="164"/>
      <c r="G16" s="164"/>
      <c r="H16" s="164"/>
      <c r="I16" s="164"/>
      <c r="J16" s="164"/>
      <c r="K16" s="44"/>
      <c r="L16" s="114"/>
      <c r="M16" s="114"/>
      <c r="N16" s="44"/>
      <c r="O16" s="44"/>
      <c r="P16" s="44"/>
      <c r="Q16" s="27"/>
    </row>
    <row r="17" spans="1:21" ht="14.25" thickTop="1" thickBot="1" x14ac:dyDescent="0.25">
      <c r="A17" s="851" t="s">
        <v>283</v>
      </c>
      <c r="B17" s="852"/>
      <c r="C17" s="853"/>
      <c r="D17" s="165">
        <f t="shared" ref="D17:M17" si="2">D8+D5</f>
        <v>499436</v>
      </c>
      <c r="E17" s="165">
        <f t="shared" si="2"/>
        <v>313085</v>
      </c>
      <c r="F17" s="165">
        <f t="shared" si="2"/>
        <v>1640749</v>
      </c>
      <c r="G17" s="165">
        <f t="shared" si="2"/>
        <v>2754938</v>
      </c>
      <c r="H17" s="165">
        <f t="shared" si="2"/>
        <v>4479434</v>
      </c>
      <c r="I17" s="165">
        <f t="shared" si="2"/>
        <v>2266668</v>
      </c>
      <c r="J17" s="165">
        <f t="shared" si="2"/>
        <v>1305406</v>
      </c>
      <c r="K17" s="165">
        <f t="shared" si="2"/>
        <v>1509534</v>
      </c>
      <c r="L17" s="166">
        <f t="shared" si="2"/>
        <v>1300969.1299999999</v>
      </c>
      <c r="M17" s="166">
        <f t="shared" si="2"/>
        <v>2766561.36</v>
      </c>
      <c r="N17" s="165">
        <f>N8+N5</f>
        <v>2492133.9299999997</v>
      </c>
      <c r="O17" s="165">
        <f>O8+O5</f>
        <v>1317122</v>
      </c>
      <c r="P17" s="165">
        <f>P8+P5</f>
        <v>0</v>
      </c>
      <c r="Q17" s="167">
        <f>Q8+Q5</f>
        <v>1317122</v>
      </c>
      <c r="U17" s="2"/>
    </row>
    <row r="18" spans="1:21" ht="13.5" thickTop="1" x14ac:dyDescent="0.2">
      <c r="A18" s="846"/>
      <c r="B18" s="846"/>
      <c r="C18" s="846"/>
      <c r="D18" s="846"/>
      <c r="E18" s="846"/>
      <c r="F18" s="846"/>
      <c r="G18" s="846"/>
      <c r="H18" s="846"/>
      <c r="I18" s="846"/>
      <c r="J18" s="846"/>
      <c r="K18" s="168"/>
      <c r="L18" s="168"/>
      <c r="M18" s="168"/>
      <c r="N18" s="168"/>
      <c r="O18" s="169"/>
    </row>
    <row r="21" spans="1:21" x14ac:dyDescent="0.2">
      <c r="Q21" s="2"/>
    </row>
  </sheetData>
  <mergeCells count="22">
    <mergeCell ref="Q3:Q4"/>
    <mergeCell ref="G3:G4"/>
    <mergeCell ref="H3:H4"/>
    <mergeCell ref="K3:K4"/>
    <mergeCell ref="O3:O4"/>
    <mergeCell ref="M3:M4"/>
    <mergeCell ref="N3:N4"/>
    <mergeCell ref="L3:L4"/>
    <mergeCell ref="A18:J18"/>
    <mergeCell ref="B8:C8"/>
    <mergeCell ref="A9:A16"/>
    <mergeCell ref="F3:F4"/>
    <mergeCell ref="A6:A7"/>
    <mergeCell ref="B5:C5"/>
    <mergeCell ref="I3:I4"/>
    <mergeCell ref="J3:J4"/>
    <mergeCell ref="A17:C17"/>
    <mergeCell ref="C3:C4"/>
    <mergeCell ref="D3:D4"/>
    <mergeCell ref="A3:A4"/>
    <mergeCell ref="B3:B4"/>
    <mergeCell ref="E3:E4"/>
  </mergeCells>
  <phoneticPr fontId="2" type="noConversion"/>
  <pageMargins left="0.74803149606299213" right="0.74803149606299213" top="0.19685039370078741" bottom="0.98425196850393704" header="0.51181102362204722" footer="0.51181102362204722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T14"/>
  <sheetViews>
    <sheetView workbookViewId="0">
      <selection activeCell="O5" sqref="O5"/>
    </sheetView>
  </sheetViews>
  <sheetFormatPr defaultRowHeight="12.75" x14ac:dyDescent="0.2"/>
  <cols>
    <col min="1" max="1" width="9.7109375" customWidth="1"/>
    <col min="2" max="2" width="8" customWidth="1"/>
    <col min="3" max="3" width="30.28515625" customWidth="1"/>
    <col min="4" max="11" width="0" hidden="1" customWidth="1"/>
    <col min="12" max="13" width="11.7109375" hidden="1" customWidth="1"/>
    <col min="14" max="14" width="11.7109375" customWidth="1"/>
    <col min="15" max="15" width="12.140625" customWidth="1"/>
    <col min="16" max="16" width="10.140625" customWidth="1"/>
    <col min="17" max="17" width="9.85546875" customWidth="1"/>
    <col min="18" max="18" width="10.85546875" customWidth="1"/>
    <col min="20" max="20" width="10.140625" bestFit="1" customWidth="1"/>
  </cols>
  <sheetData>
    <row r="1" spans="1:20" ht="13.5" thickBot="1" x14ac:dyDescent="0.25">
      <c r="A1" s="843" t="s">
        <v>284</v>
      </c>
      <c r="B1" s="843"/>
      <c r="C1" s="843"/>
      <c r="D1" s="843"/>
      <c r="E1" s="843"/>
      <c r="F1" s="843"/>
      <c r="G1" s="843"/>
      <c r="H1" s="843"/>
      <c r="I1" s="843"/>
      <c r="J1" s="843"/>
      <c r="K1" s="170"/>
      <c r="L1" s="170"/>
      <c r="M1" s="170"/>
      <c r="N1" s="170"/>
      <c r="O1" s="169"/>
      <c r="P1" s="169"/>
    </row>
    <row r="2" spans="1:20" ht="14.25" customHeight="1" thickTop="1" thickBot="1" x14ac:dyDescent="0.25">
      <c r="A2" s="860" t="s">
        <v>71</v>
      </c>
      <c r="B2" s="844" t="s">
        <v>116</v>
      </c>
      <c r="C2" s="814" t="s">
        <v>72</v>
      </c>
      <c r="D2" s="739" t="s">
        <v>212</v>
      </c>
      <c r="E2" s="739" t="s">
        <v>213</v>
      </c>
      <c r="F2" s="739" t="s">
        <v>214</v>
      </c>
      <c r="G2" s="739" t="s">
        <v>215</v>
      </c>
      <c r="H2" s="739" t="s">
        <v>216</v>
      </c>
      <c r="I2" s="739" t="s">
        <v>123</v>
      </c>
      <c r="J2" s="739" t="s">
        <v>124</v>
      </c>
      <c r="K2" s="739" t="s">
        <v>125</v>
      </c>
      <c r="L2" s="739" t="s">
        <v>126</v>
      </c>
      <c r="M2" s="854" t="s">
        <v>127</v>
      </c>
      <c r="N2" s="739" t="s">
        <v>475</v>
      </c>
      <c r="O2" s="822" t="s">
        <v>426</v>
      </c>
      <c r="P2" s="808" t="s">
        <v>491</v>
      </c>
      <c r="Q2" s="809"/>
      <c r="R2" s="856" t="s">
        <v>420</v>
      </c>
    </row>
    <row r="3" spans="1:20" ht="36" customHeight="1" thickBot="1" x14ac:dyDescent="0.25">
      <c r="A3" s="861"/>
      <c r="B3" s="845"/>
      <c r="C3" s="815"/>
      <c r="D3" s="740"/>
      <c r="E3" s="740"/>
      <c r="F3" s="740"/>
      <c r="G3" s="740"/>
      <c r="H3" s="740"/>
      <c r="I3" s="740"/>
      <c r="J3" s="740"/>
      <c r="K3" s="740"/>
      <c r="L3" s="740"/>
      <c r="M3" s="855"/>
      <c r="N3" s="740"/>
      <c r="O3" s="823"/>
      <c r="P3" s="618" t="s">
        <v>285</v>
      </c>
      <c r="Q3" s="619" t="s">
        <v>280</v>
      </c>
      <c r="R3" s="857"/>
    </row>
    <row r="4" spans="1:20" ht="14.25" thickTop="1" thickBot="1" x14ac:dyDescent="0.25">
      <c r="A4" s="171" t="s">
        <v>88</v>
      </c>
      <c r="B4" s="849" t="s">
        <v>80</v>
      </c>
      <c r="C4" s="850"/>
      <c r="D4" s="172">
        <f t="shared" ref="D4:R4" si="0">SUM(D5:D12)</f>
        <v>477793</v>
      </c>
      <c r="E4" s="172">
        <f t="shared" si="0"/>
        <v>470856</v>
      </c>
      <c r="F4" s="172">
        <f t="shared" si="0"/>
        <v>334085</v>
      </c>
      <c r="G4" s="172">
        <f t="shared" si="0"/>
        <v>1303204</v>
      </c>
      <c r="H4" s="172">
        <f t="shared" si="0"/>
        <v>978096</v>
      </c>
      <c r="I4" s="172">
        <f t="shared" si="0"/>
        <v>1356608</v>
      </c>
      <c r="J4" s="172">
        <f t="shared" si="0"/>
        <v>1191263</v>
      </c>
      <c r="K4" s="172">
        <f t="shared" si="0"/>
        <v>977990</v>
      </c>
      <c r="L4" s="173">
        <f t="shared" si="0"/>
        <v>439019.94999999995</v>
      </c>
      <c r="M4" s="173">
        <f t="shared" si="0"/>
        <v>540080.30000000005</v>
      </c>
      <c r="N4" s="608">
        <f t="shared" si="0"/>
        <v>2548753.6599999997</v>
      </c>
      <c r="O4" s="172">
        <f t="shared" si="0"/>
        <v>414000</v>
      </c>
      <c r="P4" s="172">
        <f t="shared" si="0"/>
        <v>0</v>
      </c>
      <c r="Q4" s="615">
        <f t="shared" si="0"/>
        <v>0</v>
      </c>
      <c r="R4" s="174">
        <f t="shared" si="0"/>
        <v>414000</v>
      </c>
    </row>
    <row r="5" spans="1:20" x14ac:dyDescent="0.2">
      <c r="A5" s="858"/>
      <c r="B5" s="175"/>
      <c r="C5" s="175" t="s">
        <v>286</v>
      </c>
      <c r="D5" s="175">
        <v>307741</v>
      </c>
      <c r="E5" s="175">
        <v>188873</v>
      </c>
      <c r="F5" s="175">
        <v>209516</v>
      </c>
      <c r="G5" s="175">
        <v>326854</v>
      </c>
      <c r="H5" s="175">
        <v>199897</v>
      </c>
      <c r="I5" s="175">
        <v>22394</v>
      </c>
      <c r="J5" s="176">
        <v>122620</v>
      </c>
      <c r="K5" s="177">
        <v>207083</v>
      </c>
      <c r="L5" s="178">
        <v>173080.99</v>
      </c>
      <c r="M5" s="178">
        <v>233161.19</v>
      </c>
      <c r="N5" s="546">
        <v>1839260.43</v>
      </c>
      <c r="O5" s="521">
        <v>335000</v>
      </c>
      <c r="P5" s="609"/>
      <c r="Q5" s="521"/>
      <c r="R5" s="179">
        <f>O5+P5+Q5</f>
        <v>335000</v>
      </c>
      <c r="T5" s="433"/>
    </row>
    <row r="6" spans="1:20" x14ac:dyDescent="0.2">
      <c r="A6" s="859"/>
      <c r="B6" s="180"/>
      <c r="C6" s="181" t="s">
        <v>287</v>
      </c>
      <c r="D6" s="181"/>
      <c r="E6" s="181"/>
      <c r="F6" s="181"/>
      <c r="G6" s="181"/>
      <c r="H6" s="181">
        <v>490783</v>
      </c>
      <c r="I6" s="181">
        <v>1098574</v>
      </c>
      <c r="J6" s="182">
        <v>733308</v>
      </c>
      <c r="K6" s="183">
        <v>631012</v>
      </c>
      <c r="L6" s="184">
        <v>171789.61</v>
      </c>
      <c r="M6" s="184">
        <v>233027.7</v>
      </c>
      <c r="N6" s="547">
        <v>497600.75</v>
      </c>
      <c r="O6" s="95"/>
      <c r="P6" s="610"/>
      <c r="Q6" s="95"/>
      <c r="R6" s="97">
        <f>O6+P6+Q6</f>
        <v>0</v>
      </c>
    </row>
    <row r="7" spans="1:20" x14ac:dyDescent="0.2">
      <c r="A7" s="859"/>
      <c r="B7" s="185"/>
      <c r="C7" s="119" t="s">
        <v>288</v>
      </c>
      <c r="D7" s="119"/>
      <c r="E7" s="119"/>
      <c r="F7" s="119"/>
      <c r="G7" s="119"/>
      <c r="H7" s="119">
        <v>52527</v>
      </c>
      <c r="I7" s="119">
        <v>53214</v>
      </c>
      <c r="J7" s="95">
        <v>53736</v>
      </c>
      <c r="K7" s="183">
        <v>54692</v>
      </c>
      <c r="L7" s="184">
        <v>59829.25</v>
      </c>
      <c r="M7" s="184">
        <v>73891.41</v>
      </c>
      <c r="N7" s="547">
        <v>74759.429999999993</v>
      </c>
      <c r="O7" s="183">
        <v>74000</v>
      </c>
      <c r="P7" s="611"/>
      <c r="Q7" s="183"/>
      <c r="R7" s="186">
        <f>O7+P7+Q7</f>
        <v>74000</v>
      </c>
    </row>
    <row r="8" spans="1:20" x14ac:dyDescent="0.2">
      <c r="A8" s="859"/>
      <c r="B8" s="187"/>
      <c r="C8" s="599" t="s">
        <v>466</v>
      </c>
      <c r="D8" s="188">
        <v>2622</v>
      </c>
      <c r="E8" s="188">
        <v>6805</v>
      </c>
      <c r="F8" s="188">
        <v>5206</v>
      </c>
      <c r="G8" s="188">
        <v>73230</v>
      </c>
      <c r="H8" s="188">
        <v>22330</v>
      </c>
      <c r="I8" s="188">
        <v>7462</v>
      </c>
      <c r="J8" s="189"/>
      <c r="K8" s="95"/>
      <c r="L8" s="190"/>
      <c r="M8" s="190"/>
      <c r="N8" s="96">
        <v>114400.25</v>
      </c>
      <c r="O8" s="95"/>
      <c r="P8" s="610"/>
      <c r="Q8" s="95"/>
      <c r="R8" s="97">
        <f>O8+P8+Q8</f>
        <v>0</v>
      </c>
      <c r="T8" s="2"/>
    </row>
    <row r="9" spans="1:20" x14ac:dyDescent="0.2">
      <c r="A9" s="859"/>
      <c r="B9" s="187"/>
      <c r="C9" s="599" t="s">
        <v>467</v>
      </c>
      <c r="D9" s="188"/>
      <c r="E9" s="188"/>
      <c r="F9" s="188"/>
      <c r="G9" s="188"/>
      <c r="H9" s="188"/>
      <c r="I9" s="188"/>
      <c r="J9" s="189"/>
      <c r="K9" s="95"/>
      <c r="L9" s="190"/>
      <c r="M9" s="190"/>
      <c r="N9" s="96">
        <v>11332.8</v>
      </c>
      <c r="O9" s="671"/>
      <c r="P9" s="610"/>
      <c r="Q9" s="95"/>
      <c r="R9" s="97"/>
      <c r="T9" s="2"/>
    </row>
    <row r="10" spans="1:20" x14ac:dyDescent="0.2">
      <c r="A10" s="859"/>
      <c r="B10" s="187"/>
      <c r="C10" s="599" t="s">
        <v>465</v>
      </c>
      <c r="D10" s="188"/>
      <c r="E10" s="188"/>
      <c r="F10" s="188"/>
      <c r="G10" s="188"/>
      <c r="H10" s="188"/>
      <c r="I10" s="188"/>
      <c r="J10" s="189"/>
      <c r="K10" s="95"/>
      <c r="L10" s="190"/>
      <c r="M10" s="190"/>
      <c r="N10" s="96">
        <v>11400</v>
      </c>
      <c r="O10" s="671"/>
      <c r="P10" s="610"/>
      <c r="Q10" s="95"/>
      <c r="R10" s="97"/>
      <c r="T10" s="2"/>
    </row>
    <row r="11" spans="1:20" ht="13.5" thickBot="1" x14ac:dyDescent="0.25">
      <c r="A11" s="859"/>
      <c r="B11" s="185"/>
      <c r="C11" s="185" t="s">
        <v>473</v>
      </c>
      <c r="D11" s="185"/>
      <c r="E11" s="185">
        <v>275178</v>
      </c>
      <c r="F11" s="185"/>
      <c r="G11" s="185">
        <v>903120</v>
      </c>
      <c r="H11" s="185">
        <v>212559</v>
      </c>
      <c r="I11" s="185">
        <v>174964</v>
      </c>
      <c r="J11" s="191">
        <v>281599</v>
      </c>
      <c r="K11" s="191">
        <v>85203</v>
      </c>
      <c r="L11" s="192">
        <v>34320.1</v>
      </c>
      <c r="M11" s="192">
        <v>0</v>
      </c>
      <c r="N11" s="548"/>
      <c r="O11" s="613">
        <v>5000</v>
      </c>
      <c r="P11" s="626"/>
      <c r="Q11" s="191"/>
      <c r="R11" s="193">
        <f>O11+P11+Q11</f>
        <v>5000</v>
      </c>
    </row>
    <row r="12" spans="1:20" ht="13.5" hidden="1" thickBot="1" x14ac:dyDescent="0.25">
      <c r="A12" s="859"/>
      <c r="B12" s="194"/>
      <c r="C12" s="194"/>
      <c r="D12" s="194">
        <v>167430</v>
      </c>
      <c r="E12" s="194">
        <v>0</v>
      </c>
      <c r="F12" s="194">
        <v>119363</v>
      </c>
      <c r="G12" s="194"/>
      <c r="H12" s="194"/>
      <c r="I12" s="194"/>
      <c r="J12" s="195"/>
      <c r="K12" s="195"/>
      <c r="L12" s="196"/>
      <c r="M12" s="196">
        <v>0</v>
      </c>
      <c r="N12" s="549"/>
      <c r="O12" s="612">
        <v>0</v>
      </c>
      <c r="P12" s="522">
        <f>IF(N12=0,0,O12/N12)</f>
        <v>0</v>
      </c>
      <c r="Q12" s="195">
        <v>0</v>
      </c>
      <c r="R12" s="439">
        <v>0</v>
      </c>
    </row>
    <row r="13" spans="1:20" ht="14.25" thickTop="1" thickBot="1" x14ac:dyDescent="0.25">
      <c r="A13" s="851" t="s">
        <v>283</v>
      </c>
      <c r="B13" s="852"/>
      <c r="C13" s="853"/>
      <c r="D13" s="165">
        <f t="shared" ref="D13:Q13" si="1">D4</f>
        <v>477793</v>
      </c>
      <c r="E13" s="165">
        <f t="shared" si="1"/>
        <v>470856</v>
      </c>
      <c r="F13" s="165">
        <f t="shared" si="1"/>
        <v>334085</v>
      </c>
      <c r="G13" s="165">
        <f t="shared" si="1"/>
        <v>1303204</v>
      </c>
      <c r="H13" s="165">
        <f t="shared" si="1"/>
        <v>978096</v>
      </c>
      <c r="I13" s="165">
        <f t="shared" si="1"/>
        <v>1356608</v>
      </c>
      <c r="J13" s="165">
        <f t="shared" si="1"/>
        <v>1191263</v>
      </c>
      <c r="K13" s="165">
        <f t="shared" si="1"/>
        <v>977990</v>
      </c>
      <c r="L13" s="166">
        <f t="shared" si="1"/>
        <v>439019.94999999995</v>
      </c>
      <c r="M13" s="166">
        <f t="shared" si="1"/>
        <v>540080.30000000005</v>
      </c>
      <c r="N13" s="614">
        <f t="shared" si="1"/>
        <v>2548753.6599999997</v>
      </c>
      <c r="O13" s="165">
        <f t="shared" si="1"/>
        <v>414000</v>
      </c>
      <c r="P13" s="165">
        <f t="shared" si="1"/>
        <v>0</v>
      </c>
      <c r="Q13" s="165">
        <f t="shared" si="1"/>
        <v>0</v>
      </c>
      <c r="R13" s="167">
        <f>R4</f>
        <v>414000</v>
      </c>
    </row>
    <row r="14" spans="1:20" ht="13.5" thickTop="1" x14ac:dyDescent="0.2"/>
  </sheetData>
  <mergeCells count="21">
    <mergeCell ref="A13:C13"/>
    <mergeCell ref="B4:C4"/>
    <mergeCell ref="M2:M3"/>
    <mergeCell ref="A2:A3"/>
    <mergeCell ref="B2:B3"/>
    <mergeCell ref="C2:C3"/>
    <mergeCell ref="F2:F3"/>
    <mergeCell ref="D2:D3"/>
    <mergeCell ref="R2:R3"/>
    <mergeCell ref="A5:A12"/>
    <mergeCell ref="G2:G3"/>
    <mergeCell ref="N2:N3"/>
    <mergeCell ref="I2:I3"/>
    <mergeCell ref="P2:Q2"/>
    <mergeCell ref="A1:J1"/>
    <mergeCell ref="H2:H3"/>
    <mergeCell ref="O2:O3"/>
    <mergeCell ref="L2:L3"/>
    <mergeCell ref="J2:J3"/>
    <mergeCell ref="K2:K3"/>
    <mergeCell ref="E2:E3"/>
  </mergeCells>
  <phoneticPr fontId="2" type="noConversion"/>
  <pageMargins left="0.15748031496062992" right="0" top="0.19685039370078741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V73"/>
  <sheetViews>
    <sheetView tabSelected="1" workbookViewId="0">
      <selection activeCell="A35" sqref="A35"/>
    </sheetView>
  </sheetViews>
  <sheetFormatPr defaultRowHeight="12.75" x14ac:dyDescent="0.2"/>
  <cols>
    <col min="1" max="1" width="47" customWidth="1"/>
    <col min="2" max="10" width="14.42578125" hidden="1" customWidth="1"/>
    <col min="11" max="12" width="14.42578125" customWidth="1"/>
    <col min="13" max="13" width="13.140625" customWidth="1"/>
    <col min="14" max="14" width="14" customWidth="1"/>
    <col min="15" max="15" width="11.85546875" customWidth="1"/>
    <col min="16" max="16" width="13.28515625" customWidth="1"/>
    <col min="17" max="17" width="13.85546875" customWidth="1"/>
    <col min="19" max="21" width="10.140625" bestFit="1" customWidth="1"/>
    <col min="22" max="22" width="12.140625" customWidth="1"/>
  </cols>
  <sheetData>
    <row r="1" spans="1:22" ht="15" x14ac:dyDescent="0.2">
      <c r="A1" s="862" t="s">
        <v>358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</row>
    <row r="2" spans="1:22" ht="13.5" thickBot="1" x14ac:dyDescent="0.25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168"/>
      <c r="M2" s="169"/>
      <c r="N2" s="169"/>
      <c r="O2" s="169"/>
    </row>
    <row r="3" spans="1:22" ht="13.5" customHeight="1" thickTop="1" x14ac:dyDescent="0.2">
      <c r="A3" s="864" t="s">
        <v>117</v>
      </c>
      <c r="B3" s="739" t="s">
        <v>212</v>
      </c>
      <c r="C3" s="739" t="s">
        <v>213</v>
      </c>
      <c r="D3" s="739" t="s">
        <v>214</v>
      </c>
      <c r="E3" s="739" t="s">
        <v>215</v>
      </c>
      <c r="F3" s="739" t="s">
        <v>216</v>
      </c>
      <c r="G3" s="739" t="s">
        <v>123</v>
      </c>
      <c r="H3" s="739" t="s">
        <v>124</v>
      </c>
      <c r="I3" s="739" t="s">
        <v>125</v>
      </c>
      <c r="J3" s="739" t="s">
        <v>126</v>
      </c>
      <c r="K3" s="739" t="s">
        <v>376</v>
      </c>
      <c r="L3" s="739" t="s">
        <v>474</v>
      </c>
      <c r="M3" s="822" t="s">
        <v>427</v>
      </c>
      <c r="N3" s="764" t="s">
        <v>491</v>
      </c>
      <c r="O3" s="868"/>
      <c r="P3" s="854"/>
      <c r="Q3" s="856" t="s">
        <v>420</v>
      </c>
    </row>
    <row r="4" spans="1:22" x14ac:dyDescent="0.2">
      <c r="A4" s="865"/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7"/>
      <c r="N4" s="869" t="s">
        <v>128</v>
      </c>
      <c r="O4" s="870"/>
      <c r="P4" s="871"/>
      <c r="Q4" s="866"/>
    </row>
    <row r="5" spans="1:22" ht="13.5" thickBot="1" x14ac:dyDescent="0.25">
      <c r="A5" s="865"/>
      <c r="B5" s="740"/>
      <c r="C5" s="740"/>
      <c r="D5" s="740"/>
      <c r="E5" s="740"/>
      <c r="F5" s="740"/>
      <c r="G5" s="740"/>
      <c r="H5" s="740"/>
      <c r="I5" s="740"/>
      <c r="J5" s="740"/>
      <c r="K5" s="740"/>
      <c r="L5" s="740"/>
      <c r="M5" s="823"/>
      <c r="N5" s="601" t="s">
        <v>285</v>
      </c>
      <c r="O5" s="600" t="s">
        <v>289</v>
      </c>
      <c r="P5" s="616" t="s">
        <v>280</v>
      </c>
      <c r="Q5" s="857"/>
    </row>
    <row r="6" spans="1:22" ht="13.5" thickTop="1" x14ac:dyDescent="0.2">
      <c r="A6" s="435" t="s">
        <v>359</v>
      </c>
      <c r="B6" s="436">
        <f>'Bežné príjmy'!D108</f>
        <v>7125871</v>
      </c>
      <c r="C6" s="436">
        <f>'Bežné príjmy'!E108</f>
        <v>7561840</v>
      </c>
      <c r="D6" s="436">
        <f>'Bežné príjmy'!F108</f>
        <v>9082354</v>
      </c>
      <c r="E6" s="436">
        <f>'Bežné príjmy'!G108</f>
        <v>9080838</v>
      </c>
      <c r="F6" s="436">
        <f>'Bežné príjmy'!H108</f>
        <v>8537685</v>
      </c>
      <c r="G6" s="436">
        <f>'Bežné príjmy'!I108</f>
        <v>8930816</v>
      </c>
      <c r="H6" s="436">
        <f>'Bežné príjmy'!J108</f>
        <v>9201831</v>
      </c>
      <c r="I6" s="436">
        <f>'Bežné príjmy'!K108</f>
        <v>9722622</v>
      </c>
      <c r="J6" s="436">
        <f>'Bežné príjmy'!L108</f>
        <v>9640328.2399999984</v>
      </c>
      <c r="K6" s="509">
        <f>'Bežné príjmy'!M108</f>
        <v>10178626.01</v>
      </c>
      <c r="L6" s="436">
        <f>'Bežné príjmy'!N108</f>
        <v>10784511.660000002</v>
      </c>
      <c r="M6" s="436">
        <f>'Bežné príjmy'!O108</f>
        <v>10725592</v>
      </c>
      <c r="N6" s="875">
        <f>'Bežné príjmy'!P108</f>
        <v>90089</v>
      </c>
      <c r="O6" s="876"/>
      <c r="P6" s="877"/>
      <c r="Q6" s="437">
        <f>'Bežné príjmy'!Q108</f>
        <v>10815681</v>
      </c>
      <c r="R6" s="2"/>
      <c r="S6" s="2"/>
      <c r="T6" s="2"/>
      <c r="U6" s="2"/>
      <c r="V6" s="2"/>
    </row>
    <row r="7" spans="1:22" ht="13.5" thickBot="1" x14ac:dyDescent="0.25">
      <c r="A7" s="438" t="s">
        <v>360</v>
      </c>
      <c r="B7" s="195">
        <f>'bežné výdavky'!D201</f>
        <v>5867125</v>
      </c>
      <c r="C7" s="195">
        <f>'bežné výdavky'!E201</f>
        <v>6460200</v>
      </c>
      <c r="D7" s="195">
        <f>'bežné výdavky'!F201</f>
        <v>7832271</v>
      </c>
      <c r="E7" s="195">
        <f>'bežné výdavky'!G201</f>
        <v>8716285.4299999997</v>
      </c>
      <c r="F7" s="195">
        <f>'bežné výdavky'!H201</f>
        <v>9309387</v>
      </c>
      <c r="G7" s="195">
        <f>'bežné výdavky'!I201</f>
        <v>8694541.1999999993</v>
      </c>
      <c r="H7" s="195">
        <f>'bežné výdavky'!J201</f>
        <v>8908071</v>
      </c>
      <c r="I7" s="195">
        <f>'bežné výdavky'!K201</f>
        <v>8934542</v>
      </c>
      <c r="J7" s="195">
        <f>'bežné výdavky'!L201</f>
        <v>9572545.3800000008</v>
      </c>
      <c r="K7" s="196">
        <f>'bežné výdavky'!M201</f>
        <v>9554914.7999999989</v>
      </c>
      <c r="L7" s="195">
        <f>'bežné výdavky'!N201</f>
        <v>9695081.3400000017</v>
      </c>
      <c r="M7" s="195">
        <f>'bežné výdavky'!O201</f>
        <v>10205856</v>
      </c>
      <c r="N7" s="195">
        <f>'bežné výdavky'!P201</f>
        <v>7597</v>
      </c>
      <c r="O7" s="195">
        <f>'bežné výdavky'!Q201</f>
        <v>107918</v>
      </c>
      <c r="P7" s="195"/>
      <c r="Q7" s="439">
        <f>'bežné výdavky'!R201</f>
        <v>10321371</v>
      </c>
      <c r="R7" s="2"/>
      <c r="S7" s="2"/>
      <c r="T7" s="2"/>
      <c r="U7" s="2"/>
      <c r="V7" s="2"/>
    </row>
    <row r="8" spans="1:22" ht="15.75" thickBot="1" x14ac:dyDescent="0.25">
      <c r="A8" s="440" t="s">
        <v>361</v>
      </c>
      <c r="B8" s="441">
        <f t="shared" ref="B8:K8" si="0">B6-B7</f>
        <v>1258746</v>
      </c>
      <c r="C8" s="441">
        <f t="shared" si="0"/>
        <v>1101640</v>
      </c>
      <c r="D8" s="441">
        <f t="shared" si="0"/>
        <v>1250083</v>
      </c>
      <c r="E8" s="441">
        <f t="shared" si="0"/>
        <v>364552.5700000003</v>
      </c>
      <c r="F8" s="441">
        <f t="shared" si="0"/>
        <v>-771702</v>
      </c>
      <c r="G8" s="441">
        <f t="shared" si="0"/>
        <v>236274.80000000075</v>
      </c>
      <c r="H8" s="441">
        <f t="shared" si="0"/>
        <v>293760</v>
      </c>
      <c r="I8" s="441">
        <f t="shared" si="0"/>
        <v>788080</v>
      </c>
      <c r="J8" s="442">
        <f t="shared" si="0"/>
        <v>67782.859999997541</v>
      </c>
      <c r="K8" s="442">
        <f t="shared" si="0"/>
        <v>623711.21000000089</v>
      </c>
      <c r="L8" s="441">
        <f>L6-L7</f>
        <v>1089430.3200000003</v>
      </c>
      <c r="M8" s="441">
        <f>M6-M7</f>
        <v>519736</v>
      </c>
      <c r="N8" s="878">
        <f>N6-N7-O7-P7</f>
        <v>-25426</v>
      </c>
      <c r="O8" s="879"/>
      <c r="P8" s="880"/>
      <c r="Q8" s="443">
        <f>Q6-Q7</f>
        <v>494310</v>
      </c>
      <c r="S8" s="2"/>
      <c r="T8" s="2"/>
      <c r="U8" s="2"/>
    </row>
    <row r="9" spans="1:22" ht="14.25" thickTop="1" thickBot="1" x14ac:dyDescent="0.25">
      <c r="A9" s="890"/>
      <c r="B9" s="891"/>
      <c r="C9" s="891"/>
      <c r="D9" s="891"/>
      <c r="E9" s="891"/>
      <c r="F9" s="891"/>
      <c r="G9" s="891"/>
      <c r="H9" s="891"/>
      <c r="I9" s="891"/>
      <c r="J9" s="891"/>
      <c r="K9" s="891"/>
      <c r="L9" s="891"/>
      <c r="M9" s="891"/>
      <c r="N9" s="891"/>
      <c r="O9" s="891"/>
      <c r="P9" s="891"/>
      <c r="Q9" s="892"/>
      <c r="S9" s="2"/>
      <c r="T9" s="2"/>
      <c r="U9" s="2"/>
    </row>
    <row r="10" spans="1:22" ht="13.5" thickTop="1" x14ac:dyDescent="0.2">
      <c r="A10" s="435" t="s">
        <v>362</v>
      </c>
      <c r="B10" s="436">
        <f>'Kapitálové príjmy'!D56</f>
        <v>2113092</v>
      </c>
      <c r="C10" s="436">
        <f>'Kapitálové príjmy'!E56</f>
        <v>1017958</v>
      </c>
      <c r="D10" s="436">
        <f>'Kapitálové príjmy'!F56</f>
        <v>1245369</v>
      </c>
      <c r="E10" s="436">
        <f>'Kapitálové príjmy'!G56</f>
        <v>4391413</v>
      </c>
      <c r="F10" s="436">
        <f>'Kapitálové príjmy'!H56</f>
        <v>3456141</v>
      </c>
      <c r="G10" s="436">
        <f>'Kapitálové príjmy'!I56</f>
        <v>4649713</v>
      </c>
      <c r="H10" s="436">
        <f>'Kapitálové príjmy'!J56</f>
        <v>4502774.0599999996</v>
      </c>
      <c r="I10" s="436">
        <f>'Kapitálové príjmy'!K56</f>
        <v>3678497</v>
      </c>
      <c r="J10" s="436">
        <f>'Kapitálové príjmy'!L56</f>
        <v>1218338.5899999999</v>
      </c>
      <c r="K10" s="509">
        <f>'Kapitálové príjmy'!M56</f>
        <v>752297.52</v>
      </c>
      <c r="L10" s="436">
        <f>'Kapitálové príjmy'!N56</f>
        <v>935536.18</v>
      </c>
      <c r="M10" s="436">
        <f>'Kapitálové príjmy'!O56</f>
        <v>1782791</v>
      </c>
      <c r="N10" s="875">
        <f>'Kapitálové príjmy'!P56</f>
        <v>-355264</v>
      </c>
      <c r="O10" s="876"/>
      <c r="P10" s="877"/>
      <c r="Q10" s="437">
        <f>'Kapitálové príjmy'!Q56</f>
        <v>1427527</v>
      </c>
      <c r="S10" s="2"/>
      <c r="T10" s="2"/>
      <c r="U10" s="2"/>
      <c r="V10" s="2"/>
    </row>
    <row r="11" spans="1:22" ht="13.5" thickBot="1" x14ac:dyDescent="0.25">
      <c r="A11" s="438" t="s">
        <v>363</v>
      </c>
      <c r="B11" s="195">
        <f>'Kapitálové výdavky'!D143</f>
        <v>2988050</v>
      </c>
      <c r="C11" s="195">
        <f>'Kapitálové výdavky'!E143</f>
        <v>1793069</v>
      </c>
      <c r="D11" s="195">
        <f>'Kapitálové výdavky'!F143</f>
        <v>2942409</v>
      </c>
      <c r="E11" s="195">
        <f>'Kapitálové výdavky'!G143</f>
        <v>4880528</v>
      </c>
      <c r="F11" s="195">
        <f>'Kapitálové výdavky'!H143</f>
        <v>5977301</v>
      </c>
      <c r="G11" s="195">
        <f>'Kapitálové výdavky'!I143</f>
        <v>5818483</v>
      </c>
      <c r="H11" s="195">
        <f>'Kapitálové výdavky'!J143</f>
        <v>4719096</v>
      </c>
      <c r="I11" s="195">
        <f>'Kapitálové výdavky'!K143</f>
        <v>3939694</v>
      </c>
      <c r="J11" s="195">
        <f>'Kapitálové výdavky'!L143</f>
        <v>1800938.79</v>
      </c>
      <c r="K11" s="196">
        <f>'Kapitálové výdavky'!M143</f>
        <v>2904600.1800000006</v>
      </c>
      <c r="L11" s="195">
        <f>'Kapitálové výdavky'!N143</f>
        <v>1348818.6500000001</v>
      </c>
      <c r="M11" s="195">
        <f>'Kapitálové výdavky'!O143</f>
        <v>3205649</v>
      </c>
      <c r="N11" s="195">
        <f>'Kapitálové výdavky'!P143</f>
        <v>-434264</v>
      </c>
      <c r="O11" s="195">
        <f>'Kapitálové výdavky'!Q143</f>
        <v>0</v>
      </c>
      <c r="P11" s="195"/>
      <c r="Q11" s="439">
        <f>'Kapitálové výdavky'!R143</f>
        <v>2771385</v>
      </c>
      <c r="S11" s="2"/>
      <c r="T11" s="2"/>
      <c r="U11" s="2"/>
      <c r="V11" s="2"/>
    </row>
    <row r="12" spans="1:22" ht="15.75" thickBot="1" x14ac:dyDescent="0.3">
      <c r="A12" s="444" t="s">
        <v>364</v>
      </c>
      <c r="B12" s="445">
        <f t="shared" ref="B12:K12" si="1">B10-B11</f>
        <v>-874958</v>
      </c>
      <c r="C12" s="445">
        <f t="shared" si="1"/>
        <v>-775111</v>
      </c>
      <c r="D12" s="445">
        <f t="shared" si="1"/>
        <v>-1697040</v>
      </c>
      <c r="E12" s="445">
        <f t="shared" si="1"/>
        <v>-489115</v>
      </c>
      <c r="F12" s="445">
        <f t="shared" si="1"/>
        <v>-2521160</v>
      </c>
      <c r="G12" s="445">
        <f t="shared" si="1"/>
        <v>-1168770</v>
      </c>
      <c r="H12" s="445">
        <f t="shared" si="1"/>
        <v>-216321.94000000041</v>
      </c>
      <c r="I12" s="445">
        <f t="shared" si="1"/>
        <v>-261197</v>
      </c>
      <c r="J12" s="446">
        <f t="shared" si="1"/>
        <v>-582600.20000000019</v>
      </c>
      <c r="K12" s="446">
        <f t="shared" si="1"/>
        <v>-2152302.6600000006</v>
      </c>
      <c r="L12" s="445">
        <f>L10-L11</f>
        <v>-413282.47000000009</v>
      </c>
      <c r="M12" s="445">
        <f>M10-M11</f>
        <v>-1422858</v>
      </c>
      <c r="N12" s="878">
        <f>N10-N11-O11-P11</f>
        <v>79000</v>
      </c>
      <c r="O12" s="879"/>
      <c r="P12" s="880"/>
      <c r="Q12" s="447">
        <f>Q10-Q11</f>
        <v>-1343858</v>
      </c>
      <c r="S12" s="2"/>
      <c r="T12" s="2"/>
    </row>
    <row r="13" spans="1:22" ht="14.25" thickTop="1" thickBot="1" x14ac:dyDescent="0.25">
      <c r="A13" s="890"/>
      <c r="B13" s="891"/>
      <c r="C13" s="891"/>
      <c r="D13" s="891"/>
      <c r="E13" s="891"/>
      <c r="F13" s="891"/>
      <c r="G13" s="891"/>
      <c r="H13" s="891"/>
      <c r="I13" s="891"/>
      <c r="J13" s="891"/>
      <c r="K13" s="891"/>
      <c r="L13" s="891"/>
      <c r="M13" s="891"/>
      <c r="N13" s="891"/>
      <c r="O13" s="891"/>
      <c r="P13" s="891"/>
      <c r="Q13" s="892"/>
      <c r="T13" s="2"/>
    </row>
    <row r="14" spans="1:22" ht="13.5" thickTop="1" x14ac:dyDescent="0.2">
      <c r="A14" s="435" t="s">
        <v>365</v>
      </c>
      <c r="B14" s="436">
        <f>'Fin operácie - príjmy'!D17</f>
        <v>499436</v>
      </c>
      <c r="C14" s="436">
        <f>'Fin operácie - príjmy'!E17</f>
        <v>313085</v>
      </c>
      <c r="D14" s="436">
        <f>'Fin operácie - príjmy'!F17</f>
        <v>1640749</v>
      </c>
      <c r="E14" s="436">
        <f>'Fin operácie - príjmy'!G17</f>
        <v>2754938</v>
      </c>
      <c r="F14" s="436">
        <f>'Fin operácie - príjmy'!H17</f>
        <v>4479434</v>
      </c>
      <c r="G14" s="436">
        <f>'Fin operácie - príjmy'!I17</f>
        <v>2266668</v>
      </c>
      <c r="H14" s="436">
        <f>'Fin operácie - príjmy'!J17</f>
        <v>1305406</v>
      </c>
      <c r="I14" s="436">
        <f>'Fin operácie - príjmy'!K17</f>
        <v>1509534</v>
      </c>
      <c r="J14" s="436">
        <f>'Fin operácie - príjmy'!L17</f>
        <v>1300969.1299999999</v>
      </c>
      <c r="K14" s="509">
        <f>'Fin operácie - príjmy'!M17</f>
        <v>2766561.36</v>
      </c>
      <c r="L14" s="436">
        <f>'Fin operácie - príjmy'!N17</f>
        <v>2492133.9299999997</v>
      </c>
      <c r="M14" s="436">
        <f>'Fin operácie - príjmy'!O17</f>
        <v>1317122</v>
      </c>
      <c r="N14" s="875">
        <f>'Fin operácie - príjmy'!P17</f>
        <v>0</v>
      </c>
      <c r="O14" s="876"/>
      <c r="P14" s="877"/>
      <c r="Q14" s="437">
        <f>'Fin operácie - príjmy'!Q17</f>
        <v>1317122</v>
      </c>
      <c r="S14" s="2"/>
      <c r="T14" s="2"/>
      <c r="U14" s="2"/>
      <c r="V14" s="2"/>
    </row>
    <row r="15" spans="1:22" ht="13.5" thickBot="1" x14ac:dyDescent="0.25">
      <c r="A15" s="438" t="s">
        <v>366</v>
      </c>
      <c r="B15" s="195">
        <f>'Finančné operácie - výdavky'!D13</f>
        <v>477793</v>
      </c>
      <c r="C15" s="195">
        <f>'Finančné operácie - výdavky'!E13</f>
        <v>470856</v>
      </c>
      <c r="D15" s="195">
        <f>'Finančné operácie - výdavky'!F13</f>
        <v>334085</v>
      </c>
      <c r="E15" s="195">
        <f>'Finančné operácie - výdavky'!G13</f>
        <v>1303204</v>
      </c>
      <c r="F15" s="195">
        <f>'Finančné operácie - výdavky'!H13</f>
        <v>978096</v>
      </c>
      <c r="G15" s="195">
        <f>'Finančné operácie - výdavky'!I13</f>
        <v>1356608</v>
      </c>
      <c r="H15" s="195">
        <f>'Finančné operácie - výdavky'!J13</f>
        <v>1191263</v>
      </c>
      <c r="I15" s="195">
        <f>'Finančné operácie - výdavky'!K13</f>
        <v>977990</v>
      </c>
      <c r="J15" s="195">
        <f>'Finančné operácie - výdavky'!L13</f>
        <v>439019.94999999995</v>
      </c>
      <c r="K15" s="196">
        <f>'Finančné operácie - výdavky'!M13</f>
        <v>540080.30000000005</v>
      </c>
      <c r="L15" s="195">
        <f>'Finančné operácie - výdavky'!N13</f>
        <v>2548753.6599999997</v>
      </c>
      <c r="M15" s="195">
        <f>'Finančné operácie - výdavky'!O13</f>
        <v>414000</v>
      </c>
      <c r="N15" s="195">
        <f>'Finančné operácie - výdavky'!P13</f>
        <v>0</v>
      </c>
      <c r="O15" s="195"/>
      <c r="P15" s="195">
        <f>'Finančné operácie - výdavky'!Q13</f>
        <v>0</v>
      </c>
      <c r="Q15" s="439">
        <f>'Finančné operácie - výdavky'!R13</f>
        <v>414000</v>
      </c>
      <c r="S15" s="2"/>
      <c r="T15" s="2"/>
      <c r="U15" s="2"/>
      <c r="V15" s="2"/>
    </row>
    <row r="16" spans="1:22" ht="15.75" thickBot="1" x14ac:dyDescent="0.3">
      <c r="A16" s="444" t="s">
        <v>260</v>
      </c>
      <c r="B16" s="445">
        <f t="shared" ref="B16:K16" si="2">B14-B15</f>
        <v>21643</v>
      </c>
      <c r="C16" s="445">
        <f t="shared" si="2"/>
        <v>-157771</v>
      </c>
      <c r="D16" s="445">
        <f t="shared" si="2"/>
        <v>1306664</v>
      </c>
      <c r="E16" s="445">
        <f t="shared" si="2"/>
        <v>1451734</v>
      </c>
      <c r="F16" s="445">
        <f t="shared" si="2"/>
        <v>3501338</v>
      </c>
      <c r="G16" s="445">
        <f t="shared" si="2"/>
        <v>910060</v>
      </c>
      <c r="H16" s="445">
        <f t="shared" si="2"/>
        <v>114143</v>
      </c>
      <c r="I16" s="445">
        <f t="shared" si="2"/>
        <v>531544</v>
      </c>
      <c r="J16" s="446">
        <f t="shared" si="2"/>
        <v>861949.17999999993</v>
      </c>
      <c r="K16" s="446">
        <f t="shared" si="2"/>
        <v>2226481.0599999996</v>
      </c>
      <c r="L16" s="445">
        <f>L14-L15</f>
        <v>-56619.729999999981</v>
      </c>
      <c r="M16" s="445">
        <f>M14-M15</f>
        <v>903122</v>
      </c>
      <c r="N16" s="878">
        <f>N14-N15-O15-P15</f>
        <v>0</v>
      </c>
      <c r="O16" s="879"/>
      <c r="P16" s="880"/>
      <c r="Q16" s="447">
        <f>Q14-Q15</f>
        <v>903122</v>
      </c>
      <c r="S16" s="2"/>
      <c r="T16" s="2"/>
      <c r="U16" s="2"/>
    </row>
    <row r="17" spans="1:22" ht="14.25" thickTop="1" thickBot="1" x14ac:dyDescent="0.25">
      <c r="A17" s="887"/>
      <c r="B17" s="888"/>
      <c r="C17" s="888"/>
      <c r="D17" s="888"/>
      <c r="E17" s="888"/>
      <c r="F17" s="888"/>
      <c r="G17" s="888"/>
      <c r="H17" s="888"/>
      <c r="I17" s="888"/>
      <c r="J17" s="888"/>
      <c r="K17" s="888"/>
      <c r="L17" s="888"/>
      <c r="M17" s="888"/>
      <c r="N17" s="888"/>
      <c r="O17" s="888"/>
      <c r="P17" s="888"/>
      <c r="Q17" s="889"/>
      <c r="S17" s="2"/>
      <c r="U17" s="2"/>
      <c r="V17" s="2"/>
    </row>
    <row r="18" spans="1:22" ht="16.5" customHeight="1" thickTop="1" x14ac:dyDescent="0.2">
      <c r="A18" s="881" t="s">
        <v>261</v>
      </c>
      <c r="B18" s="882"/>
      <c r="C18" s="882"/>
      <c r="D18" s="882"/>
      <c r="E18" s="882"/>
      <c r="F18" s="882"/>
      <c r="G18" s="882"/>
      <c r="H18" s="882"/>
      <c r="I18" s="882"/>
      <c r="J18" s="882"/>
      <c r="K18" s="882"/>
      <c r="L18" s="882"/>
      <c r="M18" s="882"/>
      <c r="N18" s="882"/>
      <c r="O18" s="882"/>
      <c r="P18" s="882"/>
      <c r="Q18" s="883"/>
      <c r="S18" s="2"/>
      <c r="T18" s="2"/>
      <c r="U18" s="2"/>
      <c r="V18" s="2"/>
    </row>
    <row r="19" spans="1:22" ht="13.5" thickBot="1" x14ac:dyDescent="0.25">
      <c r="A19" s="884"/>
      <c r="B19" s="885"/>
      <c r="C19" s="885"/>
      <c r="D19" s="885"/>
      <c r="E19" s="885"/>
      <c r="F19" s="885"/>
      <c r="G19" s="885"/>
      <c r="H19" s="885"/>
      <c r="I19" s="885"/>
      <c r="J19" s="885"/>
      <c r="K19" s="885"/>
      <c r="L19" s="885"/>
      <c r="M19" s="885"/>
      <c r="N19" s="885"/>
      <c r="O19" s="885"/>
      <c r="P19" s="885"/>
      <c r="Q19" s="886"/>
    </row>
    <row r="20" spans="1:22" ht="17.25" thickTop="1" thickBot="1" x14ac:dyDescent="0.3">
      <c r="A20" s="448" t="s">
        <v>262</v>
      </c>
      <c r="B20" s="449">
        <f t="shared" ref="B20:J20" si="3">B8+B12+B16</f>
        <v>405431</v>
      </c>
      <c r="C20" s="449">
        <f t="shared" si="3"/>
        <v>168758</v>
      </c>
      <c r="D20" s="449">
        <f t="shared" si="3"/>
        <v>859707</v>
      </c>
      <c r="E20" s="449">
        <f t="shared" si="3"/>
        <v>1327171.5700000003</v>
      </c>
      <c r="F20" s="449">
        <f t="shared" si="3"/>
        <v>208476</v>
      </c>
      <c r="G20" s="449">
        <f t="shared" si="3"/>
        <v>-22435.199999999255</v>
      </c>
      <c r="H20" s="449">
        <f t="shared" si="3"/>
        <v>191581.05999999959</v>
      </c>
      <c r="I20" s="449">
        <f t="shared" si="3"/>
        <v>1058427</v>
      </c>
      <c r="J20" s="450">
        <f t="shared" si="3"/>
        <v>347131.83999999729</v>
      </c>
      <c r="K20" s="450">
        <f>K8+K12+K16</f>
        <v>697889.60999999987</v>
      </c>
      <c r="L20" s="449">
        <f>L8+L12+L16</f>
        <v>619528.12000000023</v>
      </c>
      <c r="M20" s="524">
        <f>M16+M12+M8</f>
        <v>0</v>
      </c>
      <c r="N20" s="872">
        <f>N16+N12+N8</f>
        <v>53574</v>
      </c>
      <c r="O20" s="873"/>
      <c r="P20" s="874"/>
      <c r="Q20" s="523">
        <f>Q16+Q12+Q8</f>
        <v>53574</v>
      </c>
    </row>
    <row r="21" spans="1:22" ht="13.5" thickTop="1" x14ac:dyDescent="0.2"/>
    <row r="22" spans="1:22" x14ac:dyDescent="0.2">
      <c r="S22" s="2"/>
    </row>
    <row r="23" spans="1:22" ht="17.25" customHeight="1" x14ac:dyDescent="0.25">
      <c r="M23" s="560"/>
      <c r="P23" s="560"/>
      <c r="Q23" s="2"/>
    </row>
    <row r="24" spans="1:22" ht="15.75" customHeight="1" x14ac:dyDescent="0.25">
      <c r="A24" s="714" t="s">
        <v>494</v>
      </c>
      <c r="L24" s="2"/>
      <c r="M24" s="2"/>
      <c r="N24" s="2"/>
      <c r="O24" s="2"/>
      <c r="P24" s="560"/>
      <c r="Q24" s="560"/>
      <c r="S24" s="2"/>
      <c r="T24" s="2"/>
    </row>
    <row r="25" spans="1:22" ht="15.75" x14ac:dyDescent="0.25">
      <c r="L25" s="2"/>
      <c r="M25" s="2"/>
      <c r="N25" s="2"/>
      <c r="O25" s="2"/>
      <c r="P25" s="560"/>
      <c r="Q25" s="560"/>
    </row>
    <row r="26" spans="1:22" ht="15.75" x14ac:dyDescent="0.25">
      <c r="L26" s="2"/>
      <c r="M26" s="2"/>
      <c r="N26" s="2"/>
      <c r="O26" s="2"/>
      <c r="P26" s="560"/>
      <c r="Q26" s="560"/>
    </row>
    <row r="27" spans="1:22" x14ac:dyDescent="0.2">
      <c r="L27" s="2"/>
      <c r="Q27" s="2"/>
    </row>
    <row r="29" spans="1:22" x14ac:dyDescent="0.2">
      <c r="N29" s="630" t="s">
        <v>495</v>
      </c>
      <c r="Q29" s="2"/>
    </row>
    <row r="30" spans="1:22" x14ac:dyDescent="0.2">
      <c r="K30" s="2"/>
      <c r="L30" s="2"/>
      <c r="N30" s="630" t="s">
        <v>496</v>
      </c>
      <c r="Q30" s="2"/>
    </row>
    <row r="31" spans="1:22" x14ac:dyDescent="0.2">
      <c r="K31" s="2"/>
      <c r="L31" s="2"/>
      <c r="P31" s="2"/>
    </row>
    <row r="32" spans="1:22" x14ac:dyDescent="0.2">
      <c r="M32" s="2"/>
      <c r="U32" s="2"/>
    </row>
    <row r="33" spans="10:21" x14ac:dyDescent="0.2">
      <c r="U33" s="2"/>
    </row>
    <row r="34" spans="10:21" x14ac:dyDescent="0.2">
      <c r="J34" s="2"/>
      <c r="Q34" s="2"/>
    </row>
    <row r="73" spans="1:1" x14ac:dyDescent="0.2">
      <c r="A73" s="556"/>
    </row>
  </sheetData>
  <mergeCells count="28">
    <mergeCell ref="N4:P4"/>
    <mergeCell ref="N20:P20"/>
    <mergeCell ref="N6:P6"/>
    <mergeCell ref="N10:P10"/>
    <mergeCell ref="N14:P14"/>
    <mergeCell ref="N8:P8"/>
    <mergeCell ref="N12:P12"/>
    <mergeCell ref="N16:P16"/>
    <mergeCell ref="A18:Q19"/>
    <mergeCell ref="A17:Q17"/>
    <mergeCell ref="A9:Q9"/>
    <mergeCell ref="A13:Q13"/>
    <mergeCell ref="A1:Q1"/>
    <mergeCell ref="I3:I5"/>
    <mergeCell ref="H3:H5"/>
    <mergeCell ref="A3:A5"/>
    <mergeCell ref="B3:B5"/>
    <mergeCell ref="C3:C5"/>
    <mergeCell ref="J3:J5"/>
    <mergeCell ref="F3:F5"/>
    <mergeCell ref="G3:G5"/>
    <mergeCell ref="K3:K5"/>
    <mergeCell ref="D3:D5"/>
    <mergeCell ref="Q3:Q5"/>
    <mergeCell ref="L3:L5"/>
    <mergeCell ref="M3:M5"/>
    <mergeCell ref="E3:E5"/>
    <mergeCell ref="N3:P3"/>
  </mergeCells>
  <phoneticPr fontId="2" type="noConversion"/>
  <pageMargins left="0.39370078740157483" right="0.74803149606299213" top="0.19685039370078741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5"/>
    <pageSetUpPr fitToPage="1"/>
  </sheetPr>
  <dimension ref="A1:R140"/>
  <sheetViews>
    <sheetView workbookViewId="0">
      <selection activeCell="C26" sqref="C26"/>
    </sheetView>
  </sheetViews>
  <sheetFormatPr defaultRowHeight="12.75" x14ac:dyDescent="0.2"/>
  <cols>
    <col min="1" max="1" width="10.85546875" style="1" customWidth="1"/>
    <col min="2" max="2" width="9.140625" style="1"/>
    <col min="3" max="3" width="37.28515625" style="1" customWidth="1"/>
    <col min="4" max="8" width="13.7109375" style="1" customWidth="1"/>
    <col min="9" max="9" width="15" style="1" customWidth="1"/>
    <col min="10" max="14" width="13.7109375" style="1" customWidth="1"/>
    <col min="15" max="16384" width="9.140625" style="1"/>
  </cols>
  <sheetData>
    <row r="1" spans="1:14" ht="24.75" customHeight="1" x14ac:dyDescent="0.35">
      <c r="A1" s="893" t="s">
        <v>403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893"/>
      <c r="M1" s="893"/>
      <c r="N1" s="893"/>
    </row>
    <row r="2" spans="1:14" ht="13.5" thickBot="1" x14ac:dyDescent="0.25">
      <c r="G2" s="586"/>
    </row>
    <row r="3" spans="1:14" ht="13.5" customHeight="1" thickTop="1" thickBot="1" x14ac:dyDescent="0.25">
      <c r="A3" s="902" t="s">
        <v>71</v>
      </c>
      <c r="B3" s="904" t="s">
        <v>116</v>
      </c>
      <c r="C3" s="906" t="s">
        <v>72</v>
      </c>
      <c r="D3" s="908" t="s">
        <v>426</v>
      </c>
      <c r="E3" s="896" t="s">
        <v>106</v>
      </c>
      <c r="F3" s="896"/>
      <c r="G3" s="896"/>
      <c r="H3" s="896"/>
      <c r="I3" s="896"/>
      <c r="J3" s="896"/>
      <c r="K3" s="896"/>
      <c r="L3" s="896"/>
      <c r="M3" s="896"/>
      <c r="N3" s="897" t="s">
        <v>82</v>
      </c>
    </row>
    <row r="4" spans="1:14" ht="49.5" customHeight="1" thickBot="1" x14ac:dyDescent="0.25">
      <c r="A4" s="903"/>
      <c r="B4" s="905"/>
      <c r="C4" s="907"/>
      <c r="D4" s="909"/>
      <c r="E4" s="559" t="s">
        <v>107</v>
      </c>
      <c r="F4" s="559" t="s">
        <v>108</v>
      </c>
      <c r="G4" s="559" t="s">
        <v>109</v>
      </c>
      <c r="H4" s="559" t="s">
        <v>110</v>
      </c>
      <c r="I4" s="559" t="s">
        <v>402</v>
      </c>
      <c r="J4" s="559" t="s">
        <v>111</v>
      </c>
      <c r="K4" s="559" t="s">
        <v>405</v>
      </c>
      <c r="L4" s="559" t="s">
        <v>486</v>
      </c>
      <c r="M4" s="559" t="s">
        <v>112</v>
      </c>
      <c r="N4" s="898"/>
    </row>
    <row r="5" spans="1:14" ht="16.5" thickTop="1" thickBot="1" x14ac:dyDescent="0.3">
      <c r="A5" s="532" t="s">
        <v>290</v>
      </c>
      <c r="B5" s="910" t="str">
        <f>'Kapitálové výdavky'!B4:C4</f>
        <v>Verejná správa</v>
      </c>
      <c r="C5" s="910"/>
      <c r="D5" s="525">
        <f>D6+D8+D7</f>
        <v>13044</v>
      </c>
      <c r="E5" s="525">
        <f t="shared" ref="E5:K5" si="0">E6+E8</f>
        <v>10044</v>
      </c>
      <c r="F5" s="525">
        <f>F6+F8+F7</f>
        <v>3000</v>
      </c>
      <c r="G5" s="525">
        <f t="shared" si="0"/>
        <v>0</v>
      </c>
      <c r="H5" s="525">
        <f t="shared" si="0"/>
        <v>0</v>
      </c>
      <c r="I5" s="525">
        <f t="shared" si="0"/>
        <v>0</v>
      </c>
      <c r="J5" s="525">
        <f t="shared" si="0"/>
        <v>0</v>
      </c>
      <c r="K5" s="525">
        <f t="shared" si="0"/>
        <v>0</v>
      </c>
      <c r="L5" s="525"/>
      <c r="M5" s="525">
        <f>M6+M8</f>
        <v>0</v>
      </c>
      <c r="N5" s="533">
        <f>N6+N8+N7</f>
        <v>13044</v>
      </c>
    </row>
    <row r="6" spans="1:14" x14ac:dyDescent="0.2">
      <c r="A6" s="769"/>
      <c r="B6" s="826"/>
      <c r="C6" s="72" t="str">
        <f>'Kapitálové výdavky'!C5</f>
        <v>auto</v>
      </c>
      <c r="D6" s="57">
        <v>4500</v>
      </c>
      <c r="E6" s="57">
        <v>4500</v>
      </c>
      <c r="F6" s="57"/>
      <c r="G6" s="57"/>
      <c r="H6" s="57"/>
      <c r="I6" s="57"/>
      <c r="J6" s="57"/>
      <c r="K6" s="57"/>
      <c r="L6" s="57"/>
      <c r="M6" s="57"/>
      <c r="N6" s="23">
        <f>SUM(E6:M6)</f>
        <v>4500</v>
      </c>
    </row>
    <row r="7" spans="1:14" x14ac:dyDescent="0.2">
      <c r="A7" s="774"/>
      <c r="B7" s="827"/>
      <c r="C7" s="72" t="s">
        <v>443</v>
      </c>
      <c r="D7" s="57">
        <v>3000</v>
      </c>
      <c r="E7" s="57"/>
      <c r="F7" s="57">
        <v>3000</v>
      </c>
      <c r="G7" s="57"/>
      <c r="H7" s="57"/>
      <c r="I7" s="57"/>
      <c r="J7" s="57"/>
      <c r="K7" s="57"/>
      <c r="L7" s="57"/>
      <c r="M7" s="57"/>
      <c r="N7" s="23">
        <f>SUM(E7:M7)</f>
        <v>3000</v>
      </c>
    </row>
    <row r="8" spans="1:14" ht="13.5" thickBot="1" x14ac:dyDescent="0.25">
      <c r="A8" s="770"/>
      <c r="B8" s="827"/>
      <c r="C8" s="72" t="str">
        <f>'Kapitálové výdavky'!C7</f>
        <v>Software</v>
      </c>
      <c r="D8" s="57">
        <v>5544</v>
      </c>
      <c r="E8" s="57">
        <f>2640+2904</f>
        <v>5544</v>
      </c>
      <c r="F8" s="57"/>
      <c r="G8" s="57"/>
      <c r="H8" s="57"/>
      <c r="I8" s="57"/>
      <c r="J8" s="57"/>
      <c r="K8" s="57"/>
      <c r="L8" s="57"/>
      <c r="M8" s="57"/>
      <c r="N8" s="23">
        <f>SUM(E8:M8)</f>
        <v>5544</v>
      </c>
    </row>
    <row r="9" spans="1:14" ht="15.75" thickBot="1" x14ac:dyDescent="0.3">
      <c r="A9" s="530" t="s">
        <v>95</v>
      </c>
      <c r="B9" s="899" t="str">
        <f>'Kapitálové výdavky'!B10:C10</f>
        <v>Policajné služby</v>
      </c>
      <c r="C9" s="899"/>
      <c r="D9" s="526">
        <f>SUM(D10:D11)</f>
        <v>12000</v>
      </c>
      <c r="E9" s="526">
        <f t="shared" ref="E9:M9" si="1">SUM(E10:E11)</f>
        <v>0</v>
      </c>
      <c r="F9" s="526">
        <f t="shared" si="1"/>
        <v>0</v>
      </c>
      <c r="G9" s="526">
        <f>SUM(G10:G11)</f>
        <v>0</v>
      </c>
      <c r="H9" s="526">
        <f t="shared" si="1"/>
        <v>0</v>
      </c>
      <c r="I9" s="526">
        <f t="shared" si="1"/>
        <v>0</v>
      </c>
      <c r="J9" s="526">
        <f t="shared" si="1"/>
        <v>12000</v>
      </c>
      <c r="K9" s="526">
        <f t="shared" si="1"/>
        <v>0</v>
      </c>
      <c r="L9" s="526"/>
      <c r="M9" s="526">
        <f t="shared" si="1"/>
        <v>0</v>
      </c>
      <c r="N9" s="534">
        <f>SUM(N10:N11)</f>
        <v>12000</v>
      </c>
    </row>
    <row r="10" spans="1:14" ht="13.5" thickBot="1" x14ac:dyDescent="0.25">
      <c r="A10" s="769"/>
      <c r="B10" s="826"/>
      <c r="C10" s="72" t="str">
        <f>'Kapitálové výdavky'!C11</f>
        <v>kamerový systém</v>
      </c>
      <c r="D10" s="42">
        <f>'Kapitálové výdavky'!O11</f>
        <v>12000</v>
      </c>
      <c r="E10" s="42"/>
      <c r="F10" s="42"/>
      <c r="G10" s="42"/>
      <c r="H10" s="42"/>
      <c r="I10" s="42"/>
      <c r="J10" s="42">
        <v>12000</v>
      </c>
      <c r="K10" s="42"/>
      <c r="L10" s="42"/>
      <c r="M10" s="42"/>
      <c r="N10" s="94">
        <f>SUM(E10:M10)</f>
        <v>12000</v>
      </c>
    </row>
    <row r="11" spans="1:14" ht="13.5" hidden="1" thickBot="1" x14ac:dyDescent="0.25">
      <c r="A11" s="770"/>
      <c r="B11" s="827"/>
      <c r="C11" s="143" t="str">
        <f>'Kapitálové výdavky'!C12</f>
        <v>auto</v>
      </c>
      <c r="D11" s="57">
        <f>'Kapitálové výdavky'!O12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23">
        <f>SUM(E11:M11)</f>
        <v>0</v>
      </c>
    </row>
    <row r="12" spans="1:14" ht="15.75" thickBot="1" x14ac:dyDescent="0.3">
      <c r="A12" s="530" t="s">
        <v>90</v>
      </c>
      <c r="B12" s="899" t="str">
        <f>'Kapitálové výdavky'!B13:C13</f>
        <v>Výstavba</v>
      </c>
      <c r="C12" s="899"/>
      <c r="D12" s="526">
        <f t="shared" ref="D12:M12" si="2">SUM(D13:D30)</f>
        <v>736554</v>
      </c>
      <c r="E12" s="526">
        <f>SUM(E13:E30)</f>
        <v>24329</v>
      </c>
      <c r="F12" s="526">
        <f>SUM(F13:F30)</f>
        <v>83875</v>
      </c>
      <c r="G12" s="526">
        <f t="shared" si="2"/>
        <v>0</v>
      </c>
      <c r="H12" s="526">
        <f t="shared" si="2"/>
        <v>352000</v>
      </c>
      <c r="I12" s="526">
        <f>SUM(I13:I30)</f>
        <v>136649</v>
      </c>
      <c r="J12" s="526">
        <f t="shared" si="2"/>
        <v>0</v>
      </c>
      <c r="K12" s="526">
        <f t="shared" si="2"/>
        <v>75000</v>
      </c>
      <c r="L12" s="526">
        <f t="shared" si="2"/>
        <v>64701</v>
      </c>
      <c r="M12" s="526">
        <f t="shared" si="2"/>
        <v>0</v>
      </c>
      <c r="N12" s="534">
        <f>SUM(N13:N30)</f>
        <v>736554</v>
      </c>
    </row>
    <row r="13" spans="1:14" x14ac:dyDescent="0.2">
      <c r="A13" s="774"/>
      <c r="B13" s="841"/>
      <c r="C13" s="72" t="str">
        <f>'Kapitálové výdavky'!C14</f>
        <v>Projektová dokumentácia</v>
      </c>
      <c r="D13" s="57">
        <f>'Kapitálové výdavky'!R14</f>
        <v>99478</v>
      </c>
      <c r="E13" s="57">
        <f>24979-650</f>
        <v>24329</v>
      </c>
      <c r="F13" s="57">
        <f>34499+650</f>
        <v>35149</v>
      </c>
      <c r="G13" s="57"/>
      <c r="H13" s="57"/>
      <c r="I13" s="57"/>
      <c r="J13" s="57"/>
      <c r="K13" s="57">
        <v>40000</v>
      </c>
      <c r="L13" s="57"/>
      <c r="M13" s="57"/>
      <c r="N13" s="23">
        <f t="shared" ref="N13:N30" si="3">SUM(E13:M13)</f>
        <v>99478</v>
      </c>
    </row>
    <row r="14" spans="1:14" x14ac:dyDescent="0.2">
      <c r="A14" s="774"/>
      <c r="B14" s="841"/>
      <c r="C14" s="72" t="str">
        <f>'Kapitálové výdavky'!C15</f>
        <v>Spolufinancovanie projektov</v>
      </c>
      <c r="D14" s="57">
        <f>'Kapitálové výdavky'!O15</f>
        <v>0</v>
      </c>
      <c r="E14" s="57"/>
      <c r="F14" s="57"/>
      <c r="G14" s="57"/>
      <c r="H14" s="57"/>
      <c r="I14" s="57"/>
      <c r="J14" s="57"/>
      <c r="K14" s="57"/>
      <c r="L14" s="57"/>
      <c r="M14" s="57"/>
      <c r="N14" s="23">
        <f t="shared" si="3"/>
        <v>0</v>
      </c>
    </row>
    <row r="15" spans="1:14" hidden="1" x14ac:dyDescent="0.2">
      <c r="A15" s="774"/>
      <c r="B15" s="841"/>
      <c r="C15" s="72" t="str">
        <f>'Kapitálové výdavky'!C16</f>
        <v>Technické zhodnotenie - poliklinika</v>
      </c>
      <c r="D15" s="57">
        <f>'Kapitálové výdavky'!O16</f>
        <v>0</v>
      </c>
      <c r="E15" s="57"/>
      <c r="F15" s="57"/>
      <c r="G15" s="57"/>
      <c r="H15" s="57"/>
      <c r="I15" s="57"/>
      <c r="J15" s="57"/>
      <c r="K15" s="57"/>
      <c r="L15" s="57"/>
      <c r="M15" s="57"/>
      <c r="N15" s="23">
        <f t="shared" si="3"/>
        <v>0</v>
      </c>
    </row>
    <row r="16" spans="1:14" hidden="1" x14ac:dyDescent="0.2">
      <c r="A16" s="774"/>
      <c r="B16" s="841"/>
      <c r="C16" s="72" t="str">
        <f>'Kapitálové výdavky'!C17</f>
        <v>Na  obnovu kult. Pamiatok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3">
        <f t="shared" si="3"/>
        <v>0</v>
      </c>
    </row>
    <row r="17" spans="1:18" x14ac:dyDescent="0.2">
      <c r="A17" s="774"/>
      <c r="B17" s="841"/>
      <c r="C17" s="72" t="str">
        <f>'Kapitálové výdavky'!C18</f>
        <v xml:space="preserve">Kostol sv. Jakuba </v>
      </c>
      <c r="D17" s="57">
        <v>36000</v>
      </c>
      <c r="E17" s="57"/>
      <c r="F17" s="57"/>
      <c r="G17" s="57"/>
      <c r="H17" s="57">
        <v>36000</v>
      </c>
      <c r="I17" s="57"/>
      <c r="J17" s="57"/>
      <c r="K17" s="57"/>
      <c r="L17" s="57"/>
      <c r="M17" s="57"/>
      <c r="N17" s="23">
        <f t="shared" si="3"/>
        <v>36000</v>
      </c>
    </row>
    <row r="18" spans="1:18" x14ac:dyDescent="0.2">
      <c r="A18" s="774"/>
      <c r="B18" s="841"/>
      <c r="C18" s="72" t="str">
        <f>'Kapitálové výdavky'!C19</f>
        <v>Košická ul. Č. 26</v>
      </c>
      <c r="D18" s="57">
        <v>287053</v>
      </c>
      <c r="E18" s="57"/>
      <c r="F18" s="57">
        <v>40435</v>
      </c>
      <c r="G18" s="57"/>
      <c r="H18" s="57">
        <f>141339+30632+21168+14901-1422</f>
        <v>206618</v>
      </c>
      <c r="I18" s="57">
        <v>40000</v>
      </c>
      <c r="J18" s="57"/>
      <c r="K18" s="57"/>
      <c r="L18" s="57"/>
      <c r="M18" s="57"/>
      <c r="N18" s="23">
        <f t="shared" si="3"/>
        <v>287053</v>
      </c>
    </row>
    <row r="19" spans="1:18" x14ac:dyDescent="0.2">
      <c r="A19" s="774"/>
      <c r="B19" s="841"/>
      <c r="C19" s="72" t="str">
        <f>'Kapitálové výdavky'!C20</f>
        <v>Dom meštiansky, NMP č.43</v>
      </c>
      <c r="D19" s="57">
        <f>'Kapitálové výdavky'!O20</f>
        <v>0</v>
      </c>
      <c r="E19" s="57"/>
      <c r="F19" s="57"/>
      <c r="G19" s="57"/>
      <c r="H19" s="57"/>
      <c r="I19" s="57"/>
      <c r="J19" s="57"/>
      <c r="K19" s="57"/>
      <c r="L19" s="57"/>
      <c r="M19" s="57"/>
      <c r="N19" s="23">
        <f t="shared" si="3"/>
        <v>0</v>
      </c>
      <c r="R19" s="711"/>
    </row>
    <row r="20" spans="1:18" x14ac:dyDescent="0.2">
      <c r="A20" s="774"/>
      <c r="B20" s="841"/>
      <c r="C20" s="72" t="str">
        <f>'Kapitálové výdavky'!C21</f>
        <v xml:space="preserve">Prestavba N.M.P. II. etapa </v>
      </c>
      <c r="D20" s="57">
        <f>'Kapitálové výdavky'!O21</f>
        <v>0</v>
      </c>
      <c r="E20" s="57"/>
      <c r="F20" s="57"/>
      <c r="G20" s="57"/>
      <c r="H20" s="57"/>
      <c r="I20" s="57"/>
      <c r="J20" s="57"/>
      <c r="K20" s="57"/>
      <c r="L20" s="57"/>
      <c r="M20" s="57"/>
      <c r="N20" s="23">
        <f t="shared" si="3"/>
        <v>0</v>
      </c>
      <c r="Q20" s="586"/>
      <c r="R20" s="712"/>
    </row>
    <row r="21" spans="1:18" x14ac:dyDescent="0.2">
      <c r="A21" s="774"/>
      <c r="B21" s="841"/>
      <c r="C21" s="72" t="str">
        <f>'Kapitálové výdavky'!C22</f>
        <v>NMP č.4</v>
      </c>
      <c r="D21" s="57">
        <v>106909</v>
      </c>
      <c r="E21" s="57"/>
      <c r="F21" s="57"/>
      <c r="G21" s="57"/>
      <c r="H21" s="57">
        <f>8838+1422</f>
        <v>10260</v>
      </c>
      <c r="I21" s="57">
        <v>96649</v>
      </c>
      <c r="J21" s="57"/>
      <c r="K21" s="57"/>
      <c r="L21" s="57"/>
      <c r="M21" s="57"/>
      <c r="N21" s="23">
        <f t="shared" si="3"/>
        <v>106909</v>
      </c>
    </row>
    <row r="22" spans="1:18" hidden="1" x14ac:dyDescent="0.2">
      <c r="A22" s="774"/>
      <c r="B22" s="841"/>
      <c r="C22" s="72" t="str">
        <f>'Kapitálové výdavky'!C23</f>
        <v xml:space="preserve">PD Košická ulica č. 26 </v>
      </c>
      <c r="D22" s="57">
        <f>'Kapitálové výdavky'!O23</f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23">
        <f t="shared" si="3"/>
        <v>0</v>
      </c>
    </row>
    <row r="23" spans="1:18" hidden="1" x14ac:dyDescent="0.2">
      <c r="A23" s="774"/>
      <c r="B23" s="841"/>
      <c r="C23" s="72" t="str">
        <f>'Kapitálové výdavky'!C24</f>
        <v>Kostol sv. Jakuba - veža</v>
      </c>
      <c r="D23" s="26">
        <f>'Kapitálové výdavky'!O24</f>
        <v>0</v>
      </c>
      <c r="E23" s="26"/>
      <c r="F23" s="26"/>
      <c r="G23" s="26"/>
      <c r="H23" s="26"/>
      <c r="I23" s="26"/>
      <c r="J23" s="26"/>
      <c r="K23" s="26"/>
      <c r="L23" s="26"/>
      <c r="M23" s="26"/>
      <c r="N23" s="27">
        <f t="shared" si="3"/>
        <v>0</v>
      </c>
    </row>
    <row r="24" spans="1:18" hidden="1" x14ac:dyDescent="0.2">
      <c r="A24" s="774"/>
      <c r="B24" s="841"/>
      <c r="C24" s="72" t="str">
        <f>'Kapitálové výdavky'!C25</f>
        <v>Hradby</v>
      </c>
      <c r="D24" s="44">
        <f>'Kapitálové výdavky'!O25</f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27">
        <f t="shared" si="3"/>
        <v>0</v>
      </c>
    </row>
    <row r="25" spans="1:18" hidden="1" x14ac:dyDescent="0.2">
      <c r="A25" s="774"/>
      <c r="B25" s="841"/>
      <c r="C25" s="72" t="str">
        <f>'Kapitálové výdavky'!C26</f>
        <v>Klietka hamby</v>
      </c>
      <c r="D25" s="44">
        <f>'Kapitálové výdavky'!O26</f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27">
        <f t="shared" si="3"/>
        <v>0</v>
      </c>
    </row>
    <row r="26" spans="1:18" x14ac:dyDescent="0.2">
      <c r="A26" s="774"/>
      <c r="B26" s="841"/>
      <c r="C26" s="72" t="str">
        <f>'Kapitálové výdavky'!C27</f>
        <v>Fontána dobročinnosti</v>
      </c>
      <c r="D26" s="44">
        <v>131114</v>
      </c>
      <c r="E26" s="44"/>
      <c r="F26" s="44">
        <f>2941-650</f>
        <v>2291</v>
      </c>
      <c r="G26" s="44"/>
      <c r="H26" s="44">
        <f>64122</f>
        <v>64122</v>
      </c>
      <c r="I26" s="44"/>
      <c r="J26" s="44"/>
      <c r="K26" s="44"/>
      <c r="L26" s="44">
        <v>64701</v>
      </c>
      <c r="M26" s="44"/>
      <c r="N26" s="27">
        <f t="shared" si="3"/>
        <v>131114</v>
      </c>
      <c r="R26" s="586"/>
    </row>
    <row r="27" spans="1:18" x14ac:dyDescent="0.2">
      <c r="A27" s="774"/>
      <c r="B27" s="841"/>
      <c r="C27" s="72" t="str">
        <f>'Kapitálové výdavky'!C28</f>
        <v>Fasáda NMP 50</v>
      </c>
      <c r="D27" s="44">
        <f>'Kapitálové výdavky'!R28</f>
        <v>0</v>
      </c>
      <c r="E27" s="44"/>
      <c r="F27" s="44"/>
      <c r="G27" s="44"/>
      <c r="H27" s="44"/>
      <c r="I27" s="44"/>
      <c r="J27" s="44"/>
      <c r="K27" s="44"/>
      <c r="L27" s="44"/>
      <c r="M27" s="44"/>
      <c r="N27" s="27">
        <f t="shared" si="3"/>
        <v>0</v>
      </c>
    </row>
    <row r="28" spans="1:18" x14ac:dyDescent="0.2">
      <c r="A28" s="774"/>
      <c r="B28" s="841"/>
      <c r="C28" s="72" t="str">
        <f>'Kapitálové výdavky'!C30</f>
        <v>Hradby</v>
      </c>
      <c r="D28" s="44">
        <f>'Kapitálové výdavky'!O30</f>
        <v>76000</v>
      </c>
      <c r="E28" s="44"/>
      <c r="F28" s="44">
        <v>6000</v>
      </c>
      <c r="G28" s="44"/>
      <c r="H28" s="44">
        <v>35000</v>
      </c>
      <c r="I28" s="44"/>
      <c r="J28" s="44"/>
      <c r="K28" s="44">
        <v>35000</v>
      </c>
      <c r="L28" s="44"/>
      <c r="M28" s="44"/>
      <c r="N28" s="27">
        <f t="shared" si="3"/>
        <v>76000</v>
      </c>
      <c r="Q28" s="586"/>
    </row>
    <row r="29" spans="1:18" x14ac:dyDescent="0.2">
      <c r="A29" s="774"/>
      <c r="B29" s="841"/>
      <c r="C29" s="72" t="str">
        <f>'Kapitálové výdavky'!C31</f>
        <v>Radnica a Zvonica NMP 2</v>
      </c>
      <c r="D29" s="44">
        <f>'Kapitálové výdavky'!O31</f>
        <v>0</v>
      </c>
      <c r="E29" s="44"/>
      <c r="F29" s="44"/>
      <c r="G29" s="44"/>
      <c r="H29" s="44"/>
      <c r="I29" s="44"/>
      <c r="J29" s="44"/>
      <c r="K29" s="44"/>
      <c r="L29" s="44"/>
      <c r="M29" s="44"/>
      <c r="N29" s="27"/>
    </row>
    <row r="30" spans="1:18" ht="13.5" thickBot="1" x14ac:dyDescent="0.25">
      <c r="A30" s="774"/>
      <c r="B30" s="841"/>
      <c r="C30" s="72" t="s">
        <v>438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27">
        <f t="shared" si="3"/>
        <v>0</v>
      </c>
    </row>
    <row r="31" spans="1:18" ht="15.75" thickBot="1" x14ac:dyDescent="0.3">
      <c r="A31" s="529" t="s">
        <v>256</v>
      </c>
      <c r="B31" s="899" t="str">
        <f>'Kapitálové výdavky'!B32:C32</f>
        <v>Doprava-výstavba a oprava ciest</v>
      </c>
      <c r="C31" s="899"/>
      <c r="D31" s="526">
        <f>SUM(D32:D47)</f>
        <v>685834</v>
      </c>
      <c r="E31" s="526">
        <f>SUM(E32:E47)</f>
        <v>3000</v>
      </c>
      <c r="F31" s="526">
        <f>SUM(F32:F47)</f>
        <v>321274</v>
      </c>
      <c r="G31" s="526">
        <f>SUM(G32:G46)</f>
        <v>0</v>
      </c>
      <c r="H31" s="526">
        <f>SUM(H32:H46)</f>
        <v>0</v>
      </c>
      <c r="I31" s="526">
        <f>SUM(I32:I46)</f>
        <v>0</v>
      </c>
      <c r="J31" s="526">
        <f>SUM(J32:J46)</f>
        <v>27400</v>
      </c>
      <c r="K31" s="526">
        <f>SUM(K32:K47)</f>
        <v>101000</v>
      </c>
      <c r="L31" s="526"/>
      <c r="M31" s="526">
        <f>SUM(M32:M47)</f>
        <v>233160</v>
      </c>
      <c r="N31" s="534">
        <f>SUM(N32:N47)</f>
        <v>685834</v>
      </c>
    </row>
    <row r="32" spans="1:18" x14ac:dyDescent="0.2">
      <c r="A32" s="769"/>
      <c r="B32" s="826"/>
      <c r="C32" s="72" t="str">
        <f>'Kapitálové výdavky'!C33</f>
        <v>Prístupová cesta - (kruhový objazd)</v>
      </c>
      <c r="D32" s="57">
        <v>11730</v>
      </c>
      <c r="E32" s="57"/>
      <c r="F32" s="57">
        <v>11730</v>
      </c>
      <c r="G32" s="57"/>
      <c r="H32" s="57"/>
      <c r="I32" s="57"/>
      <c r="J32" s="57"/>
      <c r="K32" s="57"/>
      <c r="L32" s="57"/>
      <c r="M32" s="57"/>
      <c r="N32" s="23">
        <f t="shared" ref="N32:N47" si="4">SUM(E32:M32)</f>
        <v>11730</v>
      </c>
    </row>
    <row r="33" spans="1:18" x14ac:dyDescent="0.2">
      <c r="A33" s="774"/>
      <c r="B33" s="827"/>
      <c r="C33" s="72" t="str">
        <f>'Kapitálové výdavky'!C34</f>
        <v>Odvodňovacie rigoly sídl. Západ</v>
      </c>
      <c r="D33" s="57">
        <v>1800</v>
      </c>
      <c r="E33" s="57"/>
      <c r="F33" s="57">
        <v>1800</v>
      </c>
      <c r="G33" s="57"/>
      <c r="H33" s="57"/>
      <c r="I33" s="57"/>
      <c r="J33" s="57"/>
      <c r="K33" s="57"/>
      <c r="L33" s="57"/>
      <c r="M33" s="57"/>
      <c r="N33" s="23">
        <f t="shared" si="4"/>
        <v>1800</v>
      </c>
    </row>
    <row r="34" spans="1:18" x14ac:dyDescent="0.2">
      <c r="A34" s="774"/>
      <c r="B34" s="827"/>
      <c r="C34" s="72" t="s">
        <v>441</v>
      </c>
      <c r="D34" s="57">
        <v>10000</v>
      </c>
      <c r="E34" s="57"/>
      <c r="F34" s="57">
        <v>10000</v>
      </c>
      <c r="G34" s="57"/>
      <c r="H34" s="57"/>
      <c r="I34" s="57"/>
      <c r="J34" s="57"/>
      <c r="K34" s="57"/>
      <c r="L34" s="57"/>
      <c r="M34" s="57"/>
      <c r="N34" s="23">
        <f t="shared" si="4"/>
        <v>10000</v>
      </c>
    </row>
    <row r="35" spans="1:18" x14ac:dyDescent="0.2">
      <c r="A35" s="774"/>
      <c r="B35" s="827"/>
      <c r="C35" s="72" t="str">
        <f>'Kapitálové výdavky'!C36</f>
        <v>PD - cesta Mariánska hora</v>
      </c>
      <c r="D35" s="57">
        <f>'Kapitálové výdavky'!O36</f>
        <v>0</v>
      </c>
      <c r="E35" s="57"/>
      <c r="F35" s="57"/>
      <c r="G35" s="57"/>
      <c r="H35" s="57"/>
      <c r="I35" s="57"/>
      <c r="J35" s="57"/>
      <c r="K35" s="57"/>
      <c r="L35" s="57"/>
      <c r="M35" s="57"/>
      <c r="N35" s="23">
        <f t="shared" si="4"/>
        <v>0</v>
      </c>
    </row>
    <row r="36" spans="1:18" x14ac:dyDescent="0.2">
      <c r="A36" s="774"/>
      <c r="B36" s="827"/>
      <c r="C36" s="72" t="str">
        <f>'Kapitálové výdavky'!C37</f>
        <v>MPV  - cesta Mariánska hora</v>
      </c>
      <c r="D36" s="57">
        <f>'Kapitálové výdavky'!O37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23">
        <f t="shared" si="4"/>
        <v>0</v>
      </c>
    </row>
    <row r="37" spans="1:18" x14ac:dyDescent="0.2">
      <c r="A37" s="774"/>
      <c r="B37" s="827"/>
      <c r="C37" s="72" t="str">
        <f>'Kapitálové výdavky'!C40</f>
        <v>cesta Mariánska hora</v>
      </c>
      <c r="D37" s="57">
        <v>19400</v>
      </c>
      <c r="E37" s="57"/>
      <c r="F37" s="57"/>
      <c r="G37" s="57"/>
      <c r="H37" s="57"/>
      <c r="I37" s="57"/>
      <c r="J37" s="57">
        <v>19400</v>
      </c>
      <c r="K37" s="57"/>
      <c r="L37" s="57"/>
      <c r="M37" s="57"/>
      <c r="N37" s="23">
        <f t="shared" si="4"/>
        <v>19400</v>
      </c>
    </row>
    <row r="38" spans="1:18" x14ac:dyDescent="0.2">
      <c r="A38" s="774"/>
      <c r="B38" s="827"/>
      <c r="C38" s="72" t="str">
        <f>'Kapitálové výdavky'!C41</f>
        <v>Prístupová cesta - Garáže Západ</v>
      </c>
      <c r="D38" s="57">
        <v>38584</v>
      </c>
      <c r="E38" s="57"/>
      <c r="F38" s="57">
        <v>38584</v>
      </c>
      <c r="G38" s="57"/>
      <c r="H38" s="57"/>
      <c r="I38" s="57"/>
      <c r="J38" s="57"/>
      <c r="K38" s="57"/>
      <c r="L38" s="57"/>
      <c r="M38" s="57"/>
      <c r="N38" s="23">
        <f t="shared" si="4"/>
        <v>38584</v>
      </c>
    </row>
    <row r="39" spans="1:18" x14ac:dyDescent="0.2">
      <c r="A39" s="774"/>
      <c r="B39" s="827"/>
      <c r="C39" s="72" t="str">
        <f>'Kapitálové výdavky'!C42</f>
        <v>Štúrova ulica</v>
      </c>
      <c r="D39" s="57">
        <v>275000</v>
      </c>
      <c r="E39" s="57"/>
      <c r="F39" s="57">
        <v>41840</v>
      </c>
      <c r="G39" s="57"/>
      <c r="H39" s="57"/>
      <c r="I39" s="57"/>
      <c r="J39" s="57"/>
      <c r="K39" s="57"/>
      <c r="L39" s="57"/>
      <c r="M39" s="89">
        <v>233160</v>
      </c>
      <c r="N39" s="23">
        <f t="shared" si="4"/>
        <v>275000</v>
      </c>
    </row>
    <row r="40" spans="1:18" x14ac:dyDescent="0.2">
      <c r="A40" s="774"/>
      <c r="B40" s="827"/>
      <c r="C40" s="72" t="str">
        <f>'Kapitálové výdavky'!C43</f>
        <v>Chodník - mestský cintorín</v>
      </c>
      <c r="D40" s="57">
        <v>8000</v>
      </c>
      <c r="E40" s="57"/>
      <c r="F40" s="57"/>
      <c r="G40" s="57"/>
      <c r="H40" s="57"/>
      <c r="I40" s="57"/>
      <c r="J40" s="57">
        <v>8000</v>
      </c>
      <c r="K40" s="57"/>
      <c r="L40" s="57"/>
      <c r="M40" s="57"/>
      <c r="N40" s="23">
        <f t="shared" si="4"/>
        <v>8000</v>
      </c>
      <c r="R40" s="586"/>
    </row>
    <row r="41" spans="1:18" x14ac:dyDescent="0.2">
      <c r="A41" s="774"/>
      <c r="B41" s="827"/>
      <c r="C41" s="72" t="str">
        <f>'Kapitálové výdavky'!C44</f>
        <v>Autobusové zastávky Lev. Lúky</v>
      </c>
      <c r="D41" s="57">
        <v>4820</v>
      </c>
      <c r="E41" s="57"/>
      <c r="F41" s="57">
        <v>4820</v>
      </c>
      <c r="G41" s="57"/>
      <c r="H41" s="57"/>
      <c r="I41" s="57"/>
      <c r="J41" s="57"/>
      <c r="K41" s="57"/>
      <c r="L41" s="57"/>
      <c r="M41" s="57"/>
      <c r="N41" s="23">
        <f t="shared" si="4"/>
        <v>4820</v>
      </c>
    </row>
    <row r="42" spans="1:18" x14ac:dyDescent="0.2">
      <c r="A42" s="774"/>
      <c r="B42" s="827"/>
      <c r="C42" s="43" t="s">
        <v>444</v>
      </c>
      <c r="D42" s="57">
        <v>30000</v>
      </c>
      <c r="E42" s="57"/>
      <c r="F42" s="57"/>
      <c r="G42" s="57"/>
      <c r="H42" s="57"/>
      <c r="I42" s="57"/>
      <c r="J42" s="57"/>
      <c r="K42" s="57">
        <v>30000</v>
      </c>
      <c r="L42" s="57"/>
      <c r="M42" s="57"/>
      <c r="N42" s="23">
        <f t="shared" si="4"/>
        <v>30000</v>
      </c>
    </row>
    <row r="43" spans="1:18" x14ac:dyDescent="0.2">
      <c r="A43" s="774"/>
      <c r="B43" s="827"/>
      <c r="C43" s="43" t="s">
        <v>445</v>
      </c>
      <c r="D43" s="57">
        <v>37000</v>
      </c>
      <c r="E43" s="57"/>
      <c r="F43" s="57"/>
      <c r="G43" s="57"/>
      <c r="H43" s="57"/>
      <c r="I43" s="57"/>
      <c r="J43" s="57"/>
      <c r="K43" s="57">
        <v>37000</v>
      </c>
      <c r="L43" s="57"/>
      <c r="M43" s="57"/>
      <c r="N43" s="23">
        <f t="shared" si="4"/>
        <v>37000</v>
      </c>
    </row>
    <row r="44" spans="1:18" x14ac:dyDescent="0.2">
      <c r="A44" s="774"/>
      <c r="B44" s="827"/>
      <c r="C44" s="43" t="s">
        <v>446</v>
      </c>
      <c r="D44" s="57">
        <v>24000</v>
      </c>
      <c r="E44" s="57"/>
      <c r="F44" s="57"/>
      <c r="G44" s="57"/>
      <c r="H44" s="57"/>
      <c r="I44" s="57"/>
      <c r="J44" s="57"/>
      <c r="K44" s="57">
        <v>24000</v>
      </c>
      <c r="L44" s="57"/>
      <c r="M44" s="57"/>
      <c r="N44" s="23">
        <f t="shared" si="4"/>
        <v>24000</v>
      </c>
    </row>
    <row r="45" spans="1:18" x14ac:dyDescent="0.2">
      <c r="A45" s="774"/>
      <c r="B45" s="827"/>
      <c r="C45" s="43" t="s">
        <v>469</v>
      </c>
      <c r="D45" s="57">
        <v>16000</v>
      </c>
      <c r="E45" s="57"/>
      <c r="F45" s="57">
        <v>16000</v>
      </c>
      <c r="G45" s="57"/>
      <c r="H45" s="57"/>
      <c r="I45" s="57"/>
      <c r="J45" s="57"/>
      <c r="K45" s="57"/>
      <c r="L45" s="57"/>
      <c r="M45" s="57"/>
      <c r="N45" s="23">
        <f t="shared" si="4"/>
        <v>16000</v>
      </c>
    </row>
    <row r="46" spans="1:18" x14ac:dyDescent="0.2">
      <c r="A46" s="774"/>
      <c r="B46" s="827"/>
      <c r="C46" s="43" t="s">
        <v>470</v>
      </c>
      <c r="D46" s="57">
        <v>63500</v>
      </c>
      <c r="E46" s="57"/>
      <c r="F46" s="57">
        <v>63500</v>
      </c>
      <c r="G46" s="57"/>
      <c r="H46" s="57"/>
      <c r="I46" s="57"/>
      <c r="J46" s="57"/>
      <c r="K46" s="57"/>
      <c r="L46" s="57"/>
      <c r="M46" s="57"/>
      <c r="N46" s="23">
        <f t="shared" si="4"/>
        <v>63500</v>
      </c>
    </row>
    <row r="47" spans="1:18" ht="13.5" thickBot="1" x14ac:dyDescent="0.25">
      <c r="A47" s="774"/>
      <c r="B47" s="827"/>
      <c r="C47" s="43" t="s">
        <v>471</v>
      </c>
      <c r="D47" s="57">
        <v>146000</v>
      </c>
      <c r="E47" s="57">
        <v>3000</v>
      </c>
      <c r="F47" s="57">
        <v>133000</v>
      </c>
      <c r="G47" s="57"/>
      <c r="H47" s="57"/>
      <c r="I47" s="57"/>
      <c r="J47" s="57"/>
      <c r="K47" s="57">
        <v>10000</v>
      </c>
      <c r="L47" s="57"/>
      <c r="M47" s="57"/>
      <c r="N47" s="23">
        <f t="shared" si="4"/>
        <v>146000</v>
      </c>
    </row>
    <row r="48" spans="1:18" ht="15.75" thickBot="1" x14ac:dyDescent="0.3">
      <c r="A48" s="531" t="s">
        <v>97</v>
      </c>
      <c r="B48" s="899" t="str">
        <f>'Kapitálové výdavky'!B58:C58</f>
        <v>Nákladanie s odpadmi</v>
      </c>
      <c r="C48" s="899"/>
      <c r="D48" s="526">
        <f>SUM(D49:D54)</f>
        <v>551998</v>
      </c>
      <c r="E48" s="526">
        <f t="shared" ref="E48:M48" si="5">SUM(E49:E54)</f>
        <v>0</v>
      </c>
      <c r="F48" s="526">
        <f t="shared" si="5"/>
        <v>0</v>
      </c>
      <c r="G48" s="526">
        <f t="shared" si="5"/>
        <v>0</v>
      </c>
      <c r="H48" s="526">
        <f t="shared" si="5"/>
        <v>141762</v>
      </c>
      <c r="I48" s="526">
        <f>SUM(I49:I54)</f>
        <v>0</v>
      </c>
      <c r="J48" s="526">
        <f t="shared" si="5"/>
        <v>58949</v>
      </c>
      <c r="K48" s="526">
        <f t="shared" si="5"/>
        <v>0</v>
      </c>
      <c r="L48" s="526">
        <f t="shared" si="5"/>
        <v>351287</v>
      </c>
      <c r="M48" s="526">
        <f t="shared" si="5"/>
        <v>0</v>
      </c>
      <c r="N48" s="534">
        <f>SUM(N49:N54)</f>
        <v>551998</v>
      </c>
    </row>
    <row r="49" spans="1:17" hidden="1" x14ac:dyDescent="0.2">
      <c r="A49" s="769"/>
      <c r="B49" s="736"/>
      <c r="C49" s="72" t="str">
        <f>'Kapitálové výdavky'!C59</f>
        <v>Skládka TKO - korekcia</v>
      </c>
      <c r="D49" s="57">
        <f>'Kapitálové výdavky'!O59</f>
        <v>0</v>
      </c>
      <c r="E49" s="57"/>
      <c r="F49" s="57"/>
      <c r="G49" s="57"/>
      <c r="H49" s="57"/>
      <c r="I49" s="57"/>
      <c r="J49" s="57"/>
      <c r="K49" s="57"/>
      <c r="L49" s="57"/>
      <c r="M49" s="57"/>
      <c r="N49" s="23">
        <f t="shared" ref="N49:N54" si="6">SUM(E49:M49)</f>
        <v>0</v>
      </c>
    </row>
    <row r="50" spans="1:17" hidden="1" x14ac:dyDescent="0.2">
      <c r="A50" s="774"/>
      <c r="B50" s="900"/>
      <c r="C50" s="72" t="str">
        <f>'Kapitálové výdavky'!C60</f>
        <v>Sanácia miest s nelegálnym odpadom</v>
      </c>
      <c r="D50" s="57">
        <f>'Kapitálové výdavky'!O60</f>
        <v>0</v>
      </c>
      <c r="E50" s="57"/>
      <c r="F50" s="57"/>
      <c r="G50" s="57"/>
      <c r="H50" s="57"/>
      <c r="I50" s="57"/>
      <c r="J50" s="57"/>
      <c r="K50" s="57"/>
      <c r="L50" s="57"/>
      <c r="M50" s="57"/>
      <c r="N50" s="23">
        <f t="shared" si="6"/>
        <v>0</v>
      </c>
    </row>
    <row r="51" spans="1:17" ht="13.5" customHeight="1" x14ac:dyDescent="0.2">
      <c r="A51" s="774"/>
      <c r="B51" s="901"/>
      <c r="C51" s="72" t="str">
        <f>'Kapitálové výdavky'!C61</f>
        <v>Modernizácia zberného dvora</v>
      </c>
      <c r="D51" s="57">
        <f>518998</f>
        <v>518998</v>
      </c>
      <c r="E51" s="57"/>
      <c r="F51" s="57"/>
      <c r="G51" s="57"/>
      <c r="H51" s="57">
        <v>141762</v>
      </c>
      <c r="I51" s="57"/>
      <c r="J51" s="57">
        <f>26878-929</f>
        <v>25949</v>
      </c>
      <c r="K51" s="57"/>
      <c r="L51" s="57">
        <v>351287</v>
      </c>
      <c r="M51" s="57"/>
      <c r="N51" s="23">
        <f>SUM(E51:M51)</f>
        <v>518998</v>
      </c>
      <c r="Q51" s="586"/>
    </row>
    <row r="52" spans="1:17" ht="13.5" customHeight="1" x14ac:dyDescent="0.2">
      <c r="A52" s="774"/>
      <c r="B52" s="737"/>
      <c r="C52" s="72" t="s">
        <v>480</v>
      </c>
      <c r="D52" s="57">
        <v>13000</v>
      </c>
      <c r="E52" s="57"/>
      <c r="F52" s="57"/>
      <c r="G52" s="57"/>
      <c r="H52" s="44"/>
      <c r="I52" s="57"/>
      <c r="J52" s="57">
        <v>13000</v>
      </c>
      <c r="K52" s="57"/>
      <c r="L52" s="57"/>
      <c r="M52" s="57"/>
      <c r="N52" s="23">
        <v>13000</v>
      </c>
    </row>
    <row r="53" spans="1:17" ht="13.5" hidden="1" customHeight="1" x14ac:dyDescent="0.2">
      <c r="A53" s="774"/>
      <c r="B53" s="737"/>
      <c r="C53" s="72" t="str">
        <f>'Kapitálové výdavky'!C63</f>
        <v>Príspevok pre TS</v>
      </c>
      <c r="D53" s="57"/>
      <c r="E53" s="44"/>
      <c r="F53" s="44"/>
      <c r="G53" s="44"/>
      <c r="H53" s="44"/>
      <c r="I53" s="44"/>
      <c r="J53" s="44"/>
      <c r="K53" s="44"/>
      <c r="L53" s="44"/>
      <c r="M53" s="44"/>
      <c r="N53" s="23">
        <f t="shared" si="6"/>
        <v>0</v>
      </c>
    </row>
    <row r="54" spans="1:17" ht="13.5" customHeight="1" thickBot="1" x14ac:dyDescent="0.25">
      <c r="A54" s="770"/>
      <c r="B54" s="738"/>
      <c r="C54" s="72" t="str">
        <f>'Kapitálové výdavky'!C64</f>
        <v>Univerzálny vyklápač</v>
      </c>
      <c r="D54" s="57">
        <v>20000</v>
      </c>
      <c r="E54" s="60"/>
      <c r="F54" s="60"/>
      <c r="G54" s="60"/>
      <c r="H54" s="60"/>
      <c r="I54" s="60"/>
      <c r="J54" s="60">
        <v>20000</v>
      </c>
      <c r="K54" s="60"/>
      <c r="L54" s="60"/>
      <c r="M54" s="60"/>
      <c r="N54" s="49">
        <f t="shared" si="6"/>
        <v>20000</v>
      </c>
    </row>
    <row r="55" spans="1:17" ht="15.75" hidden="1" thickBot="1" x14ac:dyDescent="0.3">
      <c r="A55" s="529" t="s">
        <v>268</v>
      </c>
      <c r="B55" s="899" t="str">
        <f>'Kapitálové výdavky'!B65:C65</f>
        <v>Rozvoj bývania</v>
      </c>
      <c r="C55" s="899"/>
      <c r="D55" s="526">
        <f>D56</f>
        <v>0</v>
      </c>
      <c r="E55" s="526">
        <f t="shared" ref="E55:N55" si="7">E56</f>
        <v>0</v>
      </c>
      <c r="F55" s="526">
        <f t="shared" si="7"/>
        <v>0</v>
      </c>
      <c r="G55" s="526">
        <f t="shared" si="7"/>
        <v>0</v>
      </c>
      <c r="H55" s="526">
        <f t="shared" si="7"/>
        <v>0</v>
      </c>
      <c r="I55" s="526">
        <f t="shared" si="7"/>
        <v>0</v>
      </c>
      <c r="J55" s="526">
        <f t="shared" si="7"/>
        <v>0</v>
      </c>
      <c r="K55" s="526"/>
      <c r="L55" s="526"/>
      <c r="M55" s="526">
        <f t="shared" si="7"/>
        <v>0</v>
      </c>
      <c r="N55" s="534">
        <f t="shared" si="7"/>
        <v>0</v>
      </c>
    </row>
    <row r="56" spans="1:17" ht="13.5" hidden="1" thickBot="1" x14ac:dyDescent="0.25">
      <c r="A56" s="352"/>
      <c r="B56" s="354"/>
      <c r="C56" s="69"/>
      <c r="D56" s="236">
        <f>'Kapitálové výdavky'!O66</f>
        <v>0</v>
      </c>
      <c r="E56" s="236"/>
      <c r="F56" s="236"/>
      <c r="G56" s="236"/>
      <c r="H56" s="236"/>
      <c r="I56" s="236"/>
      <c r="J56" s="236"/>
      <c r="K56" s="236"/>
      <c r="L56" s="236"/>
      <c r="M56" s="236"/>
      <c r="N56" s="71">
        <f>SUM(E56:M56)</f>
        <v>0</v>
      </c>
    </row>
    <row r="57" spans="1:17" ht="15.75" thickBot="1" x14ac:dyDescent="0.3">
      <c r="A57" s="530" t="s">
        <v>74</v>
      </c>
      <c r="B57" s="899" t="str">
        <f>'Kapitálové výdavky'!B67:C67</f>
        <v>Rozvoj obcí</v>
      </c>
      <c r="C57" s="899"/>
      <c r="D57" s="526">
        <f>SUM(D58:D63)</f>
        <v>132724</v>
      </c>
      <c r="E57" s="526">
        <f t="shared" ref="E57:M57" si="8">SUM(E58:E63)</f>
        <v>16420</v>
      </c>
      <c r="F57" s="526">
        <f t="shared" si="8"/>
        <v>51304</v>
      </c>
      <c r="G57" s="526">
        <f t="shared" si="8"/>
        <v>0</v>
      </c>
      <c r="H57" s="526">
        <f t="shared" si="8"/>
        <v>0</v>
      </c>
      <c r="I57" s="526">
        <f>SUM(I58:I63)</f>
        <v>0</v>
      </c>
      <c r="J57" s="526">
        <f t="shared" si="8"/>
        <v>20000</v>
      </c>
      <c r="K57" s="526">
        <f t="shared" si="8"/>
        <v>45000</v>
      </c>
      <c r="L57" s="526"/>
      <c r="M57" s="526">
        <f t="shared" si="8"/>
        <v>0</v>
      </c>
      <c r="N57" s="534">
        <f>SUM(N58:N63)</f>
        <v>132724</v>
      </c>
      <c r="Q57" s="586"/>
    </row>
    <row r="58" spans="1:17" ht="14.25" hidden="1" x14ac:dyDescent="0.2">
      <c r="A58" s="771"/>
      <c r="B58" s="833"/>
      <c r="C58" s="379" t="str">
        <f>'Kapitálové výdavky'!C68</f>
        <v>obnova oddychovej zóny Schiessplatz</v>
      </c>
      <c r="D58" s="500">
        <f>'Kapitálové výdavky'!O68</f>
        <v>0</v>
      </c>
      <c r="E58" s="500"/>
      <c r="F58" s="500"/>
      <c r="G58" s="500"/>
      <c r="H58" s="500"/>
      <c r="I58" s="500"/>
      <c r="J58" s="500"/>
      <c r="K58" s="500"/>
      <c r="L58" s="500"/>
      <c r="M58" s="500"/>
      <c r="N58" s="378">
        <f t="shared" ref="N58:N66" si="9">SUM(E58:M58)</f>
        <v>0</v>
      </c>
    </row>
    <row r="59" spans="1:17" x14ac:dyDescent="0.2">
      <c r="A59" s="772"/>
      <c r="B59" s="834"/>
      <c r="C59" s="379" t="str">
        <f>'Kapitálové výdavky'!C69</f>
        <v>Príspevok pre TS nákup profesionálnej kosačky</v>
      </c>
      <c r="D59" s="89">
        <f>'Kapitálové výdavky'!O69</f>
        <v>20000</v>
      </c>
      <c r="E59" s="89"/>
      <c r="F59" s="89"/>
      <c r="G59" s="89"/>
      <c r="H59" s="89"/>
      <c r="I59" s="89"/>
      <c r="J59" s="89">
        <v>20000</v>
      </c>
      <c r="K59" s="89"/>
      <c r="L59" s="89"/>
      <c r="M59" s="89"/>
      <c r="N59" s="424">
        <f t="shared" si="9"/>
        <v>20000</v>
      </c>
    </row>
    <row r="60" spans="1:17" ht="15" hidden="1" x14ac:dyDescent="0.25">
      <c r="A60" s="772"/>
      <c r="B60" s="834"/>
      <c r="C60" s="379" t="str">
        <f>'Kapitálové výdavky'!C70</f>
        <v>Ortofomapa</v>
      </c>
      <c r="D60" s="89">
        <f>'Kapitálové výdavky'!O70</f>
        <v>0</v>
      </c>
      <c r="E60" s="300"/>
      <c r="F60" s="300"/>
      <c r="G60" s="300"/>
      <c r="H60" s="300"/>
      <c r="I60" s="300"/>
      <c r="J60" s="300"/>
      <c r="K60" s="300"/>
      <c r="L60" s="300"/>
      <c r="M60" s="300"/>
      <c r="N60" s="424">
        <f t="shared" si="9"/>
        <v>0</v>
      </c>
    </row>
    <row r="61" spans="1:17" ht="14.25" x14ac:dyDescent="0.2">
      <c r="A61" s="772"/>
      <c r="B61" s="834"/>
      <c r="C61" s="379" t="str">
        <f>'Kapitálové výdavky'!C71</f>
        <v>územný plán</v>
      </c>
      <c r="D61" s="89">
        <f>'Kapitálové výdavky'!O71</f>
        <v>12000</v>
      </c>
      <c r="E61" s="90">
        <v>12000</v>
      </c>
      <c r="F61" s="587"/>
      <c r="G61" s="587"/>
      <c r="H61" s="587"/>
      <c r="I61" s="587"/>
      <c r="J61" s="587"/>
      <c r="K61" s="587"/>
      <c r="L61" s="587"/>
      <c r="M61" s="587"/>
      <c r="N61" s="514">
        <f>SUM(E61:M61)</f>
        <v>12000</v>
      </c>
    </row>
    <row r="62" spans="1:17" ht="15" x14ac:dyDescent="0.25">
      <c r="A62" s="772"/>
      <c r="B62" s="834"/>
      <c r="C62" s="379" t="str">
        <f>'Kapitálové výdavky'!C72</f>
        <v>MPV Plantáže</v>
      </c>
      <c r="D62" s="90">
        <v>90000</v>
      </c>
      <c r="E62" s="388"/>
      <c r="F62" s="90">
        <v>45000</v>
      </c>
      <c r="G62" s="388"/>
      <c r="H62" s="388"/>
      <c r="I62" s="388"/>
      <c r="J62" s="388"/>
      <c r="K62" s="587">
        <v>45000</v>
      </c>
      <c r="L62" s="587"/>
      <c r="M62" s="388"/>
      <c r="N62" s="514">
        <f t="shared" si="9"/>
        <v>90000</v>
      </c>
    </row>
    <row r="63" spans="1:17" ht="13.5" thickBot="1" x14ac:dyDescent="0.25">
      <c r="A63" s="773"/>
      <c r="B63" s="835"/>
      <c r="C63" s="379" t="str">
        <f>'Kapitálové výdavky'!C73</f>
        <v>MPV - ostatné</v>
      </c>
      <c r="D63" s="205">
        <v>10724</v>
      </c>
      <c r="E63" s="205">
        <v>4420</v>
      </c>
      <c r="F63" s="205">
        <v>6304</v>
      </c>
      <c r="G63" s="205"/>
      <c r="H63" s="205"/>
      <c r="I63" s="205"/>
      <c r="J63" s="205"/>
      <c r="K63" s="205"/>
      <c r="L63" s="205"/>
      <c r="M63" s="205"/>
      <c r="N63" s="78">
        <f t="shared" si="9"/>
        <v>10724</v>
      </c>
    </row>
    <row r="64" spans="1:17" ht="15.75" thickBot="1" x14ac:dyDescent="0.3">
      <c r="A64" s="529" t="s">
        <v>369</v>
      </c>
      <c r="B64" s="899" t="str">
        <f>'Kapitálové výdavky'!B75:C75</f>
        <v>Verejné osvetlenie</v>
      </c>
      <c r="C64" s="899"/>
      <c r="D64" s="526">
        <f>SUM(D65:D66)</f>
        <v>0</v>
      </c>
      <c r="E64" s="526">
        <f t="shared" ref="E64:M64" si="10">SUM(E65:E66)</f>
        <v>0</v>
      </c>
      <c r="F64" s="526">
        <f t="shared" si="10"/>
        <v>0</v>
      </c>
      <c r="G64" s="526">
        <f t="shared" si="10"/>
        <v>0</v>
      </c>
      <c r="H64" s="526">
        <f t="shared" si="10"/>
        <v>0</v>
      </c>
      <c r="I64" s="526">
        <f>SUM(I65:I66)</f>
        <v>0</v>
      </c>
      <c r="J64" s="526">
        <f t="shared" si="10"/>
        <v>0</v>
      </c>
      <c r="K64" s="526">
        <f t="shared" si="10"/>
        <v>0</v>
      </c>
      <c r="L64" s="526"/>
      <c r="M64" s="526">
        <f t="shared" si="10"/>
        <v>0</v>
      </c>
      <c r="N64" s="534">
        <f>SUM(N65:N66)</f>
        <v>0</v>
      </c>
    </row>
    <row r="65" spans="1:16" ht="14.25" x14ac:dyDescent="0.2">
      <c r="A65" s="771"/>
      <c r="B65" s="829"/>
      <c r="C65" s="143" t="str">
        <f>'Kapitálové výdavky'!C78</f>
        <v>Preložka VO - Kežmarská cesta</v>
      </c>
      <c r="D65" s="501"/>
      <c r="E65" s="501"/>
      <c r="F65" s="501"/>
      <c r="G65" s="501"/>
      <c r="H65" s="501"/>
      <c r="I65" s="501"/>
      <c r="J65" s="501"/>
      <c r="K65" s="501"/>
      <c r="L65" s="501"/>
      <c r="M65" s="501"/>
      <c r="N65" s="393">
        <f t="shared" si="9"/>
        <v>0</v>
      </c>
    </row>
    <row r="66" spans="1:16" ht="13.5" thickBot="1" x14ac:dyDescent="0.25">
      <c r="A66" s="773"/>
      <c r="B66" s="830"/>
      <c r="C66" s="143" t="str">
        <f>'Kapitálové výdavky'!C79</f>
        <v>Verejné osvetlenie - projekt</v>
      </c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71">
        <f t="shared" si="9"/>
        <v>0</v>
      </c>
    </row>
    <row r="67" spans="1:16" ht="15.75" thickBot="1" x14ac:dyDescent="0.3">
      <c r="A67" s="529" t="s">
        <v>87</v>
      </c>
      <c r="B67" s="899" t="str">
        <f>'Kapitálové výdavky'!B80:C80</f>
        <v>Bývanie a občianska vybavenosť</v>
      </c>
      <c r="C67" s="899"/>
      <c r="D67" s="526">
        <f>SUM(D68:D87)</f>
        <v>58100</v>
      </c>
      <c r="E67" s="526">
        <f>SUM(E68:E87)</f>
        <v>20900</v>
      </c>
      <c r="F67" s="526">
        <f t="shared" ref="F67:M67" si="11">SUM(F68:F87)</f>
        <v>20000</v>
      </c>
      <c r="G67" s="526">
        <f t="shared" si="11"/>
        <v>0</v>
      </c>
      <c r="H67" s="526">
        <f t="shared" si="11"/>
        <v>3000</v>
      </c>
      <c r="I67" s="526">
        <f>SUM(I68:I87)</f>
        <v>4000</v>
      </c>
      <c r="J67" s="526">
        <f t="shared" si="11"/>
        <v>6600</v>
      </c>
      <c r="K67" s="526">
        <f t="shared" si="11"/>
        <v>3600</v>
      </c>
      <c r="L67" s="526"/>
      <c r="M67" s="526">
        <f t="shared" si="11"/>
        <v>0</v>
      </c>
      <c r="N67" s="534">
        <f>SUM(N68:N87)</f>
        <v>58100</v>
      </c>
    </row>
    <row r="68" spans="1:16" hidden="1" x14ac:dyDescent="0.2">
      <c r="A68" s="769"/>
      <c r="B68" s="826"/>
      <c r="C68" s="72" t="str">
        <f>'Kapitálové výdavky'!C81</f>
        <v>Kaplnka Levočské Lúky, NN prípojka</v>
      </c>
      <c r="D68" s="44">
        <f>'Kapitálové výdavky'!O81</f>
        <v>0</v>
      </c>
      <c r="E68" s="44"/>
      <c r="F68" s="44"/>
      <c r="G68" s="44"/>
      <c r="H68" s="44"/>
      <c r="I68" s="44"/>
      <c r="J68" s="44"/>
      <c r="K68" s="44"/>
      <c r="L68" s="44"/>
      <c r="M68" s="44"/>
      <c r="N68" s="27">
        <f t="shared" ref="N68:N77" si="12">SUM(E68:M68)</f>
        <v>0</v>
      </c>
    </row>
    <row r="69" spans="1:16" hidden="1" x14ac:dyDescent="0.2">
      <c r="A69" s="774"/>
      <c r="B69" s="827"/>
      <c r="C69" s="72" t="str">
        <f>'Kapitálové výdavky'!C82</f>
        <v>Preložka NN garáže Západ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27">
        <f t="shared" si="12"/>
        <v>0</v>
      </c>
    </row>
    <row r="70" spans="1:16" hidden="1" x14ac:dyDescent="0.2">
      <c r="A70" s="774"/>
      <c r="B70" s="827"/>
      <c r="C70" s="72" t="str">
        <f>'Kapitálové výdavky'!C83</f>
        <v>nákup objekt Pisarčiná</v>
      </c>
      <c r="D70" s="44">
        <f>'Kapitálové výdavky'!O83</f>
        <v>0</v>
      </c>
      <c r="E70" s="44"/>
      <c r="F70" s="44"/>
      <c r="G70" s="44"/>
      <c r="H70" s="44"/>
      <c r="I70" s="44"/>
      <c r="J70" s="44"/>
      <c r="K70" s="44"/>
      <c r="L70" s="44"/>
      <c r="M70" s="44"/>
      <c r="N70" s="27">
        <f t="shared" si="12"/>
        <v>0</v>
      </c>
    </row>
    <row r="71" spans="1:16" hidden="1" x14ac:dyDescent="0.2">
      <c r="A71" s="774"/>
      <c r="B71" s="827"/>
      <c r="C71" s="72" t="str">
        <f>'Kapitálové výdavky'!C84</f>
        <v>MPV - ostatné</v>
      </c>
      <c r="D71" s="44">
        <f>'Kapitálové výdavky'!O84</f>
        <v>0</v>
      </c>
      <c r="E71" s="44"/>
      <c r="F71" s="44"/>
      <c r="G71" s="44"/>
      <c r="H71" s="44"/>
      <c r="I71" s="44"/>
      <c r="J71" s="44"/>
      <c r="K71" s="44"/>
      <c r="L71" s="44"/>
      <c r="M71" s="44"/>
      <c r="N71" s="27">
        <f t="shared" si="12"/>
        <v>0</v>
      </c>
    </row>
    <row r="72" spans="1:16" hidden="1" x14ac:dyDescent="0.2">
      <c r="A72" s="774"/>
      <c r="B72" s="827"/>
      <c r="C72" s="72" t="str">
        <f>'Kapitálové výdavky'!C85</f>
        <v>MPV most LD</v>
      </c>
      <c r="D72" s="44">
        <f>'Kapitálové výdavky'!O85</f>
        <v>0</v>
      </c>
      <c r="E72" s="44"/>
      <c r="F72" s="44"/>
      <c r="G72" s="44"/>
      <c r="H72" s="44"/>
      <c r="I72" s="44"/>
      <c r="J72" s="44"/>
      <c r="K72" s="44"/>
      <c r="L72" s="44"/>
      <c r="M72" s="44"/>
      <c r="N72" s="27">
        <f t="shared" si="12"/>
        <v>0</v>
      </c>
    </row>
    <row r="73" spans="1:16" hidden="1" x14ac:dyDescent="0.2">
      <c r="A73" s="774"/>
      <c r="B73" s="827"/>
      <c r="C73" s="72" t="str">
        <f>'Kapitálové výdavky'!C86</f>
        <v>MPV Ovocinárska</v>
      </c>
      <c r="D73" s="44">
        <f>'Kapitálové výdavky'!O86</f>
        <v>0</v>
      </c>
      <c r="E73" s="44"/>
      <c r="F73" s="44"/>
      <c r="G73" s="44"/>
      <c r="H73" s="44"/>
      <c r="I73" s="44"/>
      <c r="J73" s="44"/>
      <c r="K73" s="44"/>
      <c r="L73" s="44"/>
      <c r="M73" s="44"/>
      <c r="N73" s="27">
        <f t="shared" si="12"/>
        <v>0</v>
      </c>
    </row>
    <row r="74" spans="1:16" hidden="1" x14ac:dyDescent="0.2">
      <c r="A74" s="774"/>
      <c r="B74" s="827"/>
      <c r="C74" s="72" t="str">
        <f>'Kapitálové výdavky'!C87</f>
        <v>Lev. Lúky - zádveria</v>
      </c>
      <c r="D74" s="44">
        <f>'Kapitálové výdavky'!O87</f>
        <v>0</v>
      </c>
      <c r="E74" s="44"/>
      <c r="F74" s="44"/>
      <c r="G74" s="44"/>
      <c r="H74" s="44"/>
      <c r="I74" s="44"/>
      <c r="J74" s="44"/>
      <c r="K74" s="44"/>
      <c r="L74" s="44"/>
      <c r="M74" s="44"/>
      <c r="N74" s="27">
        <f t="shared" si="12"/>
        <v>0</v>
      </c>
    </row>
    <row r="75" spans="1:16" hidden="1" x14ac:dyDescent="0.2">
      <c r="A75" s="774"/>
      <c r="B75" s="827"/>
      <c r="C75" s="72" t="str">
        <f>'Kapitálové výdavky'!C88</f>
        <v>chata Kohlwald</v>
      </c>
      <c r="D75" s="44">
        <f>'Kapitálové výdavky'!O88</f>
        <v>0</v>
      </c>
      <c r="E75" s="44"/>
      <c r="F75" s="44"/>
      <c r="G75" s="44"/>
      <c r="H75" s="44"/>
      <c r="I75" s="44"/>
      <c r="J75" s="44"/>
      <c r="K75" s="44"/>
      <c r="L75" s="44"/>
      <c r="M75" s="44"/>
      <c r="N75" s="27">
        <f t="shared" si="12"/>
        <v>0</v>
      </c>
    </row>
    <row r="76" spans="1:16" hidden="1" x14ac:dyDescent="0.2">
      <c r="A76" s="774"/>
      <c r="B76" s="827"/>
      <c r="C76" s="72" t="str">
        <f>'Kapitálové výdavky'!C89</f>
        <v>odvodnenie, sídl. Pri prameni</v>
      </c>
      <c r="D76" s="44">
        <f>'Kapitálové výdavky'!O89</f>
        <v>0</v>
      </c>
      <c r="E76" s="44"/>
      <c r="F76" s="44"/>
      <c r="G76" s="44"/>
      <c r="H76" s="44"/>
      <c r="I76" s="44"/>
      <c r="J76" s="44"/>
      <c r="K76" s="44"/>
      <c r="L76" s="44"/>
      <c r="M76" s="44"/>
      <c r="N76" s="27">
        <f t="shared" si="12"/>
        <v>0</v>
      </c>
    </row>
    <row r="77" spans="1:16" x14ac:dyDescent="0.2">
      <c r="A77" s="774"/>
      <c r="B77" s="827"/>
      <c r="C77" s="72" t="str">
        <f>'Kapitálové výdavky'!C90</f>
        <v>Vyňatie z LPF Mariánska hora</v>
      </c>
      <c r="D77" s="44">
        <v>1000</v>
      </c>
      <c r="E77" s="44"/>
      <c r="F77" s="44">
        <v>1000</v>
      </c>
      <c r="G77" s="44"/>
      <c r="H77" s="44"/>
      <c r="I77" s="44"/>
      <c r="J77" s="44"/>
      <c r="K77" s="44"/>
      <c r="L77" s="44"/>
      <c r="M77" s="44"/>
      <c r="N77" s="27">
        <f t="shared" si="12"/>
        <v>1000</v>
      </c>
    </row>
    <row r="78" spans="1:16" hidden="1" x14ac:dyDescent="0.2">
      <c r="A78" s="774"/>
      <c r="B78" s="827"/>
      <c r="C78" s="72" t="str">
        <f>'Kapitálové výdavky'!C91</f>
        <v>auto</v>
      </c>
      <c r="D78" s="44">
        <f>'Kapitálové výdavky'!O91</f>
        <v>0</v>
      </c>
      <c r="E78" s="44"/>
      <c r="F78" s="44"/>
      <c r="G78" s="44"/>
      <c r="H78" s="44"/>
      <c r="I78" s="44"/>
      <c r="J78" s="44"/>
      <c r="K78" s="44"/>
      <c r="L78" s="44"/>
      <c r="M78" s="44"/>
      <c r="N78" s="27">
        <f>SUM(E78:M78)</f>
        <v>0</v>
      </c>
    </row>
    <row r="79" spans="1:16" x14ac:dyDescent="0.2">
      <c r="A79" s="774"/>
      <c r="B79" s="827"/>
      <c r="C79" s="72" t="str">
        <f>'Kapitálové výdavky'!C92</f>
        <v>Príspevok pre TS - administratívna budova</v>
      </c>
      <c r="D79" s="44">
        <v>4800</v>
      </c>
      <c r="E79" s="44">
        <v>4800</v>
      </c>
      <c r="F79" s="44"/>
      <c r="G79" s="44"/>
      <c r="H79" s="44"/>
      <c r="I79" s="44"/>
      <c r="J79" s="44"/>
      <c r="K79" s="44"/>
      <c r="L79" s="44"/>
      <c r="M79" s="44"/>
      <c r="N79" s="27">
        <f t="shared" ref="N79:N87" si="13">SUM(E79:M79)</f>
        <v>4800</v>
      </c>
      <c r="P79" s="586"/>
    </row>
    <row r="80" spans="1:16" hidden="1" x14ac:dyDescent="0.2">
      <c r="A80" s="774"/>
      <c r="B80" s="827"/>
      <c r="C80" s="72" t="str">
        <f>'Kapitálové výdavky'!C93</f>
        <v>Byty</v>
      </c>
      <c r="D80" s="44">
        <f>'Kapitálové výdavky'!O93</f>
        <v>0</v>
      </c>
      <c r="E80" s="44"/>
      <c r="F80" s="44"/>
      <c r="G80" s="44"/>
      <c r="H80" s="44"/>
      <c r="I80" s="44"/>
      <c r="J80" s="44"/>
      <c r="K80" s="44"/>
      <c r="L80" s="44"/>
      <c r="M80" s="44"/>
      <c r="N80" s="27">
        <f t="shared" si="13"/>
        <v>0</v>
      </c>
    </row>
    <row r="81" spans="1:14" hidden="1" x14ac:dyDescent="0.2">
      <c r="A81" s="774"/>
      <c r="B81" s="827"/>
      <c r="C81" s="72" t="str">
        <f>'Kapitálové výdavky'!C94</f>
        <v>preložka VN</v>
      </c>
      <c r="D81" s="44">
        <f>'Kapitálové výdavky'!O94</f>
        <v>0</v>
      </c>
      <c r="E81" s="44"/>
      <c r="F81" s="44"/>
      <c r="G81" s="44"/>
      <c r="H81" s="44"/>
      <c r="I81" s="44"/>
      <c r="J81" s="44"/>
      <c r="K81" s="44"/>
      <c r="L81" s="44"/>
      <c r="M81" s="44"/>
      <c r="N81" s="27">
        <f t="shared" si="13"/>
        <v>0</v>
      </c>
    </row>
    <row r="82" spans="1:14" x14ac:dyDescent="0.2">
      <c r="A82" s="774"/>
      <c r="B82" s="827"/>
      <c r="C82" s="72" t="str">
        <f>'Kapitálové výdavky'!C95</f>
        <v>Detské ihrisko</v>
      </c>
      <c r="D82" s="44">
        <v>25600</v>
      </c>
      <c r="E82" s="44"/>
      <c r="F82" s="44">
        <v>12000</v>
      </c>
      <c r="G82" s="44"/>
      <c r="H82" s="44">
        <v>3000</v>
      </c>
      <c r="I82" s="44">
        <v>4000</v>
      </c>
      <c r="J82" s="90">
        <v>6600</v>
      </c>
      <c r="K82" s="44"/>
      <c r="L82" s="44"/>
      <c r="M82" s="44"/>
      <c r="N82" s="27">
        <f t="shared" si="13"/>
        <v>25600</v>
      </c>
    </row>
    <row r="83" spans="1:14" x14ac:dyDescent="0.2">
      <c r="A83" s="774"/>
      <c r="B83" s="827"/>
      <c r="C83" s="72" t="str">
        <f>'Kapitálové výdavky'!C96</f>
        <v>Spevnené plochy Sídl. Sever</v>
      </c>
      <c r="D83" s="44">
        <v>6630</v>
      </c>
      <c r="E83" s="44">
        <v>6630</v>
      </c>
      <c r="F83" s="44"/>
      <c r="G83" s="44"/>
      <c r="H83" s="44"/>
      <c r="I83" s="44"/>
      <c r="J83" s="44"/>
      <c r="K83" s="44"/>
      <c r="L83" s="44"/>
      <c r="M83" s="44"/>
      <c r="N83" s="27">
        <f t="shared" si="13"/>
        <v>6630</v>
      </c>
    </row>
    <row r="84" spans="1:14" x14ac:dyDescent="0.2">
      <c r="A84" s="774"/>
      <c r="B84" s="827"/>
      <c r="C84" s="72" t="str">
        <f>'Kapitálové výdavky'!C98</f>
        <v>MPV cyklochodník</v>
      </c>
      <c r="D84" s="44">
        <v>15870</v>
      </c>
      <c r="E84" s="44">
        <v>5270</v>
      </c>
      <c r="F84" s="44">
        <v>7000</v>
      </c>
      <c r="G84" s="44"/>
      <c r="H84" s="44"/>
      <c r="I84" s="44"/>
      <c r="J84" s="44"/>
      <c r="K84" s="44">
        <v>3600</v>
      </c>
      <c r="L84" s="44"/>
      <c r="M84" s="44"/>
      <c r="N84" s="27">
        <f t="shared" si="13"/>
        <v>15870</v>
      </c>
    </row>
    <row r="85" spans="1:14" x14ac:dyDescent="0.2">
      <c r="A85" s="774"/>
      <c r="B85" s="827"/>
      <c r="C85" s="72" t="str">
        <f>'Kapitálové výdavky'!C82</f>
        <v>Preložka NN garáže Západ</v>
      </c>
      <c r="D85" s="44">
        <v>2200</v>
      </c>
      <c r="E85" s="44">
        <v>2200</v>
      </c>
      <c r="F85" s="44"/>
      <c r="G85" s="44"/>
      <c r="H85" s="44"/>
      <c r="I85" s="44"/>
      <c r="J85" s="44"/>
      <c r="K85" s="44"/>
      <c r="L85" s="44"/>
      <c r="M85" s="44"/>
      <c r="N85" s="27">
        <f t="shared" si="13"/>
        <v>2200</v>
      </c>
    </row>
    <row r="86" spans="1:14" x14ac:dyDescent="0.2">
      <c r="A86" s="774"/>
      <c r="B86" s="827"/>
      <c r="C86" s="72" t="s">
        <v>449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27">
        <f t="shared" si="13"/>
        <v>0</v>
      </c>
    </row>
    <row r="87" spans="1:14" ht="13.5" thickBot="1" x14ac:dyDescent="0.25">
      <c r="A87" s="770"/>
      <c r="B87" s="827"/>
      <c r="C87" s="143" t="str">
        <f>'Kapitálové výdavky'!C100</f>
        <v>MPV - ostatné</v>
      </c>
      <c r="D87" s="74">
        <v>2000</v>
      </c>
      <c r="E87" s="74">
        <v>2000</v>
      </c>
      <c r="F87" s="74"/>
      <c r="G87" s="74"/>
      <c r="H87" s="74"/>
      <c r="I87" s="74"/>
      <c r="J87" s="74"/>
      <c r="K87" s="74"/>
      <c r="L87" s="74"/>
      <c r="M87" s="74"/>
      <c r="N87" s="31">
        <f t="shared" si="13"/>
        <v>2000</v>
      </c>
    </row>
    <row r="88" spans="1:14" ht="15.75" hidden="1" thickBot="1" x14ac:dyDescent="0.3">
      <c r="A88" s="678" t="s">
        <v>60</v>
      </c>
      <c r="B88" s="734" t="s">
        <v>0</v>
      </c>
      <c r="C88" s="746"/>
      <c r="D88" s="679"/>
      <c r="E88" s="67"/>
      <c r="F88" s="67"/>
      <c r="G88" s="67"/>
      <c r="H88" s="67"/>
      <c r="I88" s="67"/>
      <c r="J88" s="67"/>
      <c r="K88" s="67"/>
      <c r="L88" s="67"/>
      <c r="M88" s="67"/>
      <c r="N88" s="68"/>
    </row>
    <row r="89" spans="1:14" ht="13.5" hidden="1" thickBot="1" x14ac:dyDescent="0.25">
      <c r="A89" s="352"/>
      <c r="B89" s="354"/>
      <c r="C89" s="72" t="s">
        <v>61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27"/>
    </row>
    <row r="90" spans="1:14" ht="13.5" hidden="1" thickBot="1" x14ac:dyDescent="0.25">
      <c r="A90" s="352"/>
      <c r="B90" s="354"/>
      <c r="C90" s="43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27"/>
    </row>
    <row r="91" spans="1:14" ht="13.5" hidden="1" thickBot="1" x14ac:dyDescent="0.25">
      <c r="A91" s="352"/>
      <c r="B91" s="354"/>
      <c r="C91" s="47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31"/>
    </row>
    <row r="92" spans="1:14" ht="15.75" thickBot="1" x14ac:dyDescent="0.3">
      <c r="A92" s="529" t="s">
        <v>266</v>
      </c>
      <c r="B92" s="899" t="str">
        <f>'Kapitálové výdavky'!B105:C105</f>
        <v>Rekreačné a športové služby</v>
      </c>
      <c r="C92" s="899"/>
      <c r="D92" s="526">
        <f>SUM(D93:D100)</f>
        <v>2000</v>
      </c>
      <c r="E92" s="526">
        <f t="shared" ref="E92:M92" si="14">SUM(E93:E100)</f>
        <v>0</v>
      </c>
      <c r="F92" s="526">
        <f t="shared" si="14"/>
        <v>0</v>
      </c>
      <c r="G92" s="526">
        <f t="shared" si="14"/>
        <v>0</v>
      </c>
      <c r="H92" s="526">
        <f t="shared" si="14"/>
        <v>0</v>
      </c>
      <c r="I92" s="526">
        <f t="shared" si="14"/>
        <v>0</v>
      </c>
      <c r="J92" s="526">
        <f t="shared" si="14"/>
        <v>2000</v>
      </c>
      <c r="K92" s="526">
        <f t="shared" si="14"/>
        <v>0</v>
      </c>
      <c r="L92" s="526"/>
      <c r="M92" s="526">
        <f t="shared" si="14"/>
        <v>0</v>
      </c>
      <c r="N92" s="534">
        <f>SUM(N93:N100)</f>
        <v>2000</v>
      </c>
    </row>
    <row r="93" spans="1:14" x14ac:dyDescent="0.2">
      <c r="A93" s="771"/>
      <c r="B93" s="833"/>
      <c r="C93" s="72" t="str">
        <f>'Kapitálové výdavky'!C106</f>
        <v>Tréningová hala</v>
      </c>
      <c r="D93" s="87">
        <f>'Kapitálové výdavky'!O106</f>
        <v>0</v>
      </c>
      <c r="E93" s="87"/>
      <c r="F93" s="87"/>
      <c r="G93" s="87"/>
      <c r="H93" s="87"/>
      <c r="I93" s="87"/>
      <c r="J93" s="87"/>
      <c r="K93" s="87"/>
      <c r="L93" s="87"/>
      <c r="M93" s="87"/>
      <c r="N93" s="419">
        <f t="shared" ref="N93:N100" si="15">SUM(E93:M93)</f>
        <v>0</v>
      </c>
    </row>
    <row r="94" spans="1:14" ht="13.5" thickBot="1" x14ac:dyDescent="0.25">
      <c r="A94" s="772"/>
      <c r="B94" s="834"/>
      <c r="C94" s="72" t="str">
        <f>'Kapitálové výdavky'!C107</f>
        <v>Transfer pre TS</v>
      </c>
      <c r="D94" s="89">
        <f>'Kapitálové výdavky'!O107</f>
        <v>2000</v>
      </c>
      <c r="E94" s="89"/>
      <c r="F94" s="89"/>
      <c r="G94" s="89"/>
      <c r="H94" s="89"/>
      <c r="I94" s="89"/>
      <c r="J94" s="89">
        <v>2000</v>
      </c>
      <c r="K94" s="89"/>
      <c r="L94" s="89"/>
      <c r="M94" s="89"/>
      <c r="N94" s="424">
        <f t="shared" si="15"/>
        <v>2000</v>
      </c>
    </row>
    <row r="95" spans="1:14" ht="13.5" hidden="1" thickBot="1" x14ac:dyDescent="0.25">
      <c r="A95" s="772"/>
      <c r="B95" s="834"/>
      <c r="C95" s="72" t="str">
        <f>'Kapitálové výdavky'!C108</f>
        <v>Plynová a kanalizačná prípojka</v>
      </c>
      <c r="D95" s="89">
        <f>'Kapitálové výdavky'!O108</f>
        <v>0</v>
      </c>
      <c r="E95" s="89"/>
      <c r="F95" s="89"/>
      <c r="G95" s="89"/>
      <c r="H95" s="89"/>
      <c r="I95" s="89"/>
      <c r="J95" s="89"/>
      <c r="K95" s="89"/>
      <c r="L95" s="89"/>
      <c r="M95" s="89"/>
      <c r="N95" s="424">
        <f t="shared" si="15"/>
        <v>0</v>
      </c>
    </row>
    <row r="96" spans="1:14" ht="13.5" hidden="1" thickBot="1" x14ac:dyDescent="0.25">
      <c r="A96" s="772"/>
      <c r="B96" s="834"/>
      <c r="C96" s="72" t="str">
        <f>'Kapitálové výdavky'!C109</f>
        <v xml:space="preserve">Rolba </v>
      </c>
      <c r="D96" s="89">
        <f>'Kapitálové výdavky'!O109</f>
        <v>0</v>
      </c>
      <c r="E96" s="89"/>
      <c r="F96" s="89"/>
      <c r="G96" s="89"/>
      <c r="H96" s="89"/>
      <c r="I96" s="89"/>
      <c r="J96" s="89"/>
      <c r="K96" s="89"/>
      <c r="L96" s="89"/>
      <c r="M96" s="89"/>
      <c r="N96" s="424">
        <f t="shared" si="15"/>
        <v>0</v>
      </c>
    </row>
    <row r="97" spans="1:14" ht="13.5" hidden="1" thickBot="1" x14ac:dyDescent="0.25">
      <c r="A97" s="772"/>
      <c r="B97" s="834"/>
      <c r="C97" s="72" t="str">
        <f>'Kapitálové výdavky'!C110</f>
        <v>kocka - strecha</v>
      </c>
      <c r="D97" s="89">
        <f>'Kapitálové výdavky'!O110</f>
        <v>0</v>
      </c>
      <c r="E97" s="89"/>
      <c r="F97" s="89"/>
      <c r="G97" s="89"/>
      <c r="H97" s="89"/>
      <c r="I97" s="89"/>
      <c r="J97" s="89"/>
      <c r="K97" s="89"/>
      <c r="L97" s="89"/>
      <c r="M97" s="89"/>
      <c r="N97" s="424">
        <f t="shared" si="15"/>
        <v>0</v>
      </c>
    </row>
    <row r="98" spans="1:14" ht="13.5" hidden="1" thickBot="1" x14ac:dyDescent="0.25">
      <c r="A98" s="772"/>
      <c r="B98" s="834"/>
      <c r="C98" s="72">
        <f>'Kapitálové výdavky'!C111</f>
        <v>0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23">
        <f t="shared" si="15"/>
        <v>0</v>
      </c>
    </row>
    <row r="99" spans="1:14" ht="13.5" hidden="1" thickBot="1" x14ac:dyDescent="0.25">
      <c r="A99" s="772"/>
      <c r="B99" s="834"/>
      <c r="C99" s="72">
        <f>'Kapitálové výdavky'!C111</f>
        <v>0</v>
      </c>
      <c r="D99" s="57">
        <f>'Kapitálové výdavky'!O111</f>
        <v>0</v>
      </c>
      <c r="E99" s="57"/>
      <c r="F99" s="57"/>
      <c r="G99" s="57"/>
      <c r="H99" s="57"/>
      <c r="I99" s="57"/>
      <c r="J99" s="57"/>
      <c r="K99" s="57"/>
      <c r="L99" s="57"/>
      <c r="M99" s="57"/>
      <c r="N99" s="23">
        <f t="shared" si="15"/>
        <v>0</v>
      </c>
    </row>
    <row r="100" spans="1:14" ht="13.5" hidden="1" thickBot="1" x14ac:dyDescent="0.25">
      <c r="A100" s="773"/>
      <c r="B100" s="834"/>
      <c r="C100" s="143" t="str">
        <f>'Kapitálové výdavky'!C112</f>
        <v>Ihrisko WORK OUT</v>
      </c>
      <c r="D100" s="205">
        <f>'Kapitálové výdavky'!O112</f>
        <v>0</v>
      </c>
      <c r="E100" s="205"/>
      <c r="F100" s="205"/>
      <c r="G100" s="205"/>
      <c r="H100" s="205"/>
      <c r="I100" s="205"/>
      <c r="J100" s="205"/>
      <c r="K100" s="205"/>
      <c r="L100" s="205"/>
      <c r="M100" s="205"/>
      <c r="N100" s="78">
        <f t="shared" si="15"/>
        <v>0</v>
      </c>
    </row>
    <row r="101" spans="1:14" ht="15.75" thickBot="1" x14ac:dyDescent="0.3">
      <c r="A101" s="529" t="s">
        <v>81</v>
      </c>
      <c r="B101" s="899" t="str">
        <f>'Kapitálové výdavky'!B113:C113</f>
        <v>Kultúrne služby</v>
      </c>
      <c r="C101" s="899"/>
      <c r="D101" s="526">
        <f t="shared" ref="D101:M101" si="16">SUM(D102:D107)</f>
        <v>195999</v>
      </c>
      <c r="E101" s="526">
        <f t="shared" si="16"/>
        <v>10000</v>
      </c>
      <c r="F101" s="526">
        <f t="shared" si="16"/>
        <v>0</v>
      </c>
      <c r="G101" s="526">
        <f t="shared" si="16"/>
        <v>0</v>
      </c>
      <c r="H101" s="526">
        <f t="shared" si="16"/>
        <v>182999</v>
      </c>
      <c r="I101" s="526">
        <f>SUM(I102:I107)</f>
        <v>0</v>
      </c>
      <c r="J101" s="526">
        <f t="shared" si="16"/>
        <v>3000</v>
      </c>
      <c r="K101" s="526">
        <f t="shared" si="16"/>
        <v>0</v>
      </c>
      <c r="L101" s="526"/>
      <c r="M101" s="526">
        <f t="shared" si="16"/>
        <v>0</v>
      </c>
      <c r="N101" s="534">
        <f>SUM(N102:N107)</f>
        <v>195999</v>
      </c>
    </row>
    <row r="102" spans="1:14" x14ac:dyDescent="0.2">
      <c r="A102" s="769"/>
      <c r="B102" s="826"/>
      <c r="C102" s="72" t="str">
        <f>'Kapitálové výdavky'!C114</f>
        <v>Príspevok pre MKS</v>
      </c>
      <c r="D102" s="57">
        <v>9000</v>
      </c>
      <c r="E102" s="57">
        <v>9000</v>
      </c>
      <c r="F102" s="57"/>
      <c r="G102" s="57"/>
      <c r="H102" s="57"/>
      <c r="I102" s="57"/>
      <c r="J102" s="57"/>
      <c r="K102" s="57"/>
      <c r="L102" s="57"/>
      <c r="M102" s="57"/>
      <c r="N102" s="23">
        <f>SUM(E102:M102)</f>
        <v>9000</v>
      </c>
    </row>
    <row r="103" spans="1:14" hidden="1" x14ac:dyDescent="0.2">
      <c r="A103" s="774"/>
      <c r="B103" s="827"/>
      <c r="C103" s="72" t="str">
        <f>'Kapitálové výdavky'!C116</f>
        <v xml:space="preserve">Kultúra- puto spájajúce obyvateľov vidieka </v>
      </c>
      <c r="D103" s="89">
        <f>'Kapitálové výdavky'!O116</f>
        <v>0</v>
      </c>
      <c r="E103" s="89"/>
      <c r="F103" s="89"/>
      <c r="G103" s="89"/>
      <c r="H103" s="89"/>
      <c r="I103" s="89"/>
      <c r="J103" s="89"/>
      <c r="K103" s="89"/>
      <c r="L103" s="89"/>
      <c r="M103" s="89"/>
      <c r="N103" s="424">
        <f>SUM(E103:M103)</f>
        <v>0</v>
      </c>
    </row>
    <row r="104" spans="1:14" x14ac:dyDescent="0.2">
      <c r="A104" s="774"/>
      <c r="B104" s="827"/>
      <c r="C104" s="72" t="str">
        <f>'Kapitálové výdavky'!C117</f>
        <v>Rekonštrukcia strechy divadla</v>
      </c>
      <c r="D104" s="89">
        <v>131640</v>
      </c>
      <c r="E104" s="90"/>
      <c r="F104" s="90"/>
      <c r="G104" s="90"/>
      <c r="H104" s="90">
        <v>131640</v>
      </c>
      <c r="I104" s="90"/>
      <c r="J104" s="90"/>
      <c r="K104" s="90"/>
      <c r="L104" s="90"/>
      <c r="M104" s="90"/>
      <c r="N104" s="424">
        <f>SUM(E104:M104)</f>
        <v>131640</v>
      </c>
    </row>
    <row r="105" spans="1:14" x14ac:dyDescent="0.2">
      <c r="A105" s="774"/>
      <c r="B105" s="827"/>
      <c r="C105" s="72" t="str">
        <f>'Kapitálové výdavky'!C118</f>
        <v>Rekonštrukcia okien a dverí divadla</v>
      </c>
      <c r="D105" s="89">
        <v>51359</v>
      </c>
      <c r="E105" s="90"/>
      <c r="F105" s="90"/>
      <c r="G105" s="90"/>
      <c r="H105" s="90">
        <f>66260-14901</f>
        <v>51359</v>
      </c>
      <c r="I105" s="90"/>
      <c r="J105" s="90"/>
      <c r="K105" s="90"/>
      <c r="L105" s="90"/>
      <c r="M105" s="90"/>
      <c r="N105" s="424">
        <f>SUM(E105:M105)</f>
        <v>51359</v>
      </c>
    </row>
    <row r="106" spans="1:14" x14ac:dyDescent="0.2">
      <c r="A106" s="774"/>
      <c r="B106" s="827"/>
      <c r="C106" s="72" t="str">
        <f>'Kapitálové výdavky'!C119</f>
        <v>NMP č. 54 - divadlo,kotolňa</v>
      </c>
      <c r="D106" s="89">
        <v>4000</v>
      </c>
      <c r="E106" s="90">
        <v>1000</v>
      </c>
      <c r="F106" s="90"/>
      <c r="G106" s="90"/>
      <c r="H106" s="90"/>
      <c r="I106" s="90"/>
      <c r="J106" s="90">
        <v>3000</v>
      </c>
      <c r="K106" s="90"/>
      <c r="L106" s="90"/>
      <c r="M106" s="90"/>
      <c r="N106" s="424">
        <f>SUM(E106:M106)</f>
        <v>4000</v>
      </c>
    </row>
    <row r="107" spans="1:14" ht="13.5" thickBot="1" x14ac:dyDescent="0.25">
      <c r="A107" s="770"/>
      <c r="B107" s="827"/>
      <c r="C107" s="143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49"/>
    </row>
    <row r="108" spans="1:14" ht="15.75" thickBot="1" x14ac:dyDescent="0.3">
      <c r="A108" s="529" t="s">
        <v>67</v>
      </c>
      <c r="B108" s="899" t="str">
        <f>'Kapitálové výdavky'!B120:C120</f>
        <v>Náboženské a iné spoločenské služby</v>
      </c>
      <c r="C108" s="899"/>
      <c r="D108" s="526">
        <f>D109</f>
        <v>10000</v>
      </c>
      <c r="E108" s="526">
        <f t="shared" ref="E108:M108" si="17">E109</f>
        <v>0</v>
      </c>
      <c r="F108" s="526">
        <f t="shared" si="17"/>
        <v>0</v>
      </c>
      <c r="G108" s="526">
        <f t="shared" si="17"/>
        <v>0</v>
      </c>
      <c r="H108" s="526">
        <f t="shared" si="17"/>
        <v>0</v>
      </c>
      <c r="I108" s="526">
        <f t="shared" si="17"/>
        <v>0</v>
      </c>
      <c r="J108" s="526">
        <f t="shared" si="17"/>
        <v>10000</v>
      </c>
      <c r="K108" s="526">
        <f t="shared" si="17"/>
        <v>0</v>
      </c>
      <c r="L108" s="526"/>
      <c r="M108" s="526">
        <f t="shared" si="17"/>
        <v>0</v>
      </c>
      <c r="N108" s="534">
        <f>SUM(E108:M108)</f>
        <v>10000</v>
      </c>
    </row>
    <row r="109" spans="1:14" ht="13.5" thickBot="1" x14ac:dyDescent="0.25">
      <c r="A109" s="352"/>
      <c r="B109" s="354"/>
      <c r="C109" s="143" t="str">
        <f>'Kapitálové výdavky'!C121</f>
        <v>Príspevok pre TS</v>
      </c>
      <c r="D109" s="44">
        <f>'Kapitálové výdavky'!O121</f>
        <v>10000</v>
      </c>
      <c r="E109" s="44"/>
      <c r="F109" s="44"/>
      <c r="G109" s="44"/>
      <c r="H109" s="44"/>
      <c r="I109" s="44"/>
      <c r="J109" s="90">
        <v>10000</v>
      </c>
      <c r="K109" s="44"/>
      <c r="L109" s="44"/>
      <c r="M109" s="44"/>
      <c r="N109" s="27">
        <f>SUM(E109:M109)</f>
        <v>10000</v>
      </c>
    </row>
    <row r="110" spans="1:14" ht="15.75" thickBot="1" x14ac:dyDescent="0.3">
      <c r="A110" s="528" t="s">
        <v>6</v>
      </c>
      <c r="B110" s="899" t="str">
        <f>'Kapitálové výdavky'!B122:C122</f>
        <v>Školstvo</v>
      </c>
      <c r="C110" s="899"/>
      <c r="D110" s="526">
        <f t="shared" ref="D110:M110" si="18">SUM(D111:D119)</f>
        <v>373132</v>
      </c>
      <c r="E110" s="526">
        <f>SUM(E111:E119)</f>
        <v>28103</v>
      </c>
      <c r="F110" s="526">
        <f t="shared" si="18"/>
        <v>72560</v>
      </c>
      <c r="G110" s="526">
        <f t="shared" si="18"/>
        <v>0</v>
      </c>
      <c r="H110" s="526">
        <f t="shared" si="18"/>
        <v>157332</v>
      </c>
      <c r="I110" s="526">
        <f t="shared" si="18"/>
        <v>0</v>
      </c>
      <c r="J110" s="526">
        <f t="shared" si="18"/>
        <v>0</v>
      </c>
      <c r="K110" s="526">
        <f t="shared" si="18"/>
        <v>84000</v>
      </c>
      <c r="L110" s="526"/>
      <c r="M110" s="526">
        <f t="shared" si="18"/>
        <v>31137</v>
      </c>
      <c r="N110" s="534">
        <f>SUM(N111:N119)</f>
        <v>373132</v>
      </c>
    </row>
    <row r="111" spans="1:14" x14ac:dyDescent="0.2">
      <c r="A111" s="769"/>
      <c r="B111" s="826"/>
      <c r="C111" s="43" t="s">
        <v>380</v>
      </c>
      <c r="D111" s="57">
        <v>6060</v>
      </c>
      <c r="E111" s="57"/>
      <c r="F111" s="57">
        <v>6060</v>
      </c>
      <c r="G111" s="57"/>
      <c r="H111" s="57"/>
      <c r="I111" s="57"/>
      <c r="J111" s="57"/>
      <c r="K111" s="57"/>
      <c r="L111" s="57"/>
      <c r="M111" s="57"/>
      <c r="N111" s="23">
        <f t="shared" ref="N111:N119" si="19">SUM(E111:M111)</f>
        <v>6060</v>
      </c>
    </row>
    <row r="112" spans="1:14" x14ac:dyDescent="0.2">
      <c r="A112" s="774"/>
      <c r="B112" s="827"/>
      <c r="C112" s="43" t="str">
        <f>'Kapitálové výdavky'!C125</f>
        <v>ZŠ G. Haina - vybavenie ŠJ</v>
      </c>
      <c r="D112" s="57">
        <v>2984</v>
      </c>
      <c r="E112" s="57">
        <v>2984</v>
      </c>
      <c r="F112" s="57"/>
      <c r="G112" s="57"/>
      <c r="H112" s="57"/>
      <c r="I112" s="57"/>
      <c r="J112" s="57"/>
      <c r="K112" s="57"/>
      <c r="L112" s="57"/>
      <c r="M112" s="57"/>
      <c r="N112" s="23">
        <f t="shared" si="19"/>
        <v>2984</v>
      </c>
    </row>
    <row r="113" spans="1:16" x14ac:dyDescent="0.2">
      <c r="A113" s="774"/>
      <c r="B113" s="827"/>
      <c r="C113" s="43" t="str">
        <f>'Kapitálové výdavky'!C126</f>
        <v>MŠ G. Haina</v>
      </c>
      <c r="D113" s="23">
        <v>252469</v>
      </c>
      <c r="E113" s="57"/>
      <c r="F113" s="57">
        <v>64000</v>
      </c>
      <c r="G113" s="57"/>
      <c r="H113" s="44">
        <f>591596-434264</f>
        <v>157332</v>
      </c>
      <c r="I113" s="57"/>
      <c r="J113" s="57"/>
      <c r="K113" s="57"/>
      <c r="L113" s="57"/>
      <c r="M113" s="57">
        <v>31137</v>
      </c>
      <c r="N113" s="23">
        <f t="shared" si="19"/>
        <v>252469</v>
      </c>
      <c r="P113" s="586"/>
    </row>
    <row r="114" spans="1:16" x14ac:dyDescent="0.2">
      <c r="A114" s="774"/>
      <c r="B114" s="827"/>
      <c r="C114" s="43" t="str">
        <f>'Kapitálové výdavky'!C130</f>
        <v>ZŠ Kluberta - vybavenie ŠJ</v>
      </c>
      <c r="D114" s="57">
        <v>6203</v>
      </c>
      <c r="E114" s="57">
        <v>6203</v>
      </c>
      <c r="F114" s="57"/>
      <c r="G114" s="57"/>
      <c r="H114" s="57"/>
      <c r="I114" s="57"/>
      <c r="J114" s="57"/>
      <c r="K114" s="57"/>
      <c r="L114" s="57"/>
      <c r="M114" s="57"/>
      <c r="N114" s="23">
        <f t="shared" si="19"/>
        <v>6203</v>
      </c>
    </row>
    <row r="115" spans="1:16" x14ac:dyDescent="0.2">
      <c r="A115" s="774"/>
      <c r="B115" s="827"/>
      <c r="C115" s="43" t="s">
        <v>447</v>
      </c>
      <c r="D115" s="57">
        <v>86500</v>
      </c>
      <c r="E115" s="57"/>
      <c r="F115" s="57">
        <f>4050-1550</f>
        <v>2500</v>
      </c>
      <c r="G115" s="57"/>
      <c r="H115" s="57"/>
      <c r="I115" s="57"/>
      <c r="J115" s="57"/>
      <c r="K115" s="57">
        <v>84000</v>
      </c>
      <c r="L115" s="57"/>
      <c r="M115" s="57"/>
      <c r="N115" s="23">
        <f t="shared" si="19"/>
        <v>86500</v>
      </c>
    </row>
    <row r="116" spans="1:16" x14ac:dyDescent="0.2">
      <c r="A116" s="774"/>
      <c r="B116" s="827"/>
      <c r="C116" s="47" t="s">
        <v>450</v>
      </c>
      <c r="D116" s="57">
        <v>2500</v>
      </c>
      <c r="E116" s="57">
        <v>2500</v>
      </c>
      <c r="F116" s="57"/>
      <c r="G116" s="57"/>
      <c r="H116" s="57"/>
      <c r="I116" s="57"/>
      <c r="J116" s="57"/>
      <c r="K116" s="57"/>
      <c r="L116" s="57"/>
      <c r="M116" s="57"/>
      <c r="N116" s="23">
        <f t="shared" si="19"/>
        <v>2500</v>
      </c>
    </row>
    <row r="117" spans="1:16" x14ac:dyDescent="0.2">
      <c r="A117" s="774"/>
      <c r="B117" s="827"/>
      <c r="C117" s="47" t="s">
        <v>453</v>
      </c>
      <c r="D117" s="57">
        <v>5798</v>
      </c>
      <c r="E117" s="57">
        <v>5798</v>
      </c>
      <c r="F117" s="57"/>
      <c r="G117" s="57"/>
      <c r="H117" s="57"/>
      <c r="I117" s="57"/>
      <c r="J117" s="57"/>
      <c r="K117" s="57"/>
      <c r="L117" s="57"/>
      <c r="M117" s="57"/>
      <c r="N117" s="23">
        <f t="shared" si="19"/>
        <v>5798</v>
      </c>
    </row>
    <row r="118" spans="1:16" x14ac:dyDescent="0.2">
      <c r="A118" s="774"/>
      <c r="B118" s="827"/>
      <c r="C118" s="47" t="s">
        <v>454</v>
      </c>
      <c r="D118" s="57">
        <v>6399</v>
      </c>
      <c r="E118" s="57">
        <v>6399</v>
      </c>
      <c r="F118" s="57"/>
      <c r="G118" s="57"/>
      <c r="H118" s="57"/>
      <c r="I118" s="57"/>
      <c r="J118" s="57"/>
      <c r="K118" s="57"/>
      <c r="L118" s="57"/>
      <c r="M118" s="57"/>
      <c r="N118" s="23">
        <f t="shared" si="19"/>
        <v>6399</v>
      </c>
    </row>
    <row r="119" spans="1:16" ht="13.5" thickBot="1" x14ac:dyDescent="0.25">
      <c r="A119" s="770"/>
      <c r="B119" s="828"/>
      <c r="C119" s="43" t="s">
        <v>455</v>
      </c>
      <c r="D119" s="57">
        <v>4219</v>
      </c>
      <c r="E119" s="44">
        <v>4219</v>
      </c>
      <c r="F119" s="44"/>
      <c r="G119" s="44"/>
      <c r="H119" s="44"/>
      <c r="I119" s="44"/>
      <c r="J119" s="44"/>
      <c r="K119" s="44"/>
      <c r="L119" s="44"/>
      <c r="M119" s="44"/>
      <c r="N119" s="27">
        <f t="shared" si="19"/>
        <v>4219</v>
      </c>
    </row>
    <row r="120" spans="1:16" ht="15.75" thickBot="1" x14ac:dyDescent="0.3">
      <c r="A120" s="207" t="s">
        <v>19</v>
      </c>
      <c r="B120" s="734" t="s">
        <v>20</v>
      </c>
      <c r="C120" s="746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8"/>
    </row>
    <row r="121" spans="1:16" x14ac:dyDescent="0.2">
      <c r="A121" s="427"/>
      <c r="B121" s="428"/>
      <c r="C121" s="428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429"/>
    </row>
    <row r="122" spans="1:16" ht="13.5" thickBot="1" x14ac:dyDescent="0.25">
      <c r="A122" s="352"/>
      <c r="B122" s="354"/>
      <c r="C122" s="143" t="s">
        <v>68</v>
      </c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71"/>
    </row>
    <row r="123" spans="1:16" ht="15.75" thickBot="1" x14ac:dyDescent="0.3">
      <c r="A123" s="536" t="s">
        <v>69</v>
      </c>
      <c r="B123" s="899" t="str">
        <f>'Kapitálové výdavky'!B141:C141</f>
        <v>Prísp. neštát. subjekt.- pomoc občanom v hmotnej a sociálnej núdzi</v>
      </c>
      <c r="C123" s="899"/>
      <c r="D123" s="527">
        <f>D124</f>
        <v>0</v>
      </c>
      <c r="E123" s="527">
        <f t="shared" ref="E123:N123" si="20">E124</f>
        <v>0</v>
      </c>
      <c r="F123" s="527">
        <f t="shared" si="20"/>
        <v>0</v>
      </c>
      <c r="G123" s="527">
        <f t="shared" si="20"/>
        <v>0</v>
      </c>
      <c r="H123" s="527">
        <f t="shared" si="20"/>
        <v>0</v>
      </c>
      <c r="I123" s="527">
        <f t="shared" si="20"/>
        <v>0</v>
      </c>
      <c r="J123" s="527">
        <f t="shared" si="20"/>
        <v>0</v>
      </c>
      <c r="K123" s="527">
        <f t="shared" si="20"/>
        <v>0</v>
      </c>
      <c r="L123" s="527"/>
      <c r="M123" s="527">
        <f t="shared" si="20"/>
        <v>0</v>
      </c>
      <c r="N123" s="535">
        <f t="shared" si="20"/>
        <v>0</v>
      </c>
    </row>
    <row r="124" spans="1:16" ht="13.5" thickBot="1" x14ac:dyDescent="0.25">
      <c r="A124" s="352"/>
      <c r="B124" s="354"/>
      <c r="C124" s="72" t="str">
        <f>'Kapitálové výdavky'!C142</f>
        <v>komunitné centrum</v>
      </c>
      <c r="D124" s="236">
        <f>'Kapitálové výdavky'!O142</f>
        <v>0</v>
      </c>
      <c r="E124" s="236"/>
      <c r="F124" s="236"/>
      <c r="G124" s="236"/>
      <c r="H124" s="236"/>
      <c r="I124" s="236"/>
      <c r="J124" s="236"/>
      <c r="K124" s="236"/>
      <c r="L124" s="236"/>
      <c r="M124" s="236"/>
      <c r="N124" s="71">
        <f>SUM(E124:M124)</f>
        <v>0</v>
      </c>
    </row>
    <row r="125" spans="1:16" ht="17.25" thickTop="1" thickBot="1" x14ac:dyDescent="0.3">
      <c r="A125" s="894" t="s">
        <v>70</v>
      </c>
      <c r="B125" s="895"/>
      <c r="C125" s="895"/>
      <c r="D125" s="537">
        <f>D110+D92+D101+D88+D67+D64+D57+D55+D48+D31+D12+D9+D5+D108+D120+D123</f>
        <v>2771385</v>
      </c>
      <c r="E125" s="537">
        <f>E5+E9+E12+E31+E48+E57+E64+E67+E92+E101+E108+E110</f>
        <v>112796</v>
      </c>
      <c r="F125" s="537">
        <f t="shared" ref="F125:M125" si="21">F5+F9+F12+F31+F48+F57+F64+F67+F92+F101+F108+F110</f>
        <v>552013</v>
      </c>
      <c r="G125" s="537">
        <f t="shared" si="21"/>
        <v>0</v>
      </c>
      <c r="H125" s="537">
        <f t="shared" si="21"/>
        <v>837093</v>
      </c>
      <c r="I125" s="537">
        <f t="shared" si="21"/>
        <v>140649</v>
      </c>
      <c r="J125" s="537">
        <f t="shared" si="21"/>
        <v>139949</v>
      </c>
      <c r="K125" s="537">
        <f t="shared" si="21"/>
        <v>308600</v>
      </c>
      <c r="L125" s="537">
        <f t="shared" si="21"/>
        <v>415988</v>
      </c>
      <c r="M125" s="537">
        <f t="shared" si="21"/>
        <v>264297</v>
      </c>
      <c r="N125" s="538">
        <f>N110+N92+N101+N88+N67+N64+N57+N55+N48+N31+N12+N9+N5+N108+N120+N123</f>
        <v>2771385</v>
      </c>
    </row>
    <row r="126" spans="1:16" ht="13.5" thickTop="1" x14ac:dyDescent="0.2"/>
    <row r="127" spans="1:16" ht="15.75" x14ac:dyDescent="0.25">
      <c r="E127" s="586"/>
      <c r="J127" s="586"/>
      <c r="K127" s="586"/>
      <c r="L127" s="586"/>
      <c r="N127" s="713"/>
    </row>
    <row r="128" spans="1:16" x14ac:dyDescent="0.2">
      <c r="E128" s="586"/>
      <c r="K128" s="586"/>
      <c r="L128" s="586"/>
    </row>
    <row r="129" spans="3:14" x14ac:dyDescent="0.2">
      <c r="E129" s="586"/>
      <c r="F129" s="586"/>
      <c r="K129" s="586"/>
      <c r="L129" s="586"/>
      <c r="M129" s="586"/>
      <c r="N129" s="586"/>
    </row>
    <row r="130" spans="3:14" x14ac:dyDescent="0.2">
      <c r="E130" s="586"/>
      <c r="F130" s="586"/>
    </row>
    <row r="131" spans="3:14" x14ac:dyDescent="0.2">
      <c r="C131" s="586"/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</row>
    <row r="132" spans="3:14" x14ac:dyDescent="0.2">
      <c r="H132" s="586"/>
      <c r="N132" s="586"/>
    </row>
    <row r="136" spans="3:14" x14ac:dyDescent="0.2">
      <c r="E136" s="586"/>
    </row>
    <row r="137" spans="3:14" x14ac:dyDescent="0.2">
      <c r="K137" s="586"/>
      <c r="L137" s="586"/>
    </row>
    <row r="140" spans="3:14" x14ac:dyDescent="0.2">
      <c r="J140" s="586"/>
    </row>
  </sheetData>
  <mergeCells count="48">
    <mergeCell ref="D3:D4"/>
    <mergeCell ref="B5:C5"/>
    <mergeCell ref="A6:A8"/>
    <mergeCell ref="B6:B8"/>
    <mergeCell ref="B9:C9"/>
    <mergeCell ref="B12:C12"/>
    <mergeCell ref="A13:A30"/>
    <mergeCell ref="B13:B30"/>
    <mergeCell ref="A3:A4"/>
    <mergeCell ref="B3:B4"/>
    <mergeCell ref="C3:C4"/>
    <mergeCell ref="B10:B11"/>
    <mergeCell ref="B64:C64"/>
    <mergeCell ref="A65:A66"/>
    <mergeCell ref="B65:B66"/>
    <mergeCell ref="B31:C31"/>
    <mergeCell ref="B48:C48"/>
    <mergeCell ref="B57:C57"/>
    <mergeCell ref="B51:B54"/>
    <mergeCell ref="A51:A54"/>
    <mergeCell ref="A58:A63"/>
    <mergeCell ref="B58:B63"/>
    <mergeCell ref="B120:C120"/>
    <mergeCell ref="B123:C123"/>
    <mergeCell ref="B67:C67"/>
    <mergeCell ref="A68:A87"/>
    <mergeCell ref="B68:B87"/>
    <mergeCell ref="B88:C88"/>
    <mergeCell ref="B92:C92"/>
    <mergeCell ref="A93:A100"/>
    <mergeCell ref="B93:B100"/>
    <mergeCell ref="B101:C101"/>
    <mergeCell ref="A1:N1"/>
    <mergeCell ref="A125:C125"/>
    <mergeCell ref="E3:M3"/>
    <mergeCell ref="N3:N4"/>
    <mergeCell ref="B55:C55"/>
    <mergeCell ref="A32:A47"/>
    <mergeCell ref="B32:B47"/>
    <mergeCell ref="A49:A50"/>
    <mergeCell ref="B49:B50"/>
    <mergeCell ref="A10:A11"/>
    <mergeCell ref="A102:A107"/>
    <mergeCell ref="B102:B107"/>
    <mergeCell ref="B108:C108"/>
    <mergeCell ref="B110:C110"/>
    <mergeCell ref="A111:A119"/>
    <mergeCell ref="B111:B119"/>
  </mergeCells>
  <phoneticPr fontId="2" type="noConversion"/>
  <pageMargins left="0.43307086614173229" right="3.937007874015748E-2" top="0.23622047244094491" bottom="0.19685039370078741" header="0.51181102362204722" footer="0.15748031496062992"/>
  <pageSetup paperSize="9" scale="48" orientation="landscape" r:id="rId1"/>
  <headerFooter alignWithMargins="0"/>
  <ignoredErrors>
    <ignoredError sqref="A9 A12 A31 A48 A118:A123 A55:A103 A107:A114 A1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Kamenicky</dc:creator>
  <cp:lastModifiedBy>kamenicky</cp:lastModifiedBy>
  <cp:lastPrinted>2017-12-08T08:29:18Z</cp:lastPrinted>
  <dcterms:created xsi:type="dcterms:W3CDTF">2009-12-28T11:25:53Z</dcterms:created>
  <dcterms:modified xsi:type="dcterms:W3CDTF">2018-04-12T11:18:19Z</dcterms:modified>
</cp:coreProperties>
</file>