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5" windowWidth="9660" windowHeight="5490" firstSheet="5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definedNames/>
  <calcPr fullCalcOnLoad="1"/>
</workbook>
</file>

<file path=xl/sharedStrings.xml><?xml version="1.0" encoding="utf-8"?>
<sst xmlns="http://schemas.openxmlformats.org/spreadsheetml/2006/main" count="722" uniqueCount="453">
  <si>
    <t>Transfery na  kultúru - Taliansko</t>
  </si>
  <si>
    <t>Transfery na  kultúru - FS Levočan</t>
  </si>
  <si>
    <t>Transfery na  kultúru - Chorus Minor</t>
  </si>
  <si>
    <t xml:space="preserve">Kostol sv. Jakuba 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</si>
  <si>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</si>
  <si>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</si>
  <si>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</si>
  <si>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</si>
  <si>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</si>
  <si>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</si>
  <si>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</si>
  <si>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</si>
  <si>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</si>
  <si>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</si>
  <si>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</si>
  <si>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</si>
  <si>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</si>
  <si>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</si>
  <si>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</si>
  <si>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>Časť 1.2.2. Výdavky kapitálového rozpočtu</t>
  </si>
  <si>
    <t xml:space="preserve">Časť II. Finančné operácie </t>
  </si>
  <si>
    <t xml:space="preserve">Časť 2.1. Príjmové finančné operácie </t>
  </si>
  <si>
    <t>Zdroje krytia kapitálového rozpočtu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</si>
  <si>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</si>
  <si>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</si>
  <si>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</si>
  <si>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</si>
  <si>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</si>
  <si>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</si>
  <si>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</si>
  <si>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</si>
  <si>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</si>
  <si>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</si>
  <si>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</si>
  <si>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</si>
  <si>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</si>
  <si>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>Recyklačný fond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</si>
  <si>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</si>
  <si>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</si>
  <si>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</si>
  <si>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</si>
  <si>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</si>
  <si>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</si>
  <si>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</si>
  <si>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</si>
  <si>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</si>
  <si>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</si>
  <si>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</si>
  <si>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</si>
  <si>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</si>
  <si>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 xml:space="preserve">Schody sídl. Rozvoj </t>
  </si>
  <si>
    <t>Prestavba NMP II. etapa</t>
  </si>
  <si>
    <t>HPZ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</si>
  <si>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</si>
  <si>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</si>
  <si>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</si>
  <si>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</si>
  <si>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</si>
  <si>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</si>
  <si>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Prevod - fond tepelného hospodárstva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</si>
  <si>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</si>
  <si>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</si>
  <si>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</si>
  <si>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</si>
  <si>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</si>
  <si>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</si>
  <si>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finančný prenájom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</si>
  <si>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</si>
  <si>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</si>
  <si>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</si>
  <si>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</si>
  <si>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</si>
  <si>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</si>
  <si>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</si>
  <si>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</si>
  <si>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</si>
  <si>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</si>
  <si>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</si>
  <si>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</si>
  <si>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</si>
  <si>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</si>
  <si>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</si>
  <si>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</si>
  <si>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</si>
  <si>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</si>
  <si>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</si>
  <si>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</si>
  <si>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</si>
  <si>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</si>
  <si>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</si>
  <si>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</si>
  <si>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</si>
  <si>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</si>
  <si>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</si>
  <si>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</si>
  <si>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</si>
  <si>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</si>
  <si>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</si>
  <si>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</si>
  <si>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</si>
  <si>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</si>
  <si>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</si>
  <si>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</si>
  <si>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</si>
  <si>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</si>
  <si>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</si>
  <si>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</si>
  <si>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</si>
  <si>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</si>
  <si>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</si>
  <si>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</si>
  <si>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</si>
  <si>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</si>
  <si>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</si>
  <si>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</si>
  <si>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</si>
  <si>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</si>
  <si>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</si>
  <si>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</si>
  <si>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Povodne</t>
  </si>
  <si>
    <t>Obnova hradobného múru</t>
  </si>
  <si>
    <t xml:space="preserve">Prestavba NMP I. etapa </t>
  </si>
  <si>
    <t xml:space="preserve">Znalecký posudok </t>
  </si>
  <si>
    <t>Územný plán mesta</t>
  </si>
  <si>
    <t>Urbanistická štúdia pre IBV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</si>
  <si>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</si>
  <si>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</si>
  <si>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</si>
  <si>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</si>
  <si>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</si>
  <si>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</si>
  <si>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</si>
  <si>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</si>
  <si>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</si>
  <si>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</si>
  <si>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</si>
  <si>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</si>
  <si>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</si>
  <si>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>Rozpočet kapitál. výdavky celkom</t>
  </si>
  <si>
    <t>Funkčná klasifikácia</t>
  </si>
  <si>
    <t>Ukazovateľ</t>
  </si>
  <si>
    <t>630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</si>
  <si>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</si>
  <si>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</si>
  <si>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</si>
  <si>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</si>
  <si>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</si>
  <si>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</si>
  <si>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</si>
  <si>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</si>
  <si>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</si>
  <si>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</si>
  <si>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</si>
  <si>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</si>
  <si>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</si>
  <si>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</si>
  <si>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</si>
  <si>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</si>
  <si>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</si>
  <si>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</si>
  <si>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</si>
  <si>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</si>
  <si>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</si>
  <si>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</si>
  <si>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</si>
  <si>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</si>
  <si>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</si>
  <si>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</si>
  <si>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</si>
  <si>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</si>
  <si>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</si>
  <si>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</si>
  <si>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</si>
  <si>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Sanácia miest s nelegálnym odpadom</t>
  </si>
  <si>
    <t>Transfer pre TS</t>
  </si>
  <si>
    <t>MŠ Francisciho - teplo</t>
  </si>
  <si>
    <t>MŠ Francisciho - strecha</t>
  </si>
  <si>
    <t>Prevencia kriminality</t>
  </si>
  <si>
    <t>Príjmy z prevodov peňaž. Fondov obcí FRB</t>
  </si>
  <si>
    <t>fond nevyčerpaných dotácií</t>
  </si>
  <si>
    <t xml:space="preserve">predaj akcií </t>
  </si>
  <si>
    <t>Prevod investičný fond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</si>
  <si>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</si>
  <si>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</si>
  <si>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</si>
  <si>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</si>
  <si>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</si>
  <si>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</si>
  <si>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</si>
  <si>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</si>
  <si>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</si>
  <si>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príjmy z min. rokov</t>
  </si>
  <si>
    <t>granty a transfery</t>
  </si>
  <si>
    <t>finančné operácie</t>
  </si>
  <si>
    <t>úver</t>
  </si>
  <si>
    <t>Fond nev. dot.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</si>
  <si>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</si>
  <si>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</si>
  <si>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</si>
  <si>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</si>
  <si>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</si>
  <si>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</si>
  <si>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</si>
  <si>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</si>
  <si>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</si>
  <si>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</si>
  <si>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</si>
  <si>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</si>
  <si>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</si>
  <si>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</si>
  <si>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</si>
  <si>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</si>
  <si>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</si>
  <si>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</si>
  <si>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</si>
  <si>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</si>
  <si>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</si>
  <si>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</si>
  <si>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</si>
  <si>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</si>
  <si>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</si>
  <si>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</si>
  <si>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</si>
  <si>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</si>
  <si>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</si>
  <si>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</si>
  <si>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</si>
  <si>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</si>
  <si>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</si>
  <si>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</si>
  <si>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</si>
  <si>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</si>
  <si>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</si>
  <si>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</si>
  <si>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</si>
  <si>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</si>
  <si>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</si>
  <si>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</si>
  <si>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</si>
  <si>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</si>
  <si>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</si>
  <si>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</si>
  <si>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</si>
  <si>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</si>
  <si>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</si>
  <si>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</si>
  <si>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</si>
  <si>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</si>
  <si>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</si>
  <si>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</si>
  <si>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</si>
  <si>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</si>
  <si>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</si>
  <si>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</si>
  <si>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</si>
  <si>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</si>
  <si>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</si>
  <si>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</si>
  <si>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</si>
  <si>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</si>
  <si>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</si>
  <si>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</si>
  <si>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</si>
  <si>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</si>
  <si>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</si>
  <si>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</si>
  <si>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</si>
  <si>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</si>
  <si>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</si>
  <si>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</si>
  <si>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</si>
  <si>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</si>
  <si>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</si>
  <si>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</si>
  <si>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</si>
  <si>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</si>
  <si>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sociálna práca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</si>
  <si>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</si>
  <si>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</si>
  <si>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</si>
  <si>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</si>
  <si>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</si>
  <si>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</si>
  <si>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</si>
  <si>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</si>
  <si>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</si>
  <si>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</si>
  <si>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</si>
  <si>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</si>
  <si>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</si>
  <si>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</si>
  <si>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</si>
  <si>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</si>
  <si>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</si>
  <si>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</si>
  <si>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</si>
  <si>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</si>
  <si>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</si>
  <si>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</si>
  <si>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</si>
  <si>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</si>
  <si>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</si>
  <si>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</si>
  <si>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</si>
  <si>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</si>
  <si>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</si>
  <si>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</si>
  <si>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</si>
  <si>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</si>
  <si>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</si>
  <si>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</si>
  <si>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</si>
  <si>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</si>
  <si>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</si>
  <si>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</si>
  <si>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</si>
  <si>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</si>
  <si>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komunitné centrum</t>
  </si>
  <si>
    <t>Radnica a Zvonica NMP 2</t>
  </si>
  <si>
    <t>obnova oddychovej zóny Schiessplatz</t>
  </si>
  <si>
    <t>modernizácia autobusových zastávok</t>
  </si>
  <si>
    <t>úprava verejných priestranstiev</t>
  </si>
  <si>
    <t>oddychové zóny</t>
  </si>
  <si>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</si>
  <si>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</si>
  <si>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</si>
  <si>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</si>
  <si>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</si>
  <si>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</si>
  <si>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</si>
  <si>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</si>
  <si>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</si>
  <si>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</si>
  <si>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</si>
  <si>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</si>
  <si>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</si>
  <si>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MŠ Žel. riadok - škol. Infra.</t>
  </si>
  <si>
    <t>ZŠ Francisciho 11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</si>
  <si>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</si>
  <si>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</si>
  <si>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</si>
  <si>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</si>
  <si>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</si>
  <si>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</si>
  <si>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</si>
  <si>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</si>
  <si>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</si>
  <si>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</si>
  <si>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</si>
  <si>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</si>
  <si>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</si>
  <si>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Komunitná soc. práca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</si>
  <si>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</si>
  <si>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</si>
  <si>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</si>
  <si>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</si>
  <si>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</si>
  <si>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</si>
  <si>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</si>
  <si>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</si>
  <si>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</si>
  <si>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</si>
  <si>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 xml:space="preserve">Prestavba N.M.P. I. etapa </t>
  </si>
  <si>
    <t>Dom meštiansky, NMP č.43</t>
  </si>
  <si>
    <t xml:space="preserve">Prestavba N.M.P. II. etapa </t>
  </si>
  <si>
    <t>Doprava-výstavba a oprava ciest</t>
  </si>
  <si>
    <t>Projekt dopravného značenia MHD</t>
  </si>
  <si>
    <t>Spevnené plochy a komunikácie</t>
  </si>
  <si>
    <t>Zábradlie Križný potok</t>
  </si>
  <si>
    <t>Parkovisko - Sadová ul.</t>
  </si>
  <si>
    <t>schody okružná</t>
  </si>
  <si>
    <t>chodník - Kláštorská</t>
  </si>
  <si>
    <t>výstavba parkoviska sídl, Západ II.</t>
  </si>
  <si>
    <t>Nákladanie s odpadmi</t>
  </si>
  <si>
    <t xml:space="preserve">kamerový systém </t>
  </si>
  <si>
    <t>Podvozok nosič nadstavby</t>
  </si>
  <si>
    <t>Príspevok pre TS</t>
  </si>
  <si>
    <t xml:space="preserve">VO garáže, sídl. Západ </t>
  </si>
  <si>
    <t>Kaplnka Levočské Lúky, NN prípojka</t>
  </si>
  <si>
    <t>Odvodnenie garáží sidl. Západ</t>
  </si>
  <si>
    <t>nákup objekt Pisarčiná</t>
  </si>
  <si>
    <t>MPV - ostatné</t>
  </si>
  <si>
    <t>MPV most LD</t>
  </si>
  <si>
    <t>MPV Ovocinárska</t>
  </si>
  <si>
    <t>Lev. Lúky - zádveria</t>
  </si>
  <si>
    <t>chata Kohlwald</t>
  </si>
  <si>
    <t>odvodnenie, sídl. Pri prameni</t>
  </si>
  <si>
    <t>Nám. Majstra Pavla 50,51 -PD (FRB)</t>
  </si>
  <si>
    <t>Nám. Š. Kluberta – pomer. mer. tepla (FRB)</t>
  </si>
  <si>
    <t>Byty</t>
  </si>
  <si>
    <t>preložka VN</t>
  </si>
  <si>
    <t>MPV pozemkov pre most Lev. Dolina</t>
  </si>
  <si>
    <t xml:space="preserve">MPV pozemkov pre autobus. zastávku </t>
  </si>
  <si>
    <t>MPV Levočská Dolina</t>
  </si>
  <si>
    <t>08.2.0.9</t>
  </si>
  <si>
    <t>Káblová televízia - štúdia</t>
  </si>
  <si>
    <t>Plynová a kanalizačná prípojka</t>
  </si>
  <si>
    <t xml:space="preserve">Budova kocky </t>
  </si>
  <si>
    <t xml:space="preserve">Rolba </t>
  </si>
  <si>
    <t>kocka - strecha</t>
  </si>
  <si>
    <t>Vodná nádrž Levoča</t>
  </si>
  <si>
    <t>Ihrisko WORK OUT</t>
  </si>
  <si>
    <t>Príspevok pre MKS</t>
  </si>
  <si>
    <t>08.4.0.</t>
  </si>
  <si>
    <t>MŠ Žel. riadok - jedáleň</t>
  </si>
  <si>
    <t>CVČ - vybavenie PC technikou</t>
  </si>
  <si>
    <t>PD - DSS</t>
  </si>
  <si>
    <t>10.7.0</t>
  </si>
  <si>
    <t>auto</t>
  </si>
  <si>
    <t>06.2.0</t>
  </si>
  <si>
    <t>Rozvoj obcí</t>
  </si>
  <si>
    <t>01.1.2</t>
  </si>
  <si>
    <t>Upravený rozpočet 2016</t>
  </si>
  <si>
    <t xml:space="preserve">Rozpočet 2016 </t>
  </si>
  <si>
    <t>Pranier</t>
  </si>
  <si>
    <t>Rekonštrukcia chodníkov sídl. Západ</t>
  </si>
  <si>
    <t>MŠ Haina - PD</t>
  </si>
  <si>
    <t>Obnova verejného osvetlenia</t>
  </si>
  <si>
    <t>Verejné osvetlenie - projekt</t>
  </si>
  <si>
    <t xml:space="preserve">Kláštorská </t>
  </si>
  <si>
    <t>Ortofomapa</t>
  </si>
  <si>
    <t>Kniha</t>
  </si>
  <si>
    <t xml:space="preserve">ZŠ G. Haina 37 </t>
  </si>
  <si>
    <t>ZŠ G. Haina - telocvičňa</t>
  </si>
  <si>
    <t>Skládka TKO - korekcia</t>
  </si>
  <si>
    <t>Ostat.trans.pre šport a telových.-nájom</t>
  </si>
  <si>
    <t>PaedDr. Milan Majerský</t>
  </si>
  <si>
    <t>primátor mesta</t>
  </si>
  <si>
    <t>Opatrovateľská služba - projekt</t>
  </si>
  <si>
    <t>Telocvičňa ZŠ G. Haina</t>
  </si>
  <si>
    <t>MPV Plantáže</t>
  </si>
  <si>
    <t>Chodník - ul. Francisciho</t>
  </si>
  <si>
    <t>Elektrická rozvodná skriňa</t>
  </si>
  <si>
    <t>VO Potočná, Mengusovská</t>
  </si>
  <si>
    <t>Skutočnosť 2015</t>
  </si>
  <si>
    <t>Rekonštrukcia WC Kocka</t>
  </si>
  <si>
    <t>ZŠ Francisciho - vybavenie ŠJ</t>
  </si>
  <si>
    <t>Oprava strechy ZŠ Kluberta</t>
  </si>
  <si>
    <t>MŠ Levočské lúky - vykurovanie</t>
  </si>
  <si>
    <t>Pozemky Menhardská brána</t>
  </si>
  <si>
    <t>MPV cyklochodník</t>
  </si>
  <si>
    <t>Voľby</t>
  </si>
  <si>
    <t>Transfer na Technické služby</t>
  </si>
  <si>
    <t>MŠ Levočské Lúky - vykurovanie</t>
  </si>
  <si>
    <t>NMP č. 54 - divadlo, kotolňa</t>
  </si>
  <si>
    <t>zmena č.6</t>
  </si>
  <si>
    <t>vojnové hroby</t>
  </si>
  <si>
    <t>Vojnové hroby - dotácia</t>
  </si>
  <si>
    <t>ZŠ G. Haina - vybavenie ŠJ</t>
  </si>
  <si>
    <t>MPV ostatné</t>
  </si>
  <si>
    <t>Schválené na 24. zasadnutí MZ dňa 20.10.2016 uznesením č. 24/47</t>
  </si>
  <si>
    <t>Vyvesené: 03.10.2016</t>
  </si>
  <si>
    <t>Zvesené: 21.10.2016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</si>
</sst>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</numFmts>
  <fonts count="5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/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hair"/>
      <bottom style="medium"/>
    </border>
    <border>
      <left style="medium"/>
      <right style="double"/>
      <top style="double"/>
      <bottom style="hair"/>
    </border>
    <border>
      <left style="medium"/>
      <right>
        <color indexed="63"/>
      </right>
      <top style="double"/>
      <bottom/>
    </border>
    <border>
      <left/>
      <right/>
      <top/>
      <bottom style="hair"/>
    </border>
    <border>
      <left style="double"/>
      <right/>
      <top style="medium"/>
      <bottom/>
    </border>
    <border>
      <left style="double"/>
      <right style="medium"/>
      <top style="medium"/>
      <bottom/>
    </border>
    <border>
      <left style="medium"/>
      <right style="double"/>
      <top/>
      <bottom style="double"/>
    </border>
    <border>
      <left style="double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7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8" fillId="0" borderId="56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4" fontId="8" fillId="0" borderId="57" xfId="0" applyNumberFormat="1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4" fontId="9" fillId="0" borderId="58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0" fontId="9" fillId="0" borderId="59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right"/>
    </xf>
    <xf numFmtId="4" fontId="9" fillId="0" borderId="42" xfId="0" applyNumberFormat="1" applyFont="1" applyFill="1" applyBorder="1" applyAlignment="1">
      <alignment/>
    </xf>
    <xf numFmtId="0" fontId="9" fillId="0" borderId="58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0" fontId="9" fillId="0" borderId="60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0" fontId="9" fillId="0" borderId="58" xfId="0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9" fillId="0" borderId="62" xfId="0" applyFont="1" applyFill="1" applyBorder="1" applyAlignment="1">
      <alignment/>
    </xf>
    <xf numFmtId="0" fontId="9" fillId="0" borderId="63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14" fontId="8" fillId="0" borderId="3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/>
    </xf>
    <xf numFmtId="0" fontId="9" fillId="0" borderId="6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9" fillId="0" borderId="59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right"/>
    </xf>
    <xf numFmtId="0" fontId="9" fillId="0" borderId="66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left"/>
    </xf>
    <xf numFmtId="3" fontId="9" fillId="0" borderId="66" xfId="0" applyNumberFormat="1" applyFont="1" applyFill="1" applyBorder="1" applyAlignment="1">
      <alignment horizontal="right"/>
    </xf>
    <xf numFmtId="0" fontId="9" fillId="0" borderId="66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4" fontId="9" fillId="0" borderId="45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67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66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9" fontId="9" fillId="0" borderId="59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49" fontId="9" fillId="0" borderId="59" xfId="0" applyNumberFormat="1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left"/>
    </xf>
    <xf numFmtId="49" fontId="9" fillId="0" borderId="59" xfId="0" applyNumberFormat="1" applyFont="1" applyFill="1" applyBorder="1" applyAlignment="1">
      <alignment horizontal="right"/>
    </xf>
    <xf numFmtId="49" fontId="9" fillId="0" borderId="58" xfId="0" applyNumberFormat="1" applyFont="1" applyFill="1" applyBorder="1" applyAlignment="1">
      <alignment horizontal="left"/>
    </xf>
    <xf numFmtId="3" fontId="9" fillId="0" borderId="58" xfId="0" applyNumberFormat="1" applyFont="1" applyFill="1" applyBorder="1" applyAlignment="1">
      <alignment horizontal="left"/>
    </xf>
    <xf numFmtId="49" fontId="9" fillId="0" borderId="58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right"/>
    </xf>
    <xf numFmtId="3" fontId="9" fillId="0" borderId="69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right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9" fillId="0" borderId="66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3" fontId="9" fillId="0" borderId="59" xfId="0" applyNumberFormat="1" applyFont="1" applyFill="1" applyBorder="1" applyAlignment="1">
      <alignment/>
    </xf>
    <xf numFmtId="49" fontId="6" fillId="0" borderId="66" xfId="0" applyNumberFormat="1" applyFont="1" applyFill="1" applyBorder="1" applyAlignment="1">
      <alignment horizontal="center"/>
    </xf>
    <xf numFmtId="3" fontId="9" fillId="0" borderId="66" xfId="0" applyNumberFormat="1" applyFont="1" applyFill="1" applyBorder="1" applyAlignment="1">
      <alignment/>
    </xf>
    <xf numFmtId="0" fontId="9" fillId="0" borderId="66" xfId="0" applyFont="1" applyFill="1" applyBorder="1" applyAlignment="1">
      <alignment/>
    </xf>
    <xf numFmtId="49" fontId="6" fillId="0" borderId="5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16" fontId="8" fillId="0" borderId="31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0" fontId="8" fillId="0" borderId="31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3" fontId="9" fillId="0" borderId="74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76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77" xfId="0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8" xfId="0" applyFont="1" applyFill="1" applyBorder="1" applyAlignment="1">
      <alignment horizontal="right"/>
    </xf>
    <xf numFmtId="3" fontId="9" fillId="0" borderId="78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9" xfId="0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0" fontId="9" fillId="0" borderId="70" xfId="0" applyFont="1" applyFill="1" applyBorder="1" applyAlignment="1">
      <alignment/>
    </xf>
    <xf numFmtId="3" fontId="9" fillId="0" borderId="79" xfId="0" applyNumberFormat="1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79" xfId="0" applyFont="1" applyFill="1" applyBorder="1" applyAlignment="1">
      <alignment horizontal="right"/>
    </xf>
    <xf numFmtId="3" fontId="9" fillId="0" borderId="79" xfId="0" applyNumberFormat="1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left"/>
    </xf>
    <xf numFmtId="0" fontId="8" fillId="0" borderId="67" xfId="0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1" fontId="6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0" fillId="0" borderId="80" xfId="0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10" fillId="0" borderId="83" xfId="0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4" fontId="10" fillId="0" borderId="84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0" fontId="10" fillId="0" borderId="83" xfId="0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4" fontId="10" fillId="0" borderId="84" xfId="0" applyNumberFormat="1" applyFont="1" applyFill="1" applyBorder="1" applyAlignment="1">
      <alignment/>
    </xf>
    <xf numFmtId="0" fontId="16" fillId="0" borderId="75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0" fontId="10" fillId="0" borderId="0" xfId="0" applyFont="1" applyAlignment="1">
      <alignment/>
    </xf>
    <xf numFmtId="3" fontId="16" fillId="0" borderId="4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6" fillId="0" borderId="49" xfId="0" applyNumberFormat="1" applyFont="1" applyFill="1" applyBorder="1" applyAlignment="1">
      <alignment/>
    </xf>
    <xf numFmtId="3" fontId="16" fillId="0" borderId="88" xfId="0" applyNumberFormat="1" applyFont="1" applyFill="1" applyBorder="1" applyAlignment="1">
      <alignment/>
    </xf>
    <xf numFmtId="0" fontId="1" fillId="33" borderId="84" xfId="0" applyFont="1" applyFill="1" applyBorder="1" applyAlignment="1">
      <alignment vertical="center" wrapText="1"/>
    </xf>
    <xf numFmtId="3" fontId="8" fillId="34" borderId="19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/>
    </xf>
    <xf numFmtId="1" fontId="6" fillId="34" borderId="15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3" fontId="8" fillId="34" borderId="67" xfId="0" applyNumberFormat="1" applyFont="1" applyFill="1" applyBorder="1" applyAlignment="1">
      <alignment horizontal="left"/>
    </xf>
    <xf numFmtId="0" fontId="8" fillId="34" borderId="67" xfId="0" applyFont="1" applyFill="1" applyBorder="1" applyAlignment="1">
      <alignment horizontal="left"/>
    </xf>
    <xf numFmtId="0" fontId="8" fillId="34" borderId="67" xfId="0" applyFont="1" applyFill="1" applyBorder="1" applyAlignment="1">
      <alignment horizontal="right"/>
    </xf>
    <xf numFmtId="3" fontId="8" fillId="34" borderId="67" xfId="0" applyNumberFormat="1" applyFont="1" applyFill="1" applyBorder="1" applyAlignment="1">
      <alignment horizontal="right"/>
    </xf>
    <xf numFmtId="3" fontId="8" fillId="34" borderId="45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10" fillId="34" borderId="31" xfId="0" applyFont="1" applyFill="1" applyBorder="1" applyAlignment="1">
      <alignment/>
    </xf>
    <xf numFmtId="49" fontId="8" fillId="34" borderId="31" xfId="0" applyNumberFormat="1" applyFont="1" applyFill="1" applyBorder="1" applyAlignment="1">
      <alignment/>
    </xf>
    <xf numFmtId="49" fontId="8" fillId="34" borderId="31" xfId="0" applyNumberFormat="1" applyFont="1" applyFill="1" applyBorder="1" applyAlignment="1">
      <alignment/>
    </xf>
    <xf numFmtId="49" fontId="8" fillId="34" borderId="3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 horizontal="right"/>
    </xf>
    <xf numFmtId="3" fontId="8" fillId="34" borderId="34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1" fontId="6" fillId="34" borderId="34" xfId="0" applyNumberFormat="1" applyFont="1" applyFill="1" applyBorder="1" applyAlignment="1">
      <alignment/>
    </xf>
    <xf numFmtId="49" fontId="6" fillId="34" borderId="31" xfId="0" applyNumberFormat="1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0" fontId="6" fillId="0" borderId="89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90" xfId="0" applyFont="1" applyFill="1" applyBorder="1" applyAlignment="1">
      <alignment horizontal="center" vertical="center" wrapText="1"/>
    </xf>
    <xf numFmtId="0" fontId="20" fillId="33" borderId="84" xfId="0" applyFont="1" applyFill="1" applyBorder="1" applyAlignment="1">
      <alignment vertical="center" wrapText="1"/>
    </xf>
    <xf numFmtId="3" fontId="0" fillId="0" borderId="42" xfId="0" applyNumberFormat="1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vertical="center" wrapText="1"/>
    </xf>
    <xf numFmtId="3" fontId="0" fillId="0" borderId="29" xfId="0" applyNumberFormat="1" applyFill="1" applyBorder="1" applyAlignment="1">
      <alignment/>
    </xf>
    <xf numFmtId="3" fontId="0" fillId="0" borderId="93" xfId="0" applyNumberFormat="1" applyBorder="1" applyAlignment="1">
      <alignment/>
    </xf>
    <xf numFmtId="0" fontId="0" fillId="0" borderId="94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16" fillId="0" borderId="49" xfId="0" applyNumberFormat="1" applyFont="1" applyBorder="1" applyAlignment="1">
      <alignment/>
    </xf>
    <xf numFmtId="4" fontId="8" fillId="0" borderId="48" xfId="0" applyNumberFormat="1" applyFont="1" applyFill="1" applyBorder="1" applyAlignment="1">
      <alignment/>
    </xf>
    <xf numFmtId="3" fontId="0" fillId="0" borderId="95" xfId="0" applyNumberForma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96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3" fontId="6" fillId="0" borderId="45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/>
    </xf>
    <xf numFmtId="3" fontId="7" fillId="0" borderId="5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34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3" fontId="8" fillId="0" borderId="20" xfId="0" applyNumberFormat="1" applyFont="1" applyFill="1" applyBorder="1" applyAlignment="1">
      <alignment horizontal="right"/>
    </xf>
    <xf numFmtId="3" fontId="0" fillId="0" borderId="46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4" fontId="9" fillId="0" borderId="59" xfId="0" applyNumberFormat="1" applyFont="1" applyFill="1" applyBorder="1" applyAlignment="1">
      <alignment vertical="center"/>
    </xf>
    <xf numFmtId="4" fontId="9" fillId="0" borderId="58" xfId="0" applyNumberFormat="1" applyFont="1" applyFill="1" applyBorder="1" applyAlignment="1">
      <alignment vertical="center"/>
    </xf>
    <xf numFmtId="4" fontId="9" fillId="0" borderId="33" xfId="0" applyNumberFormat="1" applyFont="1" applyFill="1" applyBorder="1" applyAlignment="1">
      <alignment vertical="center"/>
    </xf>
    <xf numFmtId="4" fontId="9" fillId="0" borderId="59" xfId="0" applyNumberFormat="1" applyFont="1" applyFill="1" applyBorder="1" applyAlignment="1">
      <alignment/>
    </xf>
    <xf numFmtId="4" fontId="9" fillId="0" borderId="58" xfId="0" applyNumberFormat="1" applyFont="1" applyFill="1" applyBorder="1" applyAlignment="1">
      <alignment/>
    </xf>
    <xf numFmtId="4" fontId="9" fillId="0" borderId="79" xfId="0" applyNumberFormat="1" applyFont="1" applyFill="1" applyBorder="1" applyAlignment="1">
      <alignment/>
    </xf>
    <xf numFmtId="4" fontId="9" fillId="0" borderId="59" xfId="0" applyNumberFormat="1" applyFont="1" applyFill="1" applyBorder="1" applyAlignment="1">
      <alignment/>
    </xf>
    <xf numFmtId="4" fontId="9" fillId="0" borderId="68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71" xfId="0" applyNumberFormat="1" applyFont="1" applyFill="1" applyBorder="1" applyAlignment="1">
      <alignment horizontal="right"/>
    </xf>
    <xf numFmtId="4" fontId="9" fillId="0" borderId="97" xfId="0" applyNumberFormat="1" applyFont="1" applyFill="1" applyBorder="1" applyAlignment="1">
      <alignment horizontal="right"/>
    </xf>
    <xf numFmtId="4" fontId="9" fillId="0" borderId="67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29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66" xfId="0" applyNumberFormat="1" applyFont="1" applyFill="1" applyBorder="1" applyAlignment="1">
      <alignment/>
    </xf>
    <xf numFmtId="4" fontId="9" fillId="0" borderId="67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9" fillId="0" borderId="74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4" fontId="0" fillId="0" borderId="40" xfId="0" applyNumberFormat="1" applyFont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42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14" fillId="0" borderId="42" xfId="0" applyNumberFormat="1" applyFont="1" applyFill="1" applyBorder="1" applyAlignment="1">
      <alignment/>
    </xf>
    <xf numFmtId="4" fontId="9" fillId="0" borderId="3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81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3" fontId="56" fillId="0" borderId="2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0" fillId="0" borderId="15" xfId="0" applyNumberFormat="1" applyFont="1" applyBorder="1" applyAlignment="1">
      <alignment vertical="center"/>
    </xf>
    <xf numFmtId="3" fontId="9" fillId="0" borderId="27" xfId="0" applyNumberFormat="1" applyFont="1" applyFill="1" applyBorder="1" applyAlignment="1">
      <alignment/>
    </xf>
    <xf numFmtId="0" fontId="6" fillId="0" borderId="8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9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6" fillId="0" borderId="93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9" fillId="0" borderId="99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6" fillId="0" borderId="103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left"/>
    </xf>
    <xf numFmtId="16" fontId="6" fillId="0" borderId="89" xfId="0" applyNumberFormat="1" applyFont="1" applyFill="1" applyBorder="1" applyAlignment="1">
      <alignment horizontal="left"/>
    </xf>
    <xf numFmtId="49" fontId="6" fillId="0" borderId="99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99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" fontId="8" fillId="0" borderId="99" xfId="0" applyNumberFormat="1" applyFont="1" applyFill="1" applyBorder="1" applyAlignment="1">
      <alignment horizontal="center"/>
    </xf>
    <xf numFmtId="16" fontId="8" fillId="0" borderId="35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49" fontId="8" fillId="0" borderId="99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8" fillId="0" borderId="6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6" fillId="0" borderId="41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1" xfId="0" applyNumberFormat="1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left" vertical="center" wrapText="1"/>
    </xf>
    <xf numFmtId="0" fontId="8" fillId="0" borderId="104" xfId="0" applyFont="1" applyFill="1" applyBorder="1" applyAlignment="1">
      <alignment horizontal="left" vertical="center" wrapText="1"/>
    </xf>
    <xf numFmtId="16" fontId="6" fillId="0" borderId="103" xfId="0" applyNumberFormat="1" applyFont="1" applyFill="1" applyBorder="1" applyAlignment="1">
      <alignment horizontal="center" vertical="center" wrapText="1"/>
    </xf>
    <xf numFmtId="16" fontId="6" fillId="0" borderId="91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15" xfId="0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83" fontId="6" fillId="0" borderId="14" xfId="0" applyNumberFormat="1" applyFont="1" applyFill="1" applyBorder="1" applyAlignment="1">
      <alignment horizontal="center"/>
    </xf>
    <xf numFmtId="183" fontId="6" fillId="0" borderId="19" xfId="0" applyNumberFormat="1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11" fillId="0" borderId="93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16" fontId="6" fillId="0" borderId="57" xfId="0" applyNumberFormat="1" applyFont="1" applyFill="1" applyBorder="1" applyAlignment="1">
      <alignment horizontal="center" vertical="center" wrapText="1"/>
    </xf>
    <xf numFmtId="16" fontId="6" fillId="0" borderId="90" xfId="0" applyNumberFormat="1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01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left"/>
    </xf>
    <xf numFmtId="0" fontId="6" fillId="0" borderId="88" xfId="0" applyFont="1" applyFill="1" applyBorder="1" applyAlignment="1">
      <alignment horizontal="left"/>
    </xf>
    <xf numFmtId="0" fontId="6" fillId="0" borderId="76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86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101" xfId="0" applyNumberFormat="1" applyFont="1" applyFill="1" applyBorder="1" applyAlignment="1">
      <alignment horizontal="center" vertical="center" wrapText="1"/>
    </xf>
    <xf numFmtId="16" fontId="5" fillId="0" borderId="57" xfId="0" applyNumberFormat="1" applyFont="1" applyFill="1" applyBorder="1" applyAlignment="1">
      <alignment horizontal="center" vertical="center" wrapText="1"/>
    </xf>
    <xf numFmtId="16" fontId="5" fillId="0" borderId="9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0" fillId="0" borderId="89" xfId="0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11" fillId="0" borderId="44" xfId="0" applyFont="1" applyFill="1" applyBorder="1" applyAlignment="1">
      <alignment horizontal="center" vertical="center" wrapText="1"/>
    </xf>
    <xf numFmtId="3" fontId="10" fillId="0" borderId="108" xfId="0" applyNumberFormat="1" applyFont="1" applyFill="1" applyBorder="1" applyAlignment="1">
      <alignment horizontal="center" vertical="center"/>
    </xf>
    <xf numFmtId="3" fontId="10" fillId="0" borderId="109" xfId="0" applyNumberFormat="1" applyFont="1" applyFill="1" applyBorder="1" applyAlignment="1">
      <alignment horizontal="center" vertical="center"/>
    </xf>
    <xf numFmtId="3" fontId="10" fillId="0" borderId="110" xfId="0" applyNumberFormat="1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/>
    </xf>
    <xf numFmtId="3" fontId="16" fillId="0" borderId="88" xfId="0" applyNumberFormat="1" applyFont="1" applyFill="1" applyBorder="1" applyAlignment="1">
      <alignment horizontal="center"/>
    </xf>
    <xf numFmtId="3" fontId="16" fillId="0" borderId="76" xfId="0" applyNumberFormat="1" applyFont="1" applyFill="1" applyBorder="1" applyAlignment="1">
      <alignment horizontal="center"/>
    </xf>
    <xf numFmtId="0" fontId="16" fillId="0" borderId="106" xfId="0" applyFont="1" applyFill="1" applyBorder="1" applyAlignment="1">
      <alignment horizontal="left" vertical="center"/>
    </xf>
    <xf numFmtId="0" fontId="16" fillId="0" borderId="105" xfId="0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/>
    </xf>
    <xf numFmtId="0" fontId="16" fillId="0" borderId="111" xfId="0" applyFont="1" applyFill="1" applyBorder="1" applyAlignment="1">
      <alignment horizontal="left" vertical="center"/>
    </xf>
    <xf numFmtId="0" fontId="16" fillId="0" borderId="89" xfId="0" applyFont="1" applyFill="1" applyBorder="1" applyAlignment="1">
      <alignment horizontal="left" vertical="center"/>
    </xf>
    <xf numFmtId="0" fontId="16" fillId="0" borderId="112" xfId="0" applyFont="1" applyFill="1" applyBorder="1" applyAlignment="1">
      <alignment horizontal="left" vertical="center"/>
    </xf>
    <xf numFmtId="3" fontId="0" fillId="0" borderId="113" xfId="0" applyNumberFormat="1" applyFill="1" applyBorder="1" applyAlignment="1">
      <alignment horizontal="center"/>
    </xf>
    <xf numFmtId="3" fontId="0" fillId="0" borderId="114" xfId="0" applyNumberFormat="1" applyFill="1" applyBorder="1" applyAlignment="1">
      <alignment horizontal="center"/>
    </xf>
    <xf numFmtId="0" fontId="1" fillId="33" borderId="87" xfId="0" applyFont="1" applyFill="1" applyBorder="1" applyAlignment="1">
      <alignment horizontal="center" vertical="center" wrapText="1"/>
    </xf>
    <xf numFmtId="0" fontId="1" fillId="33" borderId="8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49" fontId="13" fillId="33" borderId="56" xfId="0" applyNumberFormat="1" applyFont="1" applyFill="1" applyBorder="1" applyAlignment="1">
      <alignment horizontal="center" vertical="center" wrapText="1"/>
    </xf>
    <xf numFmtId="49" fontId="13" fillId="33" borderId="101" xfId="0" applyNumberFormat="1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left"/>
    </xf>
    <xf numFmtId="0" fontId="7" fillId="33" borderId="48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16" fontId="6" fillId="33" borderId="57" xfId="0" applyNumberFormat="1" applyFont="1" applyFill="1" applyBorder="1" applyAlignment="1">
      <alignment horizontal="center" vertical="center" wrapText="1"/>
    </xf>
    <xf numFmtId="16" fontId="6" fillId="33" borderId="9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 vertical="center" wrapText="1"/>
    </xf>
    <xf numFmtId="0" fontId="6" fillId="33" borderId="9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11"/>
  <sheetViews>
    <sheetView zoomScalePageLayoutView="0" workbookViewId="0" topLeftCell="A27">
      <selection activeCell="P111" sqref="P111"/>
    </sheetView>
  </sheetViews>
  <sheetFormatPr defaultColWidth="9.140625" defaultRowHeight="12.75"/>
  <cols>
    <col min="1" max="2" width="9.28125" style="488" bestFit="1" customWidth="1"/>
    <col min="3" max="3" width="39.7109375" style="488" customWidth="1"/>
    <col min="4" max="11" width="12.7109375" style="488" hidden="1" customWidth="1"/>
    <col min="12" max="12" width="11.7109375" style="488" hidden="1" customWidth="1"/>
    <col min="13" max="13" width="16.00390625" style="488" customWidth="1"/>
    <col min="14" max="14" width="12.57421875" style="488" customWidth="1"/>
    <col min="15" max="15" width="11.28125" style="488" customWidth="1"/>
    <col min="16" max="16" width="12.57421875" style="488" customWidth="1"/>
    <col min="17" max="17" width="9.140625" style="488" customWidth="1"/>
    <col min="18" max="18" width="10.140625" style="488" bestFit="1" customWidth="1"/>
    <col min="19" max="16384" width="9.140625" style="488" customWidth="1"/>
  </cols>
  <sheetData>
    <row r="1" spans="1:16" ht="12.75">
      <c r="A1" s="654" t="s">
        <v>14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</row>
    <row r="2" spans="1:16" ht="13.5" thickBot="1">
      <c r="A2" s="653" t="s">
        <v>15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</row>
    <row r="3" spans="1:16" ht="16.5" customHeight="1" thickBot="1" thickTop="1">
      <c r="A3" s="679" t="s">
        <v>198</v>
      </c>
      <c r="B3" s="681" t="s">
        <v>199</v>
      </c>
      <c r="C3" s="677" t="s">
        <v>200</v>
      </c>
      <c r="D3" s="677" t="s">
        <v>201</v>
      </c>
      <c r="E3" s="677" t="s">
        <v>202</v>
      </c>
      <c r="F3" s="677" t="s">
        <v>203</v>
      </c>
      <c r="G3" s="677" t="s">
        <v>204</v>
      </c>
      <c r="H3" s="677" t="s">
        <v>205</v>
      </c>
      <c r="I3" s="677" t="s">
        <v>206</v>
      </c>
      <c r="J3" s="677" t="s">
        <v>207</v>
      </c>
      <c r="K3" s="677" t="s">
        <v>208</v>
      </c>
      <c r="L3" s="677" t="s">
        <v>209</v>
      </c>
      <c r="M3" s="701" t="s">
        <v>434</v>
      </c>
      <c r="N3" s="677" t="s">
        <v>413</v>
      </c>
      <c r="O3" s="534" t="s">
        <v>445</v>
      </c>
      <c r="P3" s="671" t="s">
        <v>412</v>
      </c>
    </row>
    <row r="4" spans="1:16" ht="25.5" customHeight="1" thickBot="1">
      <c r="A4" s="680"/>
      <c r="B4" s="682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702"/>
      <c r="N4" s="678"/>
      <c r="O4" s="531" t="s">
        <v>210</v>
      </c>
      <c r="P4" s="672"/>
    </row>
    <row r="5" spans="1:19" ht="17.25" thickBot="1" thickTop="1">
      <c r="A5" s="2">
        <v>100</v>
      </c>
      <c r="B5" s="697" t="s">
        <v>211</v>
      </c>
      <c r="C5" s="698"/>
      <c r="D5" s="3">
        <f aca="true" t="shared" si="0" ref="D5:O5">D6+D12+D17</f>
        <v>4005975</v>
      </c>
      <c r="E5" s="3">
        <f t="shared" si="0"/>
        <v>4409049</v>
      </c>
      <c r="F5" s="3">
        <f t="shared" si="0"/>
        <v>5183529</v>
      </c>
      <c r="G5" s="3">
        <f t="shared" si="0"/>
        <v>5169506</v>
      </c>
      <c r="H5" s="3">
        <f t="shared" si="0"/>
        <v>4342169</v>
      </c>
      <c r="I5" s="3">
        <f t="shared" si="0"/>
        <v>4854565</v>
      </c>
      <c r="J5" s="3">
        <f t="shared" si="0"/>
        <v>5209041</v>
      </c>
      <c r="K5" s="3">
        <f t="shared" si="0"/>
        <v>4997011</v>
      </c>
      <c r="L5" s="3">
        <f t="shared" si="0"/>
        <v>5140983.68</v>
      </c>
      <c r="M5" s="597">
        <f t="shared" si="0"/>
        <v>5807550.21</v>
      </c>
      <c r="N5" s="461">
        <f t="shared" si="0"/>
        <v>6153301</v>
      </c>
      <c r="O5" s="461">
        <f t="shared" si="0"/>
        <v>18697</v>
      </c>
      <c r="P5" s="473">
        <f>P6+P12+P17</f>
        <v>6171998</v>
      </c>
      <c r="R5" s="489"/>
      <c r="S5" s="489"/>
    </row>
    <row r="6" spans="1:19" ht="15.75" thickBot="1">
      <c r="A6" s="4">
        <v>110</v>
      </c>
      <c r="B6" s="669" t="s">
        <v>212</v>
      </c>
      <c r="C6" s="686"/>
      <c r="D6" s="6">
        <f>D7</f>
        <v>3340935</v>
      </c>
      <c r="E6" s="6">
        <f>E7</f>
        <v>3718815</v>
      </c>
      <c r="F6" s="6">
        <f>F7</f>
        <v>4552845</v>
      </c>
      <c r="G6" s="6">
        <f>G7</f>
        <v>4537123</v>
      </c>
      <c r="H6" s="6">
        <f>H7</f>
        <v>3726916</v>
      </c>
      <c r="I6" s="6">
        <f aca="true" t="shared" si="1" ref="I6:P6">I7</f>
        <v>4195159</v>
      </c>
      <c r="J6" s="6">
        <f t="shared" si="1"/>
        <v>4432132</v>
      </c>
      <c r="K6" s="6">
        <f t="shared" si="1"/>
        <v>4175784</v>
      </c>
      <c r="L6" s="6">
        <f t="shared" si="1"/>
        <v>4401458.42</v>
      </c>
      <c r="M6" s="598">
        <f t="shared" si="1"/>
        <v>5016805.1</v>
      </c>
      <c r="N6" s="462">
        <f t="shared" si="1"/>
        <v>5254236</v>
      </c>
      <c r="O6" s="462">
        <f t="shared" si="1"/>
        <v>17996</v>
      </c>
      <c r="P6" s="546">
        <f t="shared" si="1"/>
        <v>5272232</v>
      </c>
      <c r="R6" s="550"/>
      <c r="S6" s="489"/>
    </row>
    <row r="7" spans="1:19" ht="13.5" thickBot="1">
      <c r="A7" s="691"/>
      <c r="B7" s="694"/>
      <c r="C7" s="444" t="s">
        <v>213</v>
      </c>
      <c r="D7" s="8">
        <v>3340935</v>
      </c>
      <c r="E7" s="8">
        <v>3718815</v>
      </c>
      <c r="F7" s="8">
        <v>4552845</v>
      </c>
      <c r="G7" s="8">
        <v>4537123</v>
      </c>
      <c r="H7" s="8">
        <v>3726916</v>
      </c>
      <c r="I7" s="9">
        <v>4195159</v>
      </c>
      <c r="J7" s="9">
        <v>4432132</v>
      </c>
      <c r="K7" s="10">
        <v>4175784</v>
      </c>
      <c r="L7" s="10">
        <v>4401458.42</v>
      </c>
      <c r="M7" s="248">
        <v>5016805.1</v>
      </c>
      <c r="N7" s="11">
        <v>5254236</v>
      </c>
      <c r="O7" s="650">
        <f>3086+11535+2200+1175</f>
        <v>17996</v>
      </c>
      <c r="P7" s="588">
        <f>N7+O7</f>
        <v>5272232</v>
      </c>
      <c r="S7" s="489"/>
    </row>
    <row r="8" spans="1:19" ht="13.5" hidden="1" thickBot="1">
      <c r="A8" s="692"/>
      <c r="B8" s="695"/>
      <c r="C8" s="131" t="s">
        <v>62</v>
      </c>
      <c r="D8" s="131"/>
      <c r="E8" s="131"/>
      <c r="F8" s="131"/>
      <c r="G8" s="131"/>
      <c r="H8" s="131"/>
      <c r="I8" s="87"/>
      <c r="J8" s="87"/>
      <c r="K8" s="144"/>
      <c r="L8" s="144"/>
      <c r="M8" s="204"/>
      <c r="N8" s="94">
        <v>1224849</v>
      </c>
      <c r="O8" s="490"/>
      <c r="P8" s="551"/>
      <c r="S8" s="489"/>
    </row>
    <row r="9" spans="1:19" ht="13.5" hidden="1" thickBot="1">
      <c r="A9" s="692"/>
      <c r="B9" s="695"/>
      <c r="C9" s="23" t="s">
        <v>210</v>
      </c>
      <c r="D9" s="23"/>
      <c r="E9" s="23"/>
      <c r="F9" s="23"/>
      <c r="G9" s="23"/>
      <c r="H9" s="23"/>
      <c r="I9" s="91"/>
      <c r="J9" s="91"/>
      <c r="K9" s="24"/>
      <c r="L9" s="24"/>
      <c r="M9" s="206"/>
      <c r="N9" s="25">
        <v>1208562</v>
      </c>
      <c r="O9" s="491"/>
      <c r="P9" s="495"/>
      <c r="Q9" s="489"/>
      <c r="S9" s="489"/>
    </row>
    <row r="10" spans="1:19" ht="13.5" hidden="1" thickBot="1">
      <c r="A10" s="692"/>
      <c r="B10" s="695"/>
      <c r="C10" s="23" t="s">
        <v>68</v>
      </c>
      <c r="D10" s="23"/>
      <c r="E10" s="23"/>
      <c r="F10" s="23"/>
      <c r="G10" s="23"/>
      <c r="H10" s="23"/>
      <c r="I10" s="91"/>
      <c r="J10" s="91"/>
      <c r="K10" s="24"/>
      <c r="L10" s="24"/>
      <c r="M10" s="206"/>
      <c r="N10" s="25">
        <v>2613670</v>
      </c>
      <c r="O10" s="491"/>
      <c r="P10" s="495"/>
      <c r="S10" s="489"/>
    </row>
    <row r="11" spans="1:19" ht="13.5" hidden="1" thickBot="1">
      <c r="A11" s="693"/>
      <c r="B11" s="696"/>
      <c r="C11" s="27" t="s">
        <v>56</v>
      </c>
      <c r="D11" s="27"/>
      <c r="E11" s="27"/>
      <c r="F11" s="27"/>
      <c r="G11" s="27"/>
      <c r="H11" s="27"/>
      <c r="I11" s="279"/>
      <c r="J11" s="279"/>
      <c r="K11" s="280"/>
      <c r="L11" s="280"/>
      <c r="M11" s="256"/>
      <c r="N11" s="47">
        <v>170486</v>
      </c>
      <c r="O11" s="492"/>
      <c r="P11" s="552"/>
      <c r="S11" s="489"/>
    </row>
    <row r="12" spans="1:16" ht="15.75" thickBot="1">
      <c r="A12" s="31">
        <v>120</v>
      </c>
      <c r="B12" s="675" t="s">
        <v>214</v>
      </c>
      <c r="C12" s="676"/>
      <c r="D12" s="13">
        <f>D13</f>
        <v>295824</v>
      </c>
      <c r="E12" s="13">
        <f>E13</f>
        <v>311093</v>
      </c>
      <c r="F12" s="13">
        <f>F13</f>
        <v>361216</v>
      </c>
      <c r="G12" s="13">
        <f>G13</f>
        <v>341843</v>
      </c>
      <c r="H12" s="13">
        <v>316587</v>
      </c>
      <c r="I12" s="13">
        <f aca="true" t="shared" si="2" ref="I12:P12">I13</f>
        <v>360438</v>
      </c>
      <c r="J12" s="13">
        <f t="shared" si="2"/>
        <v>460690</v>
      </c>
      <c r="K12" s="13">
        <f t="shared" si="2"/>
        <v>388905</v>
      </c>
      <c r="L12" s="13">
        <f t="shared" si="2"/>
        <v>335641.24</v>
      </c>
      <c r="M12" s="250">
        <f t="shared" si="2"/>
        <v>396789.44</v>
      </c>
      <c r="N12" s="463">
        <f t="shared" si="2"/>
        <v>489000</v>
      </c>
      <c r="O12" s="463">
        <f t="shared" si="2"/>
        <v>0</v>
      </c>
      <c r="P12" s="484">
        <f t="shared" si="2"/>
        <v>489000</v>
      </c>
    </row>
    <row r="13" spans="1:19" ht="13.5" thickBot="1">
      <c r="A13" s="655"/>
      <c r="B13" s="7">
        <v>121</v>
      </c>
      <c r="C13" s="14" t="s">
        <v>215</v>
      </c>
      <c r="D13" s="14">
        <v>295824</v>
      </c>
      <c r="E13" s="14">
        <v>311093</v>
      </c>
      <c r="F13" s="14">
        <v>361216</v>
      </c>
      <c r="G13" s="14">
        <v>341843</v>
      </c>
      <c r="H13" s="14">
        <v>316587</v>
      </c>
      <c r="I13" s="15">
        <f aca="true" t="shared" si="3" ref="I13:N13">SUM(I14:I16)</f>
        <v>360438</v>
      </c>
      <c r="J13" s="15">
        <f t="shared" si="3"/>
        <v>460690</v>
      </c>
      <c r="K13" s="15">
        <f t="shared" si="3"/>
        <v>388905</v>
      </c>
      <c r="L13" s="15">
        <f t="shared" si="3"/>
        <v>335641.24</v>
      </c>
      <c r="M13" s="150">
        <f t="shared" si="3"/>
        <v>396789.44</v>
      </c>
      <c r="N13" s="467">
        <f t="shared" si="3"/>
        <v>489000</v>
      </c>
      <c r="O13" s="467">
        <f>SUM(O14:O16)</f>
        <v>0</v>
      </c>
      <c r="P13" s="16">
        <f>SUM(P14:P16)</f>
        <v>489000</v>
      </c>
      <c r="S13" s="489"/>
    </row>
    <row r="14" spans="1:20" ht="12.75">
      <c r="A14" s="656"/>
      <c r="B14" s="663"/>
      <c r="C14" s="18" t="s">
        <v>216</v>
      </c>
      <c r="D14" s="19"/>
      <c r="E14" s="19"/>
      <c r="F14" s="19"/>
      <c r="G14" s="19"/>
      <c r="H14" s="19">
        <v>51780</v>
      </c>
      <c r="I14" s="19">
        <v>67186</v>
      </c>
      <c r="J14" s="20">
        <v>71840</v>
      </c>
      <c r="K14" s="20">
        <v>90890</v>
      </c>
      <c r="L14" s="20">
        <v>64647.11</v>
      </c>
      <c r="M14" s="119">
        <v>92446.08</v>
      </c>
      <c r="N14" s="21">
        <v>105000</v>
      </c>
      <c r="O14" s="490"/>
      <c r="P14" s="551">
        <f>N14+O14</f>
        <v>105000</v>
      </c>
      <c r="S14" s="489"/>
      <c r="T14" s="489"/>
    </row>
    <row r="15" spans="1:19" ht="12.75">
      <c r="A15" s="656"/>
      <c r="B15" s="664"/>
      <c r="C15" s="23" t="s">
        <v>217</v>
      </c>
      <c r="D15" s="23"/>
      <c r="E15" s="23"/>
      <c r="F15" s="23"/>
      <c r="G15" s="23"/>
      <c r="H15" s="23">
        <v>234536</v>
      </c>
      <c r="I15" s="23">
        <v>264067</v>
      </c>
      <c r="J15" s="24">
        <v>359760</v>
      </c>
      <c r="K15" s="24">
        <v>267120</v>
      </c>
      <c r="L15" s="24">
        <v>239509.09</v>
      </c>
      <c r="M15" s="206">
        <v>271513.31</v>
      </c>
      <c r="N15" s="25">
        <v>350000</v>
      </c>
      <c r="O15" s="491"/>
      <c r="P15" s="495">
        <f>N15+O15</f>
        <v>350000</v>
      </c>
      <c r="S15" s="489"/>
    </row>
    <row r="16" spans="1:19" ht="13.5" thickBot="1">
      <c r="A16" s="657"/>
      <c r="B16" s="665"/>
      <c r="C16" s="27" t="s">
        <v>218</v>
      </c>
      <c r="D16" s="27"/>
      <c r="E16" s="27"/>
      <c r="F16" s="27"/>
      <c r="G16" s="27"/>
      <c r="H16" s="27">
        <v>30271</v>
      </c>
      <c r="I16" s="27">
        <v>29185</v>
      </c>
      <c r="J16" s="28">
        <v>29090</v>
      </c>
      <c r="K16" s="28">
        <v>30895</v>
      </c>
      <c r="L16" s="28">
        <v>31485.04</v>
      </c>
      <c r="M16" s="224">
        <v>32830.05</v>
      </c>
      <c r="N16" s="29">
        <v>34000</v>
      </c>
      <c r="O16" s="492"/>
      <c r="P16" s="552">
        <f>N16+O16</f>
        <v>34000</v>
      </c>
      <c r="S16" s="489"/>
    </row>
    <row r="17" spans="1:19" ht="15.75" thickBot="1">
      <c r="A17" s="31">
        <v>130</v>
      </c>
      <c r="B17" s="675" t="s">
        <v>219</v>
      </c>
      <c r="C17" s="676"/>
      <c r="D17" s="13">
        <f>D18</f>
        <v>369216</v>
      </c>
      <c r="E17" s="13">
        <f>E18</f>
        <v>379141</v>
      </c>
      <c r="F17" s="13">
        <f>F18</f>
        <v>269468</v>
      </c>
      <c r="G17" s="13">
        <f>G18</f>
        <v>290540</v>
      </c>
      <c r="H17" s="13">
        <f>H18</f>
        <v>298666</v>
      </c>
      <c r="I17" s="13">
        <f aca="true" t="shared" si="4" ref="I17:P17">I18</f>
        <v>298968</v>
      </c>
      <c r="J17" s="13">
        <f t="shared" si="4"/>
        <v>316219</v>
      </c>
      <c r="K17" s="13">
        <f t="shared" si="4"/>
        <v>432322</v>
      </c>
      <c r="L17" s="13">
        <f t="shared" si="4"/>
        <v>403884.02</v>
      </c>
      <c r="M17" s="250">
        <f t="shared" si="4"/>
        <v>393955.67</v>
      </c>
      <c r="N17" s="463">
        <f t="shared" si="4"/>
        <v>410065</v>
      </c>
      <c r="O17" s="463">
        <f t="shared" si="4"/>
        <v>701</v>
      </c>
      <c r="P17" s="484">
        <f t="shared" si="4"/>
        <v>410766</v>
      </c>
      <c r="S17" s="489"/>
    </row>
    <row r="18" spans="1:19" ht="13.5" thickBot="1">
      <c r="A18" s="658"/>
      <c r="B18" s="32">
        <v>133</v>
      </c>
      <c r="C18" s="33" t="s">
        <v>220</v>
      </c>
      <c r="D18" s="34">
        <v>369216</v>
      </c>
      <c r="E18" s="34">
        <v>379141</v>
      </c>
      <c r="F18" s="34">
        <v>269468</v>
      </c>
      <c r="G18" s="34">
        <v>290540</v>
      </c>
      <c r="H18" s="35">
        <f aca="true" t="shared" si="5" ref="H18:M18">SUM(H19:H25)</f>
        <v>298666</v>
      </c>
      <c r="I18" s="35">
        <f t="shared" si="5"/>
        <v>298968</v>
      </c>
      <c r="J18" s="36">
        <f t="shared" si="5"/>
        <v>316219</v>
      </c>
      <c r="K18" s="36">
        <f t="shared" si="5"/>
        <v>432322</v>
      </c>
      <c r="L18" s="36">
        <f>SUM(L19:L25)</f>
        <v>403884.02</v>
      </c>
      <c r="M18" s="328">
        <f t="shared" si="5"/>
        <v>393955.67</v>
      </c>
      <c r="N18" s="130">
        <f>SUM(N19:N25)</f>
        <v>410065</v>
      </c>
      <c r="O18" s="130">
        <f>SUM(O19:O25)</f>
        <v>701</v>
      </c>
      <c r="P18" s="37">
        <f>SUM(P19:P25)</f>
        <v>410766</v>
      </c>
      <c r="S18" s="489"/>
    </row>
    <row r="19" spans="1:19" ht="12.75">
      <c r="A19" s="661"/>
      <c r="B19" s="666"/>
      <c r="C19" s="40" t="s">
        <v>221</v>
      </c>
      <c r="D19" s="40"/>
      <c r="E19" s="40"/>
      <c r="F19" s="40"/>
      <c r="G19" s="40"/>
      <c r="H19" s="40">
        <v>7752</v>
      </c>
      <c r="I19" s="41">
        <v>7713</v>
      </c>
      <c r="J19" s="21">
        <v>7990</v>
      </c>
      <c r="K19" s="21">
        <v>9276</v>
      </c>
      <c r="L19" s="21">
        <v>9178.11</v>
      </c>
      <c r="M19" s="119">
        <v>9228.06</v>
      </c>
      <c r="N19" s="21">
        <v>11000</v>
      </c>
      <c r="O19" s="490"/>
      <c r="P19" s="551">
        <f aca="true" t="shared" si="6" ref="P19:P25">N19+O19</f>
        <v>11000</v>
      </c>
      <c r="Q19" s="489"/>
      <c r="S19" s="489"/>
    </row>
    <row r="20" spans="1:19" ht="12.75">
      <c r="A20" s="661"/>
      <c r="B20" s="667"/>
      <c r="C20" s="42" t="s">
        <v>222</v>
      </c>
      <c r="D20" s="42"/>
      <c r="E20" s="42"/>
      <c r="F20" s="42"/>
      <c r="G20" s="42"/>
      <c r="H20" s="42">
        <v>532</v>
      </c>
      <c r="I20" s="43">
        <v>732</v>
      </c>
      <c r="J20" s="25">
        <v>732</v>
      </c>
      <c r="K20" s="25">
        <v>749</v>
      </c>
      <c r="L20" s="25">
        <v>300</v>
      </c>
      <c r="M20" s="206">
        <v>300</v>
      </c>
      <c r="N20" s="25">
        <v>300</v>
      </c>
      <c r="O20" s="491"/>
      <c r="P20" s="495">
        <f t="shared" si="6"/>
        <v>300</v>
      </c>
      <c r="S20" s="489"/>
    </row>
    <row r="21" spans="1:19" ht="12.75">
      <c r="A21" s="661"/>
      <c r="B21" s="667"/>
      <c r="C21" s="42" t="s">
        <v>223</v>
      </c>
      <c r="D21" s="42"/>
      <c r="E21" s="42"/>
      <c r="F21" s="42"/>
      <c r="G21" s="42"/>
      <c r="H21" s="42">
        <v>700</v>
      </c>
      <c r="I21" s="43">
        <v>750</v>
      </c>
      <c r="J21" s="25">
        <v>750</v>
      </c>
      <c r="K21" s="25">
        <v>725</v>
      </c>
      <c r="L21" s="25">
        <v>650</v>
      </c>
      <c r="M21" s="206">
        <v>679.15</v>
      </c>
      <c r="N21" s="25">
        <v>650</v>
      </c>
      <c r="O21" s="491"/>
      <c r="P21" s="495">
        <f t="shared" si="6"/>
        <v>650</v>
      </c>
      <c r="S21" s="489"/>
    </row>
    <row r="22" spans="1:19" ht="12.75">
      <c r="A22" s="661"/>
      <c r="B22" s="667"/>
      <c r="C22" s="42" t="s">
        <v>224</v>
      </c>
      <c r="D22" s="42"/>
      <c r="E22" s="42"/>
      <c r="F22" s="42"/>
      <c r="G22" s="42"/>
      <c r="H22" s="42">
        <v>12441</v>
      </c>
      <c r="I22" s="43">
        <v>12101</v>
      </c>
      <c r="J22" s="25">
        <v>14430</v>
      </c>
      <c r="K22" s="25">
        <v>12793</v>
      </c>
      <c r="L22" s="25">
        <v>13503.5</v>
      </c>
      <c r="M22" s="206">
        <v>13052</v>
      </c>
      <c r="N22" s="25">
        <v>13504</v>
      </c>
      <c r="O22" s="491"/>
      <c r="P22" s="495">
        <f t="shared" si="6"/>
        <v>13504</v>
      </c>
      <c r="S22" s="489"/>
    </row>
    <row r="23" spans="1:19" ht="12.75">
      <c r="A23" s="661"/>
      <c r="B23" s="667"/>
      <c r="C23" s="42" t="s">
        <v>225</v>
      </c>
      <c r="D23" s="42"/>
      <c r="E23" s="42"/>
      <c r="F23" s="42"/>
      <c r="G23" s="42"/>
      <c r="H23" s="42">
        <v>28263</v>
      </c>
      <c r="I23" s="43">
        <v>29878</v>
      </c>
      <c r="J23" s="25">
        <v>31474</v>
      </c>
      <c r="K23" s="25">
        <v>37978</v>
      </c>
      <c r="L23" s="25">
        <v>32751.27</v>
      </c>
      <c r="M23" s="206">
        <v>29179.68</v>
      </c>
      <c r="N23" s="25">
        <v>28611</v>
      </c>
      <c r="O23" s="494">
        <v>701</v>
      </c>
      <c r="P23" s="495">
        <f t="shared" si="6"/>
        <v>29312</v>
      </c>
      <c r="S23" s="489"/>
    </row>
    <row r="24" spans="1:19" ht="12.75">
      <c r="A24" s="661"/>
      <c r="B24" s="667"/>
      <c r="C24" s="42" t="s">
        <v>226</v>
      </c>
      <c r="D24" s="42"/>
      <c r="E24" s="42"/>
      <c r="F24" s="42"/>
      <c r="G24" s="42"/>
      <c r="H24" s="42">
        <v>162034</v>
      </c>
      <c r="I24" s="43">
        <f>159378+2395</f>
        <v>161773</v>
      </c>
      <c r="J24" s="25">
        <v>174176</v>
      </c>
      <c r="K24" s="25">
        <f>265321+3376</f>
        <v>268697</v>
      </c>
      <c r="L24" s="25">
        <v>243006.26</v>
      </c>
      <c r="M24" s="206">
        <v>240323.78</v>
      </c>
      <c r="N24" s="25">
        <v>239000</v>
      </c>
      <c r="O24" s="491"/>
      <c r="P24" s="495">
        <f t="shared" si="6"/>
        <v>239000</v>
      </c>
      <c r="S24" s="489"/>
    </row>
    <row r="25" spans="1:19" ht="13.5" thickBot="1">
      <c r="A25" s="662"/>
      <c r="B25" s="668"/>
      <c r="C25" s="45" t="s">
        <v>227</v>
      </c>
      <c r="D25" s="46"/>
      <c r="E25" s="46"/>
      <c r="F25" s="46"/>
      <c r="G25" s="46"/>
      <c r="H25" s="46">
        <v>86944</v>
      </c>
      <c r="I25" s="43">
        <v>86021</v>
      </c>
      <c r="J25" s="47">
        <v>86667</v>
      </c>
      <c r="K25" s="47">
        <v>102104</v>
      </c>
      <c r="L25" s="47">
        <v>104494.88</v>
      </c>
      <c r="M25" s="256">
        <v>101193</v>
      </c>
      <c r="N25" s="47">
        <v>117000</v>
      </c>
      <c r="O25" s="492"/>
      <c r="P25" s="552">
        <f t="shared" si="6"/>
        <v>117000</v>
      </c>
      <c r="S25" s="489"/>
    </row>
    <row r="26" spans="1:19" ht="16.5" thickBot="1">
      <c r="A26" s="49">
        <v>200</v>
      </c>
      <c r="B26" s="699" t="s">
        <v>228</v>
      </c>
      <c r="C26" s="700"/>
      <c r="D26" s="50">
        <f>D27+D39+D57+D59</f>
        <v>1277767</v>
      </c>
      <c r="E26" s="50">
        <f>E27+E39+E57+E59</f>
        <v>1153090</v>
      </c>
      <c r="F26" s="50">
        <f>F27+F39+F57+F59</f>
        <v>1821583</v>
      </c>
      <c r="G26" s="50">
        <f>G27+G39+G57+G59</f>
        <v>1266222</v>
      </c>
      <c r="H26" s="50">
        <v>1215651</v>
      </c>
      <c r="I26" s="50">
        <f aca="true" t="shared" si="7" ref="I26:O26">I27+I39+I57+I59</f>
        <v>1492638</v>
      </c>
      <c r="J26" s="50">
        <f t="shared" si="7"/>
        <v>1090799</v>
      </c>
      <c r="K26" s="50">
        <f t="shared" si="7"/>
        <v>1258962</v>
      </c>
      <c r="L26" s="50">
        <f t="shared" si="7"/>
        <v>1049268.01</v>
      </c>
      <c r="M26" s="50">
        <f t="shared" si="7"/>
        <v>1119583.28</v>
      </c>
      <c r="N26" s="464">
        <f t="shared" si="7"/>
        <v>965120</v>
      </c>
      <c r="O26" s="464">
        <f t="shared" si="7"/>
        <v>0</v>
      </c>
      <c r="P26" s="485">
        <f>P27+P39+P57+P59</f>
        <v>965120</v>
      </c>
      <c r="S26" s="489"/>
    </row>
    <row r="27" spans="1:19" ht="15.75" thickBot="1">
      <c r="A27" s="51">
        <v>210</v>
      </c>
      <c r="B27" s="669" t="s">
        <v>229</v>
      </c>
      <c r="C27" s="670"/>
      <c r="D27" s="52">
        <f>D28+D32</f>
        <v>873233</v>
      </c>
      <c r="E27" s="52">
        <f>E28+E32</f>
        <v>794430</v>
      </c>
      <c r="F27" s="52">
        <f>F28+F32</f>
        <v>1059517</v>
      </c>
      <c r="G27" s="52">
        <f>G28+G32</f>
        <v>810580</v>
      </c>
      <c r="H27" s="52">
        <v>598394</v>
      </c>
      <c r="I27" s="52">
        <f aca="true" t="shared" si="8" ref="I27:O27">I28+I32</f>
        <v>741364</v>
      </c>
      <c r="J27" s="52">
        <f t="shared" si="8"/>
        <v>560834</v>
      </c>
      <c r="K27" s="52">
        <f t="shared" si="8"/>
        <v>650004</v>
      </c>
      <c r="L27" s="52">
        <f>L28+L32</f>
        <v>379467.55</v>
      </c>
      <c r="M27" s="52">
        <f t="shared" si="8"/>
        <v>418308.61</v>
      </c>
      <c r="N27" s="465">
        <f t="shared" si="8"/>
        <v>408436</v>
      </c>
      <c r="O27" s="465">
        <f t="shared" si="8"/>
        <v>0</v>
      </c>
      <c r="P27" s="486">
        <f>P28+P32</f>
        <v>408436</v>
      </c>
      <c r="S27" s="489"/>
    </row>
    <row r="28" spans="1:19" ht="13.5" thickBot="1">
      <c r="A28" s="658" t="s">
        <v>230</v>
      </c>
      <c r="B28" s="7">
        <v>211</v>
      </c>
      <c r="C28" s="53" t="s">
        <v>229</v>
      </c>
      <c r="D28" s="7">
        <v>93242</v>
      </c>
      <c r="E28" s="7">
        <v>23701</v>
      </c>
      <c r="F28" s="7">
        <v>51351</v>
      </c>
      <c r="G28" s="7">
        <v>38822</v>
      </c>
      <c r="H28" s="7">
        <v>66052</v>
      </c>
      <c r="I28" s="36">
        <f aca="true" t="shared" si="9" ref="I28:O28">SUM(I29:I31)</f>
        <v>29084</v>
      </c>
      <c r="J28" s="36">
        <f t="shared" si="9"/>
        <v>47000</v>
      </c>
      <c r="K28" s="36">
        <f t="shared" si="9"/>
        <v>58181</v>
      </c>
      <c r="L28" s="36">
        <f>SUM(L29:L31)</f>
        <v>20000</v>
      </c>
      <c r="M28" s="36">
        <f t="shared" si="9"/>
        <v>15000</v>
      </c>
      <c r="N28" s="130">
        <f t="shared" si="9"/>
        <v>24000</v>
      </c>
      <c r="O28" s="130">
        <f t="shared" si="9"/>
        <v>0</v>
      </c>
      <c r="P28" s="37">
        <f>SUM(P29:P31)</f>
        <v>24000</v>
      </c>
      <c r="S28" s="489"/>
    </row>
    <row r="29" spans="1:19" ht="12.75" hidden="1">
      <c r="A29" s="661"/>
      <c r="B29" s="663"/>
      <c r="C29" s="54" t="s">
        <v>231</v>
      </c>
      <c r="D29" s="55"/>
      <c r="E29" s="55"/>
      <c r="F29" s="55"/>
      <c r="G29" s="55"/>
      <c r="H29" s="55"/>
      <c r="I29" s="55"/>
      <c r="J29" s="55"/>
      <c r="K29" s="56"/>
      <c r="L29" s="21"/>
      <c r="M29" s="21"/>
      <c r="N29" s="21"/>
      <c r="O29" s="490"/>
      <c r="P29" s="551"/>
      <c r="S29" s="489"/>
    </row>
    <row r="30" spans="1:19" ht="12.75" hidden="1">
      <c r="A30" s="661"/>
      <c r="B30" s="664"/>
      <c r="C30" s="57" t="s">
        <v>232</v>
      </c>
      <c r="D30" s="57"/>
      <c r="E30" s="57"/>
      <c r="F30" s="57"/>
      <c r="G30" s="57"/>
      <c r="H30" s="57"/>
      <c r="I30" s="57"/>
      <c r="J30" s="57"/>
      <c r="K30" s="43"/>
      <c r="L30" s="25"/>
      <c r="M30" s="25"/>
      <c r="N30" s="25"/>
      <c r="O30" s="491"/>
      <c r="P30" s="495"/>
      <c r="S30" s="489"/>
    </row>
    <row r="31" spans="1:19" ht="13.5" thickBot="1">
      <c r="A31" s="661"/>
      <c r="B31" s="665"/>
      <c r="C31" s="58" t="s">
        <v>233</v>
      </c>
      <c r="D31" s="58"/>
      <c r="E31" s="58"/>
      <c r="F31" s="58"/>
      <c r="G31" s="58"/>
      <c r="H31" s="58"/>
      <c r="I31" s="58">
        <v>29084</v>
      </c>
      <c r="J31" s="58">
        <v>47000</v>
      </c>
      <c r="K31" s="59">
        <v>58181</v>
      </c>
      <c r="L31" s="29">
        <v>20000</v>
      </c>
      <c r="M31" s="29">
        <v>15000</v>
      </c>
      <c r="N31" s="29">
        <v>24000</v>
      </c>
      <c r="O31" s="592"/>
      <c r="P31" s="552">
        <f>N31+O31</f>
        <v>24000</v>
      </c>
      <c r="S31" s="489"/>
    </row>
    <row r="32" spans="1:19" ht="13.5" thickBot="1">
      <c r="A32" s="661"/>
      <c r="B32" s="60">
        <v>212</v>
      </c>
      <c r="C32" s="61" t="s">
        <v>234</v>
      </c>
      <c r="D32" s="62">
        <f>SUM(D33:D38)</f>
        <v>779991</v>
      </c>
      <c r="E32" s="62">
        <f>SUM(E33:E38)</f>
        <v>770729</v>
      </c>
      <c r="F32" s="62">
        <f>SUM(F33:F38)</f>
        <v>1008166</v>
      </c>
      <c r="G32" s="62">
        <f>SUM(G33:G38)</f>
        <v>771758</v>
      </c>
      <c r="H32" s="62">
        <v>532342</v>
      </c>
      <c r="I32" s="62">
        <f aca="true" t="shared" si="10" ref="I32:O32">SUM(I33:I38)</f>
        <v>712280</v>
      </c>
      <c r="J32" s="62">
        <f t="shared" si="10"/>
        <v>513834</v>
      </c>
      <c r="K32" s="63">
        <f t="shared" si="10"/>
        <v>591823</v>
      </c>
      <c r="L32" s="63">
        <f t="shared" si="10"/>
        <v>359467.55</v>
      </c>
      <c r="M32" s="156">
        <f t="shared" si="10"/>
        <v>403308.61</v>
      </c>
      <c r="N32" s="99">
        <f t="shared" si="10"/>
        <v>384436</v>
      </c>
      <c r="O32" s="99">
        <f t="shared" si="10"/>
        <v>0</v>
      </c>
      <c r="P32" s="64">
        <f>SUM(P33:P38)</f>
        <v>384436</v>
      </c>
      <c r="S32" s="489"/>
    </row>
    <row r="33" spans="1:19" ht="12.75">
      <c r="A33" s="661"/>
      <c r="B33" s="666"/>
      <c r="C33" s="54" t="s">
        <v>235</v>
      </c>
      <c r="D33" s="54">
        <v>751610</v>
      </c>
      <c r="E33" s="54">
        <v>750249</v>
      </c>
      <c r="F33" s="54">
        <v>649539</v>
      </c>
      <c r="G33" s="54">
        <v>427233</v>
      </c>
      <c r="H33" s="54">
        <v>348791</v>
      </c>
      <c r="I33" s="54">
        <v>510884</v>
      </c>
      <c r="J33" s="54">
        <v>324320</v>
      </c>
      <c r="K33" s="21">
        <v>401050</v>
      </c>
      <c r="L33" s="21">
        <v>135673.06</v>
      </c>
      <c r="M33" s="119">
        <v>134183.87</v>
      </c>
      <c r="N33" s="21">
        <v>77226</v>
      </c>
      <c r="O33" s="21"/>
      <c r="P33" s="22">
        <f aca="true" t="shared" si="11" ref="P33:P38">N33+O33</f>
        <v>77226</v>
      </c>
      <c r="S33" s="489"/>
    </row>
    <row r="34" spans="1:19" ht="12.75">
      <c r="A34" s="661"/>
      <c r="B34" s="667"/>
      <c r="C34" s="57" t="s">
        <v>236</v>
      </c>
      <c r="D34" s="57">
        <v>6108</v>
      </c>
      <c r="E34" s="57">
        <v>5709</v>
      </c>
      <c r="F34" s="57">
        <v>5809</v>
      </c>
      <c r="G34" s="57">
        <v>7235</v>
      </c>
      <c r="H34" s="57">
        <v>7034</v>
      </c>
      <c r="I34" s="57">
        <v>6012</v>
      </c>
      <c r="J34" s="57">
        <v>5150</v>
      </c>
      <c r="K34" s="25">
        <v>5043</v>
      </c>
      <c r="L34" s="25">
        <v>6242.35</v>
      </c>
      <c r="M34" s="206">
        <v>8075.84</v>
      </c>
      <c r="N34" s="25">
        <v>6000</v>
      </c>
      <c r="O34" s="25"/>
      <c r="P34" s="26">
        <f t="shared" si="11"/>
        <v>6000</v>
      </c>
      <c r="S34" s="489"/>
    </row>
    <row r="35" spans="1:19" ht="12.75">
      <c r="A35" s="661"/>
      <c r="B35" s="667"/>
      <c r="C35" s="65" t="s">
        <v>237</v>
      </c>
      <c r="D35" s="65"/>
      <c r="E35" s="65"/>
      <c r="F35" s="65"/>
      <c r="G35" s="65"/>
      <c r="H35" s="65"/>
      <c r="I35" s="65"/>
      <c r="J35" s="65"/>
      <c r="K35" s="29">
        <v>0</v>
      </c>
      <c r="L35" s="29">
        <v>41494.18</v>
      </c>
      <c r="M35" s="224">
        <v>46671.58</v>
      </c>
      <c r="N35" s="29">
        <v>61829</v>
      </c>
      <c r="O35" s="29"/>
      <c r="P35" s="30">
        <f t="shared" si="11"/>
        <v>61829</v>
      </c>
      <c r="S35" s="489"/>
    </row>
    <row r="36" spans="1:19" ht="12.75">
      <c r="A36" s="661"/>
      <c r="B36" s="667"/>
      <c r="C36" s="65" t="s">
        <v>26</v>
      </c>
      <c r="D36" s="65"/>
      <c r="E36" s="65"/>
      <c r="F36" s="65"/>
      <c r="G36" s="65"/>
      <c r="H36" s="65"/>
      <c r="I36" s="65"/>
      <c r="J36" s="65"/>
      <c r="K36" s="29"/>
      <c r="L36" s="29"/>
      <c r="M36" s="224"/>
      <c r="N36" s="29">
        <v>19039</v>
      </c>
      <c r="O36" s="29"/>
      <c r="P36" s="30">
        <f t="shared" si="11"/>
        <v>19039</v>
      </c>
      <c r="S36" s="489"/>
    </row>
    <row r="37" spans="1:19" ht="12.75">
      <c r="A37" s="661"/>
      <c r="B37" s="667"/>
      <c r="C37" s="65" t="s">
        <v>27</v>
      </c>
      <c r="D37" s="65"/>
      <c r="E37" s="65">
        <v>0</v>
      </c>
      <c r="F37" s="65">
        <v>339806</v>
      </c>
      <c r="G37" s="65">
        <v>322656</v>
      </c>
      <c r="H37" s="65">
        <v>92953</v>
      </c>
      <c r="I37" s="65">
        <v>100909</v>
      </c>
      <c r="J37" s="65">
        <v>83511</v>
      </c>
      <c r="K37" s="29">
        <f>77287+178+128</f>
        <v>77593</v>
      </c>
      <c r="L37" s="29">
        <v>80654.7</v>
      </c>
      <c r="M37" s="224">
        <v>77194.39</v>
      </c>
      <c r="N37" s="29">
        <v>65000</v>
      </c>
      <c r="O37" s="29"/>
      <c r="P37" s="30">
        <f t="shared" si="11"/>
        <v>65000</v>
      </c>
      <c r="S37" s="489"/>
    </row>
    <row r="38" spans="1:19" ht="13.5" thickBot="1">
      <c r="A38" s="662"/>
      <c r="B38" s="668"/>
      <c r="C38" s="58" t="s">
        <v>238</v>
      </c>
      <c r="D38" s="58">
        <v>22273</v>
      </c>
      <c r="E38" s="58">
        <v>14771</v>
      </c>
      <c r="F38" s="58">
        <v>13012</v>
      </c>
      <c r="G38" s="58">
        <v>14634</v>
      </c>
      <c r="H38" s="58">
        <v>83564</v>
      </c>
      <c r="I38" s="58">
        <v>94475</v>
      </c>
      <c r="J38" s="58">
        <v>100853</v>
      </c>
      <c r="K38" s="29">
        <v>108137</v>
      </c>
      <c r="L38" s="29">
        <v>95403.26</v>
      </c>
      <c r="M38" s="224">
        <v>137182.93</v>
      </c>
      <c r="N38" s="29">
        <v>155342</v>
      </c>
      <c r="O38" s="29"/>
      <c r="P38" s="30">
        <f t="shared" si="11"/>
        <v>155342</v>
      </c>
      <c r="S38" s="489"/>
    </row>
    <row r="39" spans="1:19" ht="15.75" thickBot="1">
      <c r="A39" s="31">
        <v>220</v>
      </c>
      <c r="B39" s="669" t="s">
        <v>239</v>
      </c>
      <c r="C39" s="670"/>
      <c r="D39" s="66">
        <f aca="true" t="shared" si="12" ref="D39:N39">D40+D44+D55</f>
        <v>320786</v>
      </c>
      <c r="E39" s="66">
        <f t="shared" si="12"/>
        <v>327192</v>
      </c>
      <c r="F39" s="66">
        <f t="shared" si="12"/>
        <v>429297</v>
      </c>
      <c r="G39" s="66">
        <f t="shared" si="12"/>
        <v>326610</v>
      </c>
      <c r="H39" s="66">
        <f t="shared" si="12"/>
        <v>550895</v>
      </c>
      <c r="I39" s="66">
        <f t="shared" si="12"/>
        <v>581281</v>
      </c>
      <c r="J39" s="66">
        <f t="shared" si="12"/>
        <v>471458</v>
      </c>
      <c r="K39" s="66">
        <f t="shared" si="12"/>
        <v>514547</v>
      </c>
      <c r="L39" s="66">
        <f>L40+L44+L55</f>
        <v>595361.4199999999</v>
      </c>
      <c r="M39" s="66">
        <f t="shared" si="12"/>
        <v>603358.3099999999</v>
      </c>
      <c r="N39" s="108">
        <f t="shared" si="12"/>
        <v>497613</v>
      </c>
      <c r="O39" s="108">
        <f>O40+O44+O55</f>
        <v>0</v>
      </c>
      <c r="P39" s="67">
        <f>P40+P44+P55</f>
        <v>497613</v>
      </c>
      <c r="S39" s="489"/>
    </row>
    <row r="40" spans="1:19" ht="13.5" thickBot="1">
      <c r="A40" s="658"/>
      <c r="B40" s="60">
        <v>221</v>
      </c>
      <c r="C40" s="61" t="s">
        <v>240</v>
      </c>
      <c r="D40" s="63">
        <f aca="true" t="shared" si="13" ref="D40:N40">SUM(D41:D43)</f>
        <v>108312</v>
      </c>
      <c r="E40" s="63">
        <f t="shared" si="13"/>
        <v>99747</v>
      </c>
      <c r="F40" s="63">
        <f t="shared" si="13"/>
        <v>156211</v>
      </c>
      <c r="G40" s="63">
        <f t="shared" si="13"/>
        <v>110441</v>
      </c>
      <c r="H40" s="63">
        <f t="shared" si="13"/>
        <v>116883</v>
      </c>
      <c r="I40" s="63">
        <f t="shared" si="13"/>
        <v>93914</v>
      </c>
      <c r="J40" s="63">
        <f t="shared" si="13"/>
        <v>69092</v>
      </c>
      <c r="K40" s="63">
        <f t="shared" si="13"/>
        <v>77127</v>
      </c>
      <c r="L40" s="63">
        <f>SUM(L41:L43)</f>
        <v>85540.68</v>
      </c>
      <c r="M40" s="156">
        <f t="shared" si="13"/>
        <v>81456.3</v>
      </c>
      <c r="N40" s="99">
        <f t="shared" si="13"/>
        <v>89164</v>
      </c>
      <c r="O40" s="99">
        <f>SUM(O41:O43)</f>
        <v>0</v>
      </c>
      <c r="P40" s="64">
        <f>SUM(P41:P43)</f>
        <v>89164</v>
      </c>
      <c r="S40" s="489"/>
    </row>
    <row r="41" spans="1:19" ht="12.75">
      <c r="A41" s="659"/>
      <c r="B41" s="666"/>
      <c r="C41" s="40" t="s">
        <v>241</v>
      </c>
      <c r="D41" s="54">
        <v>103532</v>
      </c>
      <c r="E41" s="54">
        <v>91482</v>
      </c>
      <c r="F41" s="54">
        <v>143896</v>
      </c>
      <c r="G41" s="54">
        <v>103964</v>
      </c>
      <c r="H41" s="54">
        <v>97289</v>
      </c>
      <c r="I41" s="54">
        <v>69567</v>
      </c>
      <c r="J41" s="54">
        <v>48641</v>
      </c>
      <c r="K41" s="25">
        <v>58713</v>
      </c>
      <c r="L41" s="25">
        <v>65956.11</v>
      </c>
      <c r="M41" s="119">
        <v>53025.13</v>
      </c>
      <c r="N41" s="21">
        <v>48641</v>
      </c>
      <c r="O41" s="21"/>
      <c r="P41" s="22">
        <f>N41+O41</f>
        <v>48641</v>
      </c>
      <c r="S41" s="489"/>
    </row>
    <row r="42" spans="1:19" ht="12.75">
      <c r="A42" s="659"/>
      <c r="B42" s="667"/>
      <c r="C42" s="55" t="s">
        <v>242</v>
      </c>
      <c r="D42" s="68"/>
      <c r="E42" s="68"/>
      <c r="F42" s="68"/>
      <c r="G42" s="68"/>
      <c r="H42" s="68"/>
      <c r="I42" s="68"/>
      <c r="J42" s="68"/>
      <c r="K42" s="25"/>
      <c r="L42" s="25">
        <v>768.56</v>
      </c>
      <c r="M42" s="117">
        <v>1339.48</v>
      </c>
      <c r="N42" s="69">
        <v>1500</v>
      </c>
      <c r="O42" s="69"/>
      <c r="P42" s="70">
        <f>N42+O42</f>
        <v>1500</v>
      </c>
      <c r="S42" s="489"/>
    </row>
    <row r="43" spans="1:19" ht="13.5" thickBot="1">
      <c r="A43" s="659"/>
      <c r="B43" s="668"/>
      <c r="C43" s="58" t="s">
        <v>25</v>
      </c>
      <c r="D43" s="58">
        <v>4780</v>
      </c>
      <c r="E43" s="58">
        <v>8265</v>
      </c>
      <c r="F43" s="58">
        <v>12315</v>
      </c>
      <c r="G43" s="58">
        <v>6477</v>
      </c>
      <c r="H43" s="58">
        <v>19594</v>
      </c>
      <c r="I43" s="58">
        <v>24347</v>
      </c>
      <c r="J43" s="58">
        <v>20451</v>
      </c>
      <c r="K43" s="25">
        <v>18414</v>
      </c>
      <c r="L43" s="25">
        <v>18816.01</v>
      </c>
      <c r="M43" s="224">
        <v>27091.69</v>
      </c>
      <c r="N43" s="29">
        <v>39023</v>
      </c>
      <c r="O43" s="29"/>
      <c r="P43" s="30">
        <f>N43+O43</f>
        <v>39023</v>
      </c>
      <c r="S43" s="489"/>
    </row>
    <row r="44" spans="1:19" ht="13.5" thickBot="1">
      <c r="A44" s="659"/>
      <c r="B44" s="60">
        <v>223</v>
      </c>
      <c r="C44" s="60" t="s">
        <v>243</v>
      </c>
      <c r="D44" s="60">
        <v>209420</v>
      </c>
      <c r="E44" s="60">
        <v>224723</v>
      </c>
      <c r="F44" s="60">
        <v>270165</v>
      </c>
      <c r="G44" s="60">
        <v>213694</v>
      </c>
      <c r="H44" s="60">
        <v>431444</v>
      </c>
      <c r="I44" s="63">
        <f aca="true" t="shared" si="14" ref="I44:P44">SUM(I45:I54)</f>
        <v>484992</v>
      </c>
      <c r="J44" s="63">
        <f t="shared" si="14"/>
        <v>400298</v>
      </c>
      <c r="K44" s="63">
        <f t="shared" si="14"/>
        <v>434944</v>
      </c>
      <c r="L44" s="63">
        <f t="shared" si="14"/>
        <v>507780.69999999995</v>
      </c>
      <c r="M44" s="156">
        <f t="shared" si="14"/>
        <v>519757.4199999999</v>
      </c>
      <c r="N44" s="99">
        <f t="shared" si="14"/>
        <v>406649</v>
      </c>
      <c r="O44" s="99">
        <f t="shared" si="14"/>
        <v>0</v>
      </c>
      <c r="P44" s="64">
        <f t="shared" si="14"/>
        <v>406649</v>
      </c>
      <c r="S44" s="489"/>
    </row>
    <row r="45" spans="1:19" ht="12.75">
      <c r="A45" s="659"/>
      <c r="B45" s="666"/>
      <c r="C45" s="54" t="s">
        <v>244</v>
      </c>
      <c r="D45" s="54"/>
      <c r="E45" s="54"/>
      <c r="F45" s="54"/>
      <c r="G45" s="54"/>
      <c r="H45" s="54"/>
      <c r="I45" s="54">
        <v>19602</v>
      </c>
      <c r="J45" s="54">
        <v>19573</v>
      </c>
      <c r="K45" s="25">
        <v>20641</v>
      </c>
      <c r="L45" s="25">
        <v>20552.5</v>
      </c>
      <c r="M45" s="119">
        <v>20532.33</v>
      </c>
      <c r="N45" s="21">
        <v>21000</v>
      </c>
      <c r="O45" s="21"/>
      <c r="P45" s="22">
        <f aca="true" t="shared" si="15" ref="P45:P54">N45+O45</f>
        <v>21000</v>
      </c>
      <c r="S45" s="489"/>
    </row>
    <row r="46" spans="1:19" ht="12.75">
      <c r="A46" s="659"/>
      <c r="B46" s="667"/>
      <c r="C46" s="55" t="s">
        <v>245</v>
      </c>
      <c r="D46" s="55"/>
      <c r="E46" s="55"/>
      <c r="F46" s="55"/>
      <c r="G46" s="55"/>
      <c r="H46" s="55"/>
      <c r="I46" s="55">
        <v>20170</v>
      </c>
      <c r="J46" s="55">
        <v>3900</v>
      </c>
      <c r="K46" s="25">
        <v>8400</v>
      </c>
      <c r="L46" s="25">
        <v>4100</v>
      </c>
      <c r="M46" s="119">
        <v>15650</v>
      </c>
      <c r="N46" s="21"/>
      <c r="O46" s="21"/>
      <c r="P46" s="22">
        <f t="shared" si="15"/>
        <v>0</v>
      </c>
      <c r="S46" s="489"/>
    </row>
    <row r="47" spans="1:19" ht="12.75" hidden="1">
      <c r="A47" s="659"/>
      <c r="B47" s="667"/>
      <c r="C47" s="55" t="s">
        <v>246</v>
      </c>
      <c r="D47" s="55"/>
      <c r="E47" s="55"/>
      <c r="F47" s="55"/>
      <c r="G47" s="55"/>
      <c r="H47" s="55"/>
      <c r="I47" s="71">
        <v>1309</v>
      </c>
      <c r="J47" s="72"/>
      <c r="K47" s="25"/>
      <c r="L47" s="25"/>
      <c r="M47" s="119"/>
      <c r="N47" s="21"/>
      <c r="O47" s="21"/>
      <c r="P47" s="22">
        <f t="shared" si="15"/>
        <v>0</v>
      </c>
      <c r="S47" s="489"/>
    </row>
    <row r="48" spans="1:19" ht="12.75">
      <c r="A48" s="659"/>
      <c r="B48" s="667"/>
      <c r="C48" s="57" t="s">
        <v>247</v>
      </c>
      <c r="D48" s="57"/>
      <c r="E48" s="57"/>
      <c r="F48" s="57"/>
      <c r="G48" s="57"/>
      <c r="H48" s="57"/>
      <c r="I48" s="43">
        <v>23291</v>
      </c>
      <c r="J48" s="43">
        <v>27058</v>
      </c>
      <c r="K48" s="25">
        <f>18432+1749</f>
        <v>20181</v>
      </c>
      <c r="L48" s="25">
        <v>31759</v>
      </c>
      <c r="M48" s="206">
        <v>31403.35</v>
      </c>
      <c r="N48" s="25">
        <v>25000</v>
      </c>
      <c r="O48" s="25"/>
      <c r="P48" s="26">
        <f t="shared" si="15"/>
        <v>25000</v>
      </c>
      <c r="S48" s="489"/>
    </row>
    <row r="49" spans="1:19" ht="12.75">
      <c r="A49" s="659"/>
      <c r="B49" s="667"/>
      <c r="C49" s="57" t="s">
        <v>248</v>
      </c>
      <c r="D49" s="57"/>
      <c r="E49" s="57"/>
      <c r="F49" s="57"/>
      <c r="G49" s="57"/>
      <c r="H49" s="57"/>
      <c r="I49" s="43">
        <f>25266+1975-2735</f>
        <v>24506</v>
      </c>
      <c r="J49" s="43">
        <v>29035</v>
      </c>
      <c r="K49" s="25">
        <v>28418</v>
      </c>
      <c r="L49" s="25">
        <v>20267.02</v>
      </c>
      <c r="M49" s="206">
        <v>19677.18</v>
      </c>
      <c r="N49" s="25">
        <v>20000</v>
      </c>
      <c r="O49" s="25"/>
      <c r="P49" s="26">
        <f t="shared" si="15"/>
        <v>20000</v>
      </c>
      <c r="S49" s="489"/>
    </row>
    <row r="50" spans="1:19" ht="12.75">
      <c r="A50" s="659"/>
      <c r="B50" s="667"/>
      <c r="C50" s="57" t="s">
        <v>6</v>
      </c>
      <c r="D50" s="57"/>
      <c r="E50" s="57"/>
      <c r="F50" s="57"/>
      <c r="G50" s="57"/>
      <c r="H50" s="57"/>
      <c r="I50" s="43">
        <f>19469+134+18</f>
        <v>19621</v>
      </c>
      <c r="J50" s="43">
        <v>15462</v>
      </c>
      <c r="K50" s="25">
        <v>15205</v>
      </c>
      <c r="L50" s="25">
        <v>17827.7</v>
      </c>
      <c r="M50" s="206">
        <v>16873.9</v>
      </c>
      <c r="N50" s="25">
        <v>16930</v>
      </c>
      <c r="O50" s="25"/>
      <c r="P50" s="26">
        <f t="shared" si="15"/>
        <v>16930</v>
      </c>
      <c r="S50" s="489"/>
    </row>
    <row r="51" spans="1:19" ht="12.75">
      <c r="A51" s="659"/>
      <c r="B51" s="667"/>
      <c r="C51" s="65" t="s">
        <v>249</v>
      </c>
      <c r="D51" s="65"/>
      <c r="E51" s="65"/>
      <c r="F51" s="65"/>
      <c r="G51" s="65"/>
      <c r="H51" s="65"/>
      <c r="I51" s="73">
        <v>136368</v>
      </c>
      <c r="J51" s="43">
        <v>127040</v>
      </c>
      <c r="K51" s="25">
        <f>149434+40</f>
        <v>149474</v>
      </c>
      <c r="L51" s="25">
        <v>154903.56</v>
      </c>
      <c r="M51" s="224">
        <v>163189.57</v>
      </c>
      <c r="N51" s="29">
        <v>122000</v>
      </c>
      <c r="O51" s="29"/>
      <c r="P51" s="30">
        <f t="shared" si="15"/>
        <v>122000</v>
      </c>
      <c r="S51" s="489"/>
    </row>
    <row r="52" spans="1:19" ht="12.75">
      <c r="A52" s="659"/>
      <c r="B52" s="667"/>
      <c r="C52" s="65" t="s">
        <v>250</v>
      </c>
      <c r="D52" s="65"/>
      <c r="E52" s="65"/>
      <c r="F52" s="65"/>
      <c r="G52" s="65"/>
      <c r="H52" s="65"/>
      <c r="I52" s="73">
        <v>60412</v>
      </c>
      <c r="J52" s="43">
        <v>44729</v>
      </c>
      <c r="K52" s="25">
        <v>51770</v>
      </c>
      <c r="L52" s="25">
        <v>49600.39</v>
      </c>
      <c r="M52" s="224">
        <v>49002.82</v>
      </c>
      <c r="N52" s="29">
        <v>75500</v>
      </c>
      <c r="O52" s="29"/>
      <c r="P52" s="30">
        <f t="shared" si="15"/>
        <v>75500</v>
      </c>
      <c r="S52" s="489"/>
    </row>
    <row r="53" spans="1:19" ht="12.75">
      <c r="A53" s="659"/>
      <c r="B53" s="667"/>
      <c r="C53" s="65" t="s">
        <v>251</v>
      </c>
      <c r="D53" s="65"/>
      <c r="E53" s="65"/>
      <c r="F53" s="65"/>
      <c r="G53" s="65"/>
      <c r="H53" s="65"/>
      <c r="I53" s="73"/>
      <c r="J53" s="43"/>
      <c r="K53" s="25"/>
      <c r="L53" s="25">
        <v>760.76</v>
      </c>
      <c r="M53" s="224"/>
      <c r="N53" s="29"/>
      <c r="O53" s="29"/>
      <c r="P53" s="30">
        <f t="shared" si="15"/>
        <v>0</v>
      </c>
      <c r="S53" s="489"/>
    </row>
    <row r="54" spans="1:20" ht="13.5" thickBot="1">
      <c r="A54" s="659"/>
      <c r="B54" s="667"/>
      <c r="C54" s="65" t="s">
        <v>252</v>
      </c>
      <c r="D54" s="65"/>
      <c r="E54" s="65"/>
      <c r="F54" s="65"/>
      <c r="G54" s="65"/>
      <c r="H54" s="65"/>
      <c r="I54" s="73">
        <f>111+179602</f>
        <v>179713</v>
      </c>
      <c r="J54" s="43">
        <f>91+133410</f>
        <v>133501</v>
      </c>
      <c r="K54" s="25">
        <f>60+137299+3496</f>
        <v>140855</v>
      </c>
      <c r="L54" s="25">
        <v>208009.77</v>
      </c>
      <c r="M54" s="224">
        <v>203428.27</v>
      </c>
      <c r="N54" s="29">
        <v>126219</v>
      </c>
      <c r="O54" s="29"/>
      <c r="P54" s="30">
        <f t="shared" si="15"/>
        <v>126219</v>
      </c>
      <c r="S54" s="489"/>
      <c r="T54" s="489"/>
    </row>
    <row r="55" spans="1:19" ht="13.5" thickBot="1">
      <c r="A55" s="659"/>
      <c r="B55" s="60">
        <v>229</v>
      </c>
      <c r="C55" s="60" t="s">
        <v>253</v>
      </c>
      <c r="D55" s="62">
        <f>D56</f>
        <v>3054</v>
      </c>
      <c r="E55" s="62">
        <f>E56</f>
        <v>2722</v>
      </c>
      <c r="F55" s="62">
        <f>F56</f>
        <v>2921</v>
      </c>
      <c r="G55" s="62">
        <f>G56</f>
        <v>2475</v>
      </c>
      <c r="H55" s="62">
        <f>H56</f>
        <v>2568</v>
      </c>
      <c r="I55" s="62">
        <f aca="true" t="shared" si="16" ref="I55:P55">I56</f>
        <v>2375</v>
      </c>
      <c r="J55" s="62">
        <f t="shared" si="16"/>
        <v>2068</v>
      </c>
      <c r="K55" s="63">
        <f t="shared" si="16"/>
        <v>2476</v>
      </c>
      <c r="L55" s="63">
        <f t="shared" si="16"/>
        <v>2040.04</v>
      </c>
      <c r="M55" s="156">
        <f t="shared" si="16"/>
        <v>2144.59</v>
      </c>
      <c r="N55" s="99">
        <f t="shared" si="16"/>
        <v>1800</v>
      </c>
      <c r="O55" s="99">
        <f>O56</f>
        <v>0</v>
      </c>
      <c r="P55" s="64">
        <f t="shared" si="16"/>
        <v>1800</v>
      </c>
      <c r="S55" s="489"/>
    </row>
    <row r="56" spans="1:19" ht="13.5" thickBot="1">
      <c r="A56" s="660"/>
      <c r="B56" s="74"/>
      <c r="C56" s="74" t="s">
        <v>254</v>
      </c>
      <c r="D56" s="74">
        <v>3054</v>
      </c>
      <c r="E56" s="74">
        <v>2722</v>
      </c>
      <c r="F56" s="74">
        <v>2921</v>
      </c>
      <c r="G56" s="74">
        <v>2475</v>
      </c>
      <c r="H56" s="74">
        <v>2568</v>
      </c>
      <c r="I56" s="74">
        <v>2375</v>
      </c>
      <c r="J56" s="74">
        <v>2068</v>
      </c>
      <c r="K56" s="75">
        <v>2476</v>
      </c>
      <c r="L56" s="75">
        <v>2040.04</v>
      </c>
      <c r="M56" s="212">
        <v>2144.59</v>
      </c>
      <c r="N56" s="76">
        <v>1800</v>
      </c>
      <c r="O56" s="76"/>
      <c r="P56" s="588">
        <f>N56+O56</f>
        <v>1800</v>
      </c>
      <c r="S56" s="489"/>
    </row>
    <row r="57" spans="1:19" ht="15.75" thickBot="1">
      <c r="A57" s="12">
        <v>240</v>
      </c>
      <c r="B57" s="673" t="s">
        <v>255</v>
      </c>
      <c r="C57" s="674"/>
      <c r="D57" s="78">
        <f>SUM(D58:D58)</f>
        <v>27352</v>
      </c>
      <c r="E57" s="78">
        <f>SUM(E58:E58)</f>
        <v>10390</v>
      </c>
      <c r="F57" s="78">
        <f>SUM(F58:F58)</f>
        <v>16730</v>
      </c>
      <c r="G57" s="78">
        <f>SUM(G58:G58)</f>
        <v>5867</v>
      </c>
      <c r="H57" s="78">
        <f>SUM(H58:H58)</f>
        <v>6403</v>
      </c>
      <c r="I57" s="78">
        <f aca="true" t="shared" si="17" ref="I57:P57">SUM(I58:I58)</f>
        <v>3943</v>
      </c>
      <c r="J57" s="78">
        <f t="shared" si="17"/>
        <v>3352</v>
      </c>
      <c r="K57" s="78">
        <f t="shared" si="17"/>
        <v>1988</v>
      </c>
      <c r="L57" s="79">
        <f t="shared" si="17"/>
        <v>1226.92</v>
      </c>
      <c r="M57" s="78">
        <f t="shared" si="17"/>
        <v>445.87</v>
      </c>
      <c r="N57" s="401">
        <f t="shared" si="17"/>
        <v>0</v>
      </c>
      <c r="O57" s="401">
        <f t="shared" si="17"/>
        <v>0</v>
      </c>
      <c r="P57" s="80">
        <f t="shared" si="17"/>
        <v>0</v>
      </c>
      <c r="S57" s="489"/>
    </row>
    <row r="58" spans="1:19" ht="15.75" thickBot="1">
      <c r="A58" s="51"/>
      <c r="B58" s="81"/>
      <c r="C58" s="82" t="s">
        <v>256</v>
      </c>
      <c r="D58" s="82">
        <v>27352</v>
      </c>
      <c r="E58" s="82">
        <v>10390</v>
      </c>
      <c r="F58" s="82">
        <v>16730</v>
      </c>
      <c r="G58" s="82">
        <v>5867</v>
      </c>
      <c r="H58" s="82">
        <v>6403</v>
      </c>
      <c r="I58" s="82">
        <v>3943</v>
      </c>
      <c r="J58" s="82">
        <v>3352</v>
      </c>
      <c r="K58" s="83">
        <v>1988</v>
      </c>
      <c r="L58" s="83">
        <v>1226.92</v>
      </c>
      <c r="M58" s="268">
        <v>445.87</v>
      </c>
      <c r="N58" s="84"/>
      <c r="O58" s="493"/>
      <c r="P58" s="588">
        <f>N58+O58</f>
        <v>0</v>
      </c>
      <c r="S58" s="489"/>
    </row>
    <row r="59" spans="1:19" ht="15.75" thickBot="1">
      <c r="A59" s="12">
        <v>290</v>
      </c>
      <c r="B59" s="675" t="s">
        <v>257</v>
      </c>
      <c r="C59" s="676"/>
      <c r="D59" s="85">
        <f>D60</f>
        <v>56396</v>
      </c>
      <c r="E59" s="85">
        <f>E60</f>
        <v>21078</v>
      </c>
      <c r="F59" s="85">
        <f>F60</f>
        <v>316039</v>
      </c>
      <c r="G59" s="85">
        <f>G60</f>
        <v>123165</v>
      </c>
      <c r="H59" s="85">
        <v>59959</v>
      </c>
      <c r="I59" s="85">
        <f aca="true" t="shared" si="18" ref="I59:N59">I60</f>
        <v>166050</v>
      </c>
      <c r="J59" s="85">
        <f t="shared" si="18"/>
        <v>55155</v>
      </c>
      <c r="K59" s="85">
        <f t="shared" si="18"/>
        <v>92423</v>
      </c>
      <c r="L59" s="85">
        <f t="shared" si="18"/>
        <v>73212.12000000001</v>
      </c>
      <c r="M59" s="599">
        <f t="shared" si="18"/>
        <v>97470.49</v>
      </c>
      <c r="N59" s="466">
        <f t="shared" si="18"/>
        <v>59071</v>
      </c>
      <c r="O59" s="466">
        <f>O60</f>
        <v>0</v>
      </c>
      <c r="P59" s="487">
        <f>P60</f>
        <v>59071</v>
      </c>
      <c r="S59" s="489"/>
    </row>
    <row r="60" spans="1:19" ht="13.5" thickBot="1">
      <c r="A60" s="658"/>
      <c r="B60" s="61">
        <v>292</v>
      </c>
      <c r="C60" s="61" t="s">
        <v>257</v>
      </c>
      <c r="D60" s="61">
        <v>56396</v>
      </c>
      <c r="E60" s="61">
        <v>21078</v>
      </c>
      <c r="F60" s="61">
        <v>316039</v>
      </c>
      <c r="G60" s="61">
        <v>123165</v>
      </c>
      <c r="H60" s="61">
        <v>59959</v>
      </c>
      <c r="I60" s="63">
        <f aca="true" t="shared" si="19" ref="I60:P60">SUM(I61:I64)</f>
        <v>166050</v>
      </c>
      <c r="J60" s="63">
        <f t="shared" si="19"/>
        <v>55155</v>
      </c>
      <c r="K60" s="63">
        <f t="shared" si="19"/>
        <v>92423</v>
      </c>
      <c r="L60" s="63">
        <f t="shared" si="19"/>
        <v>73212.12000000001</v>
      </c>
      <c r="M60" s="156">
        <f t="shared" si="19"/>
        <v>97470.49</v>
      </c>
      <c r="N60" s="99">
        <f t="shared" si="19"/>
        <v>59071</v>
      </c>
      <c r="O60" s="99">
        <f t="shared" si="19"/>
        <v>0</v>
      </c>
      <c r="P60" s="64">
        <f t="shared" si="19"/>
        <v>59071</v>
      </c>
      <c r="S60" s="489"/>
    </row>
    <row r="61" spans="1:19" ht="12.75">
      <c r="A61" s="661"/>
      <c r="B61" s="663"/>
      <c r="C61" s="86" t="s">
        <v>258</v>
      </c>
      <c r="D61" s="86"/>
      <c r="E61" s="86"/>
      <c r="F61" s="86"/>
      <c r="G61" s="86"/>
      <c r="H61" s="86"/>
      <c r="I61" s="87">
        <v>19700</v>
      </c>
      <c r="J61" s="87">
        <v>19300</v>
      </c>
      <c r="K61" s="25">
        <v>29700</v>
      </c>
      <c r="L61" s="25">
        <v>27700</v>
      </c>
      <c r="M61" s="119">
        <v>46500</v>
      </c>
      <c r="N61" s="21">
        <v>30000</v>
      </c>
      <c r="O61" s="21"/>
      <c r="P61" s="596">
        <f>N61+O61</f>
        <v>30000</v>
      </c>
      <c r="S61" s="489"/>
    </row>
    <row r="62" spans="1:19" ht="12.75">
      <c r="A62" s="661"/>
      <c r="B62" s="664"/>
      <c r="C62" s="88" t="s">
        <v>259</v>
      </c>
      <c r="D62" s="88"/>
      <c r="E62" s="88"/>
      <c r="F62" s="88"/>
      <c r="G62" s="88"/>
      <c r="H62" s="88"/>
      <c r="I62" s="89">
        <v>37534</v>
      </c>
      <c r="J62" s="89">
        <v>14000</v>
      </c>
      <c r="K62" s="25">
        <v>2888</v>
      </c>
      <c r="L62" s="25">
        <v>313.32</v>
      </c>
      <c r="M62" s="119">
        <v>6641.91</v>
      </c>
      <c r="N62" s="21"/>
      <c r="O62" s="21"/>
      <c r="P62" s="495">
        <f>N62+O62</f>
        <v>0</v>
      </c>
      <c r="S62" s="489"/>
    </row>
    <row r="63" spans="1:19" ht="12.75">
      <c r="A63" s="661"/>
      <c r="B63" s="664"/>
      <c r="C63" s="88" t="s">
        <v>257</v>
      </c>
      <c r="D63" s="88"/>
      <c r="E63" s="88"/>
      <c r="F63" s="88"/>
      <c r="G63" s="88"/>
      <c r="H63" s="88"/>
      <c r="I63" s="89">
        <v>106407</v>
      </c>
      <c r="J63" s="89">
        <v>19147</v>
      </c>
      <c r="K63" s="25">
        <f>16091+34106+2444+185+641+2733+114-32+43+286+668</f>
        <v>57279</v>
      </c>
      <c r="L63" s="25">
        <v>42730.56</v>
      </c>
      <c r="M63" s="119">
        <v>42300.64</v>
      </c>
      <c r="N63" s="21">
        <v>26871</v>
      </c>
      <c r="O63" s="21"/>
      <c r="P63" s="495">
        <f>N63+O63</f>
        <v>26871</v>
      </c>
      <c r="S63" s="489"/>
    </row>
    <row r="64" spans="1:19" ht="13.5" thickBot="1">
      <c r="A64" s="661"/>
      <c r="B64" s="664"/>
      <c r="C64" s="90" t="s">
        <v>260</v>
      </c>
      <c r="D64" s="90"/>
      <c r="E64" s="90"/>
      <c r="F64" s="90"/>
      <c r="G64" s="90"/>
      <c r="H64" s="90"/>
      <c r="I64" s="91">
        <v>2409</v>
      </c>
      <c r="J64" s="91">
        <v>2708</v>
      </c>
      <c r="K64" s="25">
        <v>2556</v>
      </c>
      <c r="L64" s="25">
        <v>2468.24</v>
      </c>
      <c r="M64" s="135">
        <v>2027.94</v>
      </c>
      <c r="N64" s="24">
        <v>2200</v>
      </c>
      <c r="O64" s="24"/>
      <c r="P64" s="495">
        <f>N64+O64</f>
        <v>2200</v>
      </c>
      <c r="S64" s="489"/>
    </row>
    <row r="65" spans="1:19" ht="16.5" thickBot="1">
      <c r="A65" s="49">
        <v>300</v>
      </c>
      <c r="B65" s="689" t="s">
        <v>261</v>
      </c>
      <c r="C65" s="690"/>
      <c r="D65" s="524">
        <f aca="true" t="shared" si="20" ref="D65:N65">D66+D103</f>
        <v>1842129</v>
      </c>
      <c r="E65" s="524">
        <f t="shared" si="20"/>
        <v>1999701</v>
      </c>
      <c r="F65" s="524">
        <f t="shared" si="20"/>
        <v>2077242</v>
      </c>
      <c r="G65" s="524">
        <f t="shared" si="20"/>
        <v>2645110</v>
      </c>
      <c r="H65" s="524">
        <f t="shared" si="20"/>
        <v>2979865</v>
      </c>
      <c r="I65" s="524">
        <f t="shared" si="20"/>
        <v>2749519</v>
      </c>
      <c r="J65" s="524">
        <f t="shared" si="20"/>
        <v>2901991</v>
      </c>
      <c r="K65" s="524">
        <f t="shared" si="20"/>
        <v>3466649</v>
      </c>
      <c r="L65" s="524">
        <f>L66+L103</f>
        <v>3450076.55</v>
      </c>
      <c r="M65" s="601">
        <f t="shared" si="20"/>
        <v>3251492.52</v>
      </c>
      <c r="N65" s="525">
        <f t="shared" si="20"/>
        <v>3040164</v>
      </c>
      <c r="O65" s="525">
        <f>O66+O103</f>
        <v>11686</v>
      </c>
      <c r="P65" s="526">
        <f>P66+P103</f>
        <v>3051850</v>
      </c>
      <c r="S65" s="489"/>
    </row>
    <row r="66" spans="1:19" ht="15.75" thickBot="1">
      <c r="A66" s="31">
        <v>310</v>
      </c>
      <c r="B66" s="669" t="s">
        <v>262</v>
      </c>
      <c r="C66" s="686"/>
      <c r="D66" s="66">
        <f aca="true" t="shared" si="21" ref="D66:N66">D67+D69</f>
        <v>1842129</v>
      </c>
      <c r="E66" s="66">
        <f t="shared" si="21"/>
        <v>1999701</v>
      </c>
      <c r="F66" s="66">
        <f t="shared" si="21"/>
        <v>2077242</v>
      </c>
      <c r="G66" s="66">
        <f t="shared" si="21"/>
        <v>2645110</v>
      </c>
      <c r="H66" s="66">
        <f t="shared" si="21"/>
        <v>2958818</v>
      </c>
      <c r="I66" s="66">
        <f t="shared" si="21"/>
        <v>2721164</v>
      </c>
      <c r="J66" s="66">
        <f t="shared" si="21"/>
        <v>2862933</v>
      </c>
      <c r="K66" s="66">
        <f t="shared" si="21"/>
        <v>3457133</v>
      </c>
      <c r="L66" s="66">
        <f>L67+L69</f>
        <v>3450076.55</v>
      </c>
      <c r="M66" s="215">
        <f t="shared" si="21"/>
        <v>3251492.52</v>
      </c>
      <c r="N66" s="108">
        <f t="shared" si="21"/>
        <v>3040164</v>
      </c>
      <c r="O66" s="108">
        <f>O67+O69</f>
        <v>11686</v>
      </c>
      <c r="P66" s="67">
        <f>P67+P69</f>
        <v>3051850</v>
      </c>
      <c r="S66" s="489"/>
    </row>
    <row r="67" spans="1:19" ht="13.5" thickBot="1">
      <c r="A67" s="658"/>
      <c r="B67" s="92">
        <v>311</v>
      </c>
      <c r="C67" s="60" t="s">
        <v>263</v>
      </c>
      <c r="D67" s="93">
        <f aca="true" t="shared" si="22" ref="D67:M67">SUM(D68:D68)</f>
        <v>0</v>
      </c>
      <c r="E67" s="93">
        <f t="shared" si="22"/>
        <v>23003</v>
      </c>
      <c r="F67" s="93">
        <f t="shared" si="22"/>
        <v>14107</v>
      </c>
      <c r="G67" s="93">
        <f t="shared" si="22"/>
        <v>9307</v>
      </c>
      <c r="H67" s="93">
        <f t="shared" si="22"/>
        <v>19495</v>
      </c>
      <c r="I67" s="93">
        <f t="shared" si="22"/>
        <v>11396</v>
      </c>
      <c r="J67" s="93">
        <f t="shared" si="22"/>
        <v>19287</v>
      </c>
      <c r="K67" s="63">
        <f t="shared" si="22"/>
        <v>18260</v>
      </c>
      <c r="L67" s="63">
        <f t="shared" si="22"/>
        <v>700</v>
      </c>
      <c r="M67" s="156">
        <f t="shared" si="22"/>
        <v>4100</v>
      </c>
      <c r="N67" s="467">
        <f>N68</f>
        <v>15000</v>
      </c>
      <c r="O67" s="467">
        <f>O68</f>
        <v>0</v>
      </c>
      <c r="P67" s="16">
        <f>P68</f>
        <v>15000</v>
      </c>
      <c r="S67" s="489"/>
    </row>
    <row r="68" spans="1:19" ht="13.5" thickBot="1">
      <c r="A68" s="661"/>
      <c r="B68" s="39"/>
      <c r="C68" s="40" t="s">
        <v>264</v>
      </c>
      <c r="D68" s="40">
        <v>0</v>
      </c>
      <c r="E68" s="40">
        <v>23003</v>
      </c>
      <c r="F68" s="40">
        <v>14107</v>
      </c>
      <c r="G68" s="40">
        <v>9307</v>
      </c>
      <c r="H68" s="40">
        <v>19495</v>
      </c>
      <c r="I68" s="40">
        <v>11396</v>
      </c>
      <c r="J68" s="40">
        <v>19287</v>
      </c>
      <c r="K68" s="55">
        <v>18260</v>
      </c>
      <c r="L68" s="68">
        <v>700</v>
      </c>
      <c r="M68" s="119">
        <v>4100</v>
      </c>
      <c r="N68" s="21">
        <v>15000</v>
      </c>
      <c r="O68" s="21"/>
      <c r="P68" s="22">
        <f>N68+O68</f>
        <v>15000</v>
      </c>
      <c r="S68" s="489"/>
    </row>
    <row r="69" spans="1:19" ht="13.5" thickBot="1">
      <c r="A69" s="661"/>
      <c r="B69" s="7">
        <v>312</v>
      </c>
      <c r="C69" s="7" t="s">
        <v>265</v>
      </c>
      <c r="D69" s="7">
        <v>1842129</v>
      </c>
      <c r="E69" s="7">
        <v>1976698</v>
      </c>
      <c r="F69" s="7">
        <v>2063135</v>
      </c>
      <c r="G69" s="7">
        <v>2635803</v>
      </c>
      <c r="H69" s="7">
        <v>2939323</v>
      </c>
      <c r="I69" s="36">
        <f>SUM(I70:I102)</f>
        <v>2709768</v>
      </c>
      <c r="J69" s="36">
        <f>SUM(J70:J102)</f>
        <v>2843646</v>
      </c>
      <c r="K69" s="36">
        <f>SUM(K70:K102)</f>
        <v>3438873</v>
      </c>
      <c r="L69" s="36">
        <v>3449376.55</v>
      </c>
      <c r="M69" s="328">
        <f>SUM(M70:M102)</f>
        <v>3247392.52</v>
      </c>
      <c r="N69" s="130">
        <f>SUM(N70:N102)</f>
        <v>3025164</v>
      </c>
      <c r="O69" s="130">
        <f>SUM(O70:O102)</f>
        <v>11686</v>
      </c>
      <c r="P69" s="37">
        <f>SUM(P70:P102)</f>
        <v>3036850</v>
      </c>
      <c r="S69" s="489"/>
    </row>
    <row r="70" spans="1:19" ht="12.75">
      <c r="A70" s="661"/>
      <c r="B70" s="687"/>
      <c r="C70" s="40" t="s">
        <v>266</v>
      </c>
      <c r="D70" s="40"/>
      <c r="E70" s="40"/>
      <c r="F70" s="40"/>
      <c r="G70" s="40"/>
      <c r="H70" s="40"/>
      <c r="I70" s="40">
        <v>23695</v>
      </c>
      <c r="J70" s="40">
        <v>17245</v>
      </c>
      <c r="K70" s="25">
        <v>10901</v>
      </c>
      <c r="L70" s="21">
        <v>11158.85</v>
      </c>
      <c r="M70" s="152">
        <v>11477.1</v>
      </c>
      <c r="N70" s="94">
        <v>11179</v>
      </c>
      <c r="O70" s="490"/>
      <c r="P70" s="551">
        <f aca="true" t="shared" si="23" ref="P70:P102">N70+O70</f>
        <v>11179</v>
      </c>
      <c r="S70" s="489"/>
    </row>
    <row r="71" spans="1:21" ht="12.75">
      <c r="A71" s="661"/>
      <c r="B71" s="688"/>
      <c r="C71" s="42" t="s">
        <v>267</v>
      </c>
      <c r="D71" s="42"/>
      <c r="E71" s="42"/>
      <c r="F71" s="42"/>
      <c r="G71" s="42"/>
      <c r="H71" s="42"/>
      <c r="I71" s="42">
        <v>2039732</v>
      </c>
      <c r="J71" s="42">
        <v>2219230</v>
      </c>
      <c r="K71" s="25">
        <v>2305975</v>
      </c>
      <c r="L71" s="25">
        <v>2374727</v>
      </c>
      <c r="M71" s="115">
        <v>2385302.7</v>
      </c>
      <c r="N71" s="25">
        <v>2394994</v>
      </c>
      <c r="O71" s="593">
        <v>6986</v>
      </c>
      <c r="P71" s="551">
        <f t="shared" si="23"/>
        <v>2401980</v>
      </c>
      <c r="S71" s="489"/>
      <c r="U71" s="489"/>
    </row>
    <row r="72" spans="1:19" ht="12.75">
      <c r="A72" s="661"/>
      <c r="B72" s="688"/>
      <c r="C72" s="42" t="s">
        <v>268</v>
      </c>
      <c r="D72" s="42"/>
      <c r="E72" s="42"/>
      <c r="F72" s="42"/>
      <c r="G72" s="42"/>
      <c r="H72" s="42"/>
      <c r="I72" s="42">
        <v>18027</v>
      </c>
      <c r="J72" s="42">
        <v>18084</v>
      </c>
      <c r="K72" s="25">
        <v>17994</v>
      </c>
      <c r="L72" s="25">
        <v>18008.52</v>
      </c>
      <c r="M72" s="115">
        <v>18041.07</v>
      </c>
      <c r="N72" s="25">
        <v>18041</v>
      </c>
      <c r="O72" s="490"/>
      <c r="P72" s="551">
        <f t="shared" si="23"/>
        <v>18041</v>
      </c>
      <c r="S72" s="489"/>
    </row>
    <row r="73" spans="1:19" ht="12.75">
      <c r="A73" s="661"/>
      <c r="B73" s="688"/>
      <c r="C73" s="42" t="s">
        <v>269</v>
      </c>
      <c r="D73" s="42"/>
      <c r="E73" s="42"/>
      <c r="F73" s="42"/>
      <c r="G73" s="42"/>
      <c r="H73" s="42"/>
      <c r="I73" s="42">
        <v>24577</v>
      </c>
      <c r="J73" s="42">
        <v>25124</v>
      </c>
      <c r="K73" s="25">
        <v>25564</v>
      </c>
      <c r="L73" s="25">
        <v>26022</v>
      </c>
      <c r="M73" s="115">
        <v>26310</v>
      </c>
      <c r="N73" s="25">
        <v>25857</v>
      </c>
      <c r="O73" s="490"/>
      <c r="P73" s="551">
        <f t="shared" si="23"/>
        <v>25857</v>
      </c>
      <c r="S73" s="489"/>
    </row>
    <row r="74" spans="1:19" ht="12.75">
      <c r="A74" s="661"/>
      <c r="B74" s="688"/>
      <c r="C74" s="42" t="s">
        <v>270</v>
      </c>
      <c r="D74" s="42"/>
      <c r="E74" s="42"/>
      <c r="F74" s="42"/>
      <c r="G74" s="42"/>
      <c r="H74" s="42"/>
      <c r="I74" s="42">
        <v>7039</v>
      </c>
      <c r="J74" s="42">
        <v>7075</v>
      </c>
      <c r="K74" s="25">
        <v>7128</v>
      </c>
      <c r="L74" s="25">
        <v>7141.61</v>
      </c>
      <c r="M74" s="115">
        <v>7157.02</v>
      </c>
      <c r="N74" s="25">
        <v>7157</v>
      </c>
      <c r="O74" s="490"/>
      <c r="P74" s="551">
        <f t="shared" si="23"/>
        <v>7157</v>
      </c>
      <c r="S74" s="489"/>
    </row>
    <row r="75" spans="1:19" ht="12.75">
      <c r="A75" s="661"/>
      <c r="B75" s="688"/>
      <c r="C75" s="42" t="s">
        <v>271</v>
      </c>
      <c r="D75" s="42"/>
      <c r="E75" s="42"/>
      <c r="F75" s="42"/>
      <c r="G75" s="42"/>
      <c r="H75" s="42"/>
      <c r="I75" s="42">
        <v>10058</v>
      </c>
      <c r="J75" s="42">
        <v>10551</v>
      </c>
      <c r="K75" s="25">
        <v>6336</v>
      </c>
      <c r="L75" s="25">
        <v>5427.66</v>
      </c>
      <c r="M75" s="115">
        <v>4327.68</v>
      </c>
      <c r="N75" s="25">
        <v>7000</v>
      </c>
      <c r="O75" s="494"/>
      <c r="P75" s="495">
        <f t="shared" si="23"/>
        <v>7000</v>
      </c>
      <c r="S75" s="489"/>
    </row>
    <row r="76" spans="1:19" ht="12.75">
      <c r="A76" s="661"/>
      <c r="B76" s="688"/>
      <c r="C76" s="42" t="s">
        <v>272</v>
      </c>
      <c r="D76" s="42"/>
      <c r="E76" s="42"/>
      <c r="F76" s="42"/>
      <c r="G76" s="42"/>
      <c r="H76" s="42"/>
      <c r="I76" s="42">
        <v>83191</v>
      </c>
      <c r="J76" s="42">
        <v>97555</v>
      </c>
      <c r="K76" s="25">
        <v>85709</v>
      </c>
      <c r="L76" s="25">
        <v>73418.71</v>
      </c>
      <c r="M76" s="115">
        <v>58497.09</v>
      </c>
      <c r="N76" s="25">
        <v>55224</v>
      </c>
      <c r="O76" s="494"/>
      <c r="P76" s="495">
        <f t="shared" si="23"/>
        <v>55224</v>
      </c>
      <c r="S76" s="489"/>
    </row>
    <row r="77" spans="1:19" ht="12.75">
      <c r="A77" s="661"/>
      <c r="B77" s="688"/>
      <c r="C77" s="42" t="s">
        <v>273</v>
      </c>
      <c r="D77" s="42"/>
      <c r="E77" s="42"/>
      <c r="F77" s="42"/>
      <c r="G77" s="42"/>
      <c r="H77" s="42"/>
      <c r="I77" s="42">
        <v>25474</v>
      </c>
      <c r="J77" s="42">
        <v>22043</v>
      </c>
      <c r="K77" s="25">
        <f>1699+18018</f>
        <v>19717</v>
      </c>
      <c r="L77" s="25">
        <v>29033.54</v>
      </c>
      <c r="M77" s="115">
        <v>25989.77</v>
      </c>
      <c r="N77" s="25">
        <v>56442</v>
      </c>
      <c r="O77" s="490"/>
      <c r="P77" s="551">
        <f t="shared" si="23"/>
        <v>56442</v>
      </c>
      <c r="S77" s="489"/>
    </row>
    <row r="78" spans="1:19" ht="12.75">
      <c r="A78" s="661"/>
      <c r="B78" s="688"/>
      <c r="C78" s="42" t="s">
        <v>274</v>
      </c>
      <c r="D78" s="42"/>
      <c r="E78" s="42"/>
      <c r="F78" s="42"/>
      <c r="G78" s="42"/>
      <c r="H78" s="42"/>
      <c r="I78" s="42">
        <v>1008</v>
      </c>
      <c r="J78" s="42">
        <v>1008</v>
      </c>
      <c r="K78" s="25">
        <v>995</v>
      </c>
      <c r="L78" s="25">
        <v>836.54</v>
      </c>
      <c r="M78" s="115">
        <v>838.04</v>
      </c>
      <c r="N78" s="25">
        <v>640</v>
      </c>
      <c r="O78" s="490"/>
      <c r="P78" s="551">
        <f t="shared" si="23"/>
        <v>640</v>
      </c>
      <c r="S78" s="489"/>
    </row>
    <row r="79" spans="1:19" ht="12.75">
      <c r="A79" s="661"/>
      <c r="B79" s="688"/>
      <c r="C79" s="42" t="s">
        <v>275</v>
      </c>
      <c r="D79" s="42"/>
      <c r="E79" s="42"/>
      <c r="F79" s="42"/>
      <c r="G79" s="42"/>
      <c r="H79" s="42"/>
      <c r="I79" s="42">
        <v>1487</v>
      </c>
      <c r="J79" s="42">
        <v>1415</v>
      </c>
      <c r="K79" s="25">
        <v>1362</v>
      </c>
      <c r="L79" s="25">
        <v>1386.9</v>
      </c>
      <c r="M79" s="115">
        <v>1388.19</v>
      </c>
      <c r="N79" s="25">
        <v>1388</v>
      </c>
      <c r="O79" s="490"/>
      <c r="P79" s="551">
        <f t="shared" si="23"/>
        <v>1388</v>
      </c>
      <c r="S79" s="489"/>
    </row>
    <row r="80" spans="1:19" ht="12.75">
      <c r="A80" s="661"/>
      <c r="B80" s="688"/>
      <c r="C80" s="42" t="s">
        <v>276</v>
      </c>
      <c r="D80" s="42"/>
      <c r="E80" s="42"/>
      <c r="F80" s="42"/>
      <c r="G80" s="42"/>
      <c r="H80" s="42"/>
      <c r="I80" s="42">
        <v>46640</v>
      </c>
      <c r="J80" s="42">
        <v>26998</v>
      </c>
      <c r="K80" s="25">
        <v>72974</v>
      </c>
      <c r="L80" s="25">
        <v>59711.85</v>
      </c>
      <c r="M80" s="115">
        <v>88644.08</v>
      </c>
      <c r="N80" s="25"/>
      <c r="O80" s="490"/>
      <c r="P80" s="551">
        <f t="shared" si="23"/>
        <v>0</v>
      </c>
      <c r="S80" s="489"/>
    </row>
    <row r="81" spans="1:19" ht="12.75">
      <c r="A81" s="661"/>
      <c r="B81" s="688"/>
      <c r="C81" s="42" t="s">
        <v>277</v>
      </c>
      <c r="D81" s="42"/>
      <c r="E81" s="42"/>
      <c r="F81" s="42"/>
      <c r="G81" s="42"/>
      <c r="H81" s="42"/>
      <c r="I81" s="42">
        <v>4903</v>
      </c>
      <c r="J81" s="42">
        <v>4921</v>
      </c>
      <c r="K81" s="25">
        <v>4883</v>
      </c>
      <c r="L81" s="25">
        <v>4883.67</v>
      </c>
      <c r="M81" s="115">
        <v>4892.91</v>
      </c>
      <c r="N81" s="25">
        <v>4893</v>
      </c>
      <c r="O81" s="490"/>
      <c r="P81" s="551">
        <f t="shared" si="23"/>
        <v>4893</v>
      </c>
      <c r="S81" s="489"/>
    </row>
    <row r="82" spans="1:19" ht="12.75">
      <c r="A82" s="661"/>
      <c r="B82" s="688"/>
      <c r="C82" s="42" t="s">
        <v>278</v>
      </c>
      <c r="D82" s="42"/>
      <c r="E82" s="42"/>
      <c r="F82" s="42"/>
      <c r="G82" s="42"/>
      <c r="H82" s="42"/>
      <c r="I82" s="42">
        <v>4172</v>
      </c>
      <c r="J82" s="42">
        <v>4305</v>
      </c>
      <c r="K82" s="25">
        <v>4445</v>
      </c>
      <c r="L82" s="25">
        <v>4634.95</v>
      </c>
      <c r="M82" s="115">
        <v>5001.36</v>
      </c>
      <c r="N82" s="25">
        <v>5331</v>
      </c>
      <c r="O82" s="593"/>
      <c r="P82" s="551">
        <f t="shared" si="23"/>
        <v>5331</v>
      </c>
      <c r="S82" s="489"/>
    </row>
    <row r="83" spans="1:19" ht="12.75">
      <c r="A83" s="661"/>
      <c r="B83" s="688"/>
      <c r="C83" s="42" t="s">
        <v>447</v>
      </c>
      <c r="D83" s="42"/>
      <c r="E83" s="42"/>
      <c r="F83" s="42"/>
      <c r="G83" s="42"/>
      <c r="H83" s="42"/>
      <c r="I83" s="42"/>
      <c r="J83" s="42"/>
      <c r="K83" s="25"/>
      <c r="L83" s="25"/>
      <c r="M83" s="115"/>
      <c r="N83" s="25"/>
      <c r="O83" s="593">
        <v>4700</v>
      </c>
      <c r="P83" s="551">
        <f t="shared" si="23"/>
        <v>4700</v>
      </c>
      <c r="S83" s="489"/>
    </row>
    <row r="84" spans="1:19" ht="12.75">
      <c r="A84" s="661"/>
      <c r="B84" s="688"/>
      <c r="C84" s="42" t="s">
        <v>279</v>
      </c>
      <c r="D84" s="42"/>
      <c r="E84" s="42"/>
      <c r="F84" s="42"/>
      <c r="G84" s="42"/>
      <c r="H84" s="42"/>
      <c r="I84" s="42">
        <v>13965</v>
      </c>
      <c r="J84" s="42">
        <v>20215</v>
      </c>
      <c r="K84" s="25">
        <f>2614+9370+2952+12392</f>
        <v>27328</v>
      </c>
      <c r="L84" s="25">
        <v>18845.33</v>
      </c>
      <c r="M84" s="115">
        <v>25120.019999999997</v>
      </c>
      <c r="N84" s="25">
        <v>32793</v>
      </c>
      <c r="O84" s="593"/>
      <c r="P84" s="551">
        <f t="shared" si="23"/>
        <v>32793</v>
      </c>
      <c r="S84" s="489"/>
    </row>
    <row r="85" spans="1:19" ht="12.75">
      <c r="A85" s="661"/>
      <c r="B85" s="688"/>
      <c r="C85" s="42" t="s">
        <v>36</v>
      </c>
      <c r="D85" s="42"/>
      <c r="E85" s="42"/>
      <c r="F85" s="42"/>
      <c r="G85" s="42"/>
      <c r="H85" s="42"/>
      <c r="I85" s="42"/>
      <c r="J85" s="42"/>
      <c r="K85" s="25"/>
      <c r="L85" s="25"/>
      <c r="M85" s="206">
        <v>4039</v>
      </c>
      <c r="N85" s="25">
        <v>29767</v>
      </c>
      <c r="O85" s="494"/>
      <c r="P85" s="495">
        <f t="shared" si="23"/>
        <v>29767</v>
      </c>
      <c r="S85" s="489"/>
    </row>
    <row r="86" spans="1:19" ht="12.75" hidden="1">
      <c r="A86" s="661"/>
      <c r="B86" s="688"/>
      <c r="C86" s="42" t="s">
        <v>280</v>
      </c>
      <c r="D86" s="42"/>
      <c r="E86" s="42"/>
      <c r="F86" s="42"/>
      <c r="G86" s="42"/>
      <c r="H86" s="42"/>
      <c r="I86" s="42"/>
      <c r="J86" s="42">
        <v>100000</v>
      </c>
      <c r="K86" s="25"/>
      <c r="L86" s="25"/>
      <c r="M86" s="25"/>
      <c r="N86" s="25">
        <v>0</v>
      </c>
      <c r="O86" s="491"/>
      <c r="P86" s="495">
        <f t="shared" si="23"/>
        <v>0</v>
      </c>
      <c r="S86" s="489"/>
    </row>
    <row r="87" spans="1:19" ht="12.75" hidden="1">
      <c r="A87" s="661"/>
      <c r="B87" s="688"/>
      <c r="C87" s="57" t="s">
        <v>281</v>
      </c>
      <c r="D87" s="57"/>
      <c r="E87" s="57"/>
      <c r="F87" s="57"/>
      <c r="G87" s="57"/>
      <c r="H87" s="57"/>
      <c r="I87" s="57"/>
      <c r="J87" s="57"/>
      <c r="K87" s="25">
        <v>11061</v>
      </c>
      <c r="L87" s="25"/>
      <c r="M87" s="25"/>
      <c r="N87" s="25">
        <v>0</v>
      </c>
      <c r="O87" s="491"/>
      <c r="P87" s="495">
        <f t="shared" si="23"/>
        <v>0</v>
      </c>
      <c r="S87" s="489"/>
    </row>
    <row r="88" spans="1:19" ht="12.75">
      <c r="A88" s="661"/>
      <c r="B88" s="688"/>
      <c r="C88" s="57" t="s">
        <v>428</v>
      </c>
      <c r="D88" s="57"/>
      <c r="E88" s="57"/>
      <c r="F88" s="57"/>
      <c r="G88" s="57"/>
      <c r="H88" s="57"/>
      <c r="I88" s="57"/>
      <c r="J88" s="57"/>
      <c r="K88" s="25"/>
      <c r="L88" s="25">
        <v>35000</v>
      </c>
      <c r="M88" s="25"/>
      <c r="N88" s="25">
        <v>73000</v>
      </c>
      <c r="O88" s="494"/>
      <c r="P88" s="495">
        <f t="shared" si="23"/>
        <v>73000</v>
      </c>
      <c r="S88" s="489"/>
    </row>
    <row r="89" spans="1:19" ht="12.75">
      <c r="A89" s="661"/>
      <c r="B89" s="688"/>
      <c r="C89" s="57" t="s">
        <v>282</v>
      </c>
      <c r="D89" s="57"/>
      <c r="E89" s="57"/>
      <c r="F89" s="57"/>
      <c r="G89" s="57"/>
      <c r="H89" s="57"/>
      <c r="I89" s="57"/>
      <c r="J89" s="57"/>
      <c r="K89" s="25"/>
      <c r="L89" s="25">
        <v>149100</v>
      </c>
      <c r="M89" s="206">
        <v>108000</v>
      </c>
      <c r="N89" s="25">
        <v>0</v>
      </c>
      <c r="O89" s="491"/>
      <c r="P89" s="495">
        <f t="shared" si="23"/>
        <v>0</v>
      </c>
      <c r="S89" s="489"/>
    </row>
    <row r="90" spans="1:19" ht="12.75">
      <c r="A90" s="661"/>
      <c r="B90" s="688"/>
      <c r="C90" s="42" t="s">
        <v>421</v>
      </c>
      <c r="D90" s="42"/>
      <c r="E90" s="42"/>
      <c r="F90" s="42"/>
      <c r="G90" s="42"/>
      <c r="H90" s="42"/>
      <c r="I90" s="42">
        <v>119232</v>
      </c>
      <c r="J90" s="42">
        <f>30008+30023</f>
        <v>60031</v>
      </c>
      <c r="K90" s="25"/>
      <c r="L90" s="25"/>
      <c r="M90" s="206"/>
      <c r="N90" s="25">
        <v>13000</v>
      </c>
      <c r="O90" s="494"/>
      <c r="P90" s="495">
        <f t="shared" si="23"/>
        <v>13000</v>
      </c>
      <c r="S90" s="489"/>
    </row>
    <row r="91" spans="1:19" ht="12.75">
      <c r="A91" s="661"/>
      <c r="B91" s="688"/>
      <c r="C91" s="42" t="s">
        <v>441</v>
      </c>
      <c r="D91" s="42"/>
      <c r="E91" s="42"/>
      <c r="F91" s="42"/>
      <c r="G91" s="42"/>
      <c r="H91" s="42"/>
      <c r="I91" s="42"/>
      <c r="J91" s="42">
        <v>40000</v>
      </c>
      <c r="K91" s="25"/>
      <c r="L91" s="25"/>
      <c r="M91" s="206"/>
      <c r="N91" s="25">
        <v>11058</v>
      </c>
      <c r="O91" s="494"/>
      <c r="P91" s="495">
        <f t="shared" si="23"/>
        <v>11058</v>
      </c>
      <c r="S91" s="489"/>
    </row>
    <row r="92" spans="1:19" ht="12.75">
      <c r="A92" s="661"/>
      <c r="B92" s="688"/>
      <c r="C92" s="42" t="s">
        <v>283</v>
      </c>
      <c r="D92" s="42"/>
      <c r="E92" s="42"/>
      <c r="F92" s="42"/>
      <c r="G92" s="42"/>
      <c r="H92" s="42"/>
      <c r="I92" s="42"/>
      <c r="J92" s="42">
        <v>85385</v>
      </c>
      <c r="K92" s="25">
        <v>389162</v>
      </c>
      <c r="L92" s="25"/>
      <c r="M92" s="115">
        <v>298131.35</v>
      </c>
      <c r="N92" s="25">
        <v>192900</v>
      </c>
      <c r="O92" s="494"/>
      <c r="P92" s="495">
        <f t="shared" si="23"/>
        <v>192900</v>
      </c>
      <c r="S92" s="489"/>
    </row>
    <row r="93" spans="1:19" ht="12.75">
      <c r="A93" s="661"/>
      <c r="B93" s="688"/>
      <c r="C93" s="42" t="s">
        <v>284</v>
      </c>
      <c r="D93" s="42"/>
      <c r="E93" s="42"/>
      <c r="F93" s="42"/>
      <c r="G93" s="42"/>
      <c r="H93" s="42"/>
      <c r="I93" s="42"/>
      <c r="J93" s="42"/>
      <c r="K93" s="25">
        <v>6226</v>
      </c>
      <c r="L93" s="25"/>
      <c r="M93" s="25"/>
      <c r="N93" s="25">
        <v>4500</v>
      </c>
      <c r="O93" s="494"/>
      <c r="P93" s="495">
        <f t="shared" si="23"/>
        <v>4500</v>
      </c>
      <c r="S93" s="489"/>
    </row>
    <row r="94" spans="1:19" ht="12.75" hidden="1">
      <c r="A94" s="661"/>
      <c r="B94" s="688"/>
      <c r="C94" s="42" t="s">
        <v>285</v>
      </c>
      <c r="D94" s="42"/>
      <c r="E94" s="42"/>
      <c r="F94" s="42"/>
      <c r="G94" s="42"/>
      <c r="H94" s="42"/>
      <c r="I94" s="42">
        <v>3534</v>
      </c>
      <c r="J94" s="42">
        <v>4595</v>
      </c>
      <c r="K94" s="25">
        <v>1120</v>
      </c>
      <c r="L94" s="25"/>
      <c r="M94" s="25"/>
      <c r="N94" s="25">
        <v>0</v>
      </c>
      <c r="O94" s="494"/>
      <c r="P94" s="495">
        <f t="shared" si="23"/>
        <v>0</v>
      </c>
      <c r="S94" s="489"/>
    </row>
    <row r="95" spans="1:19" ht="12.75" hidden="1">
      <c r="A95" s="661"/>
      <c r="B95" s="688"/>
      <c r="C95" s="42" t="s">
        <v>286</v>
      </c>
      <c r="D95" s="42"/>
      <c r="E95" s="42"/>
      <c r="F95" s="42"/>
      <c r="G95" s="42"/>
      <c r="H95" s="42"/>
      <c r="I95" s="42"/>
      <c r="J95" s="42"/>
      <c r="K95" s="25">
        <v>73802</v>
      </c>
      <c r="L95" s="25"/>
      <c r="M95" s="25"/>
      <c r="N95" s="25">
        <v>0</v>
      </c>
      <c r="O95" s="494"/>
      <c r="P95" s="495">
        <f t="shared" si="23"/>
        <v>0</v>
      </c>
      <c r="S95" s="489"/>
    </row>
    <row r="96" spans="1:19" ht="12.75" hidden="1">
      <c r="A96" s="661"/>
      <c r="B96" s="688"/>
      <c r="C96" s="42" t="s">
        <v>287</v>
      </c>
      <c r="D96" s="42"/>
      <c r="E96" s="42"/>
      <c r="F96" s="42"/>
      <c r="G96" s="42"/>
      <c r="H96" s="42"/>
      <c r="I96" s="42"/>
      <c r="J96" s="42">
        <v>18000</v>
      </c>
      <c r="K96" s="25"/>
      <c r="L96" s="25"/>
      <c r="M96" s="25"/>
      <c r="N96" s="25">
        <v>0</v>
      </c>
      <c r="O96" s="494"/>
      <c r="P96" s="495">
        <f t="shared" si="23"/>
        <v>0</v>
      </c>
      <c r="S96" s="489"/>
    </row>
    <row r="97" spans="1:19" ht="12.75" hidden="1">
      <c r="A97" s="661"/>
      <c r="B97" s="688"/>
      <c r="C97" s="42" t="s">
        <v>288</v>
      </c>
      <c r="D97" s="42"/>
      <c r="E97" s="42"/>
      <c r="F97" s="42"/>
      <c r="G97" s="42"/>
      <c r="H97" s="42"/>
      <c r="I97" s="42"/>
      <c r="J97" s="42"/>
      <c r="K97" s="25"/>
      <c r="L97" s="25"/>
      <c r="M97" s="96"/>
      <c r="N97" s="97">
        <v>0</v>
      </c>
      <c r="O97" s="494"/>
      <c r="P97" s="495">
        <f t="shared" si="23"/>
        <v>0</v>
      </c>
      <c r="S97" s="489"/>
    </row>
    <row r="98" spans="1:19" ht="12.75" hidden="1">
      <c r="A98" s="661"/>
      <c r="B98" s="688"/>
      <c r="C98" s="42" t="s">
        <v>289</v>
      </c>
      <c r="D98" s="42"/>
      <c r="E98" s="42"/>
      <c r="F98" s="42"/>
      <c r="G98" s="42"/>
      <c r="H98" s="42"/>
      <c r="I98" s="42"/>
      <c r="J98" s="42"/>
      <c r="K98" s="25"/>
      <c r="L98" s="25"/>
      <c r="M98" s="97"/>
      <c r="N98" s="97">
        <v>0</v>
      </c>
      <c r="O98" s="494"/>
      <c r="P98" s="495">
        <f t="shared" si="23"/>
        <v>0</v>
      </c>
      <c r="S98" s="489"/>
    </row>
    <row r="99" spans="1:19" ht="12.75" hidden="1">
      <c r="A99" s="661"/>
      <c r="B99" s="688"/>
      <c r="C99" s="42" t="s">
        <v>290</v>
      </c>
      <c r="D99" s="42"/>
      <c r="E99" s="42"/>
      <c r="F99" s="42"/>
      <c r="G99" s="42"/>
      <c r="H99" s="42"/>
      <c r="I99" s="42"/>
      <c r="J99" s="42"/>
      <c r="K99" s="25"/>
      <c r="L99" s="25"/>
      <c r="M99" s="25"/>
      <c r="N99" s="25">
        <v>0</v>
      </c>
      <c r="O99" s="494"/>
      <c r="P99" s="495">
        <f t="shared" si="23"/>
        <v>0</v>
      </c>
      <c r="S99" s="489"/>
    </row>
    <row r="100" spans="1:19" ht="12.75" hidden="1">
      <c r="A100" s="661"/>
      <c r="B100" s="688"/>
      <c r="C100" s="42" t="s">
        <v>291</v>
      </c>
      <c r="D100" s="42"/>
      <c r="E100" s="42"/>
      <c r="F100" s="42"/>
      <c r="G100" s="42"/>
      <c r="H100" s="42"/>
      <c r="I100" s="42">
        <v>165906</v>
      </c>
      <c r="J100" s="42"/>
      <c r="K100" s="25">
        <v>0</v>
      </c>
      <c r="L100" s="25"/>
      <c r="M100" s="25"/>
      <c r="N100" s="25">
        <v>0</v>
      </c>
      <c r="O100" s="494"/>
      <c r="P100" s="495">
        <f t="shared" si="23"/>
        <v>0</v>
      </c>
      <c r="S100" s="489"/>
    </row>
    <row r="101" spans="1:19" ht="12.75">
      <c r="A101" s="661"/>
      <c r="B101" s="688"/>
      <c r="C101" s="19" t="s">
        <v>437</v>
      </c>
      <c r="D101" s="46"/>
      <c r="E101" s="46"/>
      <c r="F101" s="46"/>
      <c r="G101" s="46"/>
      <c r="H101" s="46"/>
      <c r="I101" s="46"/>
      <c r="J101" s="46"/>
      <c r="K101" s="25"/>
      <c r="L101" s="25"/>
      <c r="M101" s="25"/>
      <c r="N101" s="25">
        <v>80000</v>
      </c>
      <c r="O101" s="494"/>
      <c r="P101" s="495">
        <f t="shared" si="23"/>
        <v>80000</v>
      </c>
      <c r="S101" s="489"/>
    </row>
    <row r="102" spans="1:19" ht="13.5" thickBot="1">
      <c r="A102" s="661"/>
      <c r="B102" s="688"/>
      <c r="C102" s="45" t="s">
        <v>293</v>
      </c>
      <c r="D102" s="46"/>
      <c r="E102" s="46"/>
      <c r="F102" s="46"/>
      <c r="G102" s="46"/>
      <c r="H102" s="46"/>
      <c r="I102" s="46">
        <v>117128</v>
      </c>
      <c r="J102" s="46">
        <v>59866</v>
      </c>
      <c r="K102" s="25">
        <v>366191</v>
      </c>
      <c r="L102" s="25"/>
      <c r="M102" s="206">
        <v>174235.13999999966</v>
      </c>
      <c r="N102" s="25"/>
      <c r="O102" s="492"/>
      <c r="P102" s="552">
        <f t="shared" si="23"/>
        <v>0</v>
      </c>
      <c r="S102" s="489"/>
    </row>
    <row r="103" spans="1:19" ht="15.75" thickBot="1">
      <c r="A103" s="31">
        <v>330</v>
      </c>
      <c r="B103" s="669" t="s">
        <v>294</v>
      </c>
      <c r="C103" s="686"/>
      <c r="D103" s="66">
        <f>D104</f>
        <v>0</v>
      </c>
      <c r="E103" s="66">
        <f>E104</f>
        <v>0</v>
      </c>
      <c r="F103" s="66">
        <f>F104</f>
        <v>0</v>
      </c>
      <c r="G103" s="66">
        <f>G104</f>
        <v>0</v>
      </c>
      <c r="H103" s="66">
        <f>H104</f>
        <v>21047</v>
      </c>
      <c r="I103" s="66">
        <f aca="true" t="shared" si="24" ref="I103:N104">I104</f>
        <v>28355</v>
      </c>
      <c r="J103" s="66">
        <f t="shared" si="24"/>
        <v>39058</v>
      </c>
      <c r="K103" s="66">
        <f t="shared" si="24"/>
        <v>9516</v>
      </c>
      <c r="L103" s="66">
        <f t="shared" si="24"/>
        <v>0</v>
      </c>
      <c r="M103" s="66">
        <f t="shared" si="24"/>
        <v>0</v>
      </c>
      <c r="N103" s="108">
        <f t="shared" si="24"/>
        <v>0</v>
      </c>
      <c r="O103" s="493"/>
      <c r="P103" s="588"/>
      <c r="S103" s="489"/>
    </row>
    <row r="104" spans="1:19" ht="13.5" thickBot="1">
      <c r="A104" s="658"/>
      <c r="B104" s="60">
        <v>331</v>
      </c>
      <c r="C104" s="61" t="s">
        <v>295</v>
      </c>
      <c r="D104" s="61"/>
      <c r="E104" s="61">
        <v>0</v>
      </c>
      <c r="F104" s="61">
        <v>0</v>
      </c>
      <c r="G104" s="61">
        <v>0</v>
      </c>
      <c r="H104" s="61">
        <v>21047</v>
      </c>
      <c r="I104" s="63">
        <f t="shared" si="24"/>
        <v>28355</v>
      </c>
      <c r="J104" s="63">
        <f t="shared" si="24"/>
        <v>39058</v>
      </c>
      <c r="K104" s="63">
        <f t="shared" si="24"/>
        <v>9516</v>
      </c>
      <c r="L104" s="99"/>
      <c r="M104" s="99"/>
      <c r="N104" s="99"/>
      <c r="O104" s="493"/>
      <c r="P104" s="588"/>
      <c r="S104" s="489"/>
    </row>
    <row r="105" spans="1:19" ht="13.5" thickBot="1">
      <c r="A105" s="661"/>
      <c r="B105" s="39"/>
      <c r="C105" s="100" t="s">
        <v>285</v>
      </c>
      <c r="D105" s="100"/>
      <c r="E105" s="100"/>
      <c r="F105" s="100"/>
      <c r="G105" s="100"/>
      <c r="H105" s="100">
        <v>21047</v>
      </c>
      <c r="I105" s="100">
        <v>28355</v>
      </c>
      <c r="J105" s="100">
        <v>39058</v>
      </c>
      <c r="K105" s="101">
        <v>9516</v>
      </c>
      <c r="L105" s="69"/>
      <c r="M105" s="69"/>
      <c r="N105" s="69"/>
      <c r="O105" s="496"/>
      <c r="P105" s="589"/>
      <c r="S105" s="489"/>
    </row>
    <row r="106" spans="1:19" ht="17.25" thickBot="1" thickTop="1">
      <c r="A106" s="683" t="s">
        <v>296</v>
      </c>
      <c r="B106" s="684"/>
      <c r="C106" s="685"/>
      <c r="D106" s="102">
        <f aca="true" t="shared" si="25" ref="D106:M106">D5+D26+D65</f>
        <v>7125871</v>
      </c>
      <c r="E106" s="102">
        <f t="shared" si="25"/>
        <v>7561840</v>
      </c>
      <c r="F106" s="102">
        <f t="shared" si="25"/>
        <v>9082354</v>
      </c>
      <c r="G106" s="102">
        <f t="shared" si="25"/>
        <v>9080838</v>
      </c>
      <c r="H106" s="102">
        <f t="shared" si="25"/>
        <v>8537685</v>
      </c>
      <c r="I106" s="102">
        <f t="shared" si="25"/>
        <v>9096722</v>
      </c>
      <c r="J106" s="102">
        <f t="shared" si="25"/>
        <v>9201831</v>
      </c>
      <c r="K106" s="102">
        <f t="shared" si="25"/>
        <v>9722622</v>
      </c>
      <c r="L106" s="102">
        <f t="shared" si="25"/>
        <v>9640328.239999998</v>
      </c>
      <c r="M106" s="602">
        <f t="shared" si="25"/>
        <v>10178626.01</v>
      </c>
      <c r="N106" s="479">
        <f>N65+N26+N5</f>
        <v>10158585</v>
      </c>
      <c r="O106" s="479">
        <f>O65+O26+O5</f>
        <v>30383</v>
      </c>
      <c r="P106" s="547">
        <f>P65+P26+P5</f>
        <v>10188968</v>
      </c>
      <c r="S106" s="489"/>
    </row>
    <row r="107" ht="13.5" thickTop="1"/>
    <row r="111" ht="12.75">
      <c r="M111" s="489"/>
    </row>
  </sheetData>
  <sheetProtection/>
  <mergeCells count="47">
    <mergeCell ref="I3:I4"/>
    <mergeCell ref="B12:C12"/>
    <mergeCell ref="N3:N4"/>
    <mergeCell ref="K3:K4"/>
    <mergeCell ref="L3:L4"/>
    <mergeCell ref="H3:H4"/>
    <mergeCell ref="M3:M4"/>
    <mergeCell ref="C3:C4"/>
    <mergeCell ref="J3:J4"/>
    <mergeCell ref="F3:F4"/>
    <mergeCell ref="B7:B11"/>
    <mergeCell ref="B5:C5"/>
    <mergeCell ref="B6:C6"/>
    <mergeCell ref="B45:B54"/>
    <mergeCell ref="B19:B25"/>
    <mergeCell ref="B17:C17"/>
    <mergeCell ref="B26:C26"/>
    <mergeCell ref="G3:G4"/>
    <mergeCell ref="A3:A4"/>
    <mergeCell ref="B3:B4"/>
    <mergeCell ref="A106:C106"/>
    <mergeCell ref="B66:C66"/>
    <mergeCell ref="A67:A102"/>
    <mergeCell ref="B70:B102"/>
    <mergeCell ref="B103:C103"/>
    <mergeCell ref="B65:C65"/>
    <mergeCell ref="A7:A11"/>
    <mergeCell ref="P3:P4"/>
    <mergeCell ref="A104:A105"/>
    <mergeCell ref="B57:C57"/>
    <mergeCell ref="B59:C59"/>
    <mergeCell ref="A60:A64"/>
    <mergeCell ref="B61:B64"/>
    <mergeCell ref="A18:A25"/>
    <mergeCell ref="B14:B16"/>
    <mergeCell ref="D3:D4"/>
    <mergeCell ref="E3:E4"/>
    <mergeCell ref="A2:P2"/>
    <mergeCell ref="A1:P1"/>
    <mergeCell ref="A13:A16"/>
    <mergeCell ref="A40:A56"/>
    <mergeCell ref="A28:A38"/>
    <mergeCell ref="B29:B31"/>
    <mergeCell ref="B33:B38"/>
    <mergeCell ref="B39:C39"/>
    <mergeCell ref="B27:C27"/>
    <mergeCell ref="B41:B43"/>
  </mergeCells>
  <printOptions/>
  <pageMargins left="0.15748031496062992" right="0.11811023622047245" top="0.1968503937007874" bottom="0.2362204724409449" header="0.11811023622047245" footer="0.15748031496062992"/>
  <pageSetup horizontalDpi="600" verticalDpi="600" orientation="portrait" paperSize="9" scale="90" r:id="rId1"/>
  <rowBreaks count="1" manualBreakCount="1">
    <brk id="64" max="255" man="1"/>
  </rowBreaks>
  <ignoredErrors>
    <ignoredError sqref="N103:N104 N57:N58 N39:N40 N44 N55 N27:N30 N65:N67 N17 P32 P44 P55:P64 P65:P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W243"/>
  <sheetViews>
    <sheetView zoomScalePageLayoutView="0" workbookViewId="0" topLeftCell="A168">
      <selection activeCell="Q202" sqref="Q202"/>
    </sheetView>
  </sheetViews>
  <sheetFormatPr defaultColWidth="9.140625" defaultRowHeight="12.75"/>
  <cols>
    <col min="1" max="1" width="10.421875" style="553" customWidth="1"/>
    <col min="2" max="2" width="8.00390625" style="553" customWidth="1"/>
    <col min="3" max="3" width="32.57421875" style="553" customWidth="1"/>
    <col min="4" max="11" width="10.57421875" style="553" hidden="1" customWidth="1"/>
    <col min="12" max="12" width="13.421875" style="553" hidden="1" customWidth="1"/>
    <col min="13" max="13" width="14.57421875" style="586" customWidth="1"/>
    <col min="14" max="14" width="12.140625" style="553" customWidth="1"/>
    <col min="15" max="16" width="10.8515625" style="553" customWidth="1"/>
    <col min="17" max="17" width="11.421875" style="553" customWidth="1"/>
    <col min="18" max="18" width="9.140625" style="553" customWidth="1"/>
    <col min="19" max="22" width="9.00390625" style="553" customWidth="1"/>
    <col min="23" max="16384" width="9.140625" style="553" customWidth="1"/>
  </cols>
  <sheetData>
    <row r="1" spans="1:17" ht="13.5" thickBot="1">
      <c r="A1" s="704" t="s">
        <v>16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</row>
    <row r="2" spans="1:17" ht="14.25" customHeight="1" thickBot="1" thickTop="1">
      <c r="A2" s="743" t="s">
        <v>139</v>
      </c>
      <c r="B2" s="747" t="s">
        <v>199</v>
      </c>
      <c r="C2" s="749" t="s">
        <v>140</v>
      </c>
      <c r="D2" s="677" t="s">
        <v>297</v>
      </c>
      <c r="E2" s="677" t="s">
        <v>298</v>
      </c>
      <c r="F2" s="677" t="s">
        <v>299</v>
      </c>
      <c r="G2" s="677" t="s">
        <v>300</v>
      </c>
      <c r="H2" s="677" t="s">
        <v>301</v>
      </c>
      <c r="I2" s="677" t="s">
        <v>206</v>
      </c>
      <c r="J2" s="677" t="s">
        <v>207</v>
      </c>
      <c r="K2" s="677" t="s">
        <v>208</v>
      </c>
      <c r="L2" s="677" t="s">
        <v>209</v>
      </c>
      <c r="M2" s="701" t="s">
        <v>434</v>
      </c>
      <c r="N2" s="677" t="s">
        <v>413</v>
      </c>
      <c r="O2" s="751" t="s">
        <v>445</v>
      </c>
      <c r="P2" s="751"/>
      <c r="Q2" s="671" t="s">
        <v>412</v>
      </c>
    </row>
    <row r="3" spans="1:17" ht="24" customHeight="1" thickBot="1">
      <c r="A3" s="744"/>
      <c r="B3" s="748"/>
      <c r="C3" s="750"/>
      <c r="D3" s="678"/>
      <c r="E3" s="678"/>
      <c r="F3" s="678"/>
      <c r="G3" s="678"/>
      <c r="H3" s="678"/>
      <c r="I3" s="678"/>
      <c r="J3" s="678"/>
      <c r="K3" s="678"/>
      <c r="L3" s="678"/>
      <c r="M3" s="702"/>
      <c r="N3" s="678"/>
      <c r="O3" s="528" t="s">
        <v>62</v>
      </c>
      <c r="P3" s="528" t="s">
        <v>68</v>
      </c>
      <c r="Q3" s="672"/>
    </row>
    <row r="4" spans="1:22" ht="25.5" customHeight="1" thickBot="1" thickTop="1">
      <c r="A4" s="200" t="s">
        <v>69</v>
      </c>
      <c r="B4" s="745" t="s">
        <v>70</v>
      </c>
      <c r="C4" s="746"/>
      <c r="D4" s="201">
        <f>SUM(D5:D8)</f>
        <v>778928</v>
      </c>
      <c r="E4" s="201">
        <f>SUM(E5:E9)</f>
        <v>871108</v>
      </c>
      <c r="F4" s="201">
        <f>SUM(F5:F9)</f>
        <v>1155712</v>
      </c>
      <c r="G4" s="201">
        <f>SUM(G5:G9)</f>
        <v>1166481</v>
      </c>
      <c r="H4" s="201">
        <f aca="true" t="shared" si="0" ref="H4:P4">SUM(H5:H8)</f>
        <v>1147628</v>
      </c>
      <c r="I4" s="201">
        <f t="shared" si="0"/>
        <v>985015</v>
      </c>
      <c r="J4" s="201">
        <f t="shared" si="0"/>
        <v>971730</v>
      </c>
      <c r="K4" s="201">
        <f t="shared" si="0"/>
        <v>883614</v>
      </c>
      <c r="L4" s="202">
        <f t="shared" si="0"/>
        <v>976223.29</v>
      </c>
      <c r="M4" s="202">
        <f t="shared" si="0"/>
        <v>957107.49</v>
      </c>
      <c r="N4" s="554">
        <f t="shared" si="0"/>
        <v>994377</v>
      </c>
      <c r="O4" s="481">
        <f t="shared" si="0"/>
        <v>0</v>
      </c>
      <c r="P4" s="481">
        <f t="shared" si="0"/>
        <v>0</v>
      </c>
      <c r="Q4" s="482">
        <f>SUM(Q5:Q8)</f>
        <v>994377</v>
      </c>
      <c r="T4" s="555"/>
      <c r="V4" s="555"/>
    </row>
    <row r="5" spans="1:22" ht="12.75">
      <c r="A5" s="691"/>
      <c r="B5" s="203">
        <v>610</v>
      </c>
      <c r="C5" s="40" t="s">
        <v>71</v>
      </c>
      <c r="D5" s="41">
        <v>363938</v>
      </c>
      <c r="E5" s="41">
        <v>383290</v>
      </c>
      <c r="F5" s="41">
        <v>452765</v>
      </c>
      <c r="G5" s="41">
        <v>532728</v>
      </c>
      <c r="H5" s="41">
        <v>538578</v>
      </c>
      <c r="I5" s="40">
        <v>504967</v>
      </c>
      <c r="J5" s="41">
        <v>465252</v>
      </c>
      <c r="K5" s="41">
        <v>431649</v>
      </c>
      <c r="L5" s="152">
        <v>437364.06</v>
      </c>
      <c r="M5" s="603">
        <v>454979.56</v>
      </c>
      <c r="N5" s="94">
        <v>497208</v>
      </c>
      <c r="O5" s="557"/>
      <c r="P5" s="557"/>
      <c r="Q5" s="558">
        <f>N5+O5+P5</f>
        <v>497208</v>
      </c>
      <c r="T5" s="555"/>
      <c r="V5" s="555"/>
    </row>
    <row r="6" spans="1:22" ht="12.75">
      <c r="A6" s="692"/>
      <c r="B6" s="205">
        <v>620</v>
      </c>
      <c r="C6" s="42" t="s">
        <v>72</v>
      </c>
      <c r="D6" s="43">
        <v>111465</v>
      </c>
      <c r="E6" s="43">
        <v>132411</v>
      </c>
      <c r="F6" s="43">
        <v>158202</v>
      </c>
      <c r="G6" s="43">
        <v>187864</v>
      </c>
      <c r="H6" s="43">
        <v>188430</v>
      </c>
      <c r="I6" s="42">
        <v>189093</v>
      </c>
      <c r="J6" s="43">
        <v>179953</v>
      </c>
      <c r="K6" s="43">
        <v>175243</v>
      </c>
      <c r="L6" s="115">
        <v>178000.1</v>
      </c>
      <c r="M6" s="604">
        <v>174131.76</v>
      </c>
      <c r="N6" s="25">
        <v>192092</v>
      </c>
      <c r="O6" s="560"/>
      <c r="P6" s="560"/>
      <c r="Q6" s="561">
        <f>N6+O6+P6</f>
        <v>192092</v>
      </c>
      <c r="T6" s="555"/>
      <c r="V6" s="555"/>
    </row>
    <row r="7" spans="1:22" ht="12.75">
      <c r="A7" s="692"/>
      <c r="B7" s="205">
        <v>630</v>
      </c>
      <c r="C7" s="42" t="s">
        <v>73</v>
      </c>
      <c r="D7" s="43">
        <v>303525</v>
      </c>
      <c r="E7" s="43">
        <v>353781</v>
      </c>
      <c r="F7" s="43">
        <v>543916</v>
      </c>
      <c r="G7" s="43">
        <v>395781</v>
      </c>
      <c r="H7" s="43">
        <v>413206</v>
      </c>
      <c r="I7" s="42">
        <v>272860</v>
      </c>
      <c r="J7" s="43">
        <v>302729</v>
      </c>
      <c r="K7" s="43">
        <v>273797</v>
      </c>
      <c r="L7" s="115">
        <v>356359.19</v>
      </c>
      <c r="M7" s="604">
        <v>297179.95</v>
      </c>
      <c r="N7" s="25">
        <v>299080</v>
      </c>
      <c r="O7" s="560"/>
      <c r="P7" s="560"/>
      <c r="Q7" s="561">
        <f>N7+O7+P7</f>
        <v>299080</v>
      </c>
      <c r="T7" s="555"/>
      <c r="V7" s="555"/>
    </row>
    <row r="8" spans="1:22" ht="13.5" thickBot="1">
      <c r="A8" s="692"/>
      <c r="B8" s="205">
        <v>640</v>
      </c>
      <c r="C8" s="42" t="s">
        <v>74</v>
      </c>
      <c r="D8" s="43"/>
      <c r="E8" s="43">
        <v>564</v>
      </c>
      <c r="F8" s="43">
        <v>232</v>
      </c>
      <c r="G8" s="43">
        <v>49367</v>
      </c>
      <c r="H8" s="43">
        <v>7414</v>
      </c>
      <c r="I8" s="42">
        <v>18095</v>
      </c>
      <c r="J8" s="207">
        <v>23796</v>
      </c>
      <c r="K8" s="207">
        <v>2925</v>
      </c>
      <c r="L8" s="208">
        <v>4499.94</v>
      </c>
      <c r="M8" s="605">
        <v>30816.22</v>
      </c>
      <c r="N8" s="25">
        <v>5997</v>
      </c>
      <c r="O8" s="560"/>
      <c r="P8" s="649"/>
      <c r="Q8" s="561">
        <f>N8+O8+P8</f>
        <v>5997</v>
      </c>
      <c r="T8" s="555"/>
      <c r="V8" s="555"/>
    </row>
    <row r="9" spans="1:22" ht="13.5" hidden="1" thickBot="1">
      <c r="A9" s="693"/>
      <c r="B9" s="205">
        <v>650</v>
      </c>
      <c r="C9" s="42"/>
      <c r="D9" s="43"/>
      <c r="E9" s="43">
        <v>1062</v>
      </c>
      <c r="F9" s="43">
        <v>597</v>
      </c>
      <c r="G9" s="43">
        <v>741</v>
      </c>
      <c r="H9" s="43"/>
      <c r="I9" s="209"/>
      <c r="J9" s="209"/>
      <c r="K9" s="209"/>
      <c r="L9" s="210"/>
      <c r="M9" s="336"/>
      <c r="N9" s="76"/>
      <c r="O9" s="563"/>
      <c r="P9" s="563"/>
      <c r="Q9" s="564"/>
      <c r="T9" s="555"/>
      <c r="V9" s="555"/>
    </row>
    <row r="10" spans="1:22" ht="15.75" thickBot="1">
      <c r="A10" s="213" t="s">
        <v>411</v>
      </c>
      <c r="B10" s="670" t="s">
        <v>75</v>
      </c>
      <c r="C10" s="686"/>
      <c r="D10" s="214">
        <v>7269</v>
      </c>
      <c r="E10" s="214">
        <v>6772</v>
      </c>
      <c r="F10" s="214">
        <v>8265</v>
      </c>
      <c r="G10" s="214">
        <v>13828</v>
      </c>
      <c r="H10" s="66">
        <f aca="true" t="shared" si="1" ref="H10:Q10">SUM(H11:H13)</f>
        <v>14882</v>
      </c>
      <c r="I10" s="66">
        <f t="shared" si="1"/>
        <v>14051</v>
      </c>
      <c r="J10" s="66">
        <f t="shared" si="1"/>
        <v>82274</v>
      </c>
      <c r="K10" s="66">
        <f t="shared" si="1"/>
        <v>22548</v>
      </c>
      <c r="L10" s="215">
        <f t="shared" si="1"/>
        <v>18623.79</v>
      </c>
      <c r="M10" s="215">
        <f t="shared" si="1"/>
        <v>22356.78</v>
      </c>
      <c r="N10" s="108">
        <f t="shared" si="1"/>
        <v>16486</v>
      </c>
      <c r="O10" s="445">
        <f t="shared" si="1"/>
        <v>0</v>
      </c>
      <c r="P10" s="445">
        <f t="shared" si="1"/>
        <v>0</v>
      </c>
      <c r="Q10" s="474">
        <f t="shared" si="1"/>
        <v>16486</v>
      </c>
      <c r="T10" s="555"/>
      <c r="V10" s="555"/>
    </row>
    <row r="11" spans="1:22" ht="12.75">
      <c r="A11" s="705"/>
      <c r="B11" s="216">
        <v>630</v>
      </c>
      <c r="C11" s="131" t="s">
        <v>76</v>
      </c>
      <c r="D11" s="217"/>
      <c r="E11" s="217"/>
      <c r="F11" s="217"/>
      <c r="G11" s="217"/>
      <c r="H11" s="217">
        <v>2345</v>
      </c>
      <c r="I11" s="131">
        <v>2324</v>
      </c>
      <c r="J11" s="41">
        <v>1162</v>
      </c>
      <c r="K11" s="41">
        <v>2324</v>
      </c>
      <c r="L11" s="152">
        <v>3486</v>
      </c>
      <c r="M11" s="606">
        <v>2324</v>
      </c>
      <c r="N11" s="144">
        <v>3486</v>
      </c>
      <c r="O11" s="556"/>
      <c r="P11" s="87"/>
      <c r="Q11" s="558">
        <f>N11+O11+P11</f>
        <v>3486</v>
      </c>
      <c r="T11" s="555"/>
      <c r="V11" s="555"/>
    </row>
    <row r="12" spans="1:22" ht="12.75">
      <c r="A12" s="706"/>
      <c r="B12" s="219">
        <v>630</v>
      </c>
      <c r="C12" s="23" t="s">
        <v>77</v>
      </c>
      <c r="D12" s="220"/>
      <c r="E12" s="220"/>
      <c r="F12" s="220"/>
      <c r="G12" s="220"/>
      <c r="H12" s="220">
        <v>12537</v>
      </c>
      <c r="I12" s="23">
        <v>11727</v>
      </c>
      <c r="J12" s="43">
        <v>13096</v>
      </c>
      <c r="K12" s="43">
        <v>9612</v>
      </c>
      <c r="L12" s="115">
        <v>14911.65</v>
      </c>
      <c r="M12" s="607">
        <v>19064.19</v>
      </c>
      <c r="N12" s="24">
        <v>13000</v>
      </c>
      <c r="O12" s="559"/>
      <c r="P12" s="91"/>
      <c r="Q12" s="561">
        <f>N12+O12+P12</f>
        <v>13000</v>
      </c>
      <c r="T12" s="555"/>
      <c r="V12" s="555"/>
    </row>
    <row r="13" spans="1:22" ht="13.5" thickBot="1">
      <c r="A13" s="707"/>
      <c r="B13" s="221">
        <v>630</v>
      </c>
      <c r="C13" s="222" t="s">
        <v>78</v>
      </c>
      <c r="D13" s="223"/>
      <c r="E13" s="223"/>
      <c r="F13" s="223"/>
      <c r="G13" s="223"/>
      <c r="H13" s="223"/>
      <c r="I13" s="222"/>
      <c r="J13" s="43">
        <v>68016</v>
      </c>
      <c r="K13" s="43">
        <v>10612</v>
      </c>
      <c r="L13" s="224">
        <v>226.14</v>
      </c>
      <c r="M13" s="608">
        <v>968.59</v>
      </c>
      <c r="N13" s="28"/>
      <c r="O13" s="563"/>
      <c r="P13" s="563"/>
      <c r="Q13" s="565">
        <f>N13+O13+P13</f>
        <v>0</v>
      </c>
      <c r="T13" s="555"/>
      <c r="V13" s="555"/>
    </row>
    <row r="14" spans="1:22" ht="15.75" thickBot="1">
      <c r="A14" s="213" t="s">
        <v>23</v>
      </c>
      <c r="B14" s="670" t="s">
        <v>79</v>
      </c>
      <c r="C14" s="686"/>
      <c r="D14" s="214">
        <v>20846</v>
      </c>
      <c r="E14" s="214">
        <v>22240</v>
      </c>
      <c r="F14" s="214">
        <v>25427</v>
      </c>
      <c r="G14" s="214">
        <v>26903</v>
      </c>
      <c r="H14" s="66">
        <f>SUM(H15:H17)</f>
        <v>29798</v>
      </c>
      <c r="I14" s="66">
        <f>SUM(I15:I17)</f>
        <v>28936</v>
      </c>
      <c r="J14" s="66">
        <f>SUM(J15:J17)</f>
        <v>27963</v>
      </c>
      <c r="K14" s="66">
        <f>SUM(K15:K18)</f>
        <v>24050</v>
      </c>
      <c r="L14" s="215">
        <f>SUM(L15:L18)</f>
        <v>25050.219999999998</v>
      </c>
      <c r="M14" s="215">
        <f>SUM(M15:M18)</f>
        <v>28488.050000000003</v>
      </c>
      <c r="N14" s="108">
        <v>31067</v>
      </c>
      <c r="O14" s="445">
        <f>SUM(O15:O18)</f>
        <v>0</v>
      </c>
      <c r="P14" s="445">
        <f>SUM(P15:P18)</f>
        <v>0</v>
      </c>
      <c r="Q14" s="474">
        <f>SUM(Q15:Q18)</f>
        <v>31067</v>
      </c>
      <c r="T14" s="555"/>
      <c r="V14" s="555"/>
    </row>
    <row r="15" spans="1:22" ht="12.75">
      <c r="A15" s="705"/>
      <c r="B15" s="203">
        <v>610</v>
      </c>
      <c r="C15" s="225" t="s">
        <v>71</v>
      </c>
      <c r="D15" s="226"/>
      <c r="E15" s="226">
        <v>13875</v>
      </c>
      <c r="F15" s="226">
        <v>15734</v>
      </c>
      <c r="G15" s="226">
        <v>16231</v>
      </c>
      <c r="H15" s="226">
        <v>16787</v>
      </c>
      <c r="I15" s="40">
        <v>17943</v>
      </c>
      <c r="J15" s="41">
        <v>18167</v>
      </c>
      <c r="K15" s="41">
        <v>15592</v>
      </c>
      <c r="L15" s="204">
        <v>15883.66</v>
      </c>
      <c r="M15" s="609">
        <v>19536.88</v>
      </c>
      <c r="N15" s="94">
        <v>19736</v>
      </c>
      <c r="O15" s="556"/>
      <c r="P15" s="557"/>
      <c r="Q15" s="558">
        <f>N15+O15+P15</f>
        <v>19736</v>
      </c>
      <c r="T15" s="555"/>
      <c r="V15" s="555"/>
    </row>
    <row r="16" spans="1:22" ht="12.75">
      <c r="A16" s="706"/>
      <c r="B16" s="205">
        <v>620</v>
      </c>
      <c r="C16" s="227" t="s">
        <v>72</v>
      </c>
      <c r="D16" s="228"/>
      <c r="E16" s="228">
        <v>4647</v>
      </c>
      <c r="F16" s="228">
        <v>5411</v>
      </c>
      <c r="G16" s="228">
        <v>5677</v>
      </c>
      <c r="H16" s="228">
        <v>6011</v>
      </c>
      <c r="I16" s="42">
        <v>6464</v>
      </c>
      <c r="J16" s="43">
        <v>6580</v>
      </c>
      <c r="K16" s="43">
        <v>5691</v>
      </c>
      <c r="L16" s="206">
        <v>6220</v>
      </c>
      <c r="M16" s="208">
        <v>6654.3</v>
      </c>
      <c r="N16" s="25">
        <v>7401</v>
      </c>
      <c r="O16" s="559"/>
      <c r="P16" s="560"/>
      <c r="Q16" s="561">
        <f>N16+O16+P16</f>
        <v>7401</v>
      </c>
      <c r="T16" s="555"/>
      <c r="V16" s="555"/>
    </row>
    <row r="17" spans="1:22" ht="12.75">
      <c r="A17" s="706"/>
      <c r="B17" s="205">
        <v>630</v>
      </c>
      <c r="C17" s="227" t="s">
        <v>73</v>
      </c>
      <c r="D17" s="228"/>
      <c r="E17" s="228">
        <v>3718</v>
      </c>
      <c r="F17" s="228">
        <v>4282</v>
      </c>
      <c r="G17" s="228">
        <v>4995</v>
      </c>
      <c r="H17" s="228">
        <v>7000</v>
      </c>
      <c r="I17" s="42">
        <v>4529</v>
      </c>
      <c r="J17" s="43">
        <v>3216</v>
      </c>
      <c r="K17" s="43">
        <v>2533</v>
      </c>
      <c r="L17" s="206">
        <v>2610.08</v>
      </c>
      <c r="M17" s="610">
        <v>2181.04</v>
      </c>
      <c r="N17" s="25">
        <v>3930</v>
      </c>
      <c r="O17" s="559"/>
      <c r="P17" s="560"/>
      <c r="Q17" s="561">
        <f>N17+O17+P17</f>
        <v>3930</v>
      </c>
      <c r="T17" s="555"/>
      <c r="V17" s="555"/>
    </row>
    <row r="18" spans="1:22" ht="13.5" thickBot="1">
      <c r="A18" s="707"/>
      <c r="B18" s="254">
        <v>640</v>
      </c>
      <c r="C18" s="209" t="s">
        <v>74</v>
      </c>
      <c r="D18" s="229"/>
      <c r="E18" s="229"/>
      <c r="F18" s="229"/>
      <c r="G18" s="229"/>
      <c r="H18" s="229"/>
      <c r="I18" s="146"/>
      <c r="J18" s="43"/>
      <c r="K18" s="43">
        <v>234</v>
      </c>
      <c r="L18" s="117">
        <v>336.48</v>
      </c>
      <c r="M18" s="611">
        <v>115.83</v>
      </c>
      <c r="N18" s="69"/>
      <c r="O18" s="563"/>
      <c r="P18" s="563"/>
      <c r="Q18" s="564">
        <f>N18+O18+P18</f>
        <v>0</v>
      </c>
      <c r="T18" s="555"/>
      <c r="V18" s="555"/>
    </row>
    <row r="19" spans="1:22" ht="15.75" thickBot="1">
      <c r="A19" s="213" t="s">
        <v>80</v>
      </c>
      <c r="B19" s="670" t="s">
        <v>81</v>
      </c>
      <c r="C19" s="686"/>
      <c r="D19" s="214">
        <v>13145</v>
      </c>
      <c r="E19" s="214">
        <v>10057</v>
      </c>
      <c r="F19" s="214">
        <v>8498</v>
      </c>
      <c r="G19" s="214">
        <v>54518</v>
      </c>
      <c r="H19" s="66">
        <f aca="true" t="shared" si="2" ref="H19:N19">H22+H20+H21+H23+H24</f>
        <v>31457</v>
      </c>
      <c r="I19" s="66">
        <f t="shared" si="2"/>
        <v>31963</v>
      </c>
      <c r="J19" s="66">
        <f t="shared" si="2"/>
        <v>33449</v>
      </c>
      <c r="K19" s="66">
        <f t="shared" si="2"/>
        <v>18092</v>
      </c>
      <c r="L19" s="215">
        <f t="shared" si="2"/>
        <v>54586.799999999996</v>
      </c>
      <c r="M19" s="215">
        <f t="shared" si="2"/>
        <v>16584.94</v>
      </c>
      <c r="N19" s="66">
        <f t="shared" si="2"/>
        <v>25304</v>
      </c>
      <c r="O19" s="476">
        <f>SUM(O20:O24)</f>
        <v>0</v>
      </c>
      <c r="P19" s="476">
        <f>SUM(P20:P24)</f>
        <v>0</v>
      </c>
      <c r="Q19" s="477">
        <f>SUM(Q20:Q24)</f>
        <v>25304</v>
      </c>
      <c r="T19" s="555"/>
      <c r="V19" s="555"/>
    </row>
    <row r="20" spans="1:22" ht="12.75">
      <c r="A20" s="732"/>
      <c r="B20" s="230">
        <v>610</v>
      </c>
      <c r="C20" s="225" t="s">
        <v>71</v>
      </c>
      <c r="D20" s="226"/>
      <c r="E20" s="226">
        <v>0</v>
      </c>
      <c r="F20" s="226">
        <v>4482</v>
      </c>
      <c r="G20" s="226">
        <v>7787</v>
      </c>
      <c r="H20" s="226">
        <v>7509</v>
      </c>
      <c r="I20" s="225">
        <v>7692</v>
      </c>
      <c r="J20" s="41">
        <v>7969</v>
      </c>
      <c r="K20" s="41">
        <v>7777</v>
      </c>
      <c r="L20" s="204">
        <v>7662.08</v>
      </c>
      <c r="M20" s="609">
        <v>8679.95</v>
      </c>
      <c r="N20" s="94">
        <v>9198</v>
      </c>
      <c r="O20" s="556"/>
      <c r="P20" s="557"/>
      <c r="Q20" s="558">
        <f>N20+O20+P20</f>
        <v>9198</v>
      </c>
      <c r="T20" s="555"/>
      <c r="V20" s="555"/>
    </row>
    <row r="21" spans="1:22" ht="12.75">
      <c r="A21" s="733"/>
      <c r="B21" s="231">
        <v>620</v>
      </c>
      <c r="C21" s="227" t="s">
        <v>72</v>
      </c>
      <c r="D21" s="207"/>
      <c r="E21" s="207">
        <v>0</v>
      </c>
      <c r="F21" s="207">
        <v>2058</v>
      </c>
      <c r="G21" s="207">
        <v>3864</v>
      </c>
      <c r="H21" s="207">
        <v>2426</v>
      </c>
      <c r="I21" s="227">
        <v>2683</v>
      </c>
      <c r="J21" s="43">
        <v>3469</v>
      </c>
      <c r="K21" s="43">
        <v>3267</v>
      </c>
      <c r="L21" s="206">
        <v>3320.66</v>
      </c>
      <c r="M21" s="208">
        <v>3113.97</v>
      </c>
      <c r="N21" s="25">
        <v>3468</v>
      </c>
      <c r="O21" s="559"/>
      <c r="P21" s="560"/>
      <c r="Q21" s="561">
        <f>N21+O21+P21</f>
        <v>3468</v>
      </c>
      <c r="T21" s="555"/>
      <c r="V21" s="555"/>
    </row>
    <row r="22" spans="1:22" ht="12.75">
      <c r="A22" s="733"/>
      <c r="B22" s="231">
        <v>630</v>
      </c>
      <c r="C22" s="227" t="s">
        <v>73</v>
      </c>
      <c r="D22" s="207"/>
      <c r="E22" s="207">
        <v>0</v>
      </c>
      <c r="F22" s="207">
        <v>1958</v>
      </c>
      <c r="G22" s="207">
        <v>42867</v>
      </c>
      <c r="H22" s="207">
        <v>1012</v>
      </c>
      <c r="I22" s="227">
        <v>989</v>
      </c>
      <c r="J22" s="43">
        <v>1227</v>
      </c>
      <c r="K22" s="43">
        <v>947</v>
      </c>
      <c r="L22" s="206">
        <v>588.04</v>
      </c>
      <c r="M22" s="610">
        <v>634.68</v>
      </c>
      <c r="N22" s="25">
        <v>1580</v>
      </c>
      <c r="O22" s="559"/>
      <c r="P22" s="560"/>
      <c r="Q22" s="561">
        <f>N22+O22+P22</f>
        <v>1580</v>
      </c>
      <c r="T22" s="555"/>
      <c r="V22" s="555"/>
    </row>
    <row r="23" spans="1:22" ht="12.75">
      <c r="A23" s="733"/>
      <c r="B23" s="231">
        <v>640</v>
      </c>
      <c r="C23" s="42" t="s">
        <v>74</v>
      </c>
      <c r="D23" s="43"/>
      <c r="E23" s="43"/>
      <c r="F23" s="43"/>
      <c r="G23" s="43"/>
      <c r="H23" s="43"/>
      <c r="I23" s="42"/>
      <c r="J23" s="43">
        <v>3100</v>
      </c>
      <c r="K23" s="43"/>
      <c r="L23" s="25"/>
      <c r="M23" s="610">
        <v>113.93</v>
      </c>
      <c r="N23" s="25"/>
      <c r="O23" s="559"/>
      <c r="P23" s="560"/>
      <c r="Q23" s="561">
        <f>N23+O23+P23</f>
        <v>0</v>
      </c>
      <c r="T23" s="555"/>
      <c r="V23" s="555"/>
    </row>
    <row r="24" spans="1:22" ht="13.5" thickBot="1">
      <c r="A24" s="734"/>
      <c r="B24" s="233">
        <v>600</v>
      </c>
      <c r="C24" s="209" t="s">
        <v>82</v>
      </c>
      <c r="D24" s="234"/>
      <c r="E24" s="234"/>
      <c r="F24" s="234"/>
      <c r="G24" s="234"/>
      <c r="H24" s="43">
        <v>20510</v>
      </c>
      <c r="I24" s="209">
        <v>20599</v>
      </c>
      <c r="J24" s="43">
        <v>17684</v>
      </c>
      <c r="K24" s="43">
        <v>6101</v>
      </c>
      <c r="L24" s="117">
        <v>43016.02</v>
      </c>
      <c r="M24" s="611">
        <v>4042.409999999998</v>
      </c>
      <c r="N24" s="69">
        <v>11058</v>
      </c>
      <c r="O24" s="563"/>
      <c r="P24" s="572"/>
      <c r="Q24" s="565">
        <f>N24+O24+P24</f>
        <v>11058</v>
      </c>
      <c r="T24" s="555"/>
      <c r="V24" s="555"/>
    </row>
    <row r="25" spans="1:22" ht="15.75" thickBot="1">
      <c r="A25" s="213" t="s">
        <v>83</v>
      </c>
      <c r="B25" s="670" t="s">
        <v>150</v>
      </c>
      <c r="C25" s="686"/>
      <c r="D25" s="235">
        <f aca="true" t="shared" si="3" ref="D25:M25">D26</f>
        <v>86802</v>
      </c>
      <c r="E25" s="235">
        <f t="shared" si="3"/>
        <v>77342</v>
      </c>
      <c r="F25" s="235">
        <f t="shared" si="3"/>
        <v>79566</v>
      </c>
      <c r="G25" s="235">
        <f t="shared" si="3"/>
        <v>75201</v>
      </c>
      <c r="H25" s="235">
        <f t="shared" si="3"/>
        <v>66074</v>
      </c>
      <c r="I25" s="66">
        <f t="shared" si="3"/>
        <v>84841</v>
      </c>
      <c r="J25" s="66">
        <f t="shared" si="3"/>
        <v>92558</v>
      </c>
      <c r="K25" s="66">
        <f t="shared" si="3"/>
        <v>89614</v>
      </c>
      <c r="L25" s="66">
        <f t="shared" si="3"/>
        <v>87966.26</v>
      </c>
      <c r="M25" s="215">
        <f t="shared" si="3"/>
        <v>89070.75</v>
      </c>
      <c r="N25" s="108">
        <v>108000</v>
      </c>
      <c r="O25" s="476">
        <f>O26</f>
        <v>0</v>
      </c>
      <c r="P25" s="476">
        <f>P26</f>
        <v>0</v>
      </c>
      <c r="Q25" s="477">
        <f>Q26</f>
        <v>108000</v>
      </c>
      <c r="T25" s="555"/>
      <c r="V25" s="555"/>
    </row>
    <row r="26" spans="1:22" ht="13.5" thickBot="1">
      <c r="A26" s="236"/>
      <c r="B26" s="237">
        <v>630</v>
      </c>
      <c r="C26" s="238" t="s">
        <v>84</v>
      </c>
      <c r="D26" s="239">
        <v>86802</v>
      </c>
      <c r="E26" s="239">
        <v>77342</v>
      </c>
      <c r="F26" s="239">
        <v>79566</v>
      </c>
      <c r="G26" s="239">
        <v>75201</v>
      </c>
      <c r="H26" s="239">
        <v>66074</v>
      </c>
      <c r="I26" s="146">
        <v>84841</v>
      </c>
      <c r="J26" s="146">
        <v>92558</v>
      </c>
      <c r="K26" s="83">
        <v>89614</v>
      </c>
      <c r="L26" s="117">
        <v>87966.26</v>
      </c>
      <c r="M26" s="611">
        <v>89070.75</v>
      </c>
      <c r="N26" s="69">
        <v>108000</v>
      </c>
      <c r="O26" s="566"/>
      <c r="P26" s="567"/>
      <c r="Q26" s="568">
        <f>N26+O26+P26</f>
        <v>108000</v>
      </c>
      <c r="T26" s="555"/>
      <c r="V26" s="555"/>
    </row>
    <row r="27" spans="1:22" ht="15.75" thickBot="1">
      <c r="A27" s="213" t="s">
        <v>85</v>
      </c>
      <c r="B27" s="670" t="s">
        <v>86</v>
      </c>
      <c r="C27" s="686"/>
      <c r="D27" s="235">
        <f aca="true" t="shared" si="4" ref="D27:M27">D28</f>
        <v>0</v>
      </c>
      <c r="E27" s="235">
        <f t="shared" si="4"/>
        <v>1826</v>
      </c>
      <c r="F27" s="235">
        <f t="shared" si="4"/>
        <v>66</v>
      </c>
      <c r="G27" s="235">
        <f t="shared" si="4"/>
        <v>770</v>
      </c>
      <c r="H27" s="235">
        <f t="shared" si="4"/>
        <v>2589</v>
      </c>
      <c r="I27" s="66">
        <f t="shared" si="4"/>
        <v>366</v>
      </c>
      <c r="J27" s="66">
        <f t="shared" si="4"/>
        <v>274</v>
      </c>
      <c r="K27" s="66">
        <f t="shared" si="4"/>
        <v>464</v>
      </c>
      <c r="L27" s="66">
        <f t="shared" si="4"/>
        <v>276.29</v>
      </c>
      <c r="M27" s="215">
        <f t="shared" si="4"/>
        <v>34.4</v>
      </c>
      <c r="N27" s="108">
        <v>500</v>
      </c>
      <c r="O27" s="476">
        <f>O28</f>
        <v>0</v>
      </c>
      <c r="P27" s="476">
        <f>P28</f>
        <v>0</v>
      </c>
      <c r="Q27" s="477">
        <f>Q28</f>
        <v>500</v>
      </c>
      <c r="T27" s="555"/>
      <c r="V27" s="555"/>
    </row>
    <row r="28" spans="1:22" ht="13.5" thickBot="1">
      <c r="A28" s="240"/>
      <c r="B28" s="241"/>
      <c r="C28" s="238" t="s">
        <v>87</v>
      </c>
      <c r="D28" s="239">
        <v>0</v>
      </c>
      <c r="E28" s="239">
        <v>1826</v>
      </c>
      <c r="F28" s="239">
        <v>66</v>
      </c>
      <c r="G28" s="239">
        <v>770</v>
      </c>
      <c r="H28" s="239">
        <v>2589</v>
      </c>
      <c r="I28" s="146">
        <v>366</v>
      </c>
      <c r="J28" s="146">
        <v>274</v>
      </c>
      <c r="K28" s="83">
        <v>464</v>
      </c>
      <c r="L28" s="117">
        <v>276.29</v>
      </c>
      <c r="M28" s="611">
        <v>34.4</v>
      </c>
      <c r="N28" s="69">
        <v>500</v>
      </c>
      <c r="O28" s="569"/>
      <c r="P28" s="570"/>
      <c r="Q28" s="571">
        <f>N28+O28+P28</f>
        <v>500</v>
      </c>
      <c r="T28" s="555"/>
      <c r="V28" s="555"/>
    </row>
    <row r="29" spans="1:22" ht="15.75" thickBot="1">
      <c r="A29" s="213" t="s">
        <v>156</v>
      </c>
      <c r="B29" s="670" t="s">
        <v>88</v>
      </c>
      <c r="C29" s="686"/>
      <c r="D29" s="214">
        <v>80362</v>
      </c>
      <c r="E29" s="214">
        <v>93674</v>
      </c>
      <c r="F29" s="214">
        <v>104461</v>
      </c>
      <c r="G29" s="214">
        <v>126342</v>
      </c>
      <c r="H29" s="66">
        <f aca="true" t="shared" si="5" ref="H29:N29">SUM(H30:H32)</f>
        <v>137485</v>
      </c>
      <c r="I29" s="66">
        <f t="shared" si="5"/>
        <v>141454</v>
      </c>
      <c r="J29" s="66">
        <f t="shared" si="5"/>
        <v>150296</v>
      </c>
      <c r="K29" s="66">
        <f t="shared" si="5"/>
        <v>153336</v>
      </c>
      <c r="L29" s="215">
        <f>SUM(L30:L33)</f>
        <v>153063.15</v>
      </c>
      <c r="M29" s="215">
        <f>SUM(M30:M33)</f>
        <v>160199.88999999998</v>
      </c>
      <c r="N29" s="66">
        <f t="shared" si="5"/>
        <v>161834</v>
      </c>
      <c r="O29" s="476">
        <f>SUM(O30:O33)</f>
        <v>0</v>
      </c>
      <c r="P29" s="476">
        <f>SUM(P30:P33)</f>
        <v>0</v>
      </c>
      <c r="Q29" s="477">
        <f>SUM(Q30:Q33)</f>
        <v>161834</v>
      </c>
      <c r="T29" s="555"/>
      <c r="V29" s="555"/>
    </row>
    <row r="30" spans="1:22" ht="12.75">
      <c r="A30" s="691"/>
      <c r="B30" s="230">
        <v>610</v>
      </c>
      <c r="C30" s="40" t="s">
        <v>71</v>
      </c>
      <c r="D30" s="159"/>
      <c r="E30" s="159">
        <v>56762</v>
      </c>
      <c r="F30" s="159">
        <v>60944</v>
      </c>
      <c r="G30" s="159">
        <v>75340</v>
      </c>
      <c r="H30" s="159">
        <v>84414</v>
      </c>
      <c r="I30" s="40">
        <v>89012</v>
      </c>
      <c r="J30" s="41">
        <v>92984</v>
      </c>
      <c r="K30" s="41">
        <v>93001</v>
      </c>
      <c r="L30" s="152">
        <v>93672.78</v>
      </c>
      <c r="M30" s="152">
        <v>102320.64</v>
      </c>
      <c r="N30" s="94">
        <v>102430</v>
      </c>
      <c r="O30" s="556"/>
      <c r="P30" s="557"/>
      <c r="Q30" s="558">
        <f>N30+O30+P30</f>
        <v>102430</v>
      </c>
      <c r="T30" s="555"/>
      <c r="V30" s="555"/>
    </row>
    <row r="31" spans="1:22" ht="12.75">
      <c r="A31" s="692"/>
      <c r="B31" s="231">
        <v>620</v>
      </c>
      <c r="C31" s="42" t="s">
        <v>72</v>
      </c>
      <c r="D31" s="242"/>
      <c r="E31" s="242">
        <v>20315</v>
      </c>
      <c r="F31" s="242">
        <v>21709</v>
      </c>
      <c r="G31" s="242">
        <v>27650</v>
      </c>
      <c r="H31" s="242">
        <v>30919</v>
      </c>
      <c r="I31" s="42">
        <v>32877</v>
      </c>
      <c r="J31" s="43">
        <v>34488</v>
      </c>
      <c r="K31" s="43">
        <v>34548</v>
      </c>
      <c r="L31" s="115">
        <v>37213.83</v>
      </c>
      <c r="M31" s="115">
        <v>35543.37</v>
      </c>
      <c r="N31" s="25">
        <v>38004</v>
      </c>
      <c r="O31" s="559"/>
      <c r="P31" s="560"/>
      <c r="Q31" s="561">
        <f>N31+O31+P31</f>
        <v>38004</v>
      </c>
      <c r="T31" s="555"/>
      <c r="V31" s="555"/>
    </row>
    <row r="32" spans="1:22" ht="12.75">
      <c r="A32" s="692"/>
      <c r="B32" s="231">
        <v>630</v>
      </c>
      <c r="C32" s="42" t="s">
        <v>73</v>
      </c>
      <c r="D32" s="242"/>
      <c r="E32" s="242">
        <v>16597</v>
      </c>
      <c r="F32" s="242">
        <v>21078</v>
      </c>
      <c r="G32" s="242">
        <v>23021</v>
      </c>
      <c r="H32" s="242">
        <f>22134+18</f>
        <v>22152</v>
      </c>
      <c r="I32" s="42">
        <v>19565</v>
      </c>
      <c r="J32" s="43">
        <v>22824</v>
      </c>
      <c r="K32" s="43">
        <v>25787</v>
      </c>
      <c r="L32" s="115">
        <v>22014.74</v>
      </c>
      <c r="M32" s="206">
        <v>22171.17</v>
      </c>
      <c r="N32" s="25">
        <v>21400</v>
      </c>
      <c r="O32" s="560"/>
      <c r="P32" s="560"/>
      <c r="Q32" s="561">
        <f>N32+O32+P32</f>
        <v>21400</v>
      </c>
      <c r="T32" s="555"/>
      <c r="V32" s="555"/>
    </row>
    <row r="33" spans="1:22" ht="13.5" thickBot="1">
      <c r="A33" s="693"/>
      <c r="B33" s="231">
        <v>650</v>
      </c>
      <c r="C33" s="42" t="s">
        <v>89</v>
      </c>
      <c r="D33" s="239"/>
      <c r="E33" s="239"/>
      <c r="F33" s="239"/>
      <c r="G33" s="239"/>
      <c r="H33" s="239"/>
      <c r="I33" s="146"/>
      <c r="J33" s="146"/>
      <c r="K33" s="243"/>
      <c r="L33" s="117">
        <v>161.8</v>
      </c>
      <c r="M33" s="117">
        <v>164.71</v>
      </c>
      <c r="N33" s="117"/>
      <c r="O33" s="563"/>
      <c r="P33" s="563"/>
      <c r="Q33" s="564">
        <f>N33+O33+P33</f>
        <v>0</v>
      </c>
      <c r="T33" s="555"/>
      <c r="V33" s="555"/>
    </row>
    <row r="34" spans="1:22" ht="15.75" thickBot="1">
      <c r="A34" s="213" t="s">
        <v>90</v>
      </c>
      <c r="B34" s="670" t="s">
        <v>91</v>
      </c>
      <c r="C34" s="686"/>
      <c r="D34" s="235">
        <f aca="true" t="shared" si="6" ref="D34:M34">D35</f>
        <v>1328</v>
      </c>
      <c r="E34" s="235">
        <f t="shared" si="6"/>
        <v>332</v>
      </c>
      <c r="F34" s="235">
        <f t="shared" si="6"/>
        <v>797</v>
      </c>
      <c r="G34" s="235">
        <f t="shared" si="6"/>
        <v>3524</v>
      </c>
      <c r="H34" s="235">
        <f t="shared" si="6"/>
        <v>112</v>
      </c>
      <c r="I34" s="66">
        <f t="shared" si="6"/>
        <v>600</v>
      </c>
      <c r="J34" s="66">
        <f t="shared" si="6"/>
        <v>1028</v>
      </c>
      <c r="K34" s="66">
        <f t="shared" si="6"/>
        <v>1230</v>
      </c>
      <c r="L34" s="215">
        <f t="shared" si="6"/>
        <v>600</v>
      </c>
      <c r="M34" s="215">
        <f t="shared" si="6"/>
        <v>1048.67</v>
      </c>
      <c r="N34" s="108">
        <v>1500</v>
      </c>
      <c r="O34" s="476">
        <f>O35</f>
        <v>0</v>
      </c>
      <c r="P34" s="476">
        <f>P35</f>
        <v>0</v>
      </c>
      <c r="Q34" s="477">
        <f>Q35</f>
        <v>1500</v>
      </c>
      <c r="T34" s="555"/>
      <c r="V34" s="555"/>
    </row>
    <row r="35" spans="1:22" ht="13.5" thickBot="1">
      <c r="A35" s="240"/>
      <c r="B35" s="244"/>
      <c r="C35" s="245" t="s">
        <v>92</v>
      </c>
      <c r="D35" s="246">
        <v>1328</v>
      </c>
      <c r="E35" s="246">
        <v>332</v>
      </c>
      <c r="F35" s="246">
        <v>797</v>
      </c>
      <c r="G35" s="246">
        <v>3524</v>
      </c>
      <c r="H35" s="246">
        <v>112</v>
      </c>
      <c r="I35" s="116">
        <v>600</v>
      </c>
      <c r="J35" s="116">
        <v>1028</v>
      </c>
      <c r="K35" s="83">
        <v>1230</v>
      </c>
      <c r="L35" s="247">
        <v>600</v>
      </c>
      <c r="M35" s="336">
        <v>1048.67</v>
      </c>
      <c r="N35" s="11">
        <v>1500</v>
      </c>
      <c r="O35" s="569"/>
      <c r="P35" s="570"/>
      <c r="Q35" s="571">
        <f>N35+O35+P35</f>
        <v>1500</v>
      </c>
      <c r="T35" s="555"/>
      <c r="V35" s="555"/>
    </row>
    <row r="36" spans="1:22" ht="15.75" thickBot="1">
      <c r="A36" s="249" t="s">
        <v>93</v>
      </c>
      <c r="B36" s="670" t="s">
        <v>94</v>
      </c>
      <c r="C36" s="686"/>
      <c r="D36" s="214">
        <v>64894</v>
      </c>
      <c r="E36" s="214">
        <v>59384</v>
      </c>
      <c r="F36" s="214">
        <v>62471</v>
      </c>
      <c r="G36" s="214">
        <v>47851</v>
      </c>
      <c r="H36" s="13">
        <f>SUM(H37:H39)</f>
        <v>43042</v>
      </c>
      <c r="I36" s="13">
        <f>SUM(I37:I39)</f>
        <v>42993</v>
      </c>
      <c r="J36" s="13">
        <f>SUM(J37:J39)</f>
        <v>45897</v>
      </c>
      <c r="K36" s="13">
        <f>SUM(K37:K40)</f>
        <v>45604</v>
      </c>
      <c r="L36" s="250">
        <f>SUM(L37:L40)</f>
        <v>70768.37</v>
      </c>
      <c r="M36" s="250">
        <f>SUM(M37:M40)</f>
        <v>57765.42</v>
      </c>
      <c r="N36" s="463">
        <v>36882</v>
      </c>
      <c r="O36" s="476">
        <f>SUM(O37:O38)</f>
        <v>0</v>
      </c>
      <c r="P36" s="476">
        <f>SUM(P37:P38)</f>
        <v>0</v>
      </c>
      <c r="Q36" s="477">
        <f>SUM(Q37:Q38)</f>
        <v>36882</v>
      </c>
      <c r="T36" s="555"/>
      <c r="V36" s="555"/>
    </row>
    <row r="37" spans="1:22" ht="12.75">
      <c r="A37" s="691"/>
      <c r="B37" s="230">
        <v>610</v>
      </c>
      <c r="C37" s="40" t="s">
        <v>71</v>
      </c>
      <c r="D37" s="159"/>
      <c r="E37" s="159"/>
      <c r="F37" s="159"/>
      <c r="G37" s="159"/>
      <c r="H37" s="159">
        <v>19662</v>
      </c>
      <c r="I37" s="40">
        <v>20165</v>
      </c>
      <c r="J37" s="41">
        <v>21683</v>
      </c>
      <c r="K37" s="41">
        <v>23558</v>
      </c>
      <c r="L37" s="204">
        <v>34957.48</v>
      </c>
      <c r="M37" s="204">
        <v>28518.63</v>
      </c>
      <c r="N37" s="94">
        <v>27144</v>
      </c>
      <c r="O37" s="556"/>
      <c r="P37" s="557"/>
      <c r="Q37" s="558">
        <f>N37+O37+P37</f>
        <v>27144</v>
      </c>
      <c r="T37" s="555"/>
      <c r="V37" s="555"/>
    </row>
    <row r="38" spans="1:22" ht="12.75">
      <c r="A38" s="692"/>
      <c r="B38" s="231">
        <v>620</v>
      </c>
      <c r="C38" s="42" t="s">
        <v>72</v>
      </c>
      <c r="D38" s="242"/>
      <c r="E38" s="242"/>
      <c r="F38" s="242"/>
      <c r="G38" s="242"/>
      <c r="H38" s="242">
        <v>6810</v>
      </c>
      <c r="I38" s="42">
        <v>7285</v>
      </c>
      <c r="J38" s="43">
        <v>7713</v>
      </c>
      <c r="K38" s="43">
        <v>8188</v>
      </c>
      <c r="L38" s="206">
        <v>13167.56</v>
      </c>
      <c r="M38" s="206">
        <v>9242.21</v>
      </c>
      <c r="N38" s="25">
        <v>9738</v>
      </c>
      <c r="O38" s="559"/>
      <c r="P38" s="560"/>
      <c r="Q38" s="561">
        <f>N38+O38+P38</f>
        <v>9738</v>
      </c>
      <c r="T38" s="555"/>
      <c r="V38" s="555"/>
    </row>
    <row r="39" spans="1:22" ht="12.75">
      <c r="A39" s="692"/>
      <c r="B39" s="231">
        <v>630</v>
      </c>
      <c r="C39" s="42" t="s">
        <v>73</v>
      </c>
      <c r="D39" s="242"/>
      <c r="E39" s="242"/>
      <c r="F39" s="242"/>
      <c r="G39" s="242"/>
      <c r="H39" s="242">
        <v>16570</v>
      </c>
      <c r="I39" s="42">
        <v>15543</v>
      </c>
      <c r="J39" s="43">
        <v>16501</v>
      </c>
      <c r="K39" s="43">
        <v>13727</v>
      </c>
      <c r="L39" s="206">
        <v>20379.17</v>
      </c>
      <c r="M39" s="206">
        <v>19888.42</v>
      </c>
      <c r="N39" s="25">
        <v>0</v>
      </c>
      <c r="O39" s="559"/>
      <c r="P39" s="560"/>
      <c r="Q39" s="561"/>
      <c r="T39" s="555"/>
      <c r="V39" s="555"/>
    </row>
    <row r="40" spans="1:22" ht="13.5" thickBot="1">
      <c r="A40" s="693"/>
      <c r="B40" s="231">
        <v>640</v>
      </c>
      <c r="C40" s="209"/>
      <c r="D40" s="229"/>
      <c r="E40" s="229"/>
      <c r="F40" s="229"/>
      <c r="G40" s="229"/>
      <c r="H40" s="229"/>
      <c r="I40" s="146"/>
      <c r="J40" s="43"/>
      <c r="K40" s="43">
        <v>131</v>
      </c>
      <c r="L40" s="117">
        <v>2264.16</v>
      </c>
      <c r="M40" s="117">
        <v>116.16</v>
      </c>
      <c r="N40" s="69"/>
      <c r="O40" s="563"/>
      <c r="P40" s="572"/>
      <c r="Q40" s="565"/>
      <c r="T40" s="555"/>
      <c r="V40" s="555"/>
    </row>
    <row r="41" spans="1:22" ht="15.75" thickBot="1">
      <c r="A41" s="213" t="s">
        <v>95</v>
      </c>
      <c r="B41" s="670" t="s">
        <v>96</v>
      </c>
      <c r="C41" s="686"/>
      <c r="D41" s="235">
        <f aca="true" t="shared" si="7" ref="D41:M41">D42</f>
        <v>0</v>
      </c>
      <c r="E41" s="235">
        <f t="shared" si="7"/>
        <v>0</v>
      </c>
      <c r="F41" s="235">
        <f t="shared" si="7"/>
        <v>0</v>
      </c>
      <c r="G41" s="235">
        <f t="shared" si="7"/>
        <v>66</v>
      </c>
      <c r="H41" s="235">
        <f t="shared" si="7"/>
        <v>175</v>
      </c>
      <c r="I41" s="66">
        <f t="shared" si="7"/>
        <v>269</v>
      </c>
      <c r="J41" s="66">
        <f t="shared" si="7"/>
        <v>182</v>
      </c>
      <c r="K41" s="66">
        <f t="shared" si="7"/>
        <v>104</v>
      </c>
      <c r="L41" s="215">
        <f t="shared" si="7"/>
        <v>169.4</v>
      </c>
      <c r="M41" s="215">
        <f t="shared" si="7"/>
        <v>87.6</v>
      </c>
      <c r="N41" s="108">
        <v>200</v>
      </c>
      <c r="O41" s="476">
        <f>O42</f>
        <v>0</v>
      </c>
      <c r="P41" s="476">
        <f>P42</f>
        <v>0</v>
      </c>
      <c r="Q41" s="477">
        <f>Q42</f>
        <v>200</v>
      </c>
      <c r="T41" s="555"/>
      <c r="V41" s="555"/>
    </row>
    <row r="42" spans="1:22" ht="13.5" thickBot="1">
      <c r="A42" s="251"/>
      <c r="B42" s="252">
        <v>640</v>
      </c>
      <c r="C42" s="146" t="s">
        <v>97</v>
      </c>
      <c r="D42" s="239"/>
      <c r="E42" s="239"/>
      <c r="F42" s="239"/>
      <c r="G42" s="239">
        <v>66</v>
      </c>
      <c r="H42" s="239">
        <v>175</v>
      </c>
      <c r="I42" s="146">
        <v>269</v>
      </c>
      <c r="J42" s="146">
        <v>182</v>
      </c>
      <c r="K42" s="146">
        <v>104</v>
      </c>
      <c r="L42" s="253">
        <v>169.4</v>
      </c>
      <c r="M42" s="247">
        <v>87.6</v>
      </c>
      <c r="N42" s="11">
        <v>200</v>
      </c>
      <c r="O42" s="569"/>
      <c r="P42" s="570"/>
      <c r="Q42" s="571">
        <f>N42+O42+P42</f>
        <v>200</v>
      </c>
      <c r="T42" s="555"/>
      <c r="V42" s="555"/>
    </row>
    <row r="43" spans="1:22" ht="15.75" thickBot="1">
      <c r="A43" s="213" t="s">
        <v>151</v>
      </c>
      <c r="B43" s="670" t="s">
        <v>154</v>
      </c>
      <c r="C43" s="686"/>
      <c r="D43" s="214">
        <v>29310</v>
      </c>
      <c r="E43" s="214">
        <v>30173</v>
      </c>
      <c r="F43" s="214">
        <v>33061</v>
      </c>
      <c r="G43" s="214">
        <v>31215</v>
      </c>
      <c r="H43" s="13">
        <f aca="true" t="shared" si="8" ref="H43:M43">SUM(H44:H46)</f>
        <v>30188</v>
      </c>
      <c r="I43" s="13">
        <f t="shared" si="8"/>
        <v>30251</v>
      </c>
      <c r="J43" s="13">
        <f t="shared" si="8"/>
        <v>29902</v>
      </c>
      <c r="K43" s="13">
        <f t="shared" si="8"/>
        <v>27922</v>
      </c>
      <c r="L43" s="13">
        <f t="shared" si="8"/>
        <v>26736.059999999998</v>
      </c>
      <c r="M43" s="250">
        <f t="shared" si="8"/>
        <v>31580.040000000005</v>
      </c>
      <c r="N43" s="463">
        <v>34539</v>
      </c>
      <c r="O43" s="476">
        <f>SUM(O44:O46)</f>
        <v>0</v>
      </c>
      <c r="P43" s="476">
        <f>SUM(P44:P46)</f>
        <v>0</v>
      </c>
      <c r="Q43" s="477">
        <f>SUM(Q44:Q46)</f>
        <v>34539</v>
      </c>
      <c r="T43" s="555"/>
      <c r="V43" s="555"/>
    </row>
    <row r="44" spans="1:22" ht="12.75">
      <c r="A44" s="691"/>
      <c r="B44" s="230">
        <v>610</v>
      </c>
      <c r="C44" s="40" t="s">
        <v>71</v>
      </c>
      <c r="D44" s="159"/>
      <c r="E44" s="159">
        <v>17128</v>
      </c>
      <c r="F44" s="159">
        <v>19186</v>
      </c>
      <c r="G44" s="159">
        <v>18647</v>
      </c>
      <c r="H44" s="159">
        <v>19330</v>
      </c>
      <c r="I44" s="40">
        <v>19430</v>
      </c>
      <c r="J44" s="41">
        <v>19249</v>
      </c>
      <c r="K44" s="41">
        <v>18860</v>
      </c>
      <c r="L44" s="152">
        <v>17749.95</v>
      </c>
      <c r="M44" s="152">
        <v>21482.58</v>
      </c>
      <c r="N44" s="94">
        <v>23371</v>
      </c>
      <c r="O44" s="556"/>
      <c r="P44" s="557"/>
      <c r="Q44" s="558">
        <f>N44+O44+P44</f>
        <v>23371</v>
      </c>
      <c r="T44" s="555"/>
      <c r="V44" s="555"/>
    </row>
    <row r="45" spans="1:22" ht="12.75">
      <c r="A45" s="692"/>
      <c r="B45" s="231">
        <v>620</v>
      </c>
      <c r="C45" s="42" t="s">
        <v>72</v>
      </c>
      <c r="D45" s="242"/>
      <c r="E45" s="242">
        <v>6174</v>
      </c>
      <c r="F45" s="242">
        <v>6440</v>
      </c>
      <c r="G45" s="242">
        <v>6250</v>
      </c>
      <c r="H45" s="242">
        <v>6780</v>
      </c>
      <c r="I45" s="42">
        <v>6793</v>
      </c>
      <c r="J45" s="43">
        <v>6741</v>
      </c>
      <c r="K45" s="43">
        <v>6528</v>
      </c>
      <c r="L45" s="115">
        <v>6227.83</v>
      </c>
      <c r="M45" s="115">
        <v>7544.26</v>
      </c>
      <c r="N45" s="25">
        <v>8168</v>
      </c>
      <c r="O45" s="559"/>
      <c r="P45" s="560"/>
      <c r="Q45" s="561">
        <f>N45+O45+P45</f>
        <v>8168</v>
      </c>
      <c r="T45" s="555"/>
      <c r="V45" s="555"/>
    </row>
    <row r="46" spans="1:22" ht="13.5" thickBot="1">
      <c r="A46" s="693"/>
      <c r="B46" s="254">
        <v>630</v>
      </c>
      <c r="C46" s="45" t="s">
        <v>73</v>
      </c>
      <c r="D46" s="154"/>
      <c r="E46" s="154">
        <v>6871</v>
      </c>
      <c r="F46" s="154">
        <v>7435</v>
      </c>
      <c r="G46" s="154">
        <v>6318</v>
      </c>
      <c r="H46" s="154">
        <v>4078</v>
      </c>
      <c r="I46" s="45">
        <v>4028</v>
      </c>
      <c r="J46" s="43">
        <v>3912</v>
      </c>
      <c r="K46" s="43">
        <f>27588-25054</f>
        <v>2534</v>
      </c>
      <c r="L46" s="255">
        <v>2758.28</v>
      </c>
      <c r="M46" s="305">
        <v>2553.2</v>
      </c>
      <c r="N46" s="47">
        <v>3000</v>
      </c>
      <c r="O46" s="563"/>
      <c r="P46" s="572"/>
      <c r="Q46" s="565">
        <f>N46+O46+P46</f>
        <v>3000</v>
      </c>
      <c r="T46" s="555"/>
      <c r="V46" s="555"/>
    </row>
    <row r="47" spans="1:22" ht="15.75" thickBot="1">
      <c r="A47" s="213" t="s">
        <v>29</v>
      </c>
      <c r="B47" s="670" t="s">
        <v>31</v>
      </c>
      <c r="C47" s="686"/>
      <c r="D47" s="235">
        <v>13278</v>
      </c>
      <c r="E47" s="235">
        <v>366029</v>
      </c>
      <c r="F47" s="235">
        <v>277733</v>
      </c>
      <c r="G47" s="235">
        <v>398013</v>
      </c>
      <c r="H47" s="235">
        <v>368170</v>
      </c>
      <c r="I47" s="66">
        <f aca="true" t="shared" si="9" ref="I47:Q47">SUM(I48:I51)</f>
        <v>294633</v>
      </c>
      <c r="J47" s="66">
        <f t="shared" si="9"/>
        <v>216960</v>
      </c>
      <c r="K47" s="66">
        <f t="shared" si="9"/>
        <v>236599</v>
      </c>
      <c r="L47" s="215">
        <f t="shared" si="9"/>
        <v>216987.18</v>
      </c>
      <c r="M47" s="215">
        <f t="shared" si="9"/>
        <v>226497.02000000002</v>
      </c>
      <c r="N47" s="108">
        <f t="shared" si="9"/>
        <v>247109</v>
      </c>
      <c r="O47" s="476">
        <f t="shared" si="9"/>
        <v>0</v>
      </c>
      <c r="P47" s="476">
        <f t="shared" si="9"/>
        <v>6735</v>
      </c>
      <c r="Q47" s="477">
        <f t="shared" si="9"/>
        <v>253844</v>
      </c>
      <c r="T47" s="555"/>
      <c r="V47" s="555"/>
    </row>
    <row r="48" spans="1:22" ht="12.75">
      <c r="A48" s="732"/>
      <c r="B48" s="257">
        <v>640</v>
      </c>
      <c r="C48" s="258" t="s">
        <v>98</v>
      </c>
      <c r="D48" s="259"/>
      <c r="E48" s="259"/>
      <c r="F48" s="259"/>
      <c r="G48" s="259"/>
      <c r="H48" s="259">
        <v>307476</v>
      </c>
      <c r="I48" s="260">
        <v>234550</v>
      </c>
      <c r="J48" s="41">
        <v>150070</v>
      </c>
      <c r="K48" s="41">
        <v>167336</v>
      </c>
      <c r="L48" s="204">
        <v>148104</v>
      </c>
      <c r="M48" s="612">
        <v>157211</v>
      </c>
      <c r="N48" s="144">
        <v>170209</v>
      </c>
      <c r="O48" s="557"/>
      <c r="P48" s="557">
        <f>4535+2200</f>
        <v>6735</v>
      </c>
      <c r="Q48" s="558">
        <f>N48+O48+P48</f>
        <v>176944</v>
      </c>
      <c r="T48" s="555"/>
      <c r="V48" s="555"/>
    </row>
    <row r="49" spans="1:22" ht="12.75">
      <c r="A49" s="733"/>
      <c r="B49" s="261">
        <v>630</v>
      </c>
      <c r="C49" s="262" t="s">
        <v>30</v>
      </c>
      <c r="D49" s="263"/>
      <c r="E49" s="263"/>
      <c r="F49" s="263"/>
      <c r="G49" s="263"/>
      <c r="H49" s="263">
        <v>9596</v>
      </c>
      <c r="I49" s="264">
        <v>3094</v>
      </c>
      <c r="J49" s="43">
        <v>2060</v>
      </c>
      <c r="K49" s="43">
        <v>1011</v>
      </c>
      <c r="L49" s="119">
        <v>1770</v>
      </c>
      <c r="M49" s="613">
        <v>1790</v>
      </c>
      <c r="N49" s="20">
        <v>10900</v>
      </c>
      <c r="O49" s="559"/>
      <c r="P49" s="560"/>
      <c r="Q49" s="561">
        <f>N49+O49+P49</f>
        <v>10900</v>
      </c>
      <c r="T49" s="555"/>
      <c r="V49" s="555"/>
    </row>
    <row r="50" spans="1:22" ht="12.75">
      <c r="A50" s="733"/>
      <c r="B50" s="261">
        <v>630</v>
      </c>
      <c r="C50" s="262" t="s">
        <v>89</v>
      </c>
      <c r="D50" s="263"/>
      <c r="E50" s="263"/>
      <c r="F50" s="263"/>
      <c r="G50" s="263"/>
      <c r="H50" s="263"/>
      <c r="I50" s="264"/>
      <c r="J50" s="43"/>
      <c r="K50" s="43"/>
      <c r="L50" s="119"/>
      <c r="M50" s="132">
        <v>0</v>
      </c>
      <c r="N50" s="20"/>
      <c r="O50" s="559"/>
      <c r="P50" s="559"/>
      <c r="Q50" s="561">
        <f>N50+O50+P50</f>
        <v>0</v>
      </c>
      <c r="T50" s="555"/>
      <c r="V50" s="555"/>
    </row>
    <row r="51" spans="1:22" ht="13.5" thickBot="1">
      <c r="A51" s="734"/>
      <c r="B51" s="233">
        <v>640</v>
      </c>
      <c r="C51" s="265" t="s">
        <v>99</v>
      </c>
      <c r="D51" s="266"/>
      <c r="E51" s="266"/>
      <c r="F51" s="266"/>
      <c r="G51" s="266"/>
      <c r="H51" s="266">
        <v>49953</v>
      </c>
      <c r="I51" s="267">
        <v>56989</v>
      </c>
      <c r="J51" s="59">
        <v>64830</v>
      </c>
      <c r="K51" s="59">
        <v>68252</v>
      </c>
      <c r="L51" s="212">
        <v>67113.18</v>
      </c>
      <c r="M51" s="614">
        <v>67496.02</v>
      </c>
      <c r="N51" s="84">
        <v>66000</v>
      </c>
      <c r="O51" s="563"/>
      <c r="P51" s="572"/>
      <c r="Q51" s="565">
        <f>N51+O51+P51</f>
        <v>66000</v>
      </c>
      <c r="T51" s="555"/>
      <c r="V51" s="555"/>
    </row>
    <row r="52" spans="1:22" ht="15.75" thickBot="1">
      <c r="A52" s="269" t="s">
        <v>182</v>
      </c>
      <c r="B52" s="703" t="s">
        <v>183</v>
      </c>
      <c r="C52" s="674"/>
      <c r="D52" s="271">
        <v>33426</v>
      </c>
      <c r="E52" s="271">
        <v>39800</v>
      </c>
      <c r="F52" s="271">
        <v>42953</v>
      </c>
      <c r="G52" s="271">
        <v>66506</v>
      </c>
      <c r="H52" s="271">
        <v>76065</v>
      </c>
      <c r="I52" s="78">
        <f>SUM(I57:I64)+I53</f>
        <v>59613</v>
      </c>
      <c r="J52" s="78">
        <f>SUM(J57:J64)+J53</f>
        <v>58168</v>
      </c>
      <c r="K52" s="78">
        <f>SUM(K57:K64)+K53</f>
        <v>57293</v>
      </c>
      <c r="L52" s="78">
        <f>SUM(L57:L65)+L53</f>
        <v>53359.31</v>
      </c>
      <c r="M52" s="79">
        <f>SUM(M57:M65)+M53</f>
        <v>49261.270000000004</v>
      </c>
      <c r="N52" s="401">
        <f>N53+N57+N59+N60+N61+N62+N65</f>
        <v>84667</v>
      </c>
      <c r="O52" s="476">
        <f>O53+O57+O59+O60+O61+O62+O65</f>
        <v>0</v>
      </c>
      <c r="P52" s="476">
        <f>P53+P57+P59+P60+P61+P62+P65</f>
        <v>0</v>
      </c>
      <c r="Q52" s="477">
        <f>Q53+Q57+Q59+Q60+Q61+Q62+Q65</f>
        <v>84667</v>
      </c>
      <c r="T52" s="555"/>
      <c r="V52" s="555"/>
    </row>
    <row r="53" spans="1:22" ht="13.5" thickBot="1">
      <c r="A53" s="705"/>
      <c r="B53" s="739" t="s">
        <v>100</v>
      </c>
      <c r="C53" s="740"/>
      <c r="D53" s="272">
        <v>0</v>
      </c>
      <c r="E53" s="272">
        <v>13477</v>
      </c>
      <c r="F53" s="272">
        <v>15800</v>
      </c>
      <c r="G53" s="272">
        <v>26596</v>
      </c>
      <c r="H53" s="272">
        <v>25323</v>
      </c>
      <c r="I53" s="9">
        <f aca="true" t="shared" si="10" ref="I53:Q53">SUM(I54:I56)</f>
        <v>25388</v>
      </c>
      <c r="J53" s="9">
        <f t="shared" si="10"/>
        <v>23577</v>
      </c>
      <c r="K53" s="9">
        <f t="shared" si="10"/>
        <v>25508</v>
      </c>
      <c r="L53" s="9">
        <f t="shared" si="10"/>
        <v>26966.809999999998</v>
      </c>
      <c r="M53" s="620">
        <f>SUM(M54:M56)</f>
        <v>26493.65</v>
      </c>
      <c r="N53" s="11">
        <f t="shared" si="10"/>
        <v>25367</v>
      </c>
      <c r="O53" s="570">
        <f t="shared" si="10"/>
        <v>0</v>
      </c>
      <c r="P53" s="570">
        <f t="shared" si="10"/>
        <v>0</v>
      </c>
      <c r="Q53" s="571">
        <f t="shared" si="10"/>
        <v>25367</v>
      </c>
      <c r="T53" s="555"/>
      <c r="V53" s="555"/>
    </row>
    <row r="54" spans="1:22" ht="12.75">
      <c r="A54" s="706"/>
      <c r="B54" s="273">
        <v>610</v>
      </c>
      <c r="C54" s="19" t="s">
        <v>71</v>
      </c>
      <c r="D54" s="89"/>
      <c r="E54" s="89"/>
      <c r="F54" s="89"/>
      <c r="G54" s="89"/>
      <c r="H54" s="89">
        <v>16865</v>
      </c>
      <c r="I54" s="19">
        <v>17260</v>
      </c>
      <c r="J54" s="41">
        <v>15432</v>
      </c>
      <c r="K54" s="41">
        <v>15427</v>
      </c>
      <c r="L54" s="21">
        <v>14767.98</v>
      </c>
      <c r="M54" s="621">
        <v>15800.44</v>
      </c>
      <c r="N54" s="21">
        <v>12080</v>
      </c>
      <c r="O54" s="556"/>
      <c r="P54" s="557"/>
      <c r="Q54" s="558">
        <f aca="true" t="shared" si="11" ref="Q54:Q65">N54+O54+P54</f>
        <v>12080</v>
      </c>
      <c r="T54" s="555"/>
      <c r="V54" s="555"/>
    </row>
    <row r="55" spans="1:22" ht="12.75">
      <c r="A55" s="706"/>
      <c r="B55" s="273">
        <v>620</v>
      </c>
      <c r="C55" s="19" t="s">
        <v>72</v>
      </c>
      <c r="D55" s="89"/>
      <c r="E55" s="89"/>
      <c r="F55" s="89"/>
      <c r="G55" s="89"/>
      <c r="H55" s="89">
        <v>6017</v>
      </c>
      <c r="I55" s="19">
        <v>6225</v>
      </c>
      <c r="J55" s="43">
        <v>5547</v>
      </c>
      <c r="K55" s="43">
        <v>5746</v>
      </c>
      <c r="L55" s="21">
        <v>5836.68</v>
      </c>
      <c r="M55" s="621">
        <v>5402.44</v>
      </c>
      <c r="N55" s="21">
        <v>5787</v>
      </c>
      <c r="O55" s="559"/>
      <c r="P55" s="560"/>
      <c r="Q55" s="561">
        <f t="shared" si="11"/>
        <v>5787</v>
      </c>
      <c r="T55" s="555"/>
      <c r="V55" s="555"/>
    </row>
    <row r="56" spans="1:22" ht="13.5" thickBot="1">
      <c r="A56" s="706"/>
      <c r="B56" s="274">
        <v>630</v>
      </c>
      <c r="C56" s="82" t="s">
        <v>73</v>
      </c>
      <c r="D56" s="275"/>
      <c r="E56" s="275"/>
      <c r="F56" s="275"/>
      <c r="G56" s="275"/>
      <c r="H56" s="275">
        <v>2441</v>
      </c>
      <c r="I56" s="82">
        <v>1903</v>
      </c>
      <c r="J56" s="59">
        <v>2598</v>
      </c>
      <c r="K56" s="59">
        <v>4335</v>
      </c>
      <c r="L56" s="76">
        <v>6362.15</v>
      </c>
      <c r="M56" s="622">
        <f>10117.77-827-3000-1000</f>
        <v>5290.77</v>
      </c>
      <c r="N56" s="47">
        <v>7500</v>
      </c>
      <c r="O56" s="573"/>
      <c r="P56" s="573"/>
      <c r="Q56" s="574">
        <f t="shared" si="11"/>
        <v>7500</v>
      </c>
      <c r="T56" s="555"/>
      <c r="V56" s="555"/>
    </row>
    <row r="57" spans="1:22" ht="12.75">
      <c r="A57" s="706"/>
      <c r="B57" s="273">
        <v>600</v>
      </c>
      <c r="C57" s="19" t="s">
        <v>101</v>
      </c>
      <c r="D57" s="89"/>
      <c r="E57" s="89"/>
      <c r="F57" s="89"/>
      <c r="G57" s="89"/>
      <c r="H57" s="89"/>
      <c r="I57" s="19">
        <v>9190</v>
      </c>
      <c r="J57" s="89">
        <v>6912</v>
      </c>
      <c r="K57" s="89">
        <v>9446</v>
      </c>
      <c r="L57" s="89">
        <v>4778.18</v>
      </c>
      <c r="M57" s="387">
        <v>8683.39</v>
      </c>
      <c r="N57" s="21">
        <v>26000</v>
      </c>
      <c r="O57" s="557"/>
      <c r="P57" s="557"/>
      <c r="Q57" s="558">
        <f t="shared" si="11"/>
        <v>26000</v>
      </c>
      <c r="T57" s="555"/>
      <c r="V57" s="555"/>
    </row>
    <row r="58" spans="1:22" ht="12.75" hidden="1">
      <c r="A58" s="706"/>
      <c r="B58" s="273">
        <v>600</v>
      </c>
      <c r="C58" s="19" t="s">
        <v>102</v>
      </c>
      <c r="D58" s="89"/>
      <c r="E58" s="89"/>
      <c r="F58" s="89"/>
      <c r="G58" s="89"/>
      <c r="H58" s="89"/>
      <c r="I58" s="19">
        <v>2000</v>
      </c>
      <c r="J58" s="89"/>
      <c r="K58" s="89"/>
      <c r="L58" s="89"/>
      <c r="M58" s="615"/>
      <c r="N58" s="25"/>
      <c r="O58" s="559"/>
      <c r="P58" s="560"/>
      <c r="Q58" s="561">
        <f t="shared" si="11"/>
        <v>0</v>
      </c>
      <c r="T58" s="555"/>
      <c r="V58" s="555"/>
    </row>
    <row r="59" spans="1:22" ht="12.75">
      <c r="A59" s="706"/>
      <c r="B59" s="273">
        <v>600</v>
      </c>
      <c r="C59" s="23" t="s">
        <v>103</v>
      </c>
      <c r="D59" s="91"/>
      <c r="E59" s="91"/>
      <c r="F59" s="91"/>
      <c r="G59" s="91"/>
      <c r="H59" s="91"/>
      <c r="I59" s="23">
        <v>10000</v>
      </c>
      <c r="J59" s="91">
        <v>1500</v>
      </c>
      <c r="K59" s="91">
        <v>370</v>
      </c>
      <c r="L59" s="91">
        <v>592.2</v>
      </c>
      <c r="M59" s="616">
        <v>1220</v>
      </c>
      <c r="N59" s="25"/>
      <c r="O59" s="559"/>
      <c r="P59" s="560"/>
      <c r="Q59" s="561">
        <f t="shared" si="11"/>
        <v>0</v>
      </c>
      <c r="T59" s="555"/>
      <c r="V59" s="555"/>
    </row>
    <row r="60" spans="1:22" ht="12.75">
      <c r="A60" s="706"/>
      <c r="B60" s="273">
        <v>600</v>
      </c>
      <c r="C60" s="23" t="s">
        <v>185</v>
      </c>
      <c r="D60" s="91"/>
      <c r="E60" s="91"/>
      <c r="F60" s="91"/>
      <c r="G60" s="91"/>
      <c r="H60" s="91"/>
      <c r="I60" s="23">
        <v>1871</v>
      </c>
      <c r="J60" s="91">
        <v>2416</v>
      </c>
      <c r="K60" s="91">
        <v>4274</v>
      </c>
      <c r="L60" s="91">
        <v>2000</v>
      </c>
      <c r="M60" s="616">
        <v>3500</v>
      </c>
      <c r="N60" s="25">
        <v>5000</v>
      </c>
      <c r="O60" s="559"/>
      <c r="P60" s="560"/>
      <c r="Q60" s="561">
        <f t="shared" si="11"/>
        <v>5000</v>
      </c>
      <c r="T60" s="555"/>
      <c r="V60" s="555"/>
    </row>
    <row r="61" spans="1:22" ht="12.75">
      <c r="A61" s="706"/>
      <c r="B61" s="273">
        <v>600</v>
      </c>
      <c r="C61" s="23" t="s">
        <v>104</v>
      </c>
      <c r="D61" s="91"/>
      <c r="E61" s="91"/>
      <c r="F61" s="91"/>
      <c r="G61" s="91"/>
      <c r="H61" s="91"/>
      <c r="I61" s="23">
        <v>3240</v>
      </c>
      <c r="J61" s="91">
        <v>832</v>
      </c>
      <c r="K61" s="91">
        <v>1493</v>
      </c>
      <c r="L61" s="91">
        <v>1232</v>
      </c>
      <c r="M61" s="616">
        <v>1000</v>
      </c>
      <c r="N61" s="25">
        <v>2000</v>
      </c>
      <c r="O61" s="563"/>
      <c r="P61" s="572"/>
      <c r="Q61" s="565">
        <f t="shared" si="11"/>
        <v>2000</v>
      </c>
      <c r="T61" s="555"/>
      <c r="V61" s="555"/>
    </row>
    <row r="62" spans="1:22" ht="12.75">
      <c r="A62" s="706"/>
      <c r="B62" s="273">
        <v>600</v>
      </c>
      <c r="C62" s="23" t="s">
        <v>32</v>
      </c>
      <c r="D62" s="91"/>
      <c r="E62" s="91"/>
      <c r="F62" s="91"/>
      <c r="G62" s="91"/>
      <c r="H62" s="91"/>
      <c r="I62" s="23">
        <v>7924</v>
      </c>
      <c r="J62" s="91">
        <v>11969</v>
      </c>
      <c r="K62" s="91">
        <v>11202</v>
      </c>
      <c r="L62" s="91">
        <v>15790.12</v>
      </c>
      <c r="M62" s="616">
        <v>6364.23</v>
      </c>
      <c r="N62" s="25">
        <v>26300</v>
      </c>
      <c r="O62" s="556"/>
      <c r="P62" s="557"/>
      <c r="Q62" s="558">
        <f t="shared" si="11"/>
        <v>26300</v>
      </c>
      <c r="T62" s="555"/>
      <c r="V62" s="555"/>
    </row>
    <row r="63" spans="1:22" ht="12.75" hidden="1">
      <c r="A63" s="706"/>
      <c r="B63" s="273">
        <v>600</v>
      </c>
      <c r="C63" s="23" t="s">
        <v>105</v>
      </c>
      <c r="D63" s="91"/>
      <c r="E63" s="91"/>
      <c r="F63" s="91"/>
      <c r="G63" s="91"/>
      <c r="H63" s="91"/>
      <c r="I63" s="23"/>
      <c r="J63" s="91">
        <v>4512</v>
      </c>
      <c r="K63" s="91">
        <v>5000</v>
      </c>
      <c r="L63" s="91"/>
      <c r="M63" s="623"/>
      <c r="N63" s="121"/>
      <c r="O63" s="559"/>
      <c r="P63" s="559"/>
      <c r="Q63" s="562">
        <f t="shared" si="11"/>
        <v>0</v>
      </c>
      <c r="T63" s="555"/>
      <c r="V63" s="555"/>
    </row>
    <row r="64" spans="1:22" ht="12.75" hidden="1">
      <c r="A64" s="706"/>
      <c r="B64" s="273">
        <v>600</v>
      </c>
      <c r="C64" s="276" t="s">
        <v>106</v>
      </c>
      <c r="D64" s="91"/>
      <c r="E64" s="91"/>
      <c r="F64" s="91"/>
      <c r="G64" s="91"/>
      <c r="H64" s="91"/>
      <c r="I64" s="23"/>
      <c r="J64" s="91">
        <v>6450</v>
      </c>
      <c r="K64" s="89"/>
      <c r="L64" s="91"/>
      <c r="M64" s="616"/>
      <c r="N64" s="121"/>
      <c r="O64" s="559"/>
      <c r="P64" s="559"/>
      <c r="Q64" s="562">
        <f t="shared" si="11"/>
        <v>0</v>
      </c>
      <c r="T64" s="555"/>
      <c r="V64" s="555"/>
    </row>
    <row r="65" spans="1:22" ht="13.5" thickBot="1">
      <c r="A65" s="707"/>
      <c r="B65" s="277">
        <v>600</v>
      </c>
      <c r="C65" s="45" t="s">
        <v>107</v>
      </c>
      <c r="D65" s="243"/>
      <c r="E65" s="243"/>
      <c r="F65" s="243"/>
      <c r="G65" s="243"/>
      <c r="H65" s="243"/>
      <c r="I65" s="146"/>
      <c r="J65" s="146"/>
      <c r="K65" s="278"/>
      <c r="L65" s="278">
        <v>2000</v>
      </c>
      <c r="M65" s="624">
        <v>2000</v>
      </c>
      <c r="N65" s="575"/>
      <c r="O65" s="563"/>
      <c r="P65" s="563"/>
      <c r="Q65" s="564">
        <f t="shared" si="11"/>
        <v>0</v>
      </c>
      <c r="T65" s="555"/>
      <c r="V65" s="555"/>
    </row>
    <row r="66" spans="1:22" ht="15.75" thickBot="1">
      <c r="A66" s="213" t="s">
        <v>108</v>
      </c>
      <c r="B66" s="670" t="s">
        <v>109</v>
      </c>
      <c r="C66" s="686"/>
      <c r="D66" s="214">
        <v>16132</v>
      </c>
      <c r="E66" s="214">
        <v>16995</v>
      </c>
      <c r="F66" s="214">
        <v>21045</v>
      </c>
      <c r="G66" s="214">
        <v>23225</v>
      </c>
      <c r="H66" s="214">
        <v>22830</v>
      </c>
      <c r="I66" s="281">
        <v>22296</v>
      </c>
      <c r="J66" s="281">
        <v>33352</v>
      </c>
      <c r="K66" s="66">
        <v>37492</v>
      </c>
      <c r="L66" s="215">
        <v>38137.74</v>
      </c>
      <c r="M66" s="617">
        <v>48253.93</v>
      </c>
      <c r="N66" s="108">
        <v>44345</v>
      </c>
      <c r="O66" s="476"/>
      <c r="P66" s="476"/>
      <c r="Q66" s="477">
        <f>N66+O66+P66</f>
        <v>44345</v>
      </c>
      <c r="T66" s="555"/>
      <c r="V66" s="555"/>
    </row>
    <row r="67" spans="1:22" ht="13.5" hidden="1" thickBot="1">
      <c r="A67" s="705"/>
      <c r="B67" s="282" t="s">
        <v>110</v>
      </c>
      <c r="C67" s="131" t="s">
        <v>71</v>
      </c>
      <c r="D67" s="217"/>
      <c r="E67" s="217"/>
      <c r="F67" s="217"/>
      <c r="G67" s="217"/>
      <c r="H67" s="217"/>
      <c r="I67" s="131"/>
      <c r="J67" s="131"/>
      <c r="K67" s="87"/>
      <c r="L67" s="87"/>
      <c r="M67" s="132"/>
      <c r="N67" s="20">
        <v>17307</v>
      </c>
      <c r="O67" s="557"/>
      <c r="P67" s="557"/>
      <c r="Q67" s="558"/>
      <c r="T67" s="555"/>
      <c r="V67" s="555"/>
    </row>
    <row r="68" spans="1:22" ht="13.5" hidden="1" thickBot="1">
      <c r="A68" s="706"/>
      <c r="B68" s="283" t="s">
        <v>110</v>
      </c>
      <c r="C68" s="23" t="s">
        <v>72</v>
      </c>
      <c r="D68" s="220"/>
      <c r="E68" s="220"/>
      <c r="F68" s="220"/>
      <c r="G68" s="220"/>
      <c r="H68" s="220"/>
      <c r="I68" s="23"/>
      <c r="J68" s="23"/>
      <c r="K68" s="91"/>
      <c r="L68" s="91"/>
      <c r="M68" s="135"/>
      <c r="N68" s="24">
        <v>6502</v>
      </c>
      <c r="O68" s="560"/>
      <c r="P68" s="560"/>
      <c r="Q68" s="561"/>
      <c r="T68" s="555"/>
      <c r="V68" s="555"/>
    </row>
    <row r="69" spans="1:22" ht="13.5" hidden="1" thickBot="1">
      <c r="A69" s="707"/>
      <c r="B69" s="254">
        <v>600</v>
      </c>
      <c r="C69" s="45" t="s">
        <v>73</v>
      </c>
      <c r="D69" s="154"/>
      <c r="E69" s="154"/>
      <c r="F69" s="154"/>
      <c r="G69" s="154"/>
      <c r="H69" s="154"/>
      <c r="I69" s="45"/>
      <c r="J69" s="45"/>
      <c r="K69" s="59"/>
      <c r="L69" s="59"/>
      <c r="M69" s="224"/>
      <c r="N69" s="29">
        <v>0</v>
      </c>
      <c r="O69" s="572"/>
      <c r="P69" s="572"/>
      <c r="Q69" s="565"/>
      <c r="T69" s="555"/>
      <c r="V69" s="555"/>
    </row>
    <row r="70" spans="1:22" ht="15.75" thickBot="1">
      <c r="A70" s="269" t="s">
        <v>158</v>
      </c>
      <c r="B70" s="737" t="s">
        <v>159</v>
      </c>
      <c r="C70" s="738"/>
      <c r="D70" s="271">
        <v>1016763</v>
      </c>
      <c r="E70" s="271">
        <v>271062</v>
      </c>
      <c r="F70" s="271">
        <v>471453</v>
      </c>
      <c r="G70" s="271">
        <v>456862</v>
      </c>
      <c r="H70" s="78">
        <f aca="true" t="shared" si="12" ref="H70:M70">SUM(H71:H73)</f>
        <v>440003</v>
      </c>
      <c r="I70" s="78">
        <f t="shared" si="12"/>
        <v>428961</v>
      </c>
      <c r="J70" s="78">
        <f t="shared" si="12"/>
        <v>454364</v>
      </c>
      <c r="K70" s="78">
        <f t="shared" si="12"/>
        <v>445324</v>
      </c>
      <c r="L70" s="79">
        <f>SUM(L71:L73)</f>
        <v>440667.17</v>
      </c>
      <c r="M70" s="215">
        <f t="shared" si="12"/>
        <v>406831.45</v>
      </c>
      <c r="N70" s="108">
        <f>SUM(N71:N73)</f>
        <v>486043</v>
      </c>
      <c r="O70" s="476">
        <f>SUM(O71:O73)</f>
        <v>-12000</v>
      </c>
      <c r="P70" s="476">
        <f>SUM(P71:P73)</f>
        <v>0</v>
      </c>
      <c r="Q70" s="477">
        <f>SUM(Q71:Q73)</f>
        <v>474043</v>
      </c>
      <c r="T70" s="555"/>
      <c r="V70" s="555"/>
    </row>
    <row r="71" spans="1:22" ht="12.75" hidden="1">
      <c r="A71" s="732"/>
      <c r="B71" s="216">
        <v>650</v>
      </c>
      <c r="C71" s="284" t="s">
        <v>89</v>
      </c>
      <c r="D71" s="285"/>
      <c r="E71" s="285"/>
      <c r="F71" s="285"/>
      <c r="G71" s="285"/>
      <c r="H71" s="259">
        <v>4585</v>
      </c>
      <c r="I71" s="286">
        <v>1644</v>
      </c>
      <c r="J71" s="284"/>
      <c r="K71" s="87"/>
      <c r="L71" s="387"/>
      <c r="M71" s="132"/>
      <c r="N71" s="20"/>
      <c r="O71" s="556"/>
      <c r="P71" s="556"/>
      <c r="Q71" s="576">
        <f>N71+O71+P71</f>
        <v>0</v>
      </c>
      <c r="T71" s="555"/>
      <c r="V71" s="555"/>
    </row>
    <row r="72" spans="1:22" ht="12.75">
      <c r="A72" s="733"/>
      <c r="B72" s="283" t="s">
        <v>141</v>
      </c>
      <c r="C72" s="287" t="s">
        <v>111</v>
      </c>
      <c r="D72" s="288"/>
      <c r="E72" s="288"/>
      <c r="F72" s="288"/>
      <c r="G72" s="288"/>
      <c r="H72" s="228">
        <v>7659</v>
      </c>
      <c r="I72" s="289">
        <v>5301</v>
      </c>
      <c r="J72" s="228">
        <v>3974</v>
      </c>
      <c r="K72" s="290">
        <v>3974</v>
      </c>
      <c r="L72" s="165">
        <v>3974.17</v>
      </c>
      <c r="M72" s="135">
        <v>4974.02</v>
      </c>
      <c r="N72" s="24">
        <v>3636</v>
      </c>
      <c r="O72" s="559"/>
      <c r="P72" s="560"/>
      <c r="Q72" s="561">
        <f>N72+O72+P72</f>
        <v>3636</v>
      </c>
      <c r="S72" s="555"/>
      <c r="T72" s="555"/>
      <c r="U72" s="555"/>
      <c r="V72" s="555"/>
    </row>
    <row r="73" spans="1:22" ht="13.5" thickBot="1">
      <c r="A73" s="734"/>
      <c r="B73" s="221">
        <v>640</v>
      </c>
      <c r="C73" s="291" t="s">
        <v>442</v>
      </c>
      <c r="D73" s="59"/>
      <c r="E73" s="59"/>
      <c r="F73" s="59"/>
      <c r="G73" s="59"/>
      <c r="H73" s="154">
        <v>427759</v>
      </c>
      <c r="I73" s="292">
        <v>422016</v>
      </c>
      <c r="J73" s="154">
        <v>450390</v>
      </c>
      <c r="K73" s="293">
        <v>441350</v>
      </c>
      <c r="L73" s="155">
        <v>436693</v>
      </c>
      <c r="M73" s="600">
        <v>401857.43</v>
      </c>
      <c r="N73" s="280">
        <v>482407</v>
      </c>
      <c r="O73" s="572">
        <v>-12000</v>
      </c>
      <c r="P73" s="572"/>
      <c r="Q73" s="565">
        <f>N73+O73+P73</f>
        <v>470407</v>
      </c>
      <c r="R73" s="555"/>
      <c r="T73" s="555"/>
      <c r="V73" s="555"/>
    </row>
    <row r="74" spans="1:22" ht="15.75" hidden="1" thickBot="1">
      <c r="A74" s="294" t="s">
        <v>112</v>
      </c>
      <c r="B74" s="741" t="s">
        <v>28</v>
      </c>
      <c r="C74" s="742"/>
      <c r="D74" s="295"/>
      <c r="E74" s="295"/>
      <c r="F74" s="295"/>
      <c r="G74" s="295"/>
      <c r="H74" s="295"/>
      <c r="I74" s="296">
        <v>0</v>
      </c>
      <c r="J74" s="296">
        <v>0</v>
      </c>
      <c r="K74" s="297">
        <f>K75</f>
        <v>0</v>
      </c>
      <c r="L74" s="298"/>
      <c r="M74" s="298">
        <f>M75</f>
        <v>0</v>
      </c>
      <c r="N74" s="577">
        <v>0</v>
      </c>
      <c r="O74" s="569"/>
      <c r="P74" s="569"/>
      <c r="Q74" s="578"/>
      <c r="T74" s="555"/>
      <c r="V74" s="555"/>
    </row>
    <row r="75" spans="1:22" ht="15.75" hidden="1" thickBot="1">
      <c r="A75" s="232"/>
      <c r="B75" s="274">
        <v>630</v>
      </c>
      <c r="C75" s="299" t="s">
        <v>113</v>
      </c>
      <c r="D75" s="300"/>
      <c r="E75" s="300"/>
      <c r="F75" s="300"/>
      <c r="G75" s="300"/>
      <c r="H75" s="300"/>
      <c r="I75" s="301" t="s">
        <v>114</v>
      </c>
      <c r="J75" s="301" t="s">
        <v>114</v>
      </c>
      <c r="K75" s="275"/>
      <c r="L75" s="268"/>
      <c r="M75" s="268"/>
      <c r="N75" s="84"/>
      <c r="O75" s="566"/>
      <c r="P75" s="566"/>
      <c r="Q75" s="579"/>
      <c r="T75" s="555"/>
      <c r="V75" s="555"/>
    </row>
    <row r="76" spans="1:22" ht="15.75" thickBot="1">
      <c r="A76" s="269" t="s">
        <v>155</v>
      </c>
      <c r="B76" s="737" t="s">
        <v>115</v>
      </c>
      <c r="C76" s="738"/>
      <c r="D76" s="271">
        <v>11817</v>
      </c>
      <c r="E76" s="271">
        <v>11784</v>
      </c>
      <c r="F76" s="271">
        <v>12315</v>
      </c>
      <c r="G76" s="271">
        <v>20259</v>
      </c>
      <c r="H76" s="78">
        <f aca="true" t="shared" si="13" ref="H76:M76">SUM(H77:H80)</f>
        <v>14522</v>
      </c>
      <c r="I76" s="78">
        <f t="shared" si="13"/>
        <v>159820</v>
      </c>
      <c r="J76" s="78">
        <f t="shared" si="13"/>
        <v>64721</v>
      </c>
      <c r="K76" s="78">
        <f t="shared" si="13"/>
        <v>10450</v>
      </c>
      <c r="L76" s="79">
        <f t="shared" si="13"/>
        <v>10682.39</v>
      </c>
      <c r="M76" s="79">
        <f t="shared" si="13"/>
        <v>9819.23</v>
      </c>
      <c r="N76" s="401">
        <v>8729</v>
      </c>
      <c r="O76" s="476">
        <f>SUM(O77:O80)</f>
        <v>0</v>
      </c>
      <c r="P76" s="476">
        <f>SUM(P77:P80)</f>
        <v>0</v>
      </c>
      <c r="Q76" s="477">
        <f>SUM(Q77:Q80)</f>
        <v>8729</v>
      </c>
      <c r="T76" s="555"/>
      <c r="V76" s="555"/>
    </row>
    <row r="77" spans="1:22" ht="12.75">
      <c r="A77" s="705"/>
      <c r="B77" s="230">
        <v>610</v>
      </c>
      <c r="C77" s="40" t="s">
        <v>71</v>
      </c>
      <c r="D77" s="159"/>
      <c r="E77" s="159">
        <v>7435</v>
      </c>
      <c r="F77" s="159">
        <v>7170</v>
      </c>
      <c r="G77" s="159">
        <v>13170</v>
      </c>
      <c r="H77" s="159">
        <v>9057</v>
      </c>
      <c r="I77" s="40">
        <v>7158</v>
      </c>
      <c r="J77" s="41">
        <v>7062</v>
      </c>
      <c r="K77" s="41">
        <v>6902</v>
      </c>
      <c r="L77" s="152">
        <v>7013.99</v>
      </c>
      <c r="M77" s="152">
        <v>6670.5</v>
      </c>
      <c r="N77" s="94">
        <v>5594</v>
      </c>
      <c r="O77" s="556"/>
      <c r="P77" s="557"/>
      <c r="Q77" s="558">
        <f>N77+O77+P77</f>
        <v>5594</v>
      </c>
      <c r="T77" s="555"/>
      <c r="V77" s="555"/>
    </row>
    <row r="78" spans="1:22" ht="12.75">
      <c r="A78" s="706"/>
      <c r="B78" s="231">
        <v>620</v>
      </c>
      <c r="C78" s="42" t="s">
        <v>72</v>
      </c>
      <c r="D78" s="242"/>
      <c r="E78" s="242">
        <v>2722</v>
      </c>
      <c r="F78" s="242">
        <v>2589</v>
      </c>
      <c r="G78" s="242">
        <v>4447</v>
      </c>
      <c r="H78" s="242">
        <v>3981</v>
      </c>
      <c r="I78" s="42">
        <v>2874</v>
      </c>
      <c r="J78" s="43">
        <v>2706</v>
      </c>
      <c r="K78" s="43">
        <v>2594</v>
      </c>
      <c r="L78" s="115">
        <v>2904.51</v>
      </c>
      <c r="M78" s="115">
        <v>2212.12</v>
      </c>
      <c r="N78" s="25">
        <v>2135</v>
      </c>
      <c r="O78" s="559"/>
      <c r="P78" s="560"/>
      <c r="Q78" s="561">
        <f>N78+O78+P78</f>
        <v>2135</v>
      </c>
      <c r="T78" s="555"/>
      <c r="V78" s="555"/>
    </row>
    <row r="79" spans="1:22" ht="12.75">
      <c r="A79" s="706"/>
      <c r="B79" s="231">
        <v>630</v>
      </c>
      <c r="C79" s="42" t="s">
        <v>73</v>
      </c>
      <c r="D79" s="242"/>
      <c r="E79" s="242">
        <v>1627</v>
      </c>
      <c r="F79" s="242">
        <v>2556</v>
      </c>
      <c r="G79" s="242">
        <v>2642</v>
      </c>
      <c r="H79" s="242">
        <v>1484</v>
      </c>
      <c r="I79" s="42">
        <v>1204</v>
      </c>
      <c r="J79" s="43">
        <v>1574</v>
      </c>
      <c r="K79" s="43">
        <v>954</v>
      </c>
      <c r="L79" s="115">
        <v>763.89</v>
      </c>
      <c r="M79" s="115">
        <v>936.61</v>
      </c>
      <c r="N79" s="25">
        <v>1000</v>
      </c>
      <c r="O79" s="559"/>
      <c r="P79" s="560"/>
      <c r="Q79" s="561">
        <f>N79+O79+P79</f>
        <v>1000</v>
      </c>
      <c r="T79" s="555"/>
      <c r="V79" s="555"/>
    </row>
    <row r="80" spans="1:22" ht="13.5" thickBot="1">
      <c r="A80" s="707"/>
      <c r="B80" s="254">
        <v>600</v>
      </c>
      <c r="C80" s="302" t="s">
        <v>116</v>
      </c>
      <c r="D80" s="303"/>
      <c r="E80" s="303"/>
      <c r="F80" s="303"/>
      <c r="G80" s="303"/>
      <c r="H80" s="303"/>
      <c r="I80" s="302">
        <v>148584</v>
      </c>
      <c r="J80" s="304">
        <v>53379</v>
      </c>
      <c r="K80" s="59"/>
      <c r="L80" s="305"/>
      <c r="M80" s="305"/>
      <c r="N80" s="47"/>
      <c r="O80" s="563"/>
      <c r="P80" s="563"/>
      <c r="Q80" s="564">
        <f>N80+O80+P80</f>
        <v>0</v>
      </c>
      <c r="T80" s="555"/>
      <c r="V80" s="555"/>
    </row>
    <row r="81" spans="1:22" ht="15.75" thickBot="1">
      <c r="A81" s="306" t="s">
        <v>41</v>
      </c>
      <c r="B81" s="735" t="s">
        <v>143</v>
      </c>
      <c r="C81" s="736"/>
      <c r="D81" s="214">
        <v>11518</v>
      </c>
      <c r="E81" s="214">
        <v>13012</v>
      </c>
      <c r="F81" s="214">
        <v>13643</v>
      </c>
      <c r="G81" s="214">
        <v>15109</v>
      </c>
      <c r="H81" s="214">
        <v>14271</v>
      </c>
      <c r="I81" s="66">
        <f>SUM(I82:I84)</f>
        <v>14580</v>
      </c>
      <c r="J81" s="66">
        <f>SUM(J82:J84)</f>
        <v>13755</v>
      </c>
      <c r="K81" s="66">
        <f>SUM(K82:K84)</f>
        <v>12987</v>
      </c>
      <c r="L81" s="215">
        <f>SUM(L82:L84)</f>
        <v>12440.38</v>
      </c>
      <c r="M81" s="215">
        <f>SUM(M82:M85)</f>
        <v>12085.220000000001</v>
      </c>
      <c r="N81" s="108">
        <v>14650</v>
      </c>
      <c r="O81" s="476">
        <f>SUM(O82:O84)</f>
        <v>0</v>
      </c>
      <c r="P81" s="476">
        <f>SUM(P82:P84)</f>
        <v>0</v>
      </c>
      <c r="Q81" s="477">
        <f>SUM(Q82:Q84)</f>
        <v>14650</v>
      </c>
      <c r="T81" s="555"/>
      <c r="V81" s="555"/>
    </row>
    <row r="82" spans="1:22" ht="12.75">
      <c r="A82" s="705"/>
      <c r="B82" s="230">
        <v>610</v>
      </c>
      <c r="C82" s="40" t="s">
        <v>71</v>
      </c>
      <c r="D82" s="159"/>
      <c r="E82" s="159">
        <v>8099</v>
      </c>
      <c r="F82" s="159">
        <v>8597</v>
      </c>
      <c r="G82" s="159">
        <v>9417</v>
      </c>
      <c r="H82" s="159">
        <v>9528</v>
      </c>
      <c r="I82" s="40">
        <v>9523</v>
      </c>
      <c r="J82" s="41">
        <v>8900</v>
      </c>
      <c r="K82" s="41">
        <v>8730</v>
      </c>
      <c r="L82" s="204">
        <v>8356.07</v>
      </c>
      <c r="M82" s="204">
        <v>8369.97</v>
      </c>
      <c r="N82" s="94">
        <v>9940</v>
      </c>
      <c r="O82" s="556"/>
      <c r="P82" s="557"/>
      <c r="Q82" s="558">
        <f>N82+O82+P82</f>
        <v>9940</v>
      </c>
      <c r="T82" s="555"/>
      <c r="V82" s="555"/>
    </row>
    <row r="83" spans="1:22" ht="12.75">
      <c r="A83" s="706"/>
      <c r="B83" s="231">
        <v>620</v>
      </c>
      <c r="C83" s="42" t="s">
        <v>72</v>
      </c>
      <c r="D83" s="242"/>
      <c r="E83" s="242">
        <v>2855</v>
      </c>
      <c r="F83" s="242">
        <v>3220</v>
      </c>
      <c r="G83" s="242">
        <v>3567</v>
      </c>
      <c r="H83" s="242">
        <v>3607</v>
      </c>
      <c r="I83" s="42">
        <v>3617</v>
      </c>
      <c r="J83" s="43">
        <v>3393</v>
      </c>
      <c r="K83" s="43">
        <v>3330</v>
      </c>
      <c r="L83" s="206">
        <v>3406.87</v>
      </c>
      <c r="M83" s="206">
        <v>2973.01</v>
      </c>
      <c r="N83" s="25">
        <v>3726</v>
      </c>
      <c r="O83" s="559"/>
      <c r="P83" s="560"/>
      <c r="Q83" s="561">
        <f>N83+O83+P83</f>
        <v>3726</v>
      </c>
      <c r="T83" s="555"/>
      <c r="V83" s="555"/>
    </row>
    <row r="84" spans="1:22" ht="13.5" thickBot="1">
      <c r="A84" s="706"/>
      <c r="B84" s="313">
        <v>630</v>
      </c>
      <c r="C84" s="46" t="s">
        <v>73</v>
      </c>
      <c r="D84" s="154"/>
      <c r="E84" s="154">
        <v>2058</v>
      </c>
      <c r="F84" s="154">
        <v>1826</v>
      </c>
      <c r="G84" s="154">
        <v>2125</v>
      </c>
      <c r="H84" s="154">
        <v>1136</v>
      </c>
      <c r="I84" s="45">
        <v>1440</v>
      </c>
      <c r="J84" s="59">
        <v>1462</v>
      </c>
      <c r="K84" s="73">
        <v>927</v>
      </c>
      <c r="L84" s="255">
        <v>677.44</v>
      </c>
      <c r="M84" s="255">
        <v>629.37</v>
      </c>
      <c r="N84" s="29">
        <v>984</v>
      </c>
      <c r="O84" s="563"/>
      <c r="P84" s="572"/>
      <c r="Q84" s="565">
        <f>N84+O84+P84</f>
        <v>984</v>
      </c>
      <c r="T84" s="555"/>
      <c r="V84" s="555"/>
    </row>
    <row r="85" spans="1:22" ht="13.5" thickBot="1">
      <c r="A85" s="707"/>
      <c r="B85" s="254">
        <v>640</v>
      </c>
      <c r="C85" s="45" t="s">
        <v>74</v>
      </c>
      <c r="D85" s="266"/>
      <c r="E85" s="266"/>
      <c r="F85" s="266"/>
      <c r="G85" s="266"/>
      <c r="H85" s="266"/>
      <c r="I85" s="116"/>
      <c r="J85" s="211"/>
      <c r="K85" s="243"/>
      <c r="L85" s="618"/>
      <c r="M85" s="618">
        <v>112.87</v>
      </c>
      <c r="N85" s="69"/>
      <c r="O85" s="566"/>
      <c r="P85" s="567"/>
      <c r="Q85" s="568"/>
      <c r="T85" s="555"/>
      <c r="V85" s="555"/>
    </row>
    <row r="86" spans="1:22" ht="15.75" thickBot="1">
      <c r="A86" s="269" t="s">
        <v>409</v>
      </c>
      <c r="B86" s="703" t="s">
        <v>410</v>
      </c>
      <c r="C86" s="674"/>
      <c r="D86" s="271">
        <v>0</v>
      </c>
      <c r="E86" s="271">
        <v>221337</v>
      </c>
      <c r="F86" s="271">
        <v>136394</v>
      </c>
      <c r="G86" s="271">
        <v>214824</v>
      </c>
      <c r="H86" s="271">
        <v>646088</v>
      </c>
      <c r="I86" s="66">
        <f>SUM(I92:I104)</f>
        <v>152165</v>
      </c>
      <c r="J86" s="66">
        <f>SUM(J92:J104)</f>
        <v>173492</v>
      </c>
      <c r="K86" s="66">
        <f>SUM(K92:K104)</f>
        <v>219663</v>
      </c>
      <c r="L86" s="215">
        <f aca="true" t="shared" si="14" ref="L86:Q86">SUM(L87:L104)</f>
        <v>485501.09</v>
      </c>
      <c r="M86" s="215">
        <f t="shared" si="14"/>
        <v>315963.52</v>
      </c>
      <c r="N86" s="108">
        <f t="shared" si="14"/>
        <v>217572</v>
      </c>
      <c r="O86" s="476">
        <f t="shared" si="14"/>
        <v>0</v>
      </c>
      <c r="P86" s="476">
        <f t="shared" si="14"/>
        <v>1000</v>
      </c>
      <c r="Q86" s="477">
        <f t="shared" si="14"/>
        <v>218572</v>
      </c>
      <c r="T86" s="555"/>
      <c r="V86" s="555"/>
    </row>
    <row r="87" spans="1:22" ht="15">
      <c r="A87" s="732"/>
      <c r="B87" s="230">
        <v>630</v>
      </c>
      <c r="C87" s="40" t="s">
        <v>282</v>
      </c>
      <c r="D87" s="307"/>
      <c r="E87" s="307"/>
      <c r="F87" s="307"/>
      <c r="G87" s="307"/>
      <c r="H87" s="307"/>
      <c r="I87" s="308"/>
      <c r="J87" s="308"/>
      <c r="K87" s="308"/>
      <c r="L87" s="218">
        <v>164829</v>
      </c>
      <c r="M87" s="119">
        <v>115488</v>
      </c>
      <c r="N87" s="580"/>
      <c r="O87" s="556"/>
      <c r="P87" s="556"/>
      <c r="Q87" s="558">
        <f aca="true" t="shared" si="15" ref="Q87:Q104">N87+O87+P87</f>
        <v>0</v>
      </c>
      <c r="T87" s="555"/>
      <c r="V87" s="555"/>
    </row>
    <row r="88" spans="1:22" ht="15" hidden="1">
      <c r="A88" s="733"/>
      <c r="B88" s="231"/>
      <c r="C88" s="46" t="s">
        <v>319</v>
      </c>
      <c r="D88" s="309"/>
      <c r="E88" s="309"/>
      <c r="F88" s="309"/>
      <c r="G88" s="309"/>
      <c r="H88" s="309"/>
      <c r="I88" s="310"/>
      <c r="J88" s="310"/>
      <c r="K88" s="310"/>
      <c r="L88" s="132">
        <v>9696.54</v>
      </c>
      <c r="M88" s="625"/>
      <c r="N88" s="311"/>
      <c r="O88" s="559"/>
      <c r="P88" s="559"/>
      <c r="Q88" s="561">
        <f t="shared" si="15"/>
        <v>0</v>
      </c>
      <c r="T88" s="555"/>
      <c r="V88" s="555"/>
    </row>
    <row r="89" spans="1:22" ht="15" hidden="1">
      <c r="A89" s="733"/>
      <c r="B89" s="231"/>
      <c r="C89" s="46" t="s">
        <v>117</v>
      </c>
      <c r="D89" s="309"/>
      <c r="E89" s="309"/>
      <c r="F89" s="309"/>
      <c r="G89" s="309"/>
      <c r="H89" s="309"/>
      <c r="I89" s="310"/>
      <c r="J89" s="310"/>
      <c r="K89" s="310"/>
      <c r="L89" s="132">
        <v>9955.3</v>
      </c>
      <c r="M89" s="625"/>
      <c r="N89" s="311"/>
      <c r="O89" s="559"/>
      <c r="P89" s="559"/>
      <c r="Q89" s="561">
        <f t="shared" si="15"/>
        <v>0</v>
      </c>
      <c r="T89" s="555"/>
      <c r="V89" s="555"/>
    </row>
    <row r="90" spans="1:22" ht="15" hidden="1">
      <c r="A90" s="733"/>
      <c r="B90" s="231"/>
      <c r="C90" s="46" t="s">
        <v>118</v>
      </c>
      <c r="D90" s="309"/>
      <c r="E90" s="309"/>
      <c r="F90" s="309"/>
      <c r="G90" s="309"/>
      <c r="H90" s="309"/>
      <c r="I90" s="310"/>
      <c r="J90" s="310"/>
      <c r="K90" s="310"/>
      <c r="L90" s="132">
        <v>11550</v>
      </c>
      <c r="M90" s="625"/>
      <c r="N90" s="311"/>
      <c r="O90" s="559"/>
      <c r="P90" s="559"/>
      <c r="Q90" s="561">
        <f t="shared" si="15"/>
        <v>0</v>
      </c>
      <c r="T90" s="555"/>
      <c r="V90" s="555"/>
    </row>
    <row r="91" spans="1:22" ht="15" hidden="1">
      <c r="A91" s="733"/>
      <c r="B91" s="231"/>
      <c r="C91" s="42" t="s">
        <v>321</v>
      </c>
      <c r="D91" s="309"/>
      <c r="E91" s="309"/>
      <c r="F91" s="309"/>
      <c r="G91" s="309"/>
      <c r="H91" s="309"/>
      <c r="I91" s="310"/>
      <c r="J91" s="310"/>
      <c r="K91" s="310"/>
      <c r="L91" s="132">
        <v>11848</v>
      </c>
      <c r="M91" s="625"/>
      <c r="N91" s="311"/>
      <c r="O91" s="559"/>
      <c r="P91" s="559"/>
      <c r="Q91" s="561">
        <f t="shared" si="15"/>
        <v>0</v>
      </c>
      <c r="T91" s="555"/>
      <c r="V91" s="555"/>
    </row>
    <row r="92" spans="1:22" ht="12.75">
      <c r="A92" s="733"/>
      <c r="B92" s="312"/>
      <c r="C92" s="71" t="s">
        <v>119</v>
      </c>
      <c r="D92" s="56"/>
      <c r="E92" s="56"/>
      <c r="F92" s="56"/>
      <c r="G92" s="56"/>
      <c r="H92" s="56"/>
      <c r="I92" s="71"/>
      <c r="J92" s="56"/>
      <c r="K92" s="56"/>
      <c r="L92" s="119">
        <v>55733.87</v>
      </c>
      <c r="M92" s="619">
        <v>17376</v>
      </c>
      <c r="N92" s="21"/>
      <c r="O92" s="559"/>
      <c r="P92" s="559"/>
      <c r="Q92" s="561">
        <f t="shared" si="15"/>
        <v>0</v>
      </c>
      <c r="T92" s="555"/>
      <c r="V92" s="555"/>
    </row>
    <row r="93" spans="1:22" ht="12.75">
      <c r="A93" s="733"/>
      <c r="B93" s="313"/>
      <c r="C93" s="46" t="s">
        <v>390</v>
      </c>
      <c r="D93" s="73"/>
      <c r="E93" s="73"/>
      <c r="F93" s="73"/>
      <c r="G93" s="73"/>
      <c r="H93" s="73"/>
      <c r="I93" s="46"/>
      <c r="J93" s="73"/>
      <c r="K93" s="43"/>
      <c r="L93" s="206">
        <v>41848</v>
      </c>
      <c r="M93" s="206"/>
      <c r="N93" s="25"/>
      <c r="O93" s="559"/>
      <c r="P93" s="560">
        <v>1000</v>
      </c>
      <c r="Q93" s="561">
        <f t="shared" si="15"/>
        <v>1000</v>
      </c>
      <c r="T93" s="555"/>
      <c r="V93" s="555"/>
    </row>
    <row r="94" spans="1:22" ht="12.75" hidden="1">
      <c r="A94" s="733"/>
      <c r="B94" s="313"/>
      <c r="C94" s="46"/>
      <c r="D94" s="73"/>
      <c r="E94" s="73"/>
      <c r="F94" s="73"/>
      <c r="G94" s="73"/>
      <c r="H94" s="73"/>
      <c r="I94" s="46"/>
      <c r="J94" s="73"/>
      <c r="K94" s="43"/>
      <c r="L94" s="25"/>
      <c r="M94" s="206"/>
      <c r="N94" s="25"/>
      <c r="O94" s="559"/>
      <c r="P94" s="559"/>
      <c r="Q94" s="561">
        <f t="shared" si="15"/>
        <v>0</v>
      </c>
      <c r="T94" s="555"/>
      <c r="V94" s="555"/>
    </row>
    <row r="95" spans="1:22" ht="12.75" hidden="1">
      <c r="A95" s="733"/>
      <c r="B95" s="313"/>
      <c r="C95" s="46"/>
      <c r="D95" s="73"/>
      <c r="E95" s="73"/>
      <c r="F95" s="73"/>
      <c r="G95" s="73"/>
      <c r="H95" s="73"/>
      <c r="I95" s="46"/>
      <c r="J95" s="73"/>
      <c r="K95" s="43"/>
      <c r="L95" s="25"/>
      <c r="M95" s="206"/>
      <c r="N95" s="25"/>
      <c r="O95" s="559"/>
      <c r="P95" s="559"/>
      <c r="Q95" s="561">
        <f t="shared" si="15"/>
        <v>0</v>
      </c>
      <c r="T95" s="555"/>
      <c r="V95" s="555"/>
    </row>
    <row r="96" spans="1:22" ht="12.75" hidden="1">
      <c r="A96" s="733"/>
      <c r="B96" s="313"/>
      <c r="C96" s="42"/>
      <c r="D96" s="43"/>
      <c r="E96" s="43"/>
      <c r="F96" s="43"/>
      <c r="G96" s="43"/>
      <c r="H96" s="43"/>
      <c r="I96" s="42"/>
      <c r="J96" s="43"/>
      <c r="K96" s="43"/>
      <c r="L96" s="25"/>
      <c r="M96" s="206"/>
      <c r="N96" s="25"/>
      <c r="O96" s="559"/>
      <c r="P96" s="559"/>
      <c r="Q96" s="561">
        <f t="shared" si="15"/>
        <v>0</v>
      </c>
      <c r="T96" s="555"/>
      <c r="V96" s="555"/>
    </row>
    <row r="97" spans="1:22" ht="12.75" hidden="1">
      <c r="A97" s="733"/>
      <c r="B97" s="313">
        <v>630</v>
      </c>
      <c r="C97" s="42" t="s">
        <v>120</v>
      </c>
      <c r="D97" s="43"/>
      <c r="E97" s="43"/>
      <c r="F97" s="43"/>
      <c r="G97" s="43"/>
      <c r="H97" s="43"/>
      <c r="I97" s="42">
        <v>800</v>
      </c>
      <c r="J97" s="43"/>
      <c r="K97" s="43"/>
      <c r="L97" s="25"/>
      <c r="M97" s="206"/>
      <c r="N97" s="25"/>
      <c r="O97" s="559"/>
      <c r="P97" s="559"/>
      <c r="Q97" s="561">
        <f t="shared" si="15"/>
        <v>0</v>
      </c>
      <c r="T97" s="555"/>
      <c r="V97" s="555"/>
    </row>
    <row r="98" spans="1:22" ht="12.75" hidden="1">
      <c r="A98" s="733"/>
      <c r="B98" s="313">
        <v>630</v>
      </c>
      <c r="C98" s="42" t="s">
        <v>121</v>
      </c>
      <c r="D98" s="43"/>
      <c r="E98" s="43"/>
      <c r="F98" s="43"/>
      <c r="G98" s="43"/>
      <c r="H98" s="43"/>
      <c r="I98" s="42">
        <v>2124</v>
      </c>
      <c r="J98" s="43">
        <v>1200</v>
      </c>
      <c r="K98" s="25">
        <f>25728+5970+25054</f>
        <v>56752</v>
      </c>
      <c r="L98" s="25"/>
      <c r="M98" s="206"/>
      <c r="N98" s="25"/>
      <c r="O98" s="559"/>
      <c r="P98" s="559"/>
      <c r="Q98" s="561">
        <f t="shared" si="15"/>
        <v>0</v>
      </c>
      <c r="T98" s="555"/>
      <c r="V98" s="555"/>
    </row>
    <row r="99" spans="1:22" ht="12.75">
      <c r="A99" s="733"/>
      <c r="B99" s="313">
        <v>630</v>
      </c>
      <c r="C99" s="42" t="s">
        <v>122</v>
      </c>
      <c r="D99" s="43"/>
      <c r="E99" s="43"/>
      <c r="F99" s="43"/>
      <c r="G99" s="43"/>
      <c r="H99" s="43"/>
      <c r="I99" s="42"/>
      <c r="J99" s="43">
        <v>22691</v>
      </c>
      <c r="K99" s="25">
        <v>859</v>
      </c>
      <c r="L99" s="25"/>
      <c r="M99" s="206">
        <f>500+274.55</f>
        <v>774.55</v>
      </c>
      <c r="N99" s="25"/>
      <c r="O99" s="559"/>
      <c r="P99" s="559"/>
      <c r="Q99" s="561">
        <f t="shared" si="15"/>
        <v>0</v>
      </c>
      <c r="T99" s="555"/>
      <c r="V99" s="555"/>
    </row>
    <row r="100" spans="1:22" ht="12.75">
      <c r="A100" s="733"/>
      <c r="B100" s="313">
        <v>630</v>
      </c>
      <c r="C100" s="42" t="s">
        <v>123</v>
      </c>
      <c r="D100" s="43"/>
      <c r="E100" s="43"/>
      <c r="F100" s="43"/>
      <c r="G100" s="43"/>
      <c r="H100" s="43"/>
      <c r="I100" s="42">
        <v>4435</v>
      </c>
      <c r="J100" s="43"/>
      <c r="K100" s="43">
        <v>0</v>
      </c>
      <c r="L100" s="206">
        <v>931.15</v>
      </c>
      <c r="M100" s="206">
        <v>7872</v>
      </c>
      <c r="N100" s="25">
        <v>8200</v>
      </c>
      <c r="O100" s="559"/>
      <c r="P100" s="560"/>
      <c r="Q100" s="561">
        <f t="shared" si="15"/>
        <v>8200</v>
      </c>
      <c r="T100" s="555"/>
      <c r="V100" s="555"/>
    </row>
    <row r="101" spans="1:22" ht="12.75" hidden="1">
      <c r="A101" s="733"/>
      <c r="B101" s="313">
        <v>630</v>
      </c>
      <c r="C101" s="46" t="s">
        <v>124</v>
      </c>
      <c r="D101" s="73"/>
      <c r="E101" s="73"/>
      <c r="F101" s="73"/>
      <c r="G101" s="73"/>
      <c r="H101" s="73"/>
      <c r="I101" s="46"/>
      <c r="J101" s="73"/>
      <c r="K101" s="73"/>
      <c r="L101" s="29"/>
      <c r="M101" s="224">
        <v>0</v>
      </c>
      <c r="N101" s="29"/>
      <c r="O101" s="559"/>
      <c r="P101" s="559"/>
      <c r="Q101" s="561">
        <f t="shared" si="15"/>
        <v>0</v>
      </c>
      <c r="T101" s="555"/>
      <c r="V101" s="555"/>
    </row>
    <row r="102" spans="1:22" ht="12.75" hidden="1">
      <c r="A102" s="733"/>
      <c r="B102" s="313">
        <v>630</v>
      </c>
      <c r="C102" s="46" t="s">
        <v>125</v>
      </c>
      <c r="D102" s="73"/>
      <c r="E102" s="73"/>
      <c r="F102" s="73"/>
      <c r="G102" s="73"/>
      <c r="H102" s="73"/>
      <c r="I102" s="46">
        <v>931</v>
      </c>
      <c r="J102" s="73">
        <v>0</v>
      </c>
      <c r="K102" s="73"/>
      <c r="L102" s="73"/>
      <c r="M102" s="255"/>
      <c r="N102" s="29"/>
      <c r="O102" s="559"/>
      <c r="P102" s="559"/>
      <c r="Q102" s="561">
        <f t="shared" si="15"/>
        <v>0</v>
      </c>
      <c r="T102" s="555"/>
      <c r="V102" s="555"/>
    </row>
    <row r="103" spans="1:22" ht="12.75">
      <c r="A103" s="733"/>
      <c r="B103" s="313">
        <v>630</v>
      </c>
      <c r="C103" s="46" t="s">
        <v>126</v>
      </c>
      <c r="D103" s="73"/>
      <c r="E103" s="73"/>
      <c r="F103" s="73"/>
      <c r="G103" s="73"/>
      <c r="H103" s="73"/>
      <c r="I103" s="42">
        <v>10805</v>
      </c>
      <c r="J103" s="43">
        <v>3148</v>
      </c>
      <c r="K103" s="73">
        <f>2890+1395+2974+8613+1646</f>
        <v>17518</v>
      </c>
      <c r="L103" s="224">
        <v>34575.23</v>
      </c>
      <c r="M103" s="224">
        <v>22975.97</v>
      </c>
      <c r="N103" s="29">
        <v>54000</v>
      </c>
      <c r="O103" s="559"/>
      <c r="P103" s="559"/>
      <c r="Q103" s="561">
        <f t="shared" si="15"/>
        <v>54000</v>
      </c>
      <c r="T103" s="555"/>
      <c r="V103" s="555"/>
    </row>
    <row r="104" spans="1:22" ht="13.5" thickBot="1">
      <c r="A104" s="734"/>
      <c r="B104" s="254">
        <v>640</v>
      </c>
      <c r="C104" s="45" t="s">
        <v>127</v>
      </c>
      <c r="D104" s="59"/>
      <c r="E104" s="59">
        <v>217951</v>
      </c>
      <c r="F104" s="59">
        <v>132776</v>
      </c>
      <c r="G104" s="59">
        <v>141830</v>
      </c>
      <c r="H104" s="59">
        <v>137000</v>
      </c>
      <c r="I104" s="45">
        <v>133070</v>
      </c>
      <c r="J104" s="59">
        <v>146453</v>
      </c>
      <c r="K104" s="59">
        <v>144534</v>
      </c>
      <c r="L104" s="305">
        <v>144534</v>
      </c>
      <c r="M104" s="255">
        <v>151477</v>
      </c>
      <c r="N104" s="47">
        <v>155372</v>
      </c>
      <c r="O104" s="563"/>
      <c r="P104" s="572"/>
      <c r="Q104" s="565">
        <f t="shared" si="15"/>
        <v>155372</v>
      </c>
      <c r="T104" s="555"/>
      <c r="V104" s="555"/>
    </row>
    <row r="105" spans="1:22" ht="15.75" thickBot="1">
      <c r="A105" s="213" t="s">
        <v>128</v>
      </c>
      <c r="B105" s="670" t="s">
        <v>142</v>
      </c>
      <c r="C105" s="686"/>
      <c r="D105" s="66">
        <f>D106</f>
        <v>10589</v>
      </c>
      <c r="E105" s="66">
        <f>E106</f>
        <v>11917</v>
      </c>
      <c r="F105" s="66">
        <f>F106</f>
        <v>11883</v>
      </c>
      <c r="G105" s="66">
        <f>G106</f>
        <v>4189</v>
      </c>
      <c r="H105" s="66">
        <v>5005</v>
      </c>
      <c r="I105" s="66">
        <f>I106</f>
        <v>5041</v>
      </c>
      <c r="J105" s="66">
        <f>J106</f>
        <v>5609</v>
      </c>
      <c r="K105" s="66">
        <f>K106</f>
        <v>6003</v>
      </c>
      <c r="L105" s="215">
        <v>3745.53</v>
      </c>
      <c r="M105" s="215">
        <f>M106</f>
        <v>5989.44</v>
      </c>
      <c r="N105" s="108">
        <v>6000</v>
      </c>
      <c r="O105" s="476">
        <f>O106</f>
        <v>0</v>
      </c>
      <c r="P105" s="476">
        <f>P106</f>
        <v>0</v>
      </c>
      <c r="Q105" s="477">
        <f>Q106</f>
        <v>6000</v>
      </c>
      <c r="T105" s="555"/>
      <c r="V105" s="555"/>
    </row>
    <row r="106" spans="1:22" ht="13.5" thickBot="1">
      <c r="A106" s="314"/>
      <c r="B106" s="315"/>
      <c r="C106" s="74" t="s">
        <v>129</v>
      </c>
      <c r="D106" s="83">
        <v>10589</v>
      </c>
      <c r="E106" s="83">
        <v>11917</v>
      </c>
      <c r="F106" s="83">
        <v>11883</v>
      </c>
      <c r="G106" s="83">
        <v>4189</v>
      </c>
      <c r="H106" s="83">
        <v>5005</v>
      </c>
      <c r="I106" s="74">
        <v>5041</v>
      </c>
      <c r="J106" s="83">
        <v>5609</v>
      </c>
      <c r="K106" s="11">
        <v>6003</v>
      </c>
      <c r="L106" s="248">
        <v>3745.53</v>
      </c>
      <c r="M106" s="248">
        <v>5989.44</v>
      </c>
      <c r="N106" s="11">
        <v>6000</v>
      </c>
      <c r="O106" s="569"/>
      <c r="P106" s="570"/>
      <c r="Q106" s="571">
        <f>N106+O106+P106</f>
        <v>6000</v>
      </c>
      <c r="T106" s="555"/>
      <c r="V106" s="555"/>
    </row>
    <row r="107" spans="1:22" ht="15.75" thickBot="1">
      <c r="A107" s="269" t="s">
        <v>171</v>
      </c>
      <c r="B107" s="703" t="s">
        <v>170</v>
      </c>
      <c r="C107" s="674"/>
      <c r="D107" s="78">
        <f>D108</f>
        <v>0</v>
      </c>
      <c r="E107" s="78">
        <f>E108</f>
        <v>122817</v>
      </c>
      <c r="F107" s="78">
        <f>F108</f>
        <v>236905</v>
      </c>
      <c r="G107" s="78">
        <f>G108</f>
        <v>210760</v>
      </c>
      <c r="H107" s="78">
        <v>216000</v>
      </c>
      <c r="I107" s="78">
        <f>I108</f>
        <v>173560</v>
      </c>
      <c r="J107" s="78">
        <f>J108</f>
        <v>168880</v>
      </c>
      <c r="K107" s="78">
        <f>K108</f>
        <v>168880</v>
      </c>
      <c r="L107" s="79">
        <v>166668</v>
      </c>
      <c r="M107" s="79">
        <f>M108</f>
        <v>150364</v>
      </c>
      <c r="N107" s="401">
        <v>136000</v>
      </c>
      <c r="O107" s="476">
        <f>O108</f>
        <v>0</v>
      </c>
      <c r="P107" s="476">
        <f>P108</f>
        <v>0</v>
      </c>
      <c r="Q107" s="477">
        <f>Q108</f>
        <v>136000</v>
      </c>
      <c r="T107" s="555"/>
      <c r="V107" s="555"/>
    </row>
    <row r="108" spans="1:22" ht="13.5" thickBot="1">
      <c r="A108" s="314"/>
      <c r="B108" s="315">
        <v>640</v>
      </c>
      <c r="C108" s="74" t="s">
        <v>130</v>
      </c>
      <c r="D108" s="83"/>
      <c r="E108" s="83">
        <v>122817</v>
      </c>
      <c r="F108" s="83">
        <v>236905</v>
      </c>
      <c r="G108" s="83">
        <v>210760</v>
      </c>
      <c r="H108" s="83">
        <v>216000</v>
      </c>
      <c r="I108" s="74">
        <v>173560</v>
      </c>
      <c r="J108" s="83">
        <v>168880</v>
      </c>
      <c r="K108" s="11">
        <v>168880</v>
      </c>
      <c r="L108" s="248">
        <v>166668</v>
      </c>
      <c r="M108" s="248">
        <v>150364</v>
      </c>
      <c r="N108" s="11">
        <v>136000</v>
      </c>
      <c r="O108" s="569"/>
      <c r="P108" s="570"/>
      <c r="Q108" s="571">
        <f>N108+O108+P108</f>
        <v>136000</v>
      </c>
      <c r="T108" s="555"/>
      <c r="V108" s="555"/>
    </row>
    <row r="109" spans="1:22" ht="15.75" thickBot="1">
      <c r="A109" s="269" t="s">
        <v>148</v>
      </c>
      <c r="B109" s="703" t="s">
        <v>131</v>
      </c>
      <c r="C109" s="674"/>
      <c r="D109" s="78">
        <v>0</v>
      </c>
      <c r="E109" s="78">
        <v>56430</v>
      </c>
      <c r="F109" s="78">
        <v>359789</v>
      </c>
      <c r="G109" s="78">
        <v>312928</v>
      </c>
      <c r="H109" s="78">
        <v>336361</v>
      </c>
      <c r="I109" s="78">
        <f aca="true" t="shared" si="16" ref="I109:Q109">SUM(I110:I115)</f>
        <v>283963</v>
      </c>
      <c r="J109" s="78">
        <f t="shared" si="16"/>
        <v>347786</v>
      </c>
      <c r="K109" s="78">
        <f t="shared" si="16"/>
        <v>268221</v>
      </c>
      <c r="L109" s="78">
        <f t="shared" si="16"/>
        <v>263798.23</v>
      </c>
      <c r="M109" s="79">
        <f t="shared" si="16"/>
        <v>287887.32</v>
      </c>
      <c r="N109" s="401">
        <f t="shared" si="16"/>
        <v>407097</v>
      </c>
      <c r="O109" s="476">
        <f t="shared" si="16"/>
        <v>0</v>
      </c>
      <c r="P109" s="476">
        <f t="shared" si="16"/>
        <v>0</v>
      </c>
      <c r="Q109" s="477">
        <f t="shared" si="16"/>
        <v>407097</v>
      </c>
      <c r="R109" s="478"/>
      <c r="T109" s="555"/>
      <c r="V109" s="555"/>
    </row>
    <row r="110" spans="1:22" ht="12.75">
      <c r="A110" s="732"/>
      <c r="B110" s="230">
        <v>610</v>
      </c>
      <c r="C110" s="40" t="s">
        <v>71</v>
      </c>
      <c r="D110" s="41"/>
      <c r="E110" s="41"/>
      <c r="F110" s="41"/>
      <c r="G110" s="41"/>
      <c r="H110" s="41"/>
      <c r="I110" s="40">
        <v>264635</v>
      </c>
      <c r="J110" s="41">
        <v>24997</v>
      </c>
      <c r="K110" s="41">
        <v>24062</v>
      </c>
      <c r="L110" s="94">
        <v>22719.55</v>
      </c>
      <c r="M110" s="40">
        <v>28495.57</v>
      </c>
      <c r="N110" s="144">
        <v>28353</v>
      </c>
      <c r="O110" s="556"/>
      <c r="P110" s="557"/>
      <c r="Q110" s="558">
        <f aca="true" t="shared" si="17" ref="Q110:Q115">N110+O110+P110</f>
        <v>28353</v>
      </c>
      <c r="T110" s="555"/>
      <c r="V110" s="555"/>
    </row>
    <row r="111" spans="1:22" ht="12.75">
      <c r="A111" s="733"/>
      <c r="B111" s="231">
        <v>620</v>
      </c>
      <c r="C111" s="42" t="s">
        <v>72</v>
      </c>
      <c r="D111" s="43"/>
      <c r="E111" s="43"/>
      <c r="F111" s="43"/>
      <c r="G111" s="43"/>
      <c r="H111" s="43"/>
      <c r="I111" s="42"/>
      <c r="J111" s="43">
        <v>9316</v>
      </c>
      <c r="K111" s="43">
        <v>8959</v>
      </c>
      <c r="L111" s="25">
        <v>9337.62</v>
      </c>
      <c r="M111" s="42">
        <v>10210.04</v>
      </c>
      <c r="N111" s="24">
        <v>10594</v>
      </c>
      <c r="O111" s="559"/>
      <c r="P111" s="560"/>
      <c r="Q111" s="561">
        <f t="shared" si="17"/>
        <v>10594</v>
      </c>
      <c r="T111" s="555"/>
      <c r="V111" s="555"/>
    </row>
    <row r="112" spans="1:22" ht="12.75">
      <c r="A112" s="733"/>
      <c r="B112" s="231">
        <v>630</v>
      </c>
      <c r="C112" s="42" t="s">
        <v>73</v>
      </c>
      <c r="D112" s="43"/>
      <c r="E112" s="43"/>
      <c r="F112" s="43"/>
      <c r="G112" s="43"/>
      <c r="H112" s="43"/>
      <c r="I112" s="42"/>
      <c r="J112" s="43">
        <v>291329</v>
      </c>
      <c r="K112" s="43">
        <f>212898</f>
        <v>212898</v>
      </c>
      <c r="L112" s="25">
        <v>204427.59</v>
      </c>
      <c r="M112" s="42">
        <v>218239.71</v>
      </c>
      <c r="N112" s="24">
        <v>302158</v>
      </c>
      <c r="O112" s="559"/>
      <c r="P112" s="560"/>
      <c r="Q112" s="561">
        <f t="shared" si="17"/>
        <v>302158</v>
      </c>
      <c r="T112" s="555"/>
      <c r="V112" s="555"/>
    </row>
    <row r="113" spans="1:22" ht="12.75">
      <c r="A113" s="733"/>
      <c r="B113" s="205">
        <v>640</v>
      </c>
      <c r="C113" s="42" t="s">
        <v>74</v>
      </c>
      <c r="D113" s="43"/>
      <c r="E113" s="43"/>
      <c r="F113" s="43"/>
      <c r="G113" s="43"/>
      <c r="H113" s="43"/>
      <c r="I113" s="42"/>
      <c r="J113" s="43"/>
      <c r="K113" s="25">
        <v>158</v>
      </c>
      <c r="L113" s="25">
        <v>169.47</v>
      </c>
      <c r="M113" s="135">
        <v>0</v>
      </c>
      <c r="N113" s="24"/>
      <c r="O113" s="559"/>
      <c r="P113" s="560"/>
      <c r="Q113" s="561">
        <f t="shared" si="17"/>
        <v>0</v>
      </c>
      <c r="T113" s="555"/>
      <c r="V113" s="555"/>
    </row>
    <row r="114" spans="1:22" ht="12.75">
      <c r="A114" s="733"/>
      <c r="B114" s="205"/>
      <c r="C114" s="42" t="s">
        <v>419</v>
      </c>
      <c r="D114" s="43"/>
      <c r="E114" s="43"/>
      <c r="F114" s="43"/>
      <c r="G114" s="43"/>
      <c r="H114" s="43"/>
      <c r="I114" s="42"/>
      <c r="J114" s="43"/>
      <c r="K114" s="25"/>
      <c r="L114" s="25"/>
      <c r="M114" s="135"/>
      <c r="N114" s="24">
        <v>45000</v>
      </c>
      <c r="O114" s="559"/>
      <c r="P114" s="560"/>
      <c r="Q114" s="561">
        <f t="shared" si="17"/>
        <v>45000</v>
      </c>
      <c r="T114" s="555"/>
      <c r="V114" s="555"/>
    </row>
    <row r="115" spans="1:22" ht="13.5" thickBot="1">
      <c r="A115" s="734"/>
      <c r="B115" s="233">
        <v>640</v>
      </c>
      <c r="C115" s="116" t="s">
        <v>130</v>
      </c>
      <c r="D115" s="211"/>
      <c r="E115" s="211">
        <v>56430</v>
      </c>
      <c r="F115" s="211">
        <v>66388</v>
      </c>
      <c r="G115" s="211">
        <v>33070</v>
      </c>
      <c r="H115" s="211">
        <v>34000</v>
      </c>
      <c r="I115" s="116">
        <v>19328</v>
      </c>
      <c r="J115" s="211">
        <v>22144</v>
      </c>
      <c r="K115" s="76">
        <v>22144</v>
      </c>
      <c r="L115" s="76">
        <v>27144</v>
      </c>
      <c r="M115" s="629">
        <v>30942</v>
      </c>
      <c r="N115" s="76">
        <v>20992</v>
      </c>
      <c r="O115" s="566"/>
      <c r="P115" s="567"/>
      <c r="Q115" s="565">
        <f t="shared" si="17"/>
        <v>20992</v>
      </c>
      <c r="T115" s="555"/>
      <c r="V115" s="555"/>
    </row>
    <row r="116" spans="1:22" ht="15.75" thickBot="1">
      <c r="A116" s="269" t="s">
        <v>39</v>
      </c>
      <c r="B116" s="703" t="s">
        <v>132</v>
      </c>
      <c r="C116" s="674"/>
      <c r="D116" s="78">
        <f aca="true" t="shared" si="18" ref="D116:N116">SUM(D117:D120)</f>
        <v>398161</v>
      </c>
      <c r="E116" s="78">
        <f t="shared" si="18"/>
        <v>245269</v>
      </c>
      <c r="F116" s="78">
        <f t="shared" si="18"/>
        <v>266050</v>
      </c>
      <c r="G116" s="78">
        <f t="shared" si="18"/>
        <v>237941</v>
      </c>
      <c r="H116" s="78">
        <f t="shared" si="18"/>
        <v>273708</v>
      </c>
      <c r="I116" s="78">
        <f t="shared" si="18"/>
        <v>262675</v>
      </c>
      <c r="J116" s="78">
        <f t="shared" si="18"/>
        <v>162661</v>
      </c>
      <c r="K116" s="78">
        <f t="shared" si="18"/>
        <v>165913</v>
      </c>
      <c r="L116" s="79">
        <f t="shared" si="18"/>
        <v>173111</v>
      </c>
      <c r="M116" s="79">
        <f t="shared" si="18"/>
        <v>179007.07</v>
      </c>
      <c r="N116" s="78">
        <f t="shared" si="18"/>
        <v>214760</v>
      </c>
      <c r="O116" s="476">
        <f>SUM(O117:O120)</f>
        <v>0</v>
      </c>
      <c r="P116" s="476">
        <f>SUM(P117:P120)</f>
        <v>0</v>
      </c>
      <c r="Q116" s="477">
        <f>SUM(Q117:Q120)</f>
        <v>214760</v>
      </c>
      <c r="T116" s="555"/>
      <c r="V116" s="555"/>
    </row>
    <row r="117" spans="1:22" ht="12.75">
      <c r="A117" s="705"/>
      <c r="B117" s="316"/>
      <c r="C117" s="40" t="s">
        <v>133</v>
      </c>
      <c r="D117" s="41">
        <v>373863</v>
      </c>
      <c r="E117" s="41">
        <v>211312</v>
      </c>
      <c r="F117" s="41">
        <v>220574</v>
      </c>
      <c r="G117" s="41">
        <v>190734</v>
      </c>
      <c r="H117" s="41">
        <v>216608</v>
      </c>
      <c r="I117" s="40">
        <v>202225</v>
      </c>
      <c r="J117" s="43">
        <v>118262</v>
      </c>
      <c r="K117" s="43">
        <v>116713</v>
      </c>
      <c r="L117" s="119">
        <v>116713</v>
      </c>
      <c r="M117" s="119">
        <v>132538</v>
      </c>
      <c r="N117" s="21">
        <v>117290</v>
      </c>
      <c r="O117" s="557"/>
      <c r="P117" s="557"/>
      <c r="Q117" s="558">
        <f>N117+O117+P117</f>
        <v>117290</v>
      </c>
      <c r="T117" s="555"/>
      <c r="V117" s="555"/>
    </row>
    <row r="118" spans="1:22" ht="12.75">
      <c r="A118" s="706"/>
      <c r="B118" s="325"/>
      <c r="C118" s="42" t="s">
        <v>425</v>
      </c>
      <c r="D118" s="243"/>
      <c r="E118" s="243"/>
      <c r="F118" s="243"/>
      <c r="G118" s="243"/>
      <c r="H118" s="243"/>
      <c r="I118" s="146"/>
      <c r="J118" s="43"/>
      <c r="K118" s="43"/>
      <c r="L118" s="117"/>
      <c r="M118" s="206"/>
      <c r="N118" s="43">
        <v>57470</v>
      </c>
      <c r="O118" s="559"/>
      <c r="P118" s="560"/>
      <c r="Q118" s="561">
        <f>N118+O118+P118</f>
        <v>57470</v>
      </c>
      <c r="T118" s="555"/>
      <c r="V118" s="555"/>
    </row>
    <row r="119" spans="1:22" ht="12.75">
      <c r="A119" s="706"/>
      <c r="B119" s="317"/>
      <c r="C119" s="42" t="s">
        <v>435</v>
      </c>
      <c r="D119" s="243"/>
      <c r="E119" s="243"/>
      <c r="F119" s="243"/>
      <c r="G119" s="243"/>
      <c r="H119" s="243"/>
      <c r="I119" s="146"/>
      <c r="J119" s="43"/>
      <c r="K119" s="43"/>
      <c r="L119" s="117"/>
      <c r="M119" s="206">
        <v>3467.07</v>
      </c>
      <c r="N119" s="69"/>
      <c r="O119" s="563"/>
      <c r="P119" s="572"/>
      <c r="Q119" s="565"/>
      <c r="T119" s="555"/>
      <c r="V119" s="555"/>
    </row>
    <row r="120" spans="1:22" ht="13.5" thickBot="1">
      <c r="A120" s="707"/>
      <c r="B120" s="318"/>
      <c r="C120" s="116" t="s">
        <v>134</v>
      </c>
      <c r="D120" s="59">
        <v>24298</v>
      </c>
      <c r="E120" s="59">
        <v>33957</v>
      </c>
      <c r="F120" s="59">
        <v>45476</v>
      </c>
      <c r="G120" s="59">
        <v>47207</v>
      </c>
      <c r="H120" s="59">
        <v>57100</v>
      </c>
      <c r="I120" s="45">
        <v>60450</v>
      </c>
      <c r="J120" s="43">
        <v>44399</v>
      </c>
      <c r="K120" s="43">
        <v>49200</v>
      </c>
      <c r="L120" s="224">
        <v>56398</v>
      </c>
      <c r="M120" s="224">
        <v>43002</v>
      </c>
      <c r="N120" s="29">
        <v>40000</v>
      </c>
      <c r="O120" s="563"/>
      <c r="P120" s="572"/>
      <c r="Q120" s="565">
        <f>N120+O120+P120</f>
        <v>40000</v>
      </c>
      <c r="T120" s="555"/>
      <c r="V120" s="555"/>
    </row>
    <row r="121" spans="1:22" ht="15.75" thickBot="1">
      <c r="A121" s="213" t="s">
        <v>169</v>
      </c>
      <c r="B121" s="670" t="s">
        <v>184</v>
      </c>
      <c r="C121" s="686"/>
      <c r="D121" s="66">
        <v>16298</v>
      </c>
      <c r="E121" s="66">
        <f>SUM(E122:E132)</f>
        <v>196674</v>
      </c>
      <c r="F121" s="66">
        <f>SUM(F122:F132)</f>
        <v>276704</v>
      </c>
      <c r="G121" s="66">
        <v>322185</v>
      </c>
      <c r="H121" s="66">
        <v>434860</v>
      </c>
      <c r="I121" s="66">
        <f>SUM(I122:I132)</f>
        <v>399432</v>
      </c>
      <c r="J121" s="66">
        <f>SUM(J122:J132)</f>
        <v>332348</v>
      </c>
      <c r="K121" s="66">
        <f>SUM(K122:K132)</f>
        <v>315787</v>
      </c>
      <c r="L121" s="215">
        <f aca="true" t="shared" si="19" ref="L121:Q121">SUM(L122:L134)</f>
        <v>311192.31999999995</v>
      </c>
      <c r="M121" s="215">
        <f t="shared" si="19"/>
        <v>355810.5</v>
      </c>
      <c r="N121" s="108">
        <f t="shared" si="19"/>
        <v>360534</v>
      </c>
      <c r="O121" s="476">
        <f t="shared" si="19"/>
        <v>0</v>
      </c>
      <c r="P121" s="476">
        <f t="shared" si="19"/>
        <v>9000</v>
      </c>
      <c r="Q121" s="477">
        <f t="shared" si="19"/>
        <v>369534</v>
      </c>
      <c r="T121" s="555"/>
      <c r="V121" s="555"/>
    </row>
    <row r="122" spans="1:22" ht="12.75">
      <c r="A122" s="705"/>
      <c r="B122" s="319"/>
      <c r="C122" s="225" t="s">
        <v>135</v>
      </c>
      <c r="D122" s="320">
        <v>4913</v>
      </c>
      <c r="E122" s="320">
        <v>3850</v>
      </c>
      <c r="F122" s="320">
        <v>5112</v>
      </c>
      <c r="G122" s="320"/>
      <c r="H122" s="320"/>
      <c r="I122" s="225">
        <v>6756</v>
      </c>
      <c r="J122" s="320">
        <v>7114</v>
      </c>
      <c r="K122" s="41">
        <v>7113</v>
      </c>
      <c r="L122" s="94">
        <v>7438.6</v>
      </c>
      <c r="M122" s="204">
        <v>12903.29</v>
      </c>
      <c r="N122" s="94">
        <v>8440</v>
      </c>
      <c r="O122" s="556"/>
      <c r="P122" s="557"/>
      <c r="Q122" s="558">
        <f aca="true" t="shared" si="20" ref="Q122:Q134">N122+O122+P122</f>
        <v>8440</v>
      </c>
      <c r="T122" s="555"/>
      <c r="V122" s="555"/>
    </row>
    <row r="123" spans="1:22" ht="12.75" hidden="1">
      <c r="A123" s="706"/>
      <c r="B123" s="321"/>
      <c r="C123" s="227" t="s">
        <v>54</v>
      </c>
      <c r="D123" s="322"/>
      <c r="E123" s="322"/>
      <c r="F123" s="322"/>
      <c r="G123" s="322"/>
      <c r="H123" s="322"/>
      <c r="I123" s="323">
        <v>48971</v>
      </c>
      <c r="J123" s="322"/>
      <c r="K123" s="56"/>
      <c r="L123" s="21"/>
      <c r="M123" s="119"/>
      <c r="N123" s="21">
        <v>0</v>
      </c>
      <c r="O123" s="559"/>
      <c r="P123" s="559"/>
      <c r="Q123" s="562">
        <f t="shared" si="20"/>
        <v>0</v>
      </c>
      <c r="T123" s="555"/>
      <c r="V123" s="555"/>
    </row>
    <row r="124" spans="1:22" ht="12.75">
      <c r="A124" s="706"/>
      <c r="B124" s="321"/>
      <c r="C124" s="227" t="s">
        <v>37</v>
      </c>
      <c r="D124" s="322"/>
      <c r="E124" s="322"/>
      <c r="F124" s="322"/>
      <c r="G124" s="322"/>
      <c r="H124" s="322"/>
      <c r="I124" s="323">
        <v>24304</v>
      </c>
      <c r="J124" s="322">
        <v>10566</v>
      </c>
      <c r="K124" s="56">
        <v>3350</v>
      </c>
      <c r="L124" s="21">
        <v>4052</v>
      </c>
      <c r="M124" s="119">
        <v>10555.27</v>
      </c>
      <c r="N124" s="21">
        <v>0</v>
      </c>
      <c r="O124" s="559"/>
      <c r="P124" s="559"/>
      <c r="Q124" s="561">
        <f t="shared" si="20"/>
        <v>0</v>
      </c>
      <c r="T124" s="555"/>
      <c r="V124" s="555"/>
    </row>
    <row r="125" spans="1:22" ht="12.75">
      <c r="A125" s="706"/>
      <c r="B125" s="321"/>
      <c r="C125" s="227" t="s">
        <v>12</v>
      </c>
      <c r="D125" s="322"/>
      <c r="E125" s="322"/>
      <c r="F125" s="322"/>
      <c r="G125" s="322"/>
      <c r="H125" s="322"/>
      <c r="I125" s="323"/>
      <c r="J125" s="322"/>
      <c r="K125" s="56"/>
      <c r="L125" s="21"/>
      <c r="M125" s="119">
        <v>19000</v>
      </c>
      <c r="N125" s="21">
        <v>15000</v>
      </c>
      <c r="O125" s="559"/>
      <c r="P125" s="560"/>
      <c r="Q125" s="561">
        <f t="shared" si="20"/>
        <v>15000</v>
      </c>
      <c r="T125" s="555"/>
      <c r="V125" s="555"/>
    </row>
    <row r="126" spans="1:22" ht="12.75">
      <c r="A126" s="706"/>
      <c r="B126" s="324"/>
      <c r="C126" s="227" t="s">
        <v>136</v>
      </c>
      <c r="D126" s="207"/>
      <c r="E126" s="207">
        <v>7568</v>
      </c>
      <c r="F126" s="207">
        <v>15767</v>
      </c>
      <c r="G126" s="207">
        <v>15084</v>
      </c>
      <c r="H126" s="207"/>
      <c r="I126" s="227">
        <v>13552</v>
      </c>
      <c r="J126" s="207">
        <v>11060</v>
      </c>
      <c r="K126" s="43">
        <v>9650</v>
      </c>
      <c r="L126" s="25">
        <v>9100</v>
      </c>
      <c r="M126" s="206">
        <v>10889.5</v>
      </c>
      <c r="N126" s="25">
        <v>7000</v>
      </c>
      <c r="O126" s="560"/>
      <c r="P126" s="560"/>
      <c r="Q126" s="561">
        <f t="shared" si="20"/>
        <v>7000</v>
      </c>
      <c r="T126" s="555"/>
      <c r="V126" s="555"/>
    </row>
    <row r="127" spans="1:22" ht="12.75">
      <c r="A127" s="706"/>
      <c r="B127" s="324"/>
      <c r="C127" s="227" t="s">
        <v>0</v>
      </c>
      <c r="D127" s="207"/>
      <c r="E127" s="207"/>
      <c r="F127" s="207"/>
      <c r="G127" s="207"/>
      <c r="H127" s="207"/>
      <c r="I127" s="227"/>
      <c r="J127" s="207"/>
      <c r="K127" s="43"/>
      <c r="L127" s="25"/>
      <c r="M127" s="206"/>
      <c r="N127" s="25">
        <v>5000</v>
      </c>
      <c r="O127" s="559"/>
      <c r="P127" s="560"/>
      <c r="Q127" s="561">
        <f t="shared" si="20"/>
        <v>5000</v>
      </c>
      <c r="T127" s="555"/>
      <c r="V127" s="555"/>
    </row>
    <row r="128" spans="1:22" ht="12.75">
      <c r="A128" s="706"/>
      <c r="B128" s="324"/>
      <c r="C128" s="227" t="s">
        <v>2</v>
      </c>
      <c r="D128" s="207"/>
      <c r="E128" s="207"/>
      <c r="F128" s="207"/>
      <c r="G128" s="207"/>
      <c r="H128" s="207"/>
      <c r="I128" s="227"/>
      <c r="J128" s="207"/>
      <c r="K128" s="43"/>
      <c r="L128" s="25"/>
      <c r="M128" s="206"/>
      <c r="N128" s="25">
        <v>0</v>
      </c>
      <c r="O128" s="560"/>
      <c r="P128" s="560"/>
      <c r="Q128" s="561">
        <f t="shared" si="20"/>
        <v>0</v>
      </c>
      <c r="T128" s="555"/>
      <c r="V128" s="555"/>
    </row>
    <row r="129" spans="1:22" ht="12.75">
      <c r="A129" s="706"/>
      <c r="B129" s="324"/>
      <c r="C129" s="227" t="s">
        <v>1</v>
      </c>
      <c r="D129" s="207"/>
      <c r="E129" s="207"/>
      <c r="F129" s="207"/>
      <c r="G129" s="207"/>
      <c r="H129" s="207"/>
      <c r="I129" s="227"/>
      <c r="J129" s="207"/>
      <c r="K129" s="43"/>
      <c r="L129" s="25"/>
      <c r="M129" s="206"/>
      <c r="N129" s="25">
        <v>4000</v>
      </c>
      <c r="O129" s="560"/>
      <c r="P129" s="560"/>
      <c r="Q129" s="561">
        <f t="shared" si="20"/>
        <v>4000</v>
      </c>
      <c r="T129" s="555"/>
      <c r="V129" s="555"/>
    </row>
    <row r="130" spans="1:22" ht="12.75">
      <c r="A130" s="706"/>
      <c r="B130" s="324"/>
      <c r="C130" s="227" t="s">
        <v>7</v>
      </c>
      <c r="D130" s="207"/>
      <c r="E130" s="207">
        <v>58189</v>
      </c>
      <c r="F130" s="207">
        <v>75483</v>
      </c>
      <c r="G130" s="207">
        <v>91400</v>
      </c>
      <c r="H130" s="207"/>
      <c r="I130" s="227">
        <v>152242</v>
      </c>
      <c r="J130" s="207">
        <v>162681</v>
      </c>
      <c r="K130" s="43">
        <v>150333</v>
      </c>
      <c r="L130" s="25">
        <v>119218</v>
      </c>
      <c r="M130" s="206">
        <v>148153</v>
      </c>
      <c r="N130" s="25">
        <v>67969</v>
      </c>
      <c r="O130" s="559"/>
      <c r="P130" s="560">
        <v>9000</v>
      </c>
      <c r="Q130" s="561">
        <f t="shared" si="20"/>
        <v>76969</v>
      </c>
      <c r="T130" s="555"/>
      <c r="V130" s="555"/>
    </row>
    <row r="131" spans="1:22" ht="12.75">
      <c r="A131" s="706"/>
      <c r="B131" s="324"/>
      <c r="C131" s="227" t="s">
        <v>8</v>
      </c>
      <c r="D131" s="207"/>
      <c r="E131" s="207">
        <v>99250</v>
      </c>
      <c r="F131" s="207">
        <v>153754</v>
      </c>
      <c r="G131" s="207">
        <v>143286</v>
      </c>
      <c r="H131" s="207"/>
      <c r="I131" s="227">
        <v>86643</v>
      </c>
      <c r="J131" s="207">
        <v>82311</v>
      </c>
      <c r="K131" s="43">
        <v>93232</v>
      </c>
      <c r="L131" s="25">
        <v>109100</v>
      </c>
      <c r="M131" s="206">
        <v>88221</v>
      </c>
      <c r="N131" s="25">
        <v>81209</v>
      </c>
      <c r="O131" s="559"/>
      <c r="P131" s="560"/>
      <c r="Q131" s="561">
        <f t="shared" si="20"/>
        <v>81209</v>
      </c>
      <c r="T131" s="555"/>
      <c r="V131" s="555"/>
    </row>
    <row r="132" spans="1:22" ht="12.75">
      <c r="A132" s="706"/>
      <c r="B132" s="325"/>
      <c r="C132" s="42" t="s">
        <v>9</v>
      </c>
      <c r="D132" s="43"/>
      <c r="E132" s="43">
        <v>27817</v>
      </c>
      <c r="F132" s="43">
        <v>26588</v>
      </c>
      <c r="G132" s="43">
        <v>25790</v>
      </c>
      <c r="H132" s="43"/>
      <c r="I132" s="42">
        <v>66964</v>
      </c>
      <c r="J132" s="43">
        <v>58616</v>
      </c>
      <c r="K132" s="43">
        <v>52109</v>
      </c>
      <c r="L132" s="43">
        <v>49442</v>
      </c>
      <c r="M132" s="115">
        <v>49808</v>
      </c>
      <c r="N132" s="25">
        <v>60863</v>
      </c>
      <c r="O132" s="559"/>
      <c r="P132" s="560"/>
      <c r="Q132" s="561">
        <f t="shared" si="20"/>
        <v>60863</v>
      </c>
      <c r="T132" s="555"/>
      <c r="V132" s="555"/>
    </row>
    <row r="133" spans="1:22" ht="12.75">
      <c r="A133" s="706"/>
      <c r="B133" s="446"/>
      <c r="C133" s="46" t="s">
        <v>10</v>
      </c>
      <c r="D133" s="73"/>
      <c r="E133" s="73"/>
      <c r="F133" s="73"/>
      <c r="G133" s="73"/>
      <c r="H133" s="73"/>
      <c r="I133" s="46"/>
      <c r="J133" s="73"/>
      <c r="K133" s="73"/>
      <c r="L133" s="73">
        <v>12841.72</v>
      </c>
      <c r="M133" s="255">
        <v>16280.44</v>
      </c>
      <c r="N133" s="29">
        <v>18152</v>
      </c>
      <c r="O133" s="560"/>
      <c r="P133" s="560"/>
      <c r="Q133" s="561">
        <f t="shared" si="20"/>
        <v>18152</v>
      </c>
      <c r="T133" s="555"/>
      <c r="V133" s="555"/>
    </row>
    <row r="134" spans="1:22" ht="13.5" thickBot="1">
      <c r="A134" s="707"/>
      <c r="B134" s="326"/>
      <c r="C134" s="45" t="s">
        <v>11</v>
      </c>
      <c r="D134" s="59"/>
      <c r="E134" s="59"/>
      <c r="F134" s="59"/>
      <c r="G134" s="59"/>
      <c r="H134" s="59"/>
      <c r="I134" s="45"/>
      <c r="J134" s="59"/>
      <c r="K134" s="59"/>
      <c r="L134" s="59"/>
      <c r="M134" s="305"/>
      <c r="N134" s="47">
        <v>92901</v>
      </c>
      <c r="O134" s="563"/>
      <c r="P134" s="572"/>
      <c r="Q134" s="565">
        <f t="shared" si="20"/>
        <v>92901</v>
      </c>
      <c r="T134" s="555"/>
      <c r="V134" s="555"/>
    </row>
    <row r="135" spans="1:22" ht="15.75" thickBot="1">
      <c r="A135" s="294" t="s">
        <v>137</v>
      </c>
      <c r="B135" s="670" t="s">
        <v>323</v>
      </c>
      <c r="C135" s="686"/>
      <c r="D135" s="66">
        <f>SUM(D136:D137)</f>
        <v>0</v>
      </c>
      <c r="E135" s="66">
        <f>SUM(E136:E137)</f>
        <v>44944</v>
      </c>
      <c r="F135" s="66">
        <f>SUM(F136:F137)</f>
        <v>55765</v>
      </c>
      <c r="G135" s="66">
        <f>SUM(G136:G137)</f>
        <v>48780</v>
      </c>
      <c r="H135" s="66">
        <f aca="true" t="shared" si="21" ref="H135:M135">SUM(H136:H137)</f>
        <v>52570</v>
      </c>
      <c r="I135" s="66">
        <f t="shared" si="21"/>
        <v>48691</v>
      </c>
      <c r="J135" s="66">
        <f t="shared" si="21"/>
        <v>46108</v>
      </c>
      <c r="K135" s="78">
        <f t="shared" si="21"/>
        <v>47470</v>
      </c>
      <c r="L135" s="79">
        <f t="shared" si="21"/>
        <v>48334.8</v>
      </c>
      <c r="M135" s="79">
        <f t="shared" si="21"/>
        <v>45244.8</v>
      </c>
      <c r="N135" s="401">
        <v>51500</v>
      </c>
      <c r="O135" s="476">
        <f>O136+O137</f>
        <v>0</v>
      </c>
      <c r="P135" s="476">
        <f>P136+P137</f>
        <v>0</v>
      </c>
      <c r="Q135" s="477">
        <f>Q136+Q137</f>
        <v>51500</v>
      </c>
      <c r="T135" s="586"/>
      <c r="V135" s="555"/>
    </row>
    <row r="136" spans="1:22" ht="12.75">
      <c r="A136" s="705"/>
      <c r="B136" s="230">
        <v>630</v>
      </c>
      <c r="C136" s="225" t="s">
        <v>24</v>
      </c>
      <c r="D136" s="320"/>
      <c r="E136" s="320">
        <v>36679</v>
      </c>
      <c r="F136" s="320">
        <v>46803</v>
      </c>
      <c r="G136" s="320">
        <v>39726</v>
      </c>
      <c r="H136" s="320">
        <v>43006</v>
      </c>
      <c r="I136" s="225">
        <v>38795</v>
      </c>
      <c r="J136" s="225">
        <v>36600</v>
      </c>
      <c r="K136" s="41">
        <v>37500</v>
      </c>
      <c r="L136" s="204">
        <v>40890</v>
      </c>
      <c r="M136" s="204">
        <v>37800</v>
      </c>
      <c r="N136" s="94">
        <v>38000</v>
      </c>
      <c r="O136" s="556"/>
      <c r="P136" s="557"/>
      <c r="Q136" s="558">
        <f>N136+O136+P136</f>
        <v>38000</v>
      </c>
      <c r="T136" s="555"/>
      <c r="V136" s="555"/>
    </row>
    <row r="137" spans="1:22" ht="13.5" thickBot="1">
      <c r="A137" s="707"/>
      <c r="B137" s="254">
        <v>630</v>
      </c>
      <c r="C137" s="302" t="s">
        <v>324</v>
      </c>
      <c r="D137" s="304"/>
      <c r="E137" s="304">
        <v>8265</v>
      </c>
      <c r="F137" s="304">
        <v>8962</v>
      </c>
      <c r="G137" s="304">
        <v>9054</v>
      </c>
      <c r="H137" s="304">
        <v>9564</v>
      </c>
      <c r="I137" s="302">
        <v>9896</v>
      </c>
      <c r="J137" s="302">
        <v>9508</v>
      </c>
      <c r="K137" s="59">
        <v>9970</v>
      </c>
      <c r="L137" s="256">
        <v>7444.8</v>
      </c>
      <c r="M137" s="256">
        <v>7444.8</v>
      </c>
      <c r="N137" s="47">
        <v>13500</v>
      </c>
      <c r="O137" s="563"/>
      <c r="P137" s="572"/>
      <c r="Q137" s="565">
        <f>N137+O137+P137</f>
        <v>13500</v>
      </c>
      <c r="T137" s="555"/>
      <c r="V137" s="555"/>
    </row>
    <row r="138" spans="1:22" ht="15.75" thickBot="1">
      <c r="A138" s="269" t="s">
        <v>153</v>
      </c>
      <c r="B138" s="670" t="s">
        <v>325</v>
      </c>
      <c r="C138" s="686"/>
      <c r="D138" s="66">
        <v>6008</v>
      </c>
      <c r="E138" s="66">
        <f>SUM(E139:E142)</f>
        <v>6373</v>
      </c>
      <c r="F138" s="66">
        <f>SUM(F139:F142)</f>
        <v>76413</v>
      </c>
      <c r="G138" s="66">
        <f>SUM(G139:G142)</f>
        <v>50904</v>
      </c>
      <c r="H138" s="66">
        <v>43602</v>
      </c>
      <c r="I138" s="66">
        <f>SUM(I139:I142)</f>
        <v>80402</v>
      </c>
      <c r="J138" s="66">
        <f>SUM(J139:J142)</f>
        <v>65201</v>
      </c>
      <c r="K138" s="66">
        <f>SUM(K139:K142)</f>
        <v>82763</v>
      </c>
      <c r="L138" s="215">
        <f>SUM(L139:L142)</f>
        <v>85325.96</v>
      </c>
      <c r="M138" s="215">
        <f>SUM(M139:M142)</f>
        <v>98428.31</v>
      </c>
      <c r="N138" s="108">
        <f>SUM(N141:N142)</f>
        <v>82409</v>
      </c>
      <c r="O138" s="476">
        <f>O141+O142</f>
        <v>0</v>
      </c>
      <c r="P138" s="476">
        <f>P141+P142+P140</f>
        <v>6576</v>
      </c>
      <c r="Q138" s="477">
        <f>Q141+Q142+Q140</f>
        <v>88985</v>
      </c>
      <c r="T138" s="555"/>
      <c r="V138" s="555"/>
    </row>
    <row r="139" spans="1:22" ht="12.75">
      <c r="A139" s="719"/>
      <c r="B139" s="726"/>
      <c r="C139" s="42" t="s">
        <v>326</v>
      </c>
      <c r="D139" s="43"/>
      <c r="E139" s="43">
        <v>5842</v>
      </c>
      <c r="F139" s="43">
        <v>6108</v>
      </c>
      <c r="G139" s="43">
        <v>13480</v>
      </c>
      <c r="H139" s="43">
        <v>6009</v>
      </c>
      <c r="I139" s="42">
        <v>6900</v>
      </c>
      <c r="J139" s="207">
        <v>3787</v>
      </c>
      <c r="K139" s="43">
        <v>3290</v>
      </c>
      <c r="L139" s="119">
        <v>1483</v>
      </c>
      <c r="M139" s="119">
        <v>9142.95</v>
      </c>
      <c r="N139" s="21"/>
      <c r="O139" s="556"/>
      <c r="P139" s="556"/>
      <c r="Q139" s="576"/>
      <c r="T139" s="555"/>
      <c r="V139" s="555"/>
    </row>
    <row r="140" spans="1:22" ht="12.75">
      <c r="A140" s="719"/>
      <c r="B140" s="727"/>
      <c r="C140" s="42" t="s">
        <v>446</v>
      </c>
      <c r="D140" s="43"/>
      <c r="E140" s="43"/>
      <c r="F140" s="43"/>
      <c r="G140" s="43"/>
      <c r="H140" s="43"/>
      <c r="I140" s="42"/>
      <c r="J140" s="207"/>
      <c r="K140" s="43"/>
      <c r="L140" s="119"/>
      <c r="M140" s="119"/>
      <c r="N140" s="21"/>
      <c r="O140" s="556"/>
      <c r="P140" s="557">
        <v>5875</v>
      </c>
      <c r="Q140" s="561">
        <f>N140+O140+P140</f>
        <v>5875</v>
      </c>
      <c r="S140" s="555"/>
      <c r="T140" s="555"/>
      <c r="V140" s="555"/>
    </row>
    <row r="141" spans="1:22" ht="12.75">
      <c r="A141" s="719"/>
      <c r="B141" s="727"/>
      <c r="C141" s="42" t="s">
        <v>327</v>
      </c>
      <c r="D141" s="43"/>
      <c r="E141" s="43">
        <v>0</v>
      </c>
      <c r="F141" s="43">
        <v>66388</v>
      </c>
      <c r="G141" s="43">
        <v>33390</v>
      </c>
      <c r="H141" s="43">
        <v>32749</v>
      </c>
      <c r="I141" s="42">
        <v>70000</v>
      </c>
      <c r="J141" s="207">
        <v>59118</v>
      </c>
      <c r="K141" s="43">
        <v>75103</v>
      </c>
      <c r="L141" s="206">
        <v>81056.96</v>
      </c>
      <c r="M141" s="206">
        <v>86285.36</v>
      </c>
      <c r="N141" s="25">
        <v>79909</v>
      </c>
      <c r="O141" s="559"/>
      <c r="P141" s="560">
        <v>701</v>
      </c>
      <c r="Q141" s="561">
        <f>N141+O141+P141</f>
        <v>80610</v>
      </c>
      <c r="T141" s="555"/>
      <c r="V141" s="555"/>
    </row>
    <row r="142" spans="1:22" ht="13.5" thickBot="1">
      <c r="A142" s="720"/>
      <c r="B142" s="728"/>
      <c r="C142" s="116" t="s">
        <v>328</v>
      </c>
      <c r="D142" s="211"/>
      <c r="E142" s="211">
        <v>531</v>
      </c>
      <c r="F142" s="211">
        <v>3917</v>
      </c>
      <c r="G142" s="211">
        <v>4034</v>
      </c>
      <c r="H142" s="211">
        <v>796</v>
      </c>
      <c r="I142" s="116">
        <v>3502</v>
      </c>
      <c r="J142" s="207">
        <v>2296</v>
      </c>
      <c r="K142" s="43">
        <v>4370</v>
      </c>
      <c r="L142" s="117">
        <v>2786</v>
      </c>
      <c r="M142" s="117">
        <v>3000</v>
      </c>
      <c r="N142" s="21">
        <v>2500</v>
      </c>
      <c r="O142" s="563"/>
      <c r="P142" s="572"/>
      <c r="Q142" s="565">
        <f>N142+O142+P142</f>
        <v>2500</v>
      </c>
      <c r="T142" s="555"/>
      <c r="V142" s="555"/>
    </row>
    <row r="143" spans="1:22" ht="15.75" thickBot="1">
      <c r="A143" s="213" t="s">
        <v>329</v>
      </c>
      <c r="B143" s="670" t="s">
        <v>330</v>
      </c>
      <c r="C143" s="686"/>
      <c r="D143" s="66">
        <v>2960832</v>
      </c>
      <c r="E143" s="66">
        <v>3369814</v>
      </c>
      <c r="F143" s="66">
        <v>3780057</v>
      </c>
      <c r="G143" s="66">
        <v>4405952.43</v>
      </c>
      <c r="H143" s="66">
        <v>4455752</v>
      </c>
      <c r="I143" s="66">
        <f aca="true" t="shared" si="22" ref="I143:Q143">I144+I149</f>
        <v>4609033</v>
      </c>
      <c r="J143" s="66">
        <f t="shared" si="22"/>
        <v>4840194</v>
      </c>
      <c r="K143" s="66">
        <f t="shared" si="22"/>
        <v>4773475</v>
      </c>
      <c r="L143" s="215">
        <f t="shared" si="22"/>
        <v>4944992.85</v>
      </c>
      <c r="M143" s="215">
        <f>M144+M149</f>
        <v>5255422.85</v>
      </c>
      <c r="N143" s="66">
        <f t="shared" si="22"/>
        <v>5320676</v>
      </c>
      <c r="O143" s="476">
        <f t="shared" si="22"/>
        <v>-3480</v>
      </c>
      <c r="P143" s="476">
        <f t="shared" si="22"/>
        <v>10072</v>
      </c>
      <c r="Q143" s="477">
        <f t="shared" si="22"/>
        <v>5327268</v>
      </c>
      <c r="T143" s="555"/>
      <c r="V143" s="555"/>
    </row>
    <row r="144" spans="1:22" ht="15.75" thickBot="1">
      <c r="A144" s="718"/>
      <c r="B144" s="724" t="s">
        <v>38</v>
      </c>
      <c r="C144" s="725"/>
      <c r="D144" s="63">
        <v>29177</v>
      </c>
      <c r="E144" s="63">
        <v>27518</v>
      </c>
      <c r="F144" s="63">
        <v>28447</v>
      </c>
      <c r="G144" s="63">
        <v>30677</v>
      </c>
      <c r="H144" s="63">
        <v>31410</v>
      </c>
      <c r="I144" s="63">
        <f aca="true" t="shared" si="23" ref="I144:Q144">SUM(I145:I147)</f>
        <v>41249</v>
      </c>
      <c r="J144" s="63">
        <f t="shared" si="23"/>
        <v>38808</v>
      </c>
      <c r="K144" s="63">
        <f t="shared" si="23"/>
        <v>36313</v>
      </c>
      <c r="L144" s="156">
        <f t="shared" si="23"/>
        <v>35493.83</v>
      </c>
      <c r="M144" s="156">
        <f>SUM(M145:M148)</f>
        <v>51463.89000000001</v>
      </c>
      <c r="N144" s="63">
        <f t="shared" si="23"/>
        <v>49140</v>
      </c>
      <c r="O144" s="476">
        <f t="shared" si="23"/>
        <v>0</v>
      </c>
      <c r="P144" s="476">
        <f t="shared" si="23"/>
        <v>0</v>
      </c>
      <c r="Q144" s="477">
        <f t="shared" si="23"/>
        <v>49140</v>
      </c>
      <c r="T144" s="555"/>
      <c r="V144" s="555"/>
    </row>
    <row r="145" spans="1:22" ht="12.75">
      <c r="A145" s="719"/>
      <c r="B145" s="312">
        <v>610</v>
      </c>
      <c r="C145" s="71" t="s">
        <v>71</v>
      </c>
      <c r="D145" s="243"/>
      <c r="E145" s="243">
        <v>18854</v>
      </c>
      <c r="F145" s="243">
        <v>18290</v>
      </c>
      <c r="G145" s="243">
        <v>19464</v>
      </c>
      <c r="H145" s="243">
        <v>22248</v>
      </c>
      <c r="I145" s="146">
        <v>29541</v>
      </c>
      <c r="J145" s="207">
        <v>26330</v>
      </c>
      <c r="K145" s="43">
        <v>25388</v>
      </c>
      <c r="L145" s="243">
        <v>24578.53</v>
      </c>
      <c r="M145" s="626">
        <v>33902.8</v>
      </c>
      <c r="N145" s="581">
        <v>33769</v>
      </c>
      <c r="O145" s="557"/>
      <c r="P145" s="557"/>
      <c r="Q145" s="558">
        <f>N145+O145+P145</f>
        <v>33769</v>
      </c>
      <c r="T145" s="555"/>
      <c r="V145" s="555"/>
    </row>
    <row r="146" spans="1:22" ht="12.75">
      <c r="A146" s="719"/>
      <c r="B146" s="231">
        <v>620</v>
      </c>
      <c r="C146" s="42" t="s">
        <v>72</v>
      </c>
      <c r="D146" s="43"/>
      <c r="E146" s="43">
        <v>6473</v>
      </c>
      <c r="F146" s="43">
        <v>6340</v>
      </c>
      <c r="G146" s="43">
        <v>6869</v>
      </c>
      <c r="H146" s="43">
        <v>6877</v>
      </c>
      <c r="I146" s="42">
        <v>9575</v>
      </c>
      <c r="J146" s="207">
        <v>9735</v>
      </c>
      <c r="K146" s="43">
        <v>9358</v>
      </c>
      <c r="L146" s="43">
        <v>9719.8</v>
      </c>
      <c r="M146" s="193">
        <v>11551.79</v>
      </c>
      <c r="N146" s="97">
        <v>12271</v>
      </c>
      <c r="O146" s="559"/>
      <c r="P146" s="560"/>
      <c r="Q146" s="561">
        <f>N146+O146+P146</f>
        <v>12271</v>
      </c>
      <c r="T146" s="555"/>
      <c r="V146" s="555"/>
    </row>
    <row r="147" spans="1:22" ht="13.5" thickBot="1">
      <c r="A147" s="719"/>
      <c r="B147" s="205">
        <v>630</v>
      </c>
      <c r="C147" s="42" t="s">
        <v>73</v>
      </c>
      <c r="D147" s="59"/>
      <c r="E147" s="59">
        <v>2191</v>
      </c>
      <c r="F147" s="59">
        <v>3817</v>
      </c>
      <c r="G147" s="59">
        <v>4344</v>
      </c>
      <c r="H147" s="59">
        <v>2285</v>
      </c>
      <c r="I147" s="45">
        <v>2133</v>
      </c>
      <c r="J147" s="207">
        <v>2743</v>
      </c>
      <c r="K147" s="43">
        <v>1567</v>
      </c>
      <c r="L147" s="73">
        <v>1195.5</v>
      </c>
      <c r="M147" s="115">
        <v>1127.3</v>
      </c>
      <c r="N147" s="25">
        <v>3100</v>
      </c>
      <c r="O147" s="559"/>
      <c r="P147" s="560"/>
      <c r="Q147" s="561">
        <f>N147+O147+P147</f>
        <v>3100</v>
      </c>
      <c r="T147" s="555"/>
      <c r="V147" s="555"/>
    </row>
    <row r="148" spans="1:22" ht="13.5" thickBot="1">
      <c r="A148" s="719"/>
      <c r="B148" s="44">
        <v>640</v>
      </c>
      <c r="C148" s="265" t="s">
        <v>74</v>
      </c>
      <c r="D148" s="211"/>
      <c r="E148" s="211"/>
      <c r="F148" s="211"/>
      <c r="G148" s="211"/>
      <c r="H148" s="211"/>
      <c r="I148" s="116"/>
      <c r="J148" s="234"/>
      <c r="K148" s="243"/>
      <c r="L148" s="243"/>
      <c r="M148" s="618">
        <v>4882</v>
      </c>
      <c r="N148" s="69"/>
      <c r="O148" s="566"/>
      <c r="P148" s="567"/>
      <c r="Q148" s="568"/>
      <c r="T148" s="555"/>
      <c r="V148" s="555"/>
    </row>
    <row r="149" spans="1:22" ht="13.5" thickBot="1">
      <c r="A149" s="719"/>
      <c r="B149" s="708" t="s">
        <v>331</v>
      </c>
      <c r="C149" s="709"/>
      <c r="D149" s="36">
        <v>2931655</v>
      </c>
      <c r="E149" s="36">
        <v>3342296</v>
      </c>
      <c r="F149" s="36">
        <v>3751610</v>
      </c>
      <c r="G149" s="36">
        <v>4375275.43</v>
      </c>
      <c r="H149" s="36">
        <v>4424342</v>
      </c>
      <c r="I149" s="36">
        <f aca="true" t="shared" si="24" ref="I149:Q149">SUM(I150:I157)</f>
        <v>4567784</v>
      </c>
      <c r="J149" s="36">
        <f t="shared" si="24"/>
        <v>4801386</v>
      </c>
      <c r="K149" s="36">
        <f t="shared" si="24"/>
        <v>4737162</v>
      </c>
      <c r="L149" s="328">
        <f t="shared" si="24"/>
        <v>4909499.02</v>
      </c>
      <c r="M149" s="328">
        <f>SUM(M150:M157)</f>
        <v>5203958.96</v>
      </c>
      <c r="N149" s="36">
        <f t="shared" si="24"/>
        <v>5271536</v>
      </c>
      <c r="O149" s="445">
        <f t="shared" si="24"/>
        <v>-3480</v>
      </c>
      <c r="P149" s="445">
        <f t="shared" si="24"/>
        <v>10072</v>
      </c>
      <c r="Q149" s="474">
        <f t="shared" si="24"/>
        <v>5278128</v>
      </c>
      <c r="T149" s="555"/>
      <c r="V149" s="555"/>
    </row>
    <row r="150" spans="1:22" ht="12.75">
      <c r="A150" s="719"/>
      <c r="B150" s="726"/>
      <c r="C150" s="71" t="s">
        <v>332</v>
      </c>
      <c r="D150" s="56">
        <v>1541725</v>
      </c>
      <c r="E150" s="56">
        <v>1718084</v>
      </c>
      <c r="F150" s="56">
        <v>1793999</v>
      </c>
      <c r="G150" s="56">
        <v>1958942</v>
      </c>
      <c r="H150" s="56">
        <v>2084677</v>
      </c>
      <c r="I150" s="71">
        <v>2039732</v>
      </c>
      <c r="J150" s="56">
        <v>2241882</v>
      </c>
      <c r="K150" s="56">
        <v>2385291</v>
      </c>
      <c r="L150" s="119">
        <v>2363727.67</v>
      </c>
      <c r="M150" s="119">
        <v>2385302.7</v>
      </c>
      <c r="N150" s="21">
        <v>2474994</v>
      </c>
      <c r="O150" s="556"/>
      <c r="P150" s="557">
        <v>6986</v>
      </c>
      <c r="Q150" s="558">
        <f aca="true" t="shared" si="25" ref="Q150:Q157">N150+O150+P150</f>
        <v>2481980</v>
      </c>
      <c r="T150" s="555"/>
      <c r="V150" s="555"/>
    </row>
    <row r="151" spans="1:23" ht="12.75">
      <c r="A151" s="719"/>
      <c r="B151" s="727"/>
      <c r="C151" s="42" t="s">
        <v>333</v>
      </c>
      <c r="D151" s="43">
        <v>1389930</v>
      </c>
      <c r="E151" s="43">
        <v>1591682</v>
      </c>
      <c r="F151" s="43">
        <v>1867423</v>
      </c>
      <c r="G151" s="43">
        <v>2134669.43</v>
      </c>
      <c r="H151" s="43">
        <v>2069302</v>
      </c>
      <c r="I151" s="42">
        <v>2182809</v>
      </c>
      <c r="J151" s="43">
        <v>2169532</v>
      </c>
      <c r="K151" s="43">
        <v>1972245</v>
      </c>
      <c r="L151" s="206">
        <v>2097007.99</v>
      </c>
      <c r="M151" s="206">
        <v>2239643.29</v>
      </c>
      <c r="N151" s="25">
        <v>2336061</v>
      </c>
      <c r="O151" s="560">
        <v>-3480</v>
      </c>
      <c r="P151" s="560"/>
      <c r="Q151" s="561">
        <f>N151+O151+P151</f>
        <v>2332581</v>
      </c>
      <c r="S151" s="555"/>
      <c r="T151" s="555"/>
      <c r="V151" s="555"/>
      <c r="W151" s="555"/>
    </row>
    <row r="152" spans="1:22" ht="12.75">
      <c r="A152" s="719"/>
      <c r="B152" s="727"/>
      <c r="C152" s="46" t="s">
        <v>334</v>
      </c>
      <c r="D152" s="73"/>
      <c r="E152" s="73"/>
      <c r="F152" s="73"/>
      <c r="G152" s="73"/>
      <c r="H152" s="73"/>
      <c r="I152" s="46"/>
      <c r="J152" s="46"/>
      <c r="K152" s="73">
        <v>6822</v>
      </c>
      <c r="L152" s="224">
        <v>58464.77</v>
      </c>
      <c r="M152" s="224">
        <v>145561.9699999993</v>
      </c>
      <c r="N152" s="29"/>
      <c r="O152" s="559"/>
      <c r="P152" s="560"/>
      <c r="Q152" s="561">
        <f t="shared" si="25"/>
        <v>0</v>
      </c>
      <c r="T152" s="555"/>
      <c r="V152" s="555"/>
    </row>
    <row r="153" spans="1:22" ht="12.75" hidden="1">
      <c r="A153" s="719"/>
      <c r="B153" s="727"/>
      <c r="C153" s="46" t="s">
        <v>335</v>
      </c>
      <c r="D153" s="73"/>
      <c r="E153" s="73"/>
      <c r="F153" s="73"/>
      <c r="G153" s="73"/>
      <c r="H153" s="73"/>
      <c r="I153" s="46">
        <v>11276</v>
      </c>
      <c r="J153" s="46">
        <v>23184</v>
      </c>
      <c r="K153" s="73">
        <v>0</v>
      </c>
      <c r="L153" s="224">
        <v>4779.37</v>
      </c>
      <c r="M153" s="224">
        <v>0</v>
      </c>
      <c r="N153" s="29"/>
      <c r="O153" s="559"/>
      <c r="P153" s="560"/>
      <c r="Q153" s="561">
        <f t="shared" si="25"/>
        <v>0</v>
      </c>
      <c r="T153" s="555"/>
      <c r="V153" s="555"/>
    </row>
    <row r="154" spans="1:23" ht="12.75" hidden="1">
      <c r="A154" s="719"/>
      <c r="B154" s="727"/>
      <c r="C154" s="46" t="s">
        <v>422</v>
      </c>
      <c r="D154" s="73"/>
      <c r="E154" s="73"/>
      <c r="F154" s="73"/>
      <c r="G154" s="73"/>
      <c r="H154" s="73">
        <v>2568</v>
      </c>
      <c r="I154" s="46">
        <v>2134</v>
      </c>
      <c r="J154" s="46"/>
      <c r="K154" s="73">
        <v>0</v>
      </c>
      <c r="L154" s="224">
        <v>240.97</v>
      </c>
      <c r="M154" s="224">
        <v>0</v>
      </c>
      <c r="N154" s="29"/>
      <c r="O154" s="559"/>
      <c r="P154" s="560"/>
      <c r="Q154" s="561">
        <f t="shared" si="25"/>
        <v>0</v>
      </c>
      <c r="T154" s="555"/>
      <c r="V154" s="555"/>
      <c r="W154" s="555"/>
    </row>
    <row r="155" spans="1:22" ht="12.75" hidden="1">
      <c r="A155" s="719"/>
      <c r="B155" s="727"/>
      <c r="C155" s="46" t="s">
        <v>336</v>
      </c>
      <c r="D155" s="73"/>
      <c r="E155" s="73"/>
      <c r="F155" s="73"/>
      <c r="G155" s="73"/>
      <c r="H155" s="73"/>
      <c r="I155" s="46"/>
      <c r="J155" s="46"/>
      <c r="K155" s="73"/>
      <c r="L155" s="224">
        <v>8661.25</v>
      </c>
      <c r="M155" s="224"/>
      <c r="N155" s="29"/>
      <c r="O155" s="559"/>
      <c r="P155" s="560"/>
      <c r="Q155" s="561">
        <f t="shared" si="25"/>
        <v>0</v>
      </c>
      <c r="T155" s="555"/>
      <c r="V155" s="555"/>
    </row>
    <row r="156" spans="1:22" ht="12.75">
      <c r="A156" s="719"/>
      <c r="B156" s="727"/>
      <c r="C156" s="46" t="s">
        <v>337</v>
      </c>
      <c r="D156" s="73"/>
      <c r="E156" s="73"/>
      <c r="F156" s="73"/>
      <c r="G156" s="73"/>
      <c r="H156" s="73">
        <v>2166</v>
      </c>
      <c r="I156" s="46">
        <v>10924</v>
      </c>
      <c r="J156" s="46">
        <v>33868</v>
      </c>
      <c r="K156" s="73">
        <v>0</v>
      </c>
      <c r="L156" s="224"/>
      <c r="M156" s="224"/>
      <c r="N156" s="29"/>
      <c r="O156" s="559"/>
      <c r="P156" s="560"/>
      <c r="Q156" s="561">
        <f t="shared" si="25"/>
        <v>0</v>
      </c>
      <c r="T156" s="555"/>
      <c r="V156" s="555"/>
    </row>
    <row r="157" spans="1:22" ht="13.5" thickBot="1">
      <c r="A157" s="720"/>
      <c r="B157" s="728"/>
      <c r="C157" s="45" t="s">
        <v>338</v>
      </c>
      <c r="D157" s="59"/>
      <c r="E157" s="59">
        <v>32530</v>
      </c>
      <c r="F157" s="59">
        <v>90188</v>
      </c>
      <c r="G157" s="59">
        <v>281664</v>
      </c>
      <c r="H157" s="59">
        <v>265629</v>
      </c>
      <c r="I157" s="45">
        <v>320909</v>
      </c>
      <c r="J157" s="45">
        <v>332920</v>
      </c>
      <c r="K157" s="59">
        <v>372804</v>
      </c>
      <c r="L157" s="256">
        <v>376617</v>
      </c>
      <c r="M157" s="256">
        <v>433451</v>
      </c>
      <c r="N157" s="47">
        <v>460481</v>
      </c>
      <c r="O157" s="572"/>
      <c r="P157" s="572">
        <v>3086</v>
      </c>
      <c r="Q157" s="565">
        <f t="shared" si="25"/>
        <v>463567</v>
      </c>
      <c r="T157" s="555"/>
      <c r="V157" s="555"/>
    </row>
    <row r="158" spans="1:22" ht="15.75" thickBot="1">
      <c r="A158" s="329" t="s">
        <v>339</v>
      </c>
      <c r="B158" s="670" t="s">
        <v>340</v>
      </c>
      <c r="C158" s="686"/>
      <c r="D158" s="66">
        <v>14672</v>
      </c>
      <c r="E158" s="66">
        <v>18356</v>
      </c>
      <c r="F158" s="66">
        <v>24962</v>
      </c>
      <c r="G158" s="66">
        <v>26012</v>
      </c>
      <c r="H158" s="66">
        <v>24167</v>
      </c>
      <c r="I158" s="66">
        <f>SUM(I159:I162)</f>
        <v>21978</v>
      </c>
      <c r="J158" s="66">
        <f>SUM(J159:J162)</f>
        <v>26182</v>
      </c>
      <c r="K158" s="66">
        <f>SUM(K159:K162)</f>
        <v>16605</v>
      </c>
      <c r="L158" s="215">
        <f>SUM(L159:L162)</f>
        <v>19312.66</v>
      </c>
      <c r="M158" s="215">
        <f>SUM(M159:M162)</f>
        <v>17232.5</v>
      </c>
      <c r="N158" s="108">
        <v>19086</v>
      </c>
      <c r="O158" s="445">
        <f>SUM(O159:O162)</f>
        <v>0</v>
      </c>
      <c r="P158" s="445">
        <f>SUM(P159:P162)</f>
        <v>0</v>
      </c>
      <c r="Q158" s="474">
        <f>SUM(Q159:Q162)</f>
        <v>19086</v>
      </c>
      <c r="T158" s="555"/>
      <c r="V158" s="555"/>
    </row>
    <row r="159" spans="1:22" ht="12.75">
      <c r="A159" s="729"/>
      <c r="B159" s="330">
        <v>610</v>
      </c>
      <c r="C159" s="71" t="s">
        <v>71</v>
      </c>
      <c r="D159" s="56"/>
      <c r="E159" s="56">
        <v>11817</v>
      </c>
      <c r="F159" s="56">
        <v>16331</v>
      </c>
      <c r="G159" s="56">
        <v>16188</v>
      </c>
      <c r="H159" s="56">
        <v>16639</v>
      </c>
      <c r="I159" s="56">
        <v>14808</v>
      </c>
      <c r="J159" s="56">
        <v>14984</v>
      </c>
      <c r="K159" s="56">
        <v>11095</v>
      </c>
      <c r="L159" s="119">
        <v>11946.75</v>
      </c>
      <c r="M159" s="119">
        <v>12156.96</v>
      </c>
      <c r="N159" s="21">
        <v>13090</v>
      </c>
      <c r="O159" s="556"/>
      <c r="P159" s="557"/>
      <c r="Q159" s="558">
        <f>N159+O159+P159</f>
        <v>13090</v>
      </c>
      <c r="T159" s="555"/>
      <c r="V159" s="555"/>
    </row>
    <row r="160" spans="1:22" ht="12.75">
      <c r="A160" s="730"/>
      <c r="B160" s="205">
        <v>620</v>
      </c>
      <c r="C160" s="42" t="s">
        <v>72</v>
      </c>
      <c r="D160" s="43"/>
      <c r="E160" s="43">
        <v>3983</v>
      </c>
      <c r="F160" s="43">
        <v>5610</v>
      </c>
      <c r="G160" s="43">
        <v>5689</v>
      </c>
      <c r="H160" s="43">
        <v>5822</v>
      </c>
      <c r="I160" s="43">
        <v>5320</v>
      </c>
      <c r="J160" s="43">
        <v>5972</v>
      </c>
      <c r="K160" s="43">
        <v>4227</v>
      </c>
      <c r="L160" s="206">
        <v>4902.95</v>
      </c>
      <c r="M160" s="206">
        <v>3941.03</v>
      </c>
      <c r="N160" s="25">
        <v>4576</v>
      </c>
      <c r="O160" s="559"/>
      <c r="P160" s="560"/>
      <c r="Q160" s="561">
        <f>N160+O160+P160</f>
        <v>4576</v>
      </c>
      <c r="T160" s="555"/>
      <c r="V160" s="555"/>
    </row>
    <row r="161" spans="1:22" ht="12.75">
      <c r="A161" s="730"/>
      <c r="B161" s="205">
        <v>630</v>
      </c>
      <c r="C161" s="42" t="s">
        <v>73</v>
      </c>
      <c r="D161" s="43"/>
      <c r="E161" s="43">
        <v>2556</v>
      </c>
      <c r="F161" s="43">
        <v>3021</v>
      </c>
      <c r="G161" s="43">
        <v>4135</v>
      </c>
      <c r="H161" s="43">
        <v>1706</v>
      </c>
      <c r="I161" s="43">
        <f>1591+259</f>
        <v>1850</v>
      </c>
      <c r="J161" s="43">
        <v>1495</v>
      </c>
      <c r="K161" s="43">
        <v>1200</v>
      </c>
      <c r="L161" s="206">
        <v>931.46</v>
      </c>
      <c r="M161" s="206">
        <v>1055.02</v>
      </c>
      <c r="N161" s="25">
        <v>1420</v>
      </c>
      <c r="O161" s="559"/>
      <c r="P161" s="560"/>
      <c r="Q161" s="561">
        <f>N161+O161+P161</f>
        <v>1420</v>
      </c>
      <c r="T161" s="555"/>
      <c r="V161" s="555"/>
    </row>
    <row r="162" spans="1:22" ht="13.5" thickBot="1">
      <c r="A162" s="731"/>
      <c r="B162" s="331">
        <v>640</v>
      </c>
      <c r="C162" s="45" t="s">
        <v>341</v>
      </c>
      <c r="D162" s="59"/>
      <c r="E162" s="59"/>
      <c r="F162" s="59"/>
      <c r="G162" s="59"/>
      <c r="H162" s="59"/>
      <c r="I162" s="59"/>
      <c r="J162" s="59">
        <v>3731</v>
      </c>
      <c r="K162" s="243">
        <v>83</v>
      </c>
      <c r="L162" s="117">
        <v>1531.5</v>
      </c>
      <c r="M162" s="117">
        <v>79.49</v>
      </c>
      <c r="N162" s="69"/>
      <c r="O162" s="563"/>
      <c r="P162" s="572"/>
      <c r="Q162" s="565">
        <f>N162+O162+P162</f>
        <v>0</v>
      </c>
      <c r="T162" s="555"/>
      <c r="V162" s="555"/>
    </row>
    <row r="163" spans="1:22" ht="15.75" thickBot="1">
      <c r="A163" s="213" t="s">
        <v>342</v>
      </c>
      <c r="B163" s="670" t="s">
        <v>343</v>
      </c>
      <c r="C163" s="686"/>
      <c r="D163" s="66">
        <v>42988</v>
      </c>
      <c r="E163" s="66">
        <v>41924</v>
      </c>
      <c r="F163" s="66">
        <v>49127</v>
      </c>
      <c r="G163" s="66">
        <v>48507</v>
      </c>
      <c r="H163" s="66">
        <v>53865</v>
      </c>
      <c r="I163" s="66">
        <f>I164+I170+I169</f>
        <v>59113.2</v>
      </c>
      <c r="J163" s="66">
        <f>J164+J170+J169</f>
        <v>51352</v>
      </c>
      <c r="K163" s="66">
        <f>K164+K170+K169</f>
        <v>57413</v>
      </c>
      <c r="L163" s="215">
        <f>L164+L170+L169</f>
        <v>142019.73</v>
      </c>
      <c r="M163" s="215">
        <f>M164+M170+M169</f>
        <v>67235.89000000001</v>
      </c>
      <c r="N163" s="108">
        <f>N164+N169+N170</f>
        <v>65690</v>
      </c>
      <c r="O163" s="476">
        <f>O164+O169+O170</f>
        <v>0</v>
      </c>
      <c r="P163" s="476">
        <f>P164+P169+P170</f>
        <v>0</v>
      </c>
      <c r="Q163" s="477">
        <f>Q164+Q169+Q170</f>
        <v>65690</v>
      </c>
      <c r="T163" s="555"/>
      <c r="V163" s="555"/>
    </row>
    <row r="164" spans="1:22" ht="15.75" thickBot="1">
      <c r="A164" s="718"/>
      <c r="B164" s="724" t="s">
        <v>344</v>
      </c>
      <c r="C164" s="725"/>
      <c r="D164" s="63">
        <v>39801</v>
      </c>
      <c r="E164" s="63">
        <v>41194</v>
      </c>
      <c r="F164" s="63">
        <v>47169</v>
      </c>
      <c r="G164" s="63">
        <v>47600</v>
      </c>
      <c r="H164" s="63">
        <v>53724</v>
      </c>
      <c r="I164" s="63">
        <f>SUM(I165:I167)</f>
        <v>56208.2</v>
      </c>
      <c r="J164" s="63">
        <f>SUM(J165:J167)</f>
        <v>47897</v>
      </c>
      <c r="K164" s="63">
        <f>SUM(K165:K168)</f>
        <v>54913</v>
      </c>
      <c r="L164" s="156">
        <f>SUM(L165:L168)</f>
        <v>59991.65</v>
      </c>
      <c r="M164" s="156">
        <f>SUM(M165:M168)</f>
        <v>64735.89000000001</v>
      </c>
      <c r="N164" s="99">
        <f>SUM(N165:N167)+N171</f>
        <v>65690</v>
      </c>
      <c r="O164" s="476">
        <f>SUM(O165:O167)</f>
        <v>0</v>
      </c>
      <c r="P164" s="476">
        <f>SUM(P165:P167)+P171</f>
        <v>0</v>
      </c>
      <c r="Q164" s="477">
        <f>SUM(Q165:Q167)+Q171</f>
        <v>65690</v>
      </c>
      <c r="T164" s="555"/>
      <c r="V164" s="555"/>
    </row>
    <row r="165" spans="1:22" ht="12.75">
      <c r="A165" s="719"/>
      <c r="B165" s="312">
        <v>610</v>
      </c>
      <c r="C165" s="71" t="s">
        <v>71</v>
      </c>
      <c r="D165" s="56"/>
      <c r="E165" s="56">
        <v>22141</v>
      </c>
      <c r="F165" s="56">
        <v>25294</v>
      </c>
      <c r="G165" s="56">
        <v>27320</v>
      </c>
      <c r="H165" s="56">
        <v>30945</v>
      </c>
      <c r="I165" s="56">
        <v>30403</v>
      </c>
      <c r="J165" s="56">
        <v>28630</v>
      </c>
      <c r="K165" s="56">
        <v>28741</v>
      </c>
      <c r="L165" s="119">
        <v>31950.86</v>
      </c>
      <c r="M165" s="119">
        <v>36896.54</v>
      </c>
      <c r="N165" s="21">
        <v>35647</v>
      </c>
      <c r="O165" s="556"/>
      <c r="P165" s="557"/>
      <c r="Q165" s="558">
        <f>N165+O165+P165</f>
        <v>35647</v>
      </c>
      <c r="T165" s="555"/>
      <c r="V165" s="555"/>
    </row>
    <row r="166" spans="1:22" ht="12.75">
      <c r="A166" s="719"/>
      <c r="B166" s="231">
        <v>620</v>
      </c>
      <c r="C166" s="42" t="s">
        <v>72</v>
      </c>
      <c r="D166" s="43"/>
      <c r="E166" s="43">
        <v>8265</v>
      </c>
      <c r="F166" s="43">
        <v>9427</v>
      </c>
      <c r="G166" s="43">
        <v>10234</v>
      </c>
      <c r="H166" s="43">
        <v>11482</v>
      </c>
      <c r="I166" s="43">
        <f>11947-(14.4+22.4+180)</f>
        <v>11730.2</v>
      </c>
      <c r="J166" s="43">
        <v>10691</v>
      </c>
      <c r="K166" s="43">
        <v>10646</v>
      </c>
      <c r="L166" s="206">
        <v>12860.64</v>
      </c>
      <c r="M166" s="206">
        <v>12687.37</v>
      </c>
      <c r="N166" s="25">
        <v>14093</v>
      </c>
      <c r="O166" s="559"/>
      <c r="P166" s="560"/>
      <c r="Q166" s="561">
        <f>N166+O166+P166</f>
        <v>14093</v>
      </c>
      <c r="T166" s="555"/>
      <c r="V166" s="555"/>
    </row>
    <row r="167" spans="1:22" ht="13.5" thickBot="1">
      <c r="A167" s="719"/>
      <c r="B167" s="313">
        <v>630</v>
      </c>
      <c r="C167" s="46" t="s">
        <v>73</v>
      </c>
      <c r="D167" s="59"/>
      <c r="E167" s="59">
        <v>10788</v>
      </c>
      <c r="F167" s="59">
        <v>12448</v>
      </c>
      <c r="G167" s="59">
        <v>10046</v>
      </c>
      <c r="H167" s="59">
        <v>11297</v>
      </c>
      <c r="I167" s="59">
        <f>16682-(2550+28+110)+81</f>
        <v>14075</v>
      </c>
      <c r="J167" s="59">
        <f>11880-3455+151</f>
        <v>8576</v>
      </c>
      <c r="K167" s="59">
        <v>15451</v>
      </c>
      <c r="L167" s="305">
        <v>15180.15</v>
      </c>
      <c r="M167" s="115">
        <v>15023.18</v>
      </c>
      <c r="N167" s="25">
        <v>13450</v>
      </c>
      <c r="O167" s="559"/>
      <c r="P167" s="560"/>
      <c r="Q167" s="561">
        <f>N167+O167+P167</f>
        <v>13450</v>
      </c>
      <c r="T167" s="555"/>
      <c r="V167" s="555"/>
    </row>
    <row r="168" spans="1:22" ht="13.5" thickBot="1">
      <c r="A168" s="719"/>
      <c r="B168" s="331">
        <v>640</v>
      </c>
      <c r="C168" s="302" t="s">
        <v>74</v>
      </c>
      <c r="D168" s="300"/>
      <c r="E168" s="300"/>
      <c r="F168" s="300"/>
      <c r="G168" s="300"/>
      <c r="H168" s="300"/>
      <c r="I168" s="59"/>
      <c r="J168" s="59"/>
      <c r="K168" s="59">
        <v>75</v>
      </c>
      <c r="L168" s="76"/>
      <c r="M168" s="256">
        <v>128.8</v>
      </c>
      <c r="N168" s="47"/>
      <c r="O168" s="584"/>
      <c r="P168" s="584"/>
      <c r="Q168" s="630"/>
      <c r="T168" s="555"/>
      <c r="V168" s="555"/>
    </row>
    <row r="169" spans="1:22" ht="13.5" hidden="1" thickBot="1">
      <c r="A169" s="719"/>
      <c r="B169" s="315">
        <v>630</v>
      </c>
      <c r="C169" s="265" t="s">
        <v>288</v>
      </c>
      <c r="D169" s="300"/>
      <c r="E169" s="300"/>
      <c r="F169" s="300"/>
      <c r="G169" s="300"/>
      <c r="H169" s="300"/>
      <c r="I169" s="332"/>
      <c r="J169" s="332"/>
      <c r="K169" s="59"/>
      <c r="L169" s="212">
        <v>82028.08</v>
      </c>
      <c r="M169" s="212"/>
      <c r="N169" s="76"/>
      <c r="O169" s="569"/>
      <c r="P169" s="569"/>
      <c r="Q169" s="578"/>
      <c r="T169" s="555"/>
      <c r="V169" s="555"/>
    </row>
    <row r="170" spans="1:22" ht="15.75" thickBot="1">
      <c r="A170" s="719"/>
      <c r="B170" s="708" t="s">
        <v>345</v>
      </c>
      <c r="C170" s="709"/>
      <c r="D170" s="333">
        <v>3187</v>
      </c>
      <c r="E170" s="333">
        <v>730</v>
      </c>
      <c r="F170" s="333">
        <v>1958</v>
      </c>
      <c r="G170" s="333">
        <v>907</v>
      </c>
      <c r="H170" s="333">
        <v>141</v>
      </c>
      <c r="I170" s="332">
        <f>I171</f>
        <v>2905</v>
      </c>
      <c r="J170" s="332">
        <f>J171</f>
        <v>3455</v>
      </c>
      <c r="K170" s="332">
        <f>K171</f>
        <v>2500</v>
      </c>
      <c r="L170" s="332">
        <v>0</v>
      </c>
      <c r="M170" s="627">
        <f>M171</f>
        <v>2500</v>
      </c>
      <c r="N170" s="582">
        <v>0</v>
      </c>
      <c r="O170" s="569"/>
      <c r="P170" s="476"/>
      <c r="Q170" s="477"/>
      <c r="T170" s="555"/>
      <c r="V170" s="555"/>
    </row>
    <row r="171" spans="1:22" ht="13.5" thickBot="1">
      <c r="A171" s="720"/>
      <c r="B171" s="334">
        <v>630</v>
      </c>
      <c r="C171" s="45" t="s">
        <v>73</v>
      </c>
      <c r="D171" s="59">
        <v>3187</v>
      </c>
      <c r="E171" s="59">
        <v>730</v>
      </c>
      <c r="F171" s="59">
        <v>1958</v>
      </c>
      <c r="G171" s="59">
        <v>907</v>
      </c>
      <c r="H171" s="59">
        <v>141</v>
      </c>
      <c r="I171" s="45">
        <v>2905</v>
      </c>
      <c r="J171" s="45">
        <v>3455</v>
      </c>
      <c r="K171" s="59">
        <v>2500</v>
      </c>
      <c r="L171" s="47">
        <v>0</v>
      </c>
      <c r="M171" s="256">
        <v>2500</v>
      </c>
      <c r="N171" s="47">
        <v>2500</v>
      </c>
      <c r="O171" s="569"/>
      <c r="P171" s="570"/>
      <c r="Q171" s="571">
        <f>N171+O171+P171</f>
        <v>2500</v>
      </c>
      <c r="T171" s="555"/>
      <c r="V171" s="555"/>
    </row>
    <row r="172" spans="1:22" ht="15.75" thickBot="1">
      <c r="A172" s="335" t="s">
        <v>342</v>
      </c>
      <c r="B172" s="703" t="s">
        <v>346</v>
      </c>
      <c r="C172" s="674"/>
      <c r="D172" s="78">
        <v>90752</v>
      </c>
      <c r="E172" s="78">
        <v>96030</v>
      </c>
      <c r="F172" s="78">
        <v>117540</v>
      </c>
      <c r="G172" s="78">
        <v>141455</v>
      </c>
      <c r="H172" s="78">
        <f aca="true" t="shared" si="26" ref="H172:M172">SUM(H173:H177)</f>
        <v>157876</v>
      </c>
      <c r="I172" s="78">
        <f t="shared" si="26"/>
        <v>153798</v>
      </c>
      <c r="J172" s="78">
        <f t="shared" si="26"/>
        <v>141580</v>
      </c>
      <c r="K172" s="78">
        <f t="shared" si="26"/>
        <v>144793</v>
      </c>
      <c r="L172" s="79">
        <f t="shared" si="26"/>
        <v>138341.56</v>
      </c>
      <c r="M172" s="79">
        <f t="shared" si="26"/>
        <v>147764.81</v>
      </c>
      <c r="N172" s="401">
        <v>171586</v>
      </c>
      <c r="O172" s="476">
        <f>SUM(O173:O176)</f>
        <v>0</v>
      </c>
      <c r="P172" s="476">
        <f>SUM(P173:P176)</f>
        <v>0</v>
      </c>
      <c r="Q172" s="477">
        <f>SUM(Q173:Q176)</f>
        <v>171586</v>
      </c>
      <c r="T172" s="555"/>
      <c r="V172" s="555"/>
    </row>
    <row r="173" spans="1:22" ht="12.75">
      <c r="A173" s="715"/>
      <c r="B173" s="230">
        <v>610</v>
      </c>
      <c r="C173" s="40" t="s">
        <v>71</v>
      </c>
      <c r="D173" s="41"/>
      <c r="E173" s="41">
        <v>65691</v>
      </c>
      <c r="F173" s="41">
        <v>80097</v>
      </c>
      <c r="G173" s="41">
        <v>93395</v>
      </c>
      <c r="H173" s="41">
        <v>102238</v>
      </c>
      <c r="I173" s="40">
        <v>102422</v>
      </c>
      <c r="J173" s="41">
        <v>93404</v>
      </c>
      <c r="K173" s="41">
        <v>93846</v>
      </c>
      <c r="L173" s="204">
        <v>85213.93</v>
      </c>
      <c r="M173" s="204">
        <v>101710.97</v>
      </c>
      <c r="N173" s="94">
        <v>116148</v>
      </c>
      <c r="O173" s="556"/>
      <c r="P173" s="557"/>
      <c r="Q173" s="558">
        <f>N173+O173+P173</f>
        <v>116148</v>
      </c>
      <c r="T173" s="555"/>
      <c r="V173" s="555"/>
    </row>
    <row r="174" spans="1:22" ht="12.75">
      <c r="A174" s="716"/>
      <c r="B174" s="231">
        <v>620</v>
      </c>
      <c r="C174" s="42" t="s">
        <v>72</v>
      </c>
      <c r="D174" s="43"/>
      <c r="E174" s="43">
        <v>22738</v>
      </c>
      <c r="F174" s="43">
        <v>27783</v>
      </c>
      <c r="G174" s="43">
        <v>32056</v>
      </c>
      <c r="H174" s="43">
        <v>35361</v>
      </c>
      <c r="I174" s="42">
        <v>35526</v>
      </c>
      <c r="J174" s="43">
        <v>32703</v>
      </c>
      <c r="K174" s="43">
        <v>32877</v>
      </c>
      <c r="L174" s="206">
        <v>32579.829999999994</v>
      </c>
      <c r="M174" s="206">
        <v>29560.18</v>
      </c>
      <c r="N174" s="25">
        <v>40988</v>
      </c>
      <c r="O174" s="559"/>
      <c r="P174" s="560"/>
      <c r="Q174" s="561">
        <f>N174+O174+P174</f>
        <v>40988</v>
      </c>
      <c r="T174" s="555"/>
      <c r="V174" s="555"/>
    </row>
    <row r="175" spans="1:22" ht="12.75">
      <c r="A175" s="716"/>
      <c r="B175" s="313">
        <v>630</v>
      </c>
      <c r="C175" s="46" t="s">
        <v>73</v>
      </c>
      <c r="D175" s="73"/>
      <c r="E175" s="73">
        <v>7369</v>
      </c>
      <c r="F175" s="73">
        <v>8830</v>
      </c>
      <c r="G175" s="73">
        <v>15669</v>
      </c>
      <c r="H175" s="73">
        <v>19477</v>
      </c>
      <c r="I175" s="46">
        <v>15050</v>
      </c>
      <c r="J175" s="43">
        <v>14133</v>
      </c>
      <c r="K175" s="43">
        <v>17748</v>
      </c>
      <c r="L175" s="224">
        <v>20156.86</v>
      </c>
      <c r="M175" s="224">
        <v>15870.11</v>
      </c>
      <c r="N175" s="29">
        <v>14450</v>
      </c>
      <c r="O175" s="559"/>
      <c r="P175" s="560"/>
      <c r="Q175" s="561">
        <f>N175+O175+P175</f>
        <v>14450</v>
      </c>
      <c r="T175" s="555"/>
      <c r="V175" s="555"/>
    </row>
    <row r="176" spans="1:22" ht="13.5" thickBot="1">
      <c r="A176" s="716"/>
      <c r="B176" s="254">
        <v>640</v>
      </c>
      <c r="C176" s="45" t="s">
        <v>74</v>
      </c>
      <c r="D176" s="59"/>
      <c r="E176" s="59"/>
      <c r="F176" s="59"/>
      <c r="G176" s="59"/>
      <c r="H176" s="59"/>
      <c r="I176" s="45"/>
      <c r="J176" s="59">
        <v>1340</v>
      </c>
      <c r="K176" s="59">
        <v>322</v>
      </c>
      <c r="L176" s="256">
        <v>390.94</v>
      </c>
      <c r="M176" s="256">
        <v>623.55</v>
      </c>
      <c r="N176" s="47"/>
      <c r="O176" s="563"/>
      <c r="P176" s="572"/>
      <c r="Q176" s="565">
        <f>N176+O176+P176</f>
        <v>0</v>
      </c>
      <c r="T176" s="555"/>
      <c r="V176" s="555"/>
    </row>
    <row r="177" spans="1:22" ht="13.5" hidden="1" thickBot="1">
      <c r="A177" s="717"/>
      <c r="B177" s="233">
        <v>630</v>
      </c>
      <c r="C177" s="116" t="s">
        <v>347</v>
      </c>
      <c r="D177" s="211"/>
      <c r="E177" s="211">
        <v>232</v>
      </c>
      <c r="F177" s="211">
        <v>830</v>
      </c>
      <c r="G177" s="211">
        <v>335</v>
      </c>
      <c r="H177" s="211">
        <v>800</v>
      </c>
      <c r="I177" s="116">
        <v>800</v>
      </c>
      <c r="J177" s="116"/>
      <c r="K177" s="211"/>
      <c r="L177" s="76"/>
      <c r="M177" s="212"/>
      <c r="N177" s="76"/>
      <c r="O177" s="569"/>
      <c r="P177" s="569"/>
      <c r="Q177" s="578"/>
      <c r="T177" s="555"/>
      <c r="V177" s="555"/>
    </row>
    <row r="178" spans="1:22" ht="15.75" thickBot="1">
      <c r="A178" s="483" t="s">
        <v>348</v>
      </c>
      <c r="B178" s="703" t="s">
        <v>144</v>
      </c>
      <c r="C178" s="674"/>
      <c r="D178" s="271">
        <v>35152</v>
      </c>
      <c r="E178" s="271">
        <v>34654</v>
      </c>
      <c r="F178" s="271">
        <v>45741</v>
      </c>
      <c r="G178" s="271">
        <v>45381</v>
      </c>
      <c r="H178" s="78">
        <f>SUM(H179:H182)</f>
        <v>47758</v>
      </c>
      <c r="I178" s="78">
        <f>SUM(I179:I182)</f>
        <v>57427</v>
      </c>
      <c r="J178" s="78">
        <f>SUM(J179:J181)</f>
        <v>33860</v>
      </c>
      <c r="K178" s="78">
        <f>SUM(K179:K182)</f>
        <v>33843</v>
      </c>
      <c r="L178" s="79">
        <f>SUM(L179:L182)</f>
        <v>35020.590000000004</v>
      </c>
      <c r="M178" s="79">
        <f>SUM(M179:M182)</f>
        <v>40552.41</v>
      </c>
      <c r="N178" s="401">
        <v>38017</v>
      </c>
      <c r="O178" s="476">
        <f>SUM(O179:O182)</f>
        <v>0</v>
      </c>
      <c r="P178" s="476">
        <f>SUM(P179:P182)</f>
        <v>0</v>
      </c>
      <c r="Q178" s="477">
        <f>SUM(Q179:Q182)</f>
        <v>38017</v>
      </c>
      <c r="T178" s="555"/>
      <c r="V178" s="555"/>
    </row>
    <row r="179" spans="1:22" ht="12.75">
      <c r="A179" s="721"/>
      <c r="B179" s="230">
        <v>610</v>
      </c>
      <c r="C179" s="225" t="s">
        <v>71</v>
      </c>
      <c r="D179" s="320"/>
      <c r="E179" s="320">
        <v>21277</v>
      </c>
      <c r="F179" s="320">
        <v>26622</v>
      </c>
      <c r="G179" s="320">
        <v>27938</v>
      </c>
      <c r="H179" s="320">
        <v>29205</v>
      </c>
      <c r="I179" s="41">
        <v>32982</v>
      </c>
      <c r="J179" s="41">
        <v>19537</v>
      </c>
      <c r="K179" s="41">
        <v>19331</v>
      </c>
      <c r="L179" s="204">
        <v>19931.3</v>
      </c>
      <c r="M179" s="204">
        <v>21474.28</v>
      </c>
      <c r="N179" s="94">
        <v>21772</v>
      </c>
      <c r="O179" s="556"/>
      <c r="P179" s="557"/>
      <c r="Q179" s="558">
        <f>N179+O179+P179</f>
        <v>21772</v>
      </c>
      <c r="T179" s="555"/>
      <c r="V179" s="555"/>
    </row>
    <row r="180" spans="1:22" ht="12.75">
      <c r="A180" s="722"/>
      <c r="B180" s="231">
        <v>620</v>
      </c>
      <c r="C180" s="227" t="s">
        <v>72</v>
      </c>
      <c r="D180" s="207"/>
      <c r="E180" s="207">
        <v>8033</v>
      </c>
      <c r="F180" s="207">
        <v>9792</v>
      </c>
      <c r="G180" s="207">
        <v>10190</v>
      </c>
      <c r="H180" s="207">
        <v>10431</v>
      </c>
      <c r="I180" s="43">
        <v>13206</v>
      </c>
      <c r="J180" s="43">
        <v>7857</v>
      </c>
      <c r="K180" s="43">
        <v>7510</v>
      </c>
      <c r="L180" s="206">
        <v>8330.59</v>
      </c>
      <c r="M180" s="206">
        <v>7982.2</v>
      </c>
      <c r="N180" s="25">
        <v>8365</v>
      </c>
      <c r="O180" s="559"/>
      <c r="P180" s="560"/>
      <c r="Q180" s="561">
        <f>N180+O180+P180</f>
        <v>8365</v>
      </c>
      <c r="T180" s="555"/>
      <c r="V180" s="555"/>
    </row>
    <row r="181" spans="1:22" ht="12.75">
      <c r="A181" s="722"/>
      <c r="B181" s="231">
        <v>630</v>
      </c>
      <c r="C181" s="227" t="s">
        <v>73</v>
      </c>
      <c r="D181" s="207"/>
      <c r="E181" s="207">
        <v>5344</v>
      </c>
      <c r="F181" s="207">
        <v>9327</v>
      </c>
      <c r="G181" s="207">
        <v>7253</v>
      </c>
      <c r="H181" s="207">
        <v>8122</v>
      </c>
      <c r="I181" s="43">
        <v>7483</v>
      </c>
      <c r="J181" s="43">
        <v>6466</v>
      </c>
      <c r="K181" s="43">
        <v>6899</v>
      </c>
      <c r="L181" s="206">
        <v>6669.76</v>
      </c>
      <c r="M181" s="206">
        <v>10990.38</v>
      </c>
      <c r="N181" s="25">
        <v>7880</v>
      </c>
      <c r="O181" s="559"/>
      <c r="P181" s="560"/>
      <c r="Q181" s="561">
        <f>N181+O181+P181</f>
        <v>7880</v>
      </c>
      <c r="T181" s="555"/>
      <c r="V181" s="555"/>
    </row>
    <row r="182" spans="1:22" ht="13.5" thickBot="1">
      <c r="A182" s="723"/>
      <c r="B182" s="233">
        <v>640</v>
      </c>
      <c r="C182" s="265" t="s">
        <v>74</v>
      </c>
      <c r="D182" s="300"/>
      <c r="E182" s="300"/>
      <c r="F182" s="300"/>
      <c r="G182" s="300"/>
      <c r="H182" s="300"/>
      <c r="I182" s="211">
        <v>3756</v>
      </c>
      <c r="J182" s="211"/>
      <c r="K182" s="211">
        <v>103</v>
      </c>
      <c r="L182" s="336">
        <v>88.94</v>
      </c>
      <c r="M182" s="305">
        <v>105.55</v>
      </c>
      <c r="N182" s="47"/>
      <c r="O182" s="563"/>
      <c r="P182" s="563"/>
      <c r="Q182" s="590">
        <f>N182+O182+P182</f>
        <v>0</v>
      </c>
      <c r="T182" s="555"/>
      <c r="V182" s="555"/>
    </row>
    <row r="183" spans="1:22" ht="15.75" thickBot="1">
      <c r="A183" s="337" t="s">
        <v>349</v>
      </c>
      <c r="B183" s="710" t="s">
        <v>350</v>
      </c>
      <c r="C183" s="711"/>
      <c r="D183" s="338">
        <v>105855</v>
      </c>
      <c r="E183" s="338">
        <v>102071</v>
      </c>
      <c r="F183" s="338">
        <v>77475</v>
      </c>
      <c r="G183" s="338">
        <v>119794</v>
      </c>
      <c r="H183" s="339">
        <v>122484</v>
      </c>
      <c r="I183" s="339">
        <f>I184+I189+I190+I191+I192+I193+I196+I197+I194</f>
        <v>95592</v>
      </c>
      <c r="J183" s="339">
        <f>J184+J189+J190+J191+J192+J193+J196+J197+J194</f>
        <v>235945</v>
      </c>
      <c r="K183" s="339">
        <f>K184+K189+K190+K191+K192+K193+K196+K197+K194</f>
        <v>566990</v>
      </c>
      <c r="L183" s="340">
        <f>L184+L189+L190+L191+L192+L193+L196+L197+L194</f>
        <v>568843.26</v>
      </c>
      <c r="M183" s="340">
        <f>M184+M189+M190+M191+M192+M193+M196+M197+M194</f>
        <v>470939.23</v>
      </c>
      <c r="N183" s="583">
        <f>N184+N189+N191+N192+N193+N194+N196+N197+N195</f>
        <v>266124</v>
      </c>
      <c r="O183" s="476">
        <f>O184+O189+O191+O192+O193+O194+O196+O197</f>
        <v>0</v>
      </c>
      <c r="P183" s="476">
        <f>P184+P189+P191+P192+P193+P194+P196+P197</f>
        <v>0</v>
      </c>
      <c r="Q183" s="477">
        <f>Q184+Q189+Q191+Q192+Q193+Q194+Q196+Q197+Q195</f>
        <v>266124</v>
      </c>
      <c r="T183" s="555"/>
      <c r="V183" s="555"/>
    </row>
    <row r="184" spans="1:22" ht="15.75" thickBot="1">
      <c r="A184" s="712"/>
      <c r="B184" s="713" t="s">
        <v>351</v>
      </c>
      <c r="C184" s="714"/>
      <c r="D184" s="341">
        <v>26024</v>
      </c>
      <c r="E184" s="341">
        <v>26422</v>
      </c>
      <c r="F184" s="341">
        <v>12381</v>
      </c>
      <c r="G184" s="341">
        <v>67096</v>
      </c>
      <c r="H184" s="342">
        <f>SUM(H185:H187)</f>
        <v>63788</v>
      </c>
      <c r="I184" s="342">
        <f>SUM(I185:I187)</f>
        <v>2494</v>
      </c>
      <c r="J184" s="342">
        <f>SUM(J185:J187)</f>
        <v>41385</v>
      </c>
      <c r="K184" s="342">
        <f>SUM(K185:K188)</f>
        <v>80229</v>
      </c>
      <c r="L184" s="343">
        <f>SUM(L185:L188)</f>
        <v>66952.96999999999</v>
      </c>
      <c r="M184" s="343">
        <f>SUM(M185:M188)</f>
        <v>85074.98</v>
      </c>
      <c r="N184" s="342">
        <v>4500</v>
      </c>
      <c r="O184" s="476">
        <f>SUM(O185:O188)</f>
        <v>0</v>
      </c>
      <c r="P184" s="476">
        <f>SUM(P185:P188)+P195</f>
        <v>0</v>
      </c>
      <c r="Q184" s="477">
        <f>SUM(Q185:Q188)</f>
        <v>4500</v>
      </c>
      <c r="T184" s="555"/>
      <c r="V184" s="555"/>
    </row>
    <row r="185" spans="1:22" ht="12.75">
      <c r="A185" s="712"/>
      <c r="B185" s="312">
        <v>610</v>
      </c>
      <c r="C185" s="71" t="s">
        <v>71</v>
      </c>
      <c r="D185" s="41"/>
      <c r="E185" s="41">
        <v>16132</v>
      </c>
      <c r="F185" s="41">
        <v>7933</v>
      </c>
      <c r="G185" s="41">
        <v>43567</v>
      </c>
      <c r="H185" s="41">
        <v>42257</v>
      </c>
      <c r="I185" s="344">
        <v>2163</v>
      </c>
      <c r="J185" s="344">
        <v>27310</v>
      </c>
      <c r="K185" s="344">
        <v>54820</v>
      </c>
      <c r="L185" s="345">
        <v>43998.71</v>
      </c>
      <c r="M185" s="345">
        <v>61007.02</v>
      </c>
      <c r="N185" s="530">
        <v>0</v>
      </c>
      <c r="O185" s="556"/>
      <c r="P185" s="556"/>
      <c r="Q185" s="558">
        <f aca="true" t="shared" si="27" ref="Q185:Q197">N185+O185+P185</f>
        <v>0</v>
      </c>
      <c r="T185" s="555"/>
      <c r="V185" s="555"/>
    </row>
    <row r="186" spans="1:22" ht="12.75">
      <c r="A186" s="712"/>
      <c r="B186" s="231">
        <v>620</v>
      </c>
      <c r="C186" s="42" t="s">
        <v>72</v>
      </c>
      <c r="D186" s="43"/>
      <c r="E186" s="43">
        <v>5344</v>
      </c>
      <c r="F186" s="43">
        <v>2622</v>
      </c>
      <c r="G186" s="43">
        <v>14529</v>
      </c>
      <c r="H186" s="43">
        <v>14713</v>
      </c>
      <c r="I186" s="346">
        <v>323</v>
      </c>
      <c r="J186" s="346">
        <v>10254</v>
      </c>
      <c r="K186" s="346">
        <v>19614</v>
      </c>
      <c r="L186" s="347">
        <v>18142.44</v>
      </c>
      <c r="M186" s="347">
        <v>19303.48</v>
      </c>
      <c r="N186" s="348">
        <v>0</v>
      </c>
      <c r="O186" s="559"/>
      <c r="P186" s="559"/>
      <c r="Q186" s="561">
        <f t="shared" si="27"/>
        <v>0</v>
      </c>
      <c r="T186" s="555"/>
      <c r="V186" s="555"/>
    </row>
    <row r="187" spans="1:22" ht="12.75">
      <c r="A187" s="712"/>
      <c r="B187" s="205">
        <v>630</v>
      </c>
      <c r="C187" s="42" t="s">
        <v>73</v>
      </c>
      <c r="D187" s="43"/>
      <c r="E187" s="43">
        <v>4946</v>
      </c>
      <c r="F187" s="43">
        <v>1826</v>
      </c>
      <c r="G187" s="43">
        <v>9000</v>
      </c>
      <c r="H187" s="43">
        <v>6818</v>
      </c>
      <c r="I187" s="43">
        <v>8</v>
      </c>
      <c r="J187" s="43">
        <f>3526+295</f>
        <v>3821</v>
      </c>
      <c r="K187" s="346">
        <v>5011</v>
      </c>
      <c r="L187" s="347">
        <v>4277.15</v>
      </c>
      <c r="M187" s="347">
        <v>4479.7</v>
      </c>
      <c r="N187" s="348">
        <v>4500</v>
      </c>
      <c r="O187" s="559"/>
      <c r="P187" s="560"/>
      <c r="Q187" s="561">
        <f t="shared" si="27"/>
        <v>4500</v>
      </c>
      <c r="T187" s="555"/>
      <c r="V187" s="555"/>
    </row>
    <row r="188" spans="1:22" ht="13.5" thickBot="1">
      <c r="A188" s="712"/>
      <c r="B188" s="233">
        <v>640</v>
      </c>
      <c r="C188" s="265" t="s">
        <v>74</v>
      </c>
      <c r="D188" s="304"/>
      <c r="E188" s="304"/>
      <c r="F188" s="304"/>
      <c r="G188" s="304"/>
      <c r="H188" s="304"/>
      <c r="I188" s="304"/>
      <c r="J188" s="304"/>
      <c r="K188" s="349">
        <v>784</v>
      </c>
      <c r="L188" s="350">
        <v>534.67</v>
      </c>
      <c r="M188" s="350">
        <v>284.78</v>
      </c>
      <c r="N188" s="351"/>
      <c r="O188" s="584"/>
      <c r="P188" s="584"/>
      <c r="Q188" s="591">
        <f t="shared" si="27"/>
        <v>0</v>
      </c>
      <c r="T188" s="555"/>
      <c r="V188" s="555"/>
    </row>
    <row r="189" spans="1:22" ht="12.75">
      <c r="A189" s="712"/>
      <c r="B189" s="352"/>
      <c r="C189" s="323" t="s">
        <v>352</v>
      </c>
      <c r="D189" s="322"/>
      <c r="E189" s="322"/>
      <c r="F189" s="322"/>
      <c r="G189" s="322"/>
      <c r="H189" s="322"/>
      <c r="I189" s="323">
        <v>9265</v>
      </c>
      <c r="J189" s="207">
        <v>11343</v>
      </c>
      <c r="K189" s="43">
        <v>6313</v>
      </c>
      <c r="L189" s="119">
        <v>5404.14</v>
      </c>
      <c r="M189" s="119">
        <v>4327.68</v>
      </c>
      <c r="N189" s="21">
        <v>7000</v>
      </c>
      <c r="O189" s="556"/>
      <c r="P189" s="56"/>
      <c r="Q189" s="558">
        <f t="shared" si="27"/>
        <v>7000</v>
      </c>
      <c r="T189" s="555"/>
      <c r="V189" s="555"/>
    </row>
    <row r="190" spans="1:22" ht="12.75" hidden="1">
      <c r="A190" s="712"/>
      <c r="B190" s="353"/>
      <c r="C190" s="227" t="s">
        <v>353</v>
      </c>
      <c r="D190" s="207"/>
      <c r="E190" s="207"/>
      <c r="F190" s="207"/>
      <c r="G190" s="207"/>
      <c r="H190" s="207"/>
      <c r="I190" s="227"/>
      <c r="J190" s="207"/>
      <c r="K190" s="43"/>
      <c r="L190" s="206"/>
      <c r="M190" s="206"/>
      <c r="N190" s="25"/>
      <c r="O190" s="559"/>
      <c r="P190" s="43"/>
      <c r="Q190" s="561">
        <f t="shared" si="27"/>
        <v>0</v>
      </c>
      <c r="T190" s="555"/>
      <c r="V190" s="555"/>
    </row>
    <row r="191" spans="1:22" ht="12.75">
      <c r="A191" s="712"/>
      <c r="B191" s="353">
        <v>630</v>
      </c>
      <c r="C191" s="227" t="s">
        <v>353</v>
      </c>
      <c r="D191" s="207"/>
      <c r="E191" s="207"/>
      <c r="F191" s="207"/>
      <c r="G191" s="207"/>
      <c r="H191" s="207"/>
      <c r="I191" s="227"/>
      <c r="J191" s="207"/>
      <c r="K191" s="43"/>
      <c r="L191" s="206"/>
      <c r="M191" s="206"/>
      <c r="N191" s="25"/>
      <c r="O191" s="559"/>
      <c r="P191" s="43"/>
      <c r="Q191" s="561">
        <f t="shared" si="27"/>
        <v>0</v>
      </c>
      <c r="T191" s="555"/>
      <c r="V191" s="555"/>
    </row>
    <row r="192" spans="1:20" ht="12.75">
      <c r="A192" s="712"/>
      <c r="B192" s="353">
        <v>630</v>
      </c>
      <c r="C192" s="227" t="s">
        <v>354</v>
      </c>
      <c r="D192" s="207"/>
      <c r="E192" s="207"/>
      <c r="F192" s="207"/>
      <c r="G192" s="207"/>
      <c r="H192" s="207"/>
      <c r="I192" s="227">
        <v>66358</v>
      </c>
      <c r="J192" s="207">
        <v>95746</v>
      </c>
      <c r="K192" s="43">
        <f>5530+80179</f>
        <v>85709</v>
      </c>
      <c r="L192" s="206">
        <v>56320.98000000001</v>
      </c>
      <c r="M192" s="206">
        <v>47905.93</v>
      </c>
      <c r="N192" s="25">
        <v>35000</v>
      </c>
      <c r="O192" s="559"/>
      <c r="P192" s="43"/>
      <c r="Q192" s="561">
        <f t="shared" si="27"/>
        <v>35000</v>
      </c>
      <c r="T192" s="555"/>
    </row>
    <row r="193" spans="1:20" ht="12.75">
      <c r="A193" s="712"/>
      <c r="B193" s="353">
        <v>630</v>
      </c>
      <c r="C193" s="227" t="s">
        <v>353</v>
      </c>
      <c r="D193" s="207"/>
      <c r="E193" s="207"/>
      <c r="F193" s="207"/>
      <c r="G193" s="207"/>
      <c r="H193" s="207"/>
      <c r="I193" s="43">
        <v>642</v>
      </c>
      <c r="J193" s="207"/>
      <c r="K193" s="43"/>
      <c r="L193" s="206"/>
      <c r="M193" s="206">
        <v>0</v>
      </c>
      <c r="N193" s="25"/>
      <c r="O193" s="559"/>
      <c r="P193" s="43"/>
      <c r="Q193" s="561">
        <f t="shared" si="27"/>
        <v>0</v>
      </c>
      <c r="T193" s="555"/>
    </row>
    <row r="194" spans="1:20" ht="12.75">
      <c r="A194" s="712"/>
      <c r="B194" s="353"/>
      <c r="C194" s="227" t="s">
        <v>283</v>
      </c>
      <c r="D194" s="207"/>
      <c r="E194" s="207"/>
      <c r="F194" s="207"/>
      <c r="G194" s="207"/>
      <c r="H194" s="207"/>
      <c r="I194" s="227"/>
      <c r="J194" s="207">
        <v>85602</v>
      </c>
      <c r="K194" s="43">
        <f>4915+388479</f>
        <v>393394</v>
      </c>
      <c r="L194" s="206">
        <v>426977.77</v>
      </c>
      <c r="M194" s="206">
        <v>323039.83999999997</v>
      </c>
      <c r="N194" s="25">
        <v>192900</v>
      </c>
      <c r="O194" s="559"/>
      <c r="P194" s="43"/>
      <c r="Q194" s="561">
        <f t="shared" si="27"/>
        <v>192900</v>
      </c>
      <c r="T194" s="555"/>
    </row>
    <row r="195" spans="1:20" ht="12.75">
      <c r="A195" s="712"/>
      <c r="B195" s="353"/>
      <c r="C195" s="227" t="s">
        <v>284</v>
      </c>
      <c r="D195" s="207"/>
      <c r="E195" s="207"/>
      <c r="F195" s="207"/>
      <c r="G195" s="207"/>
      <c r="H195" s="207"/>
      <c r="I195" s="227"/>
      <c r="J195" s="207"/>
      <c r="K195" s="43"/>
      <c r="L195" s="206"/>
      <c r="M195" s="206">
        <v>6176.6</v>
      </c>
      <c r="N195" s="25">
        <v>4500</v>
      </c>
      <c r="O195" s="559"/>
      <c r="P195" s="43"/>
      <c r="Q195" s="561">
        <f t="shared" si="27"/>
        <v>4500</v>
      </c>
      <c r="T195" s="555"/>
    </row>
    <row r="196" spans="1:21" ht="12.75">
      <c r="A196" s="712"/>
      <c r="B196" s="353">
        <v>630</v>
      </c>
      <c r="C196" s="227" t="s">
        <v>355</v>
      </c>
      <c r="D196" s="207"/>
      <c r="E196" s="207"/>
      <c r="F196" s="207"/>
      <c r="G196" s="207"/>
      <c r="H196" s="207"/>
      <c r="I196" s="227">
        <v>16833</v>
      </c>
      <c r="J196" s="207">
        <v>1809</v>
      </c>
      <c r="K196" s="43">
        <v>1345</v>
      </c>
      <c r="L196" s="206">
        <v>13077.4</v>
      </c>
      <c r="M196" s="206">
        <v>10590.8</v>
      </c>
      <c r="N196" s="25">
        <v>20224</v>
      </c>
      <c r="O196" s="559"/>
      <c r="P196" s="43"/>
      <c r="Q196" s="561">
        <f t="shared" si="27"/>
        <v>20224</v>
      </c>
      <c r="S196" s="553">
        <v>10629</v>
      </c>
      <c r="T196" s="555"/>
      <c r="U196" s="555">
        <f>Q196-S196</f>
        <v>9595</v>
      </c>
    </row>
    <row r="197" spans="1:20" ht="13.5" thickBot="1">
      <c r="A197" s="712"/>
      <c r="B197" s="354">
        <v>630</v>
      </c>
      <c r="C197" s="355" t="s">
        <v>356</v>
      </c>
      <c r="D197" s="356"/>
      <c r="E197" s="356"/>
      <c r="F197" s="356"/>
      <c r="G197" s="356"/>
      <c r="H197" s="356"/>
      <c r="I197" s="355"/>
      <c r="J197" s="207">
        <v>60</v>
      </c>
      <c r="K197" s="43"/>
      <c r="L197" s="224">
        <v>110</v>
      </c>
      <c r="M197" s="628"/>
      <c r="N197" s="357">
        <v>2000</v>
      </c>
      <c r="O197" s="563"/>
      <c r="P197" s="572"/>
      <c r="Q197" s="565">
        <f t="shared" si="27"/>
        <v>2000</v>
      </c>
      <c r="T197" s="555"/>
    </row>
    <row r="198" spans="1:20" ht="17.25" thickBot="1" thickTop="1">
      <c r="A198" s="358"/>
      <c r="B198" s="359"/>
      <c r="C198" s="149" t="s">
        <v>357</v>
      </c>
      <c r="D198" s="102">
        <f aca="true" t="shared" si="28" ref="D198:M198">D4+D10+D14+D25+D27+D29+D34+D36+D41+D47+D52+D66+D70+D76+D81+D86+D105+D107+D116+D121+D135+D138+D143+D158+D163+D172+D178+D183+D109+D19+D43+D74</f>
        <v>5867125</v>
      </c>
      <c r="E198" s="102">
        <f t="shared" si="28"/>
        <v>6460200</v>
      </c>
      <c r="F198" s="102">
        <f t="shared" si="28"/>
        <v>7832271</v>
      </c>
      <c r="G198" s="102">
        <f t="shared" si="28"/>
        <v>8716285.43</v>
      </c>
      <c r="H198" s="102">
        <f t="shared" si="28"/>
        <v>9309387</v>
      </c>
      <c r="I198" s="102">
        <f t="shared" si="28"/>
        <v>8743512.2</v>
      </c>
      <c r="J198" s="102">
        <f t="shared" si="28"/>
        <v>8908071</v>
      </c>
      <c r="K198" s="102">
        <f t="shared" si="28"/>
        <v>8934542</v>
      </c>
      <c r="L198" s="548">
        <f t="shared" si="28"/>
        <v>9572545.38</v>
      </c>
      <c r="M198" s="548">
        <f t="shared" si="28"/>
        <v>9554914.799999999</v>
      </c>
      <c r="N198" s="585">
        <f>N183+N178+N172+N163+N158+N143+N138+N135+N121+N116+N109+N107+N105+N86+N81+N76+N70+N66+N52+N47+N43+N41+N36+N34+N29+N27+N25+N19+N14+N10+N4</f>
        <v>9653283</v>
      </c>
      <c r="O198" s="102">
        <f>O183+O178+O172+O163+O158+O143+O138+O135+O121+O116+O109+O107+O105+O86+O81+O76+O70+O66+O52+O47+O43+O41+O36+O34+O29+O27+O25+O19+O14+O10+O4</f>
        <v>-15480</v>
      </c>
      <c r="P198" s="102">
        <f>P183+P178+P172+P163+P158+P143+P138+P135+P121+P116+P109+P107+P105+P86+P81+P76+P70+P66+P52+P47+P43+P41+P36+P34+P29+P27+P25+P19+P14+P10+P4</f>
        <v>33383</v>
      </c>
      <c r="Q198" s="103">
        <f>Q183+Q178+Q172+Q163+Q158+Q143+Q138+Q135+Q121+Q116+Q109+Q107+Q105+Q86+Q81+Q76+Q70+Q66+Q52+Q47+Q43+Q41+Q36+Q34+Q29+Q27+Q25+Q19+Q14+Q10+Q4</f>
        <v>9671186</v>
      </c>
      <c r="T198" s="555"/>
    </row>
    <row r="199" ht="13.5" thickTop="1">
      <c r="O199" s="586"/>
    </row>
    <row r="200" spans="14:15" ht="12.75">
      <c r="N200" s="555"/>
      <c r="O200" s="586"/>
    </row>
    <row r="201" spans="14:15" ht="12.75">
      <c r="N201" s="555"/>
      <c r="O201" s="586"/>
    </row>
    <row r="202" spans="15:17" ht="12.75">
      <c r="O202" s="586"/>
      <c r="Q202" s="555">
        <f>Q198-Q150-Q151-Q192-U196</f>
        <v>4812030</v>
      </c>
    </row>
    <row r="203" spans="14:17" ht="12.75">
      <c r="N203" s="555"/>
      <c r="O203" s="586"/>
      <c r="Q203" s="555"/>
    </row>
    <row r="204" ht="12.75">
      <c r="O204" s="586"/>
    </row>
    <row r="205" spans="15:19" ht="12.75">
      <c r="O205" s="586"/>
      <c r="Q205" s="555"/>
      <c r="S205" s="555"/>
    </row>
    <row r="206" ht="12.75">
      <c r="O206" s="586"/>
    </row>
    <row r="207" spans="15:17" ht="12.75">
      <c r="O207" s="586"/>
      <c r="Q207" s="555"/>
    </row>
    <row r="208" ht="12.75">
      <c r="O208" s="586"/>
    </row>
    <row r="209" ht="12.75">
      <c r="O209" s="586"/>
    </row>
    <row r="210" ht="12.75">
      <c r="O210" s="586"/>
    </row>
    <row r="211" ht="12.75">
      <c r="O211" s="586"/>
    </row>
    <row r="212" ht="12.75">
      <c r="O212" s="586"/>
    </row>
    <row r="213" spans="15:21" ht="12.75">
      <c r="O213" s="586"/>
      <c r="U213" s="555"/>
    </row>
    <row r="214" ht="12.75">
      <c r="O214" s="586"/>
    </row>
    <row r="215" ht="12.75">
      <c r="O215" s="586"/>
    </row>
    <row r="216" ht="12.75">
      <c r="O216" s="586"/>
    </row>
    <row r="217" ht="12.75">
      <c r="O217" s="586"/>
    </row>
    <row r="218" ht="12.75">
      <c r="O218" s="586"/>
    </row>
    <row r="219" ht="12.75">
      <c r="O219" s="586"/>
    </row>
    <row r="220" ht="12.75">
      <c r="O220" s="586"/>
    </row>
    <row r="221" ht="12.75">
      <c r="O221" s="586"/>
    </row>
    <row r="222" ht="12.75">
      <c r="O222" s="586"/>
    </row>
    <row r="223" ht="12.75">
      <c r="O223" s="586"/>
    </row>
    <row r="224" ht="12.75">
      <c r="O224" s="586"/>
    </row>
    <row r="225" ht="12.75">
      <c r="O225" s="586"/>
    </row>
    <row r="226" ht="12.75">
      <c r="O226" s="586"/>
    </row>
    <row r="227" ht="12.75">
      <c r="O227" s="586"/>
    </row>
    <row r="228" ht="12.75">
      <c r="O228" s="586"/>
    </row>
    <row r="229" ht="12.75">
      <c r="O229" s="586"/>
    </row>
    <row r="230" ht="12.75">
      <c r="O230" s="586"/>
    </row>
    <row r="231" ht="12.75">
      <c r="O231" s="586"/>
    </row>
    <row r="232" ht="12.75">
      <c r="O232" s="586"/>
    </row>
    <row r="233" ht="12.75">
      <c r="O233" s="586"/>
    </row>
    <row r="234" ht="12.75">
      <c r="O234" s="586"/>
    </row>
    <row r="235" ht="12.75">
      <c r="O235" s="586"/>
    </row>
    <row r="236" ht="12.75">
      <c r="O236" s="586"/>
    </row>
    <row r="237" ht="12.75">
      <c r="O237" s="586"/>
    </row>
    <row r="238" ht="12.75">
      <c r="O238" s="586"/>
    </row>
    <row r="239" ht="12.75">
      <c r="O239" s="586"/>
    </row>
    <row r="240" ht="12.75">
      <c r="O240" s="586"/>
    </row>
    <row r="241" ht="12.75">
      <c r="O241" s="586"/>
    </row>
    <row r="242" ht="12.75">
      <c r="O242" s="586"/>
    </row>
    <row r="243" ht="12.75">
      <c r="O243" s="586"/>
    </row>
  </sheetData>
  <sheetProtection/>
  <mergeCells count="82">
    <mergeCell ref="A82:A85"/>
    <mergeCell ref="D2:D3"/>
    <mergeCell ref="N2:N3"/>
    <mergeCell ref="O2:P2"/>
    <mergeCell ref="I2:I3"/>
    <mergeCell ref="J2:J3"/>
    <mergeCell ref="L2:L3"/>
    <mergeCell ref="M2:M3"/>
    <mergeCell ref="B41:C41"/>
    <mergeCell ref="B14:C14"/>
    <mergeCell ref="B34:C34"/>
    <mergeCell ref="B4:C4"/>
    <mergeCell ref="H2:H3"/>
    <mergeCell ref="F2:F3"/>
    <mergeCell ref="G2:G3"/>
    <mergeCell ref="B2:B3"/>
    <mergeCell ref="C2:C3"/>
    <mergeCell ref="E2:E3"/>
    <mergeCell ref="B74:C74"/>
    <mergeCell ref="B36:C36"/>
    <mergeCell ref="A37:A40"/>
    <mergeCell ref="A44:A46"/>
    <mergeCell ref="K2:K3"/>
    <mergeCell ref="A2:A3"/>
    <mergeCell ref="A15:A18"/>
    <mergeCell ref="B19:C19"/>
    <mergeCell ref="A20:A24"/>
    <mergeCell ref="B25:C25"/>
    <mergeCell ref="B53:C53"/>
    <mergeCell ref="A53:A65"/>
    <mergeCell ref="A67:A69"/>
    <mergeCell ref="B70:C70"/>
    <mergeCell ref="B66:C66"/>
    <mergeCell ref="A71:A73"/>
    <mergeCell ref="B47:C47"/>
    <mergeCell ref="A48:A51"/>
    <mergeCell ref="B52:C52"/>
    <mergeCell ref="B150:B157"/>
    <mergeCell ref="A110:A115"/>
    <mergeCell ref="A77:A80"/>
    <mergeCell ref="B81:C81"/>
    <mergeCell ref="B109:C109"/>
    <mergeCell ref="B76:C76"/>
    <mergeCell ref="A87:A104"/>
    <mergeCell ref="B105:C105"/>
    <mergeCell ref="B144:C144"/>
    <mergeCell ref="A159:A162"/>
    <mergeCell ref="B163:C163"/>
    <mergeCell ref="A122:A134"/>
    <mergeCell ref="B116:C116"/>
    <mergeCell ref="A117:A120"/>
    <mergeCell ref="B107:C107"/>
    <mergeCell ref="B121:C121"/>
    <mergeCell ref="B164:C164"/>
    <mergeCell ref="B143:C143"/>
    <mergeCell ref="B135:C135"/>
    <mergeCell ref="A136:A137"/>
    <mergeCell ref="A144:A157"/>
    <mergeCell ref="A139:A142"/>
    <mergeCell ref="B139:B142"/>
    <mergeCell ref="B149:C149"/>
    <mergeCell ref="B138:C138"/>
    <mergeCell ref="B170:C170"/>
    <mergeCell ref="B158:C158"/>
    <mergeCell ref="B183:C183"/>
    <mergeCell ref="A184:A197"/>
    <mergeCell ref="B184:C184"/>
    <mergeCell ref="B172:C172"/>
    <mergeCell ref="A173:A177"/>
    <mergeCell ref="B178:C178"/>
    <mergeCell ref="A164:A171"/>
    <mergeCell ref="A179:A182"/>
    <mergeCell ref="B86:C86"/>
    <mergeCell ref="A1:Q1"/>
    <mergeCell ref="A11:A13"/>
    <mergeCell ref="Q2:Q3"/>
    <mergeCell ref="A30:A33"/>
    <mergeCell ref="B27:C27"/>
    <mergeCell ref="B29:C29"/>
    <mergeCell ref="A5:A9"/>
    <mergeCell ref="B10:C10"/>
    <mergeCell ref="B43:C43"/>
  </mergeCells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65" max="255" man="1"/>
    <brk id="142" max="255" man="1"/>
  </rowBreaks>
  <ignoredErrors>
    <ignoredError sqref="B67:M70" numberStoredAsText="1"/>
    <ignoredError sqref="L107:M107 L106 L108 Q10:Q19 Q26:Q36 Q43:Q53 Q81 Q105:Q109 Q116:Q121 Q135 Q158 Q172" formula="1"/>
    <ignoredError sqref="N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48"/>
  <sheetViews>
    <sheetView zoomScalePageLayoutView="0" workbookViewId="0" topLeftCell="A10">
      <selection activeCell="O50" sqref="O50"/>
    </sheetView>
  </sheetViews>
  <sheetFormatPr defaultColWidth="9.140625" defaultRowHeight="12.75"/>
  <cols>
    <col min="1" max="1" width="8.140625" style="0" customWidth="1"/>
    <col min="3" max="3" width="34.57421875" style="0" customWidth="1"/>
    <col min="4" max="11" width="0" style="0" hidden="1" customWidth="1"/>
    <col min="12" max="12" width="11.28125" style="0" hidden="1" customWidth="1"/>
    <col min="13" max="13" width="13.421875" style="587" customWidth="1"/>
    <col min="14" max="14" width="13.421875" style="0" customWidth="1"/>
    <col min="15" max="16" width="11.00390625" style="0" customWidth="1"/>
  </cols>
  <sheetData>
    <row r="1" spans="1:14" ht="12.75">
      <c r="A1" s="757" t="s">
        <v>17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</row>
    <row r="2" spans="1:14" ht="13.5" thickBot="1">
      <c r="A2" s="653" t="s">
        <v>18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</row>
    <row r="3" spans="1:16" ht="19.5" customHeight="1" thickBot="1" thickTop="1">
      <c r="A3" s="679" t="s">
        <v>198</v>
      </c>
      <c r="B3" s="681" t="s">
        <v>199</v>
      </c>
      <c r="C3" s="677" t="s">
        <v>200</v>
      </c>
      <c r="D3" s="677" t="s">
        <v>297</v>
      </c>
      <c r="E3" s="677" t="s">
        <v>298</v>
      </c>
      <c r="F3" s="677" t="s">
        <v>299</v>
      </c>
      <c r="G3" s="677" t="s">
        <v>300</v>
      </c>
      <c r="H3" s="677" t="s">
        <v>301</v>
      </c>
      <c r="I3" s="677" t="s">
        <v>206</v>
      </c>
      <c r="J3" s="677" t="s">
        <v>207</v>
      </c>
      <c r="K3" s="677" t="s">
        <v>208</v>
      </c>
      <c r="L3" s="677" t="s">
        <v>209</v>
      </c>
      <c r="M3" s="701" t="s">
        <v>434</v>
      </c>
      <c r="N3" s="677" t="s">
        <v>413</v>
      </c>
      <c r="O3" s="533" t="s">
        <v>445</v>
      </c>
      <c r="P3" s="671" t="s">
        <v>412</v>
      </c>
    </row>
    <row r="4" spans="1:16" ht="19.5" customHeight="1" thickBot="1">
      <c r="A4" s="680"/>
      <c r="B4" s="682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702"/>
      <c r="N4" s="678"/>
      <c r="O4" s="531" t="s">
        <v>210</v>
      </c>
      <c r="P4" s="672"/>
    </row>
    <row r="5" spans="1:16" ht="17.25" thickBot="1" thickTop="1">
      <c r="A5" s="104">
        <v>200</v>
      </c>
      <c r="B5" s="697" t="s">
        <v>228</v>
      </c>
      <c r="C5" s="698"/>
      <c r="D5" s="105">
        <f>D6</f>
        <v>355009</v>
      </c>
      <c r="E5" s="105">
        <f>E6</f>
        <v>311359</v>
      </c>
      <c r="F5" s="105">
        <f>F6</f>
        <v>955255</v>
      </c>
      <c r="G5" s="105">
        <f>G6</f>
        <v>1090339</v>
      </c>
      <c r="H5" s="105">
        <f>H6</f>
        <v>496614</v>
      </c>
      <c r="I5" s="105">
        <f aca="true" t="shared" si="0" ref="I5:P5">I6</f>
        <v>174771</v>
      </c>
      <c r="J5" s="105">
        <f t="shared" si="0"/>
        <v>74221</v>
      </c>
      <c r="K5" s="105">
        <f t="shared" si="0"/>
        <v>98051</v>
      </c>
      <c r="L5" s="105">
        <f t="shared" si="0"/>
        <v>223532.5</v>
      </c>
      <c r="M5" s="631">
        <f t="shared" si="0"/>
        <v>61991.15</v>
      </c>
      <c r="N5" s="105">
        <f t="shared" si="0"/>
        <v>71501</v>
      </c>
      <c r="O5" s="105">
        <f t="shared" si="0"/>
        <v>56121</v>
      </c>
      <c r="P5" s="106">
        <f t="shared" si="0"/>
        <v>127622</v>
      </c>
    </row>
    <row r="6" spans="1:16" ht="15.75" thickBot="1">
      <c r="A6" s="107">
        <v>230</v>
      </c>
      <c r="B6" s="669" t="s">
        <v>302</v>
      </c>
      <c r="C6" s="686"/>
      <c r="D6" s="108">
        <f aca="true" t="shared" si="1" ref="D6:N6">D7+D11</f>
        <v>355009</v>
      </c>
      <c r="E6" s="108">
        <f t="shared" si="1"/>
        <v>311359</v>
      </c>
      <c r="F6" s="108">
        <f t="shared" si="1"/>
        <v>955255</v>
      </c>
      <c r="G6" s="108">
        <f t="shared" si="1"/>
        <v>1090339</v>
      </c>
      <c r="H6" s="108">
        <f t="shared" si="1"/>
        <v>496614</v>
      </c>
      <c r="I6" s="108">
        <f t="shared" si="1"/>
        <v>174771</v>
      </c>
      <c r="J6" s="108">
        <f t="shared" si="1"/>
        <v>74221</v>
      </c>
      <c r="K6" s="108">
        <f t="shared" si="1"/>
        <v>98051</v>
      </c>
      <c r="L6" s="108">
        <f>L7+L11</f>
        <v>223532.5</v>
      </c>
      <c r="M6" s="617">
        <f t="shared" si="1"/>
        <v>61991.15</v>
      </c>
      <c r="N6" s="66">
        <f t="shared" si="1"/>
        <v>71501</v>
      </c>
      <c r="O6" s="66">
        <f>O7+O11</f>
        <v>56121</v>
      </c>
      <c r="P6" s="67">
        <f>P7+P11</f>
        <v>127622</v>
      </c>
    </row>
    <row r="7" spans="1:16" ht="13.5" thickBot="1">
      <c r="A7" s="658"/>
      <c r="B7" s="109">
        <v>231</v>
      </c>
      <c r="C7" s="61" t="s">
        <v>303</v>
      </c>
      <c r="D7" s="99">
        <f aca="true" t="shared" si="2" ref="D7:N7">SUM(D8:D10)</f>
        <v>351125</v>
      </c>
      <c r="E7" s="99">
        <f t="shared" si="2"/>
        <v>106121</v>
      </c>
      <c r="F7" s="99">
        <f t="shared" si="2"/>
        <v>227246</v>
      </c>
      <c r="G7" s="99">
        <f t="shared" si="2"/>
        <v>45397</v>
      </c>
      <c r="H7" s="99">
        <f t="shared" si="2"/>
        <v>103200</v>
      </c>
      <c r="I7" s="99">
        <f t="shared" si="2"/>
        <v>85320</v>
      </c>
      <c r="J7" s="99">
        <f t="shared" si="2"/>
        <v>21933</v>
      </c>
      <c r="K7" s="99">
        <f t="shared" si="2"/>
        <v>32153</v>
      </c>
      <c r="L7" s="99">
        <f>SUM(L8:L10)</f>
        <v>84811.72</v>
      </c>
      <c r="M7" s="142">
        <f t="shared" si="2"/>
        <v>23898.96</v>
      </c>
      <c r="N7" s="63">
        <f t="shared" si="2"/>
        <v>71501</v>
      </c>
      <c r="O7" s="63">
        <f>SUM(O8:O10)</f>
        <v>51900</v>
      </c>
      <c r="P7" s="64">
        <f>SUM(P8:P10)</f>
        <v>123401</v>
      </c>
    </row>
    <row r="8" spans="1:19" ht="12.75">
      <c r="A8" s="661"/>
      <c r="B8" s="663"/>
      <c r="C8" s="110" t="s">
        <v>304</v>
      </c>
      <c r="D8" s="111">
        <v>192923</v>
      </c>
      <c r="E8" s="111">
        <v>101839</v>
      </c>
      <c r="F8" s="111">
        <v>227246</v>
      </c>
      <c r="G8" s="111">
        <v>45397</v>
      </c>
      <c r="H8" s="111">
        <v>103200</v>
      </c>
      <c r="I8" s="88">
        <v>85320</v>
      </c>
      <c r="J8" s="20">
        <v>21933</v>
      </c>
      <c r="K8" s="21">
        <v>23657</v>
      </c>
      <c r="L8" s="21">
        <v>83346.52</v>
      </c>
      <c r="M8" s="119">
        <v>19336.16</v>
      </c>
      <c r="N8" s="56">
        <v>71501</v>
      </c>
      <c r="O8" s="56">
        <v>45000</v>
      </c>
      <c r="P8" s="22">
        <f>N8+O8</f>
        <v>116501</v>
      </c>
      <c r="S8" s="1"/>
    </row>
    <row r="9" spans="1:16" ht="12.75">
      <c r="A9" s="661"/>
      <c r="B9" s="664"/>
      <c r="C9" s="42" t="s">
        <v>305</v>
      </c>
      <c r="D9" s="112"/>
      <c r="E9" s="112"/>
      <c r="F9" s="112"/>
      <c r="G9" s="112"/>
      <c r="H9" s="112"/>
      <c r="I9" s="113"/>
      <c r="J9" s="114"/>
      <c r="K9" s="69"/>
      <c r="L9" s="115"/>
      <c r="M9" s="206">
        <v>4562.8</v>
      </c>
      <c r="N9" s="56"/>
      <c r="O9" s="56"/>
      <c r="P9" s="22">
        <f>N9+O9</f>
        <v>0</v>
      </c>
    </row>
    <row r="10" spans="1:16" ht="13.5" thickBot="1">
      <c r="A10" s="661"/>
      <c r="B10" s="665"/>
      <c r="C10" s="116" t="s">
        <v>306</v>
      </c>
      <c r="D10" s="58">
        <v>158202</v>
      </c>
      <c r="E10" s="58">
        <v>4282</v>
      </c>
      <c r="F10" s="58">
        <v>0</v>
      </c>
      <c r="G10" s="58"/>
      <c r="H10" s="58"/>
      <c r="I10" s="58"/>
      <c r="J10" s="58"/>
      <c r="K10" s="47">
        <v>8496</v>
      </c>
      <c r="L10" s="21">
        <v>1465.2</v>
      </c>
      <c r="M10" s="117"/>
      <c r="N10" s="56"/>
      <c r="O10" s="56">
        <v>6900</v>
      </c>
      <c r="P10" s="22">
        <f>N10+O10</f>
        <v>6900</v>
      </c>
    </row>
    <row r="11" spans="1:16" ht="13.5" thickBot="1">
      <c r="A11" s="661"/>
      <c r="B11" s="118">
        <v>233</v>
      </c>
      <c r="C11" s="60" t="s">
        <v>307</v>
      </c>
      <c r="D11" s="99">
        <f aca="true" t="shared" si="3" ref="D11:N11">SUM(D12:D16)</f>
        <v>3884</v>
      </c>
      <c r="E11" s="99">
        <f t="shared" si="3"/>
        <v>205238</v>
      </c>
      <c r="F11" s="99">
        <f t="shared" si="3"/>
        <v>728009</v>
      </c>
      <c r="G11" s="99">
        <f t="shared" si="3"/>
        <v>1044942</v>
      </c>
      <c r="H11" s="99">
        <f t="shared" si="3"/>
        <v>393414</v>
      </c>
      <c r="I11" s="99">
        <f t="shared" si="3"/>
        <v>89451</v>
      </c>
      <c r="J11" s="99">
        <f t="shared" si="3"/>
        <v>52288</v>
      </c>
      <c r="K11" s="99">
        <f t="shared" si="3"/>
        <v>65898</v>
      </c>
      <c r="L11" s="99">
        <f t="shared" si="3"/>
        <v>138720.78</v>
      </c>
      <c r="M11" s="142">
        <f t="shared" si="3"/>
        <v>38092.19</v>
      </c>
      <c r="N11" s="63">
        <f t="shared" si="3"/>
        <v>0</v>
      </c>
      <c r="O11" s="63">
        <f>SUM(O12:O16)</f>
        <v>4221</v>
      </c>
      <c r="P11" s="64">
        <f>P12</f>
        <v>4221</v>
      </c>
    </row>
    <row r="12" spans="1:16" ht="13.5" thickBot="1">
      <c r="A12" s="661"/>
      <c r="B12" s="663"/>
      <c r="C12" s="40" t="s">
        <v>308</v>
      </c>
      <c r="D12" s="55">
        <v>3884</v>
      </c>
      <c r="E12" s="55">
        <v>205238</v>
      </c>
      <c r="F12" s="55">
        <v>728009</v>
      </c>
      <c r="G12" s="55">
        <v>98695</v>
      </c>
      <c r="H12" s="55">
        <v>393414</v>
      </c>
      <c r="I12" s="55">
        <v>89451</v>
      </c>
      <c r="J12" s="21">
        <v>52288</v>
      </c>
      <c r="K12" s="21">
        <v>65898</v>
      </c>
      <c r="L12" s="21">
        <v>138720.78</v>
      </c>
      <c r="M12" s="119">
        <v>38092.19</v>
      </c>
      <c r="N12" s="56"/>
      <c r="O12" s="56">
        <v>4221</v>
      </c>
      <c r="P12" s="22">
        <f>N12+O12</f>
        <v>4221</v>
      </c>
    </row>
    <row r="13" spans="1:16" ht="13.5" hidden="1" thickBot="1">
      <c r="A13" s="661"/>
      <c r="B13" s="664"/>
      <c r="C13" s="120" t="s">
        <v>309</v>
      </c>
      <c r="D13" s="121"/>
      <c r="E13" s="121"/>
      <c r="F13" s="121"/>
      <c r="G13" s="121"/>
      <c r="H13" s="121"/>
      <c r="I13" s="121"/>
      <c r="J13" s="121"/>
      <c r="K13" s="97"/>
      <c r="L13" s="122"/>
      <c r="M13" s="632"/>
      <c r="N13" s="185"/>
      <c r="O13" s="185"/>
      <c r="P13" s="123"/>
    </row>
    <row r="14" spans="1:16" ht="13.5" hidden="1" thickBot="1">
      <c r="A14" s="661"/>
      <c r="B14" s="664"/>
      <c r="C14" s="120" t="s">
        <v>310</v>
      </c>
      <c r="D14" s="121"/>
      <c r="E14" s="121"/>
      <c r="F14" s="121"/>
      <c r="G14" s="121"/>
      <c r="H14" s="121"/>
      <c r="I14" s="121"/>
      <c r="J14" s="121"/>
      <c r="K14" s="97"/>
      <c r="L14" s="119"/>
      <c r="M14" s="632"/>
      <c r="N14" s="185"/>
      <c r="O14" s="185"/>
      <c r="P14" s="123"/>
    </row>
    <row r="15" spans="1:16" ht="13.5" hidden="1" thickBot="1">
      <c r="A15" s="661"/>
      <c r="B15" s="664"/>
      <c r="C15" s="120" t="s">
        <v>311</v>
      </c>
      <c r="D15" s="121"/>
      <c r="E15" s="121"/>
      <c r="F15" s="121"/>
      <c r="G15" s="121"/>
      <c r="H15" s="121"/>
      <c r="I15" s="121"/>
      <c r="J15" s="121"/>
      <c r="K15" s="97"/>
      <c r="L15" s="122"/>
      <c r="M15" s="632"/>
      <c r="N15" s="185"/>
      <c r="O15" s="185"/>
      <c r="P15" s="123"/>
    </row>
    <row r="16" spans="1:16" ht="13.5" hidden="1" thickBot="1">
      <c r="A16" s="661"/>
      <c r="B16" s="665"/>
      <c r="C16" s="124" t="s">
        <v>312</v>
      </c>
      <c r="D16" s="58"/>
      <c r="E16" s="58"/>
      <c r="F16" s="58"/>
      <c r="G16" s="58">
        <v>946247</v>
      </c>
      <c r="H16" s="58"/>
      <c r="I16" s="58"/>
      <c r="J16" s="58"/>
      <c r="K16" s="47"/>
      <c r="L16" s="69"/>
      <c r="M16" s="117"/>
      <c r="N16" s="56"/>
      <c r="O16" s="56"/>
      <c r="P16" s="22"/>
    </row>
    <row r="17" spans="1:16" ht="16.5" thickBot="1">
      <c r="A17" s="125">
        <v>300</v>
      </c>
      <c r="B17" s="699" t="s">
        <v>261</v>
      </c>
      <c r="C17" s="756"/>
      <c r="D17" s="126">
        <f>D18+D44</f>
        <v>1758083</v>
      </c>
      <c r="E17" s="126">
        <f>E18+E44</f>
        <v>706599</v>
      </c>
      <c r="F17" s="126">
        <f>F18+F44</f>
        <v>290114</v>
      </c>
      <c r="G17" s="126">
        <f>G18+G44</f>
        <v>3301074</v>
      </c>
      <c r="H17" s="126">
        <v>2959527</v>
      </c>
      <c r="I17" s="126">
        <f aca="true" t="shared" si="4" ref="I17:N17">I18+I44</f>
        <v>4474942</v>
      </c>
      <c r="J17" s="126">
        <f t="shared" si="4"/>
        <v>4428553.06</v>
      </c>
      <c r="K17" s="126">
        <f t="shared" si="4"/>
        <v>3580446</v>
      </c>
      <c r="L17" s="126">
        <f>L18+L44</f>
        <v>994806.09</v>
      </c>
      <c r="M17" s="633">
        <f t="shared" si="4"/>
        <v>690306.37</v>
      </c>
      <c r="N17" s="468">
        <f t="shared" si="4"/>
        <v>359000</v>
      </c>
      <c r="O17" s="468">
        <f>O18+O44</f>
        <v>0</v>
      </c>
      <c r="P17" s="127">
        <f>P18+P44</f>
        <v>359000</v>
      </c>
    </row>
    <row r="18" spans="1:16" ht="15.75" thickBot="1">
      <c r="A18" s="107">
        <v>320</v>
      </c>
      <c r="B18" s="669" t="s">
        <v>313</v>
      </c>
      <c r="C18" s="686"/>
      <c r="D18" s="128">
        <f>D19</f>
        <v>1758083</v>
      </c>
      <c r="E18" s="128">
        <f>E19</f>
        <v>706599</v>
      </c>
      <c r="F18" s="128">
        <f>F19</f>
        <v>290114</v>
      </c>
      <c r="G18" s="128">
        <f>G19</f>
        <v>3301074</v>
      </c>
      <c r="H18" s="128">
        <v>2959527</v>
      </c>
      <c r="I18" s="128">
        <f aca="true" t="shared" si="5" ref="I18:P18">I19</f>
        <v>4417142</v>
      </c>
      <c r="J18" s="128">
        <f t="shared" si="5"/>
        <v>4408068.06</v>
      </c>
      <c r="K18" s="128">
        <f t="shared" si="5"/>
        <v>3580446</v>
      </c>
      <c r="L18" s="128">
        <f t="shared" si="5"/>
        <v>994806.09</v>
      </c>
      <c r="M18" s="634">
        <f t="shared" si="5"/>
        <v>690306.37</v>
      </c>
      <c r="N18" s="469">
        <f t="shared" si="5"/>
        <v>359000</v>
      </c>
      <c r="O18" s="469">
        <f t="shared" si="5"/>
        <v>0</v>
      </c>
      <c r="P18" s="129">
        <f t="shared" si="5"/>
        <v>359000</v>
      </c>
    </row>
    <row r="19" spans="1:16" ht="13.5" customHeight="1" thickBot="1">
      <c r="A19" s="753"/>
      <c r="B19" s="118">
        <v>321</v>
      </c>
      <c r="C19" s="60" t="s">
        <v>263</v>
      </c>
      <c r="D19" s="61">
        <v>1758083</v>
      </c>
      <c r="E19" s="61">
        <v>706599</v>
      </c>
      <c r="F19" s="61">
        <v>290114</v>
      </c>
      <c r="G19" s="61">
        <v>3301074</v>
      </c>
      <c r="H19" s="61">
        <v>2959527</v>
      </c>
      <c r="I19" s="130">
        <v>4417142</v>
      </c>
      <c r="J19" s="130">
        <v>4408068.06</v>
      </c>
      <c r="K19" s="130">
        <v>3580446</v>
      </c>
      <c r="L19" s="130">
        <v>994806.09</v>
      </c>
      <c r="M19" s="635">
        <f>SUM(M20:M43)</f>
        <v>690306.37</v>
      </c>
      <c r="N19" s="36">
        <f>SUM(N20:N43)</f>
        <v>359000</v>
      </c>
      <c r="O19" s="36">
        <f>SUM(O20:O43)</f>
        <v>0</v>
      </c>
      <c r="P19" s="37">
        <f>SUM(P20:P43)</f>
        <v>359000</v>
      </c>
    </row>
    <row r="20" spans="1:16" ht="12.75" customHeight="1">
      <c r="A20" s="754"/>
      <c r="B20" s="752"/>
      <c r="C20" s="131" t="s">
        <v>314</v>
      </c>
      <c r="D20" s="88"/>
      <c r="E20" s="88"/>
      <c r="F20" s="88"/>
      <c r="G20" s="88"/>
      <c r="H20" s="88"/>
      <c r="I20" s="88"/>
      <c r="J20" s="88"/>
      <c r="K20" s="20"/>
      <c r="L20" s="132"/>
      <c r="M20" s="132">
        <v>66064.15</v>
      </c>
      <c r="N20" s="56"/>
      <c r="O20" s="56"/>
      <c r="P20" s="22">
        <f aca="true" t="shared" si="6" ref="P20:P40">N20+O20</f>
        <v>0</v>
      </c>
    </row>
    <row r="21" spans="1:16" ht="12.75" customHeight="1">
      <c r="A21" s="754"/>
      <c r="B21" s="752"/>
      <c r="C21" s="19" t="s">
        <v>292</v>
      </c>
      <c r="D21" s="88"/>
      <c r="E21" s="88"/>
      <c r="F21" s="88"/>
      <c r="G21" s="88"/>
      <c r="H21" s="88"/>
      <c r="I21" s="88"/>
      <c r="J21" s="88"/>
      <c r="K21" s="20"/>
      <c r="L21" s="132"/>
      <c r="M21" s="132">
        <v>58454.17</v>
      </c>
      <c r="N21" s="56"/>
      <c r="O21" s="56"/>
      <c r="P21" s="22">
        <f t="shared" si="6"/>
        <v>0</v>
      </c>
    </row>
    <row r="22" spans="1:16" ht="12.75" customHeight="1">
      <c r="A22" s="754"/>
      <c r="B22" s="752"/>
      <c r="C22" s="19" t="s">
        <v>315</v>
      </c>
      <c r="D22" s="55"/>
      <c r="E22" s="55"/>
      <c r="F22" s="55"/>
      <c r="G22" s="55"/>
      <c r="H22" s="55"/>
      <c r="I22" s="55"/>
      <c r="J22" s="55"/>
      <c r="K22" s="20"/>
      <c r="L22" s="132"/>
      <c r="M22" s="132"/>
      <c r="N22" s="56"/>
      <c r="O22" s="56"/>
      <c r="P22" s="22">
        <f t="shared" si="6"/>
        <v>0</v>
      </c>
    </row>
    <row r="23" spans="1:16" ht="12.75" customHeight="1">
      <c r="A23" s="754"/>
      <c r="B23" s="752"/>
      <c r="C23" s="19" t="s">
        <v>316</v>
      </c>
      <c r="D23" s="19"/>
      <c r="E23" s="19"/>
      <c r="F23" s="19"/>
      <c r="G23" s="19"/>
      <c r="H23" s="19">
        <v>341897</v>
      </c>
      <c r="I23" s="89">
        <v>341897</v>
      </c>
      <c r="J23" s="89">
        <v>344900</v>
      </c>
      <c r="K23" s="24">
        <v>341900</v>
      </c>
      <c r="L23" s="21">
        <v>341900</v>
      </c>
      <c r="M23" s="132">
        <v>340000</v>
      </c>
      <c r="N23" s="56">
        <v>340000</v>
      </c>
      <c r="O23" s="56"/>
      <c r="P23" s="22">
        <f t="shared" si="6"/>
        <v>340000</v>
      </c>
    </row>
    <row r="24" spans="1:16" ht="12.75" customHeight="1">
      <c r="A24" s="754"/>
      <c r="B24" s="752"/>
      <c r="C24" s="42" t="s">
        <v>317</v>
      </c>
      <c r="D24" s="57"/>
      <c r="E24" s="57"/>
      <c r="F24" s="57"/>
      <c r="G24" s="57"/>
      <c r="H24" s="57"/>
      <c r="I24" s="57"/>
      <c r="J24" s="57"/>
      <c r="K24" s="24"/>
      <c r="L24" s="21">
        <v>68448.02</v>
      </c>
      <c r="M24" s="132">
        <v>6610.12</v>
      </c>
      <c r="N24" s="56"/>
      <c r="O24" s="56"/>
      <c r="P24" s="22">
        <f t="shared" si="6"/>
        <v>0</v>
      </c>
    </row>
    <row r="25" spans="1:16" ht="12.75" customHeight="1">
      <c r="A25" s="754"/>
      <c r="B25" s="752"/>
      <c r="C25" s="42" t="s">
        <v>318</v>
      </c>
      <c r="D25" s="57"/>
      <c r="E25" s="57"/>
      <c r="F25" s="57"/>
      <c r="G25" s="57"/>
      <c r="H25" s="57"/>
      <c r="I25" s="57"/>
      <c r="J25" s="57"/>
      <c r="K25" s="24"/>
      <c r="L25" s="132"/>
      <c r="M25" s="132">
        <v>9000</v>
      </c>
      <c r="N25" s="56"/>
      <c r="O25" s="56"/>
      <c r="P25" s="22">
        <f t="shared" si="6"/>
        <v>0</v>
      </c>
    </row>
    <row r="26" spans="1:16" ht="12.75" customHeight="1">
      <c r="A26" s="754"/>
      <c r="B26" s="752"/>
      <c r="C26" s="133" t="s">
        <v>363</v>
      </c>
      <c r="D26" s="134"/>
      <c r="E26" s="134"/>
      <c r="F26" s="134"/>
      <c r="G26" s="134"/>
      <c r="H26" s="134"/>
      <c r="I26" s="57"/>
      <c r="J26" s="57"/>
      <c r="K26" s="24"/>
      <c r="L26" s="132"/>
      <c r="M26" s="132"/>
      <c r="N26" s="56"/>
      <c r="O26" s="56"/>
      <c r="P26" s="22">
        <f t="shared" si="6"/>
        <v>0</v>
      </c>
    </row>
    <row r="27" spans="1:16" ht="12.75" customHeight="1">
      <c r="A27" s="754"/>
      <c r="B27" s="752"/>
      <c r="C27" s="42" t="s">
        <v>177</v>
      </c>
      <c r="D27" s="57"/>
      <c r="E27" s="57"/>
      <c r="F27" s="57"/>
      <c r="G27" s="57"/>
      <c r="H27" s="57"/>
      <c r="I27" s="57"/>
      <c r="J27" s="57"/>
      <c r="K27" s="24"/>
      <c r="L27" s="135"/>
      <c r="M27" s="135"/>
      <c r="N27" s="43"/>
      <c r="O27" s="43"/>
      <c r="P27" s="26">
        <f t="shared" si="6"/>
        <v>0</v>
      </c>
    </row>
    <row r="28" spans="1:16" ht="15" customHeight="1">
      <c r="A28" s="754"/>
      <c r="B28" s="752"/>
      <c r="C28" s="42" t="s">
        <v>173</v>
      </c>
      <c r="D28" s="57"/>
      <c r="E28" s="57"/>
      <c r="F28" s="57"/>
      <c r="G28" s="57"/>
      <c r="H28" s="57"/>
      <c r="I28" s="57"/>
      <c r="J28" s="57"/>
      <c r="K28" s="24"/>
      <c r="L28" s="135"/>
      <c r="M28" s="135">
        <v>65980.73</v>
      </c>
      <c r="N28" s="43"/>
      <c r="O28" s="43"/>
      <c r="P28" s="26">
        <f t="shared" si="6"/>
        <v>0</v>
      </c>
    </row>
    <row r="29" spans="1:16" ht="15" customHeight="1">
      <c r="A29" s="754"/>
      <c r="B29" s="752"/>
      <c r="C29" s="42" t="s">
        <v>289</v>
      </c>
      <c r="D29" s="57"/>
      <c r="E29" s="57"/>
      <c r="F29" s="57"/>
      <c r="G29" s="57"/>
      <c r="H29" s="57"/>
      <c r="I29" s="57"/>
      <c r="J29" s="57"/>
      <c r="K29" s="24"/>
      <c r="L29" s="135"/>
      <c r="M29" s="135">
        <v>8142.7</v>
      </c>
      <c r="N29" s="43"/>
      <c r="O29" s="43"/>
      <c r="P29" s="26">
        <f t="shared" si="6"/>
        <v>0</v>
      </c>
    </row>
    <row r="30" spans="1:16" ht="15" customHeight="1">
      <c r="A30" s="754"/>
      <c r="B30" s="752"/>
      <c r="C30" s="42" t="s">
        <v>414</v>
      </c>
      <c r="D30" s="57"/>
      <c r="E30" s="57"/>
      <c r="F30" s="57"/>
      <c r="G30" s="57"/>
      <c r="H30" s="57"/>
      <c r="I30" s="57"/>
      <c r="J30" s="57"/>
      <c r="K30" s="24"/>
      <c r="L30" s="135"/>
      <c r="M30" s="135"/>
      <c r="N30" s="43">
        <v>4000</v>
      </c>
      <c r="O30" s="43"/>
      <c r="P30" s="26">
        <f t="shared" si="6"/>
        <v>4000</v>
      </c>
    </row>
    <row r="31" spans="1:16" ht="15" customHeight="1">
      <c r="A31" s="754"/>
      <c r="B31" s="752"/>
      <c r="C31" s="71" t="s">
        <v>429</v>
      </c>
      <c r="D31" s="65"/>
      <c r="E31" s="65"/>
      <c r="F31" s="65"/>
      <c r="G31" s="65"/>
      <c r="H31" s="65"/>
      <c r="I31" s="57"/>
      <c r="J31" s="57"/>
      <c r="K31" s="24"/>
      <c r="L31" s="135"/>
      <c r="M31" s="135"/>
      <c r="N31" s="43">
        <v>15000</v>
      </c>
      <c r="O31" s="115"/>
      <c r="P31" s="26">
        <f t="shared" si="6"/>
        <v>15000</v>
      </c>
    </row>
    <row r="32" spans="1:16" ht="15" customHeight="1" hidden="1">
      <c r="A32" s="754"/>
      <c r="B32" s="752"/>
      <c r="C32" s="71" t="s">
        <v>321</v>
      </c>
      <c r="D32" s="55"/>
      <c r="E32" s="55"/>
      <c r="F32" s="55"/>
      <c r="G32" s="55"/>
      <c r="H32" s="55"/>
      <c r="I32" s="57"/>
      <c r="J32" s="57"/>
      <c r="K32" s="24"/>
      <c r="L32" s="135"/>
      <c r="M32" s="135"/>
      <c r="N32" s="115"/>
      <c r="O32" s="115"/>
      <c r="P32" s="136">
        <f t="shared" si="6"/>
        <v>0</v>
      </c>
    </row>
    <row r="33" spans="1:16" ht="15" customHeight="1" hidden="1">
      <c r="A33" s="754"/>
      <c r="B33" s="752"/>
      <c r="C33" s="71" t="s">
        <v>322</v>
      </c>
      <c r="D33" s="57"/>
      <c r="E33" s="57"/>
      <c r="F33" s="57"/>
      <c r="G33" s="57"/>
      <c r="H33" s="57"/>
      <c r="I33" s="57"/>
      <c r="J33" s="57"/>
      <c r="K33" s="24">
        <v>0</v>
      </c>
      <c r="L33" s="135"/>
      <c r="M33" s="135"/>
      <c r="N33" s="115"/>
      <c r="O33" s="115"/>
      <c r="P33" s="136">
        <f t="shared" si="6"/>
        <v>0</v>
      </c>
    </row>
    <row r="34" spans="1:16" ht="15" customHeight="1" hidden="1">
      <c r="A34" s="754"/>
      <c r="B34" s="752"/>
      <c r="C34" s="71" t="s">
        <v>43</v>
      </c>
      <c r="D34" s="57"/>
      <c r="E34" s="57"/>
      <c r="F34" s="57"/>
      <c r="G34" s="57"/>
      <c r="H34" s="57"/>
      <c r="I34" s="57"/>
      <c r="J34" s="57"/>
      <c r="K34" s="24">
        <v>0</v>
      </c>
      <c r="L34" s="135"/>
      <c r="M34" s="135"/>
      <c r="N34" s="115"/>
      <c r="O34" s="115"/>
      <c r="P34" s="136">
        <f t="shared" si="6"/>
        <v>0</v>
      </c>
    </row>
    <row r="35" spans="1:16" ht="15" customHeight="1" hidden="1">
      <c r="A35" s="754"/>
      <c r="B35" s="752"/>
      <c r="C35" s="71" t="s">
        <v>44</v>
      </c>
      <c r="D35" s="57"/>
      <c r="E35" s="57"/>
      <c r="F35" s="57"/>
      <c r="G35" s="57"/>
      <c r="H35" s="57"/>
      <c r="I35" s="57"/>
      <c r="J35" s="57"/>
      <c r="K35" s="24"/>
      <c r="L35" s="135"/>
      <c r="M35" s="135"/>
      <c r="N35" s="115"/>
      <c r="O35" s="115"/>
      <c r="P35" s="136">
        <f t="shared" si="6"/>
        <v>0</v>
      </c>
    </row>
    <row r="36" spans="1:16" ht="15" customHeight="1" hidden="1">
      <c r="A36" s="754"/>
      <c r="B36" s="752"/>
      <c r="C36" s="42" t="s">
        <v>45</v>
      </c>
      <c r="D36" s="57"/>
      <c r="E36" s="57"/>
      <c r="F36" s="57"/>
      <c r="G36" s="57"/>
      <c r="H36" s="57"/>
      <c r="I36" s="57"/>
      <c r="J36" s="57"/>
      <c r="K36" s="24"/>
      <c r="L36" s="135"/>
      <c r="M36" s="135"/>
      <c r="N36" s="115"/>
      <c r="O36" s="115"/>
      <c r="P36" s="136">
        <f t="shared" si="6"/>
        <v>0</v>
      </c>
    </row>
    <row r="37" spans="1:16" ht="15" customHeight="1" hidden="1">
      <c r="A37" s="754"/>
      <c r="B37" s="752"/>
      <c r="C37" s="42" t="s">
        <v>46</v>
      </c>
      <c r="D37" s="57"/>
      <c r="E37" s="57"/>
      <c r="F37" s="57"/>
      <c r="G37" s="57"/>
      <c r="H37" s="57"/>
      <c r="I37" s="57"/>
      <c r="J37" s="57"/>
      <c r="K37" s="24"/>
      <c r="L37" s="135"/>
      <c r="M37" s="135"/>
      <c r="N37" s="115"/>
      <c r="O37" s="115"/>
      <c r="P37" s="136">
        <f t="shared" si="6"/>
        <v>0</v>
      </c>
    </row>
    <row r="38" spans="1:16" ht="15" customHeight="1" hidden="1">
      <c r="A38" s="754"/>
      <c r="B38" s="752"/>
      <c r="C38" s="42" t="s">
        <v>47</v>
      </c>
      <c r="D38" s="57"/>
      <c r="E38" s="57"/>
      <c r="F38" s="57"/>
      <c r="G38" s="57"/>
      <c r="H38" s="57"/>
      <c r="I38" s="57"/>
      <c r="J38" s="57"/>
      <c r="K38" s="24"/>
      <c r="L38" s="135"/>
      <c r="M38" s="135"/>
      <c r="N38" s="115"/>
      <c r="O38" s="115"/>
      <c r="P38" s="136">
        <f t="shared" si="6"/>
        <v>0</v>
      </c>
    </row>
    <row r="39" spans="1:16" ht="15" customHeight="1" hidden="1">
      <c r="A39" s="754"/>
      <c r="B39" s="752"/>
      <c r="C39" s="42" t="s">
        <v>48</v>
      </c>
      <c r="D39" s="57"/>
      <c r="E39" s="57"/>
      <c r="F39" s="57"/>
      <c r="G39" s="57"/>
      <c r="H39" s="57"/>
      <c r="I39" s="57"/>
      <c r="J39" s="57"/>
      <c r="K39" s="24"/>
      <c r="L39" s="135"/>
      <c r="M39" s="135"/>
      <c r="N39" s="115"/>
      <c r="O39" s="115"/>
      <c r="P39" s="136">
        <f t="shared" si="6"/>
        <v>0</v>
      </c>
    </row>
    <row r="40" spans="1:16" ht="15" customHeight="1" thickBot="1">
      <c r="A40" s="754"/>
      <c r="B40" s="752"/>
      <c r="C40" s="42" t="s">
        <v>49</v>
      </c>
      <c r="D40" s="57"/>
      <c r="E40" s="57"/>
      <c r="F40" s="57"/>
      <c r="G40" s="57"/>
      <c r="H40" s="57"/>
      <c r="I40" s="57"/>
      <c r="J40" s="57"/>
      <c r="K40" s="24"/>
      <c r="L40" s="135"/>
      <c r="M40" s="135">
        <v>136054.5</v>
      </c>
      <c r="N40" s="43"/>
      <c r="O40" s="43"/>
      <c r="P40" s="26">
        <f t="shared" si="6"/>
        <v>0</v>
      </c>
    </row>
    <row r="41" spans="1:16" ht="15" customHeight="1" hidden="1">
      <c r="A41" s="754"/>
      <c r="B41" s="752"/>
      <c r="C41" s="42" t="s">
        <v>50</v>
      </c>
      <c r="D41" s="57"/>
      <c r="E41" s="57"/>
      <c r="F41" s="57"/>
      <c r="G41" s="57"/>
      <c r="H41" s="57"/>
      <c r="I41" s="57"/>
      <c r="J41" s="57"/>
      <c r="K41" s="24"/>
      <c r="L41" s="135"/>
      <c r="M41" s="135"/>
      <c r="N41" s="43"/>
      <c r="O41" s="43"/>
      <c r="P41" s="26"/>
    </row>
    <row r="42" spans="1:16" ht="15" customHeight="1" hidden="1">
      <c r="A42" s="754"/>
      <c r="B42" s="752"/>
      <c r="C42" s="42" t="s">
        <v>51</v>
      </c>
      <c r="D42" s="57"/>
      <c r="E42" s="57"/>
      <c r="F42" s="57"/>
      <c r="G42" s="57"/>
      <c r="H42" s="57"/>
      <c r="I42" s="57"/>
      <c r="J42" s="57"/>
      <c r="K42" s="24"/>
      <c r="L42" s="135"/>
      <c r="M42" s="135"/>
      <c r="N42" s="43"/>
      <c r="O42" s="43"/>
      <c r="P42" s="26"/>
    </row>
    <row r="43" spans="1:16" ht="15.75" customHeight="1" hidden="1" thickBot="1">
      <c r="A43" s="755"/>
      <c r="B43" s="752"/>
      <c r="C43" s="42" t="s">
        <v>52</v>
      </c>
      <c r="D43" s="57"/>
      <c r="E43" s="57"/>
      <c r="F43" s="57"/>
      <c r="G43" s="57"/>
      <c r="H43" s="57"/>
      <c r="I43" s="57"/>
      <c r="J43" s="57"/>
      <c r="K43" s="24"/>
      <c r="L43" s="135"/>
      <c r="M43" s="135"/>
      <c r="N43" s="115"/>
      <c r="O43" s="115"/>
      <c r="P43" s="136"/>
    </row>
    <row r="44" spans="1:16" ht="15.75" thickBot="1">
      <c r="A44" s="137">
        <v>330</v>
      </c>
      <c r="B44" s="669" t="s">
        <v>294</v>
      </c>
      <c r="C44" s="686"/>
      <c r="D44" s="138">
        <f aca="true" t="shared" si="7" ref="D44:P45">D45</f>
        <v>0</v>
      </c>
      <c r="E44" s="138">
        <f t="shared" si="7"/>
        <v>0</v>
      </c>
      <c r="F44" s="138">
        <f t="shared" si="7"/>
        <v>0</v>
      </c>
      <c r="G44" s="138">
        <f t="shared" si="7"/>
        <v>0</v>
      </c>
      <c r="H44" s="138">
        <f t="shared" si="7"/>
        <v>0</v>
      </c>
      <c r="I44" s="138">
        <f t="shared" si="7"/>
        <v>57800</v>
      </c>
      <c r="J44" s="139">
        <f t="shared" si="7"/>
        <v>20485</v>
      </c>
      <c r="K44" s="138">
        <f t="shared" si="7"/>
        <v>0</v>
      </c>
      <c r="L44" s="140"/>
      <c r="M44" s="140">
        <f t="shared" si="7"/>
        <v>0</v>
      </c>
      <c r="N44" s="470">
        <f t="shared" si="7"/>
        <v>0</v>
      </c>
      <c r="O44" s="470">
        <f t="shared" si="7"/>
        <v>0</v>
      </c>
      <c r="P44" s="141">
        <f t="shared" si="7"/>
        <v>0</v>
      </c>
    </row>
    <row r="45" spans="1:16" ht="13.5" thickBot="1">
      <c r="A45" s="691"/>
      <c r="B45" s="118">
        <v>332</v>
      </c>
      <c r="C45" s="60" t="s">
        <v>53</v>
      </c>
      <c r="D45" s="61">
        <f t="shared" si="7"/>
        <v>0</v>
      </c>
      <c r="E45" s="61">
        <f t="shared" si="7"/>
        <v>0</v>
      </c>
      <c r="F45" s="61">
        <f t="shared" si="7"/>
        <v>0</v>
      </c>
      <c r="G45" s="61">
        <f t="shared" si="7"/>
        <v>0</v>
      </c>
      <c r="H45" s="61">
        <f t="shared" si="7"/>
        <v>0</v>
      </c>
      <c r="I45" s="61">
        <f>I46</f>
        <v>57800</v>
      </c>
      <c r="J45" s="99">
        <f>J46</f>
        <v>20485</v>
      </c>
      <c r="K45" s="61">
        <f>K46</f>
        <v>0</v>
      </c>
      <c r="L45" s="142"/>
      <c r="M45" s="142">
        <f>M46</f>
        <v>0</v>
      </c>
      <c r="N45" s="156"/>
      <c r="O45" s="156"/>
      <c r="P45" s="143"/>
    </row>
    <row r="46" spans="1:16" ht="12.75">
      <c r="A46" s="692"/>
      <c r="B46" s="663"/>
      <c r="C46" s="131" t="s">
        <v>54</v>
      </c>
      <c r="D46" s="86"/>
      <c r="E46" s="86"/>
      <c r="F46" s="86"/>
      <c r="G46" s="86"/>
      <c r="H46" s="86"/>
      <c r="I46" s="86">
        <v>57800</v>
      </c>
      <c r="J46" s="144">
        <v>20485</v>
      </c>
      <c r="K46" s="144"/>
      <c r="L46" s="20"/>
      <c r="M46" s="132"/>
      <c r="N46" s="72"/>
      <c r="O46" s="72"/>
      <c r="P46" s="145"/>
    </row>
    <row r="47" spans="1:16" ht="13.5" thickBot="1">
      <c r="A47" s="692"/>
      <c r="B47" s="664"/>
      <c r="C47" s="146"/>
      <c r="D47" s="68"/>
      <c r="E47" s="68"/>
      <c r="F47" s="68"/>
      <c r="G47" s="68"/>
      <c r="H47" s="68"/>
      <c r="I47" s="68"/>
      <c r="J47" s="68"/>
      <c r="K47" s="69"/>
      <c r="L47" s="69"/>
      <c r="M47" s="117"/>
      <c r="N47" s="72"/>
      <c r="O47" s="72"/>
      <c r="P47" s="145"/>
    </row>
    <row r="48" spans="1:16" ht="17.25" thickBot="1" thickTop="1">
      <c r="A48" s="147"/>
      <c r="B48" s="148"/>
      <c r="C48" s="149" t="s">
        <v>55</v>
      </c>
      <c r="D48" s="102">
        <f aca="true" t="shared" si="8" ref="D48:N48">D17+D5</f>
        <v>2113092</v>
      </c>
      <c r="E48" s="102">
        <f t="shared" si="8"/>
        <v>1017958</v>
      </c>
      <c r="F48" s="102">
        <f t="shared" si="8"/>
        <v>1245369</v>
      </c>
      <c r="G48" s="102">
        <f t="shared" si="8"/>
        <v>4391413</v>
      </c>
      <c r="H48" s="102">
        <f t="shared" si="8"/>
        <v>3456141</v>
      </c>
      <c r="I48" s="102">
        <f t="shared" si="8"/>
        <v>4649713</v>
      </c>
      <c r="J48" s="102">
        <f t="shared" si="8"/>
        <v>4502774.06</v>
      </c>
      <c r="K48" s="102">
        <f t="shared" si="8"/>
        <v>3678497</v>
      </c>
      <c r="L48" s="102">
        <f t="shared" si="8"/>
        <v>1218338.5899999999</v>
      </c>
      <c r="M48" s="602">
        <f t="shared" si="8"/>
        <v>752297.52</v>
      </c>
      <c r="N48" s="102">
        <f t="shared" si="8"/>
        <v>430501</v>
      </c>
      <c r="O48" s="102">
        <f>O17+O5</f>
        <v>56121</v>
      </c>
      <c r="P48" s="103">
        <f>P17+P5</f>
        <v>486622</v>
      </c>
    </row>
    <row r="49" ht="13.5" thickTop="1"/>
  </sheetData>
  <sheetProtection/>
  <mergeCells count="29">
    <mergeCell ref="A1:N1"/>
    <mergeCell ref="A2:N2"/>
    <mergeCell ref="J3:J4"/>
    <mergeCell ref="A3:A4"/>
    <mergeCell ref="B3:B4"/>
    <mergeCell ref="C3:C4"/>
    <mergeCell ref="E3:E4"/>
    <mergeCell ref="F3:F4"/>
    <mergeCell ref="G3:G4"/>
    <mergeCell ref="H3:H4"/>
    <mergeCell ref="B8:B10"/>
    <mergeCell ref="B12:B16"/>
    <mergeCell ref="N3:N4"/>
    <mergeCell ref="B6:C6"/>
    <mergeCell ref="D3:D4"/>
    <mergeCell ref="K3:K4"/>
    <mergeCell ref="L3:L4"/>
    <mergeCell ref="M3:M4"/>
    <mergeCell ref="I3:I4"/>
    <mergeCell ref="P3:P4"/>
    <mergeCell ref="A45:A47"/>
    <mergeCell ref="B46:B47"/>
    <mergeCell ref="B18:C18"/>
    <mergeCell ref="B20:B43"/>
    <mergeCell ref="B44:C44"/>
    <mergeCell ref="A19:A43"/>
    <mergeCell ref="B17:C17"/>
    <mergeCell ref="B5:C5"/>
    <mergeCell ref="A7:A16"/>
  </mergeCells>
  <printOptions/>
  <pageMargins left="0.15748031496062992" right="0.15748031496062992" top="0.5118110236220472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V117"/>
  <sheetViews>
    <sheetView zoomScalePageLayoutView="0" workbookViewId="0" topLeftCell="A70">
      <selection activeCell="S115" sqref="S115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8.7109375" style="0" customWidth="1"/>
    <col min="4" max="4" width="33.7109375" style="0" customWidth="1"/>
    <col min="5" max="12" width="9.140625" style="0" hidden="1" customWidth="1"/>
    <col min="13" max="13" width="13.421875" style="0" hidden="1" customWidth="1"/>
    <col min="14" max="14" width="15.8515625" style="0" customWidth="1"/>
    <col min="15" max="15" width="14.28125" style="0" customWidth="1"/>
    <col min="16" max="16" width="12.00390625" style="0" customWidth="1"/>
    <col min="17" max="17" width="11.7109375" style="0" customWidth="1"/>
    <col min="18" max="18" width="14.28125" style="0" customWidth="1"/>
    <col min="20" max="20" width="10.7109375" style="0" customWidth="1"/>
  </cols>
  <sheetData>
    <row r="1" spans="2:11" ht="13.5" thickBot="1">
      <c r="B1" s="704" t="s">
        <v>19</v>
      </c>
      <c r="C1" s="704"/>
      <c r="D1" s="704"/>
      <c r="E1" s="704"/>
      <c r="F1" s="704"/>
      <c r="G1" s="704"/>
      <c r="H1" s="704"/>
      <c r="I1" s="704"/>
      <c r="J1" s="704"/>
      <c r="K1" s="704"/>
    </row>
    <row r="2" spans="2:18" ht="13.5" customHeight="1" thickBot="1" thickTop="1">
      <c r="B2" s="743" t="s">
        <v>139</v>
      </c>
      <c r="C2" s="778" t="s">
        <v>199</v>
      </c>
      <c r="D2" s="749" t="s">
        <v>140</v>
      </c>
      <c r="E2" s="677" t="s">
        <v>297</v>
      </c>
      <c r="F2" s="677" t="s">
        <v>298</v>
      </c>
      <c r="G2" s="677" t="s">
        <v>299</v>
      </c>
      <c r="H2" s="677" t="s">
        <v>300</v>
      </c>
      <c r="I2" s="677" t="s">
        <v>301</v>
      </c>
      <c r="J2" s="677" t="s">
        <v>206</v>
      </c>
      <c r="K2" s="677" t="s">
        <v>207</v>
      </c>
      <c r="L2" s="677" t="s">
        <v>208</v>
      </c>
      <c r="M2" s="677" t="s">
        <v>209</v>
      </c>
      <c r="N2" s="701" t="s">
        <v>434</v>
      </c>
      <c r="O2" s="677" t="s">
        <v>413</v>
      </c>
      <c r="P2" s="780" t="s">
        <v>445</v>
      </c>
      <c r="Q2" s="781"/>
      <c r="R2" s="776" t="s">
        <v>412</v>
      </c>
    </row>
    <row r="3" spans="2:18" ht="30" customHeight="1" thickBot="1">
      <c r="B3" s="744"/>
      <c r="C3" s="779"/>
      <c r="D3" s="750"/>
      <c r="E3" s="678"/>
      <c r="F3" s="678"/>
      <c r="G3" s="678"/>
      <c r="H3" s="678"/>
      <c r="I3" s="678"/>
      <c r="J3" s="678"/>
      <c r="K3" s="678"/>
      <c r="L3" s="678"/>
      <c r="M3" s="678"/>
      <c r="N3" s="702"/>
      <c r="O3" s="678"/>
      <c r="P3" s="531" t="s">
        <v>62</v>
      </c>
      <c r="Q3" s="532" t="s">
        <v>68</v>
      </c>
      <c r="R3" s="777"/>
    </row>
    <row r="4" spans="2:18" ht="16.5" thickBot="1" thickTop="1">
      <c r="B4" s="269" t="s">
        <v>69</v>
      </c>
      <c r="C4" s="761" t="s">
        <v>358</v>
      </c>
      <c r="D4" s="761"/>
      <c r="E4" s="360">
        <v>372735</v>
      </c>
      <c r="F4" s="360">
        <v>64629</v>
      </c>
      <c r="G4" s="360">
        <v>39833</v>
      </c>
      <c r="H4" s="360">
        <v>3383</v>
      </c>
      <c r="I4" s="360"/>
      <c r="J4" s="361">
        <v>18260</v>
      </c>
      <c r="K4" s="361">
        <v>0</v>
      </c>
      <c r="L4" s="361">
        <v>0</v>
      </c>
      <c r="M4" s="361">
        <v>0</v>
      </c>
      <c r="N4" s="361">
        <v>0</v>
      </c>
      <c r="O4" s="360">
        <f>O5+O6</f>
        <v>7000</v>
      </c>
      <c r="P4" s="360"/>
      <c r="Q4" s="360">
        <f>SUM(Q5:Q6)</f>
        <v>0</v>
      </c>
      <c r="R4" s="595">
        <f>O4+P4+Q4</f>
        <v>7000</v>
      </c>
    </row>
    <row r="5" spans="2:18" ht="12.75">
      <c r="B5" s="705"/>
      <c r="C5" s="759"/>
      <c r="D5" s="71" t="s">
        <v>408</v>
      </c>
      <c r="E5" s="21"/>
      <c r="F5" s="21"/>
      <c r="G5" s="21"/>
      <c r="H5" s="21"/>
      <c r="I5" s="55"/>
      <c r="J5" s="55"/>
      <c r="K5" s="55"/>
      <c r="L5" s="21"/>
      <c r="M5" s="21"/>
      <c r="N5" s="21"/>
      <c r="O5" s="56">
        <v>4500</v>
      </c>
      <c r="P5" s="56"/>
      <c r="Q5" s="56"/>
      <c r="R5" s="22">
        <f aca="true" t="shared" si="0" ref="R5:R68">O5+P5+Q5</f>
        <v>4500</v>
      </c>
    </row>
    <row r="6" spans="2:18" ht="13.5" thickBot="1">
      <c r="B6" s="707"/>
      <c r="C6" s="762"/>
      <c r="D6" s="71" t="s">
        <v>432</v>
      </c>
      <c r="E6" s="21"/>
      <c r="F6" s="21"/>
      <c r="G6" s="21"/>
      <c r="H6" s="21"/>
      <c r="I6" s="55"/>
      <c r="J6" s="55"/>
      <c r="K6" s="55"/>
      <c r="L6" s="21"/>
      <c r="M6" s="21"/>
      <c r="N6" s="21"/>
      <c r="O6" s="56">
        <v>2500</v>
      </c>
      <c r="P6" s="56"/>
      <c r="Q6" s="56"/>
      <c r="R6" s="22">
        <f t="shared" si="0"/>
        <v>2500</v>
      </c>
    </row>
    <row r="7" spans="2:18" ht="15.75" thickBot="1">
      <c r="B7" s="213" t="s">
        <v>156</v>
      </c>
      <c r="C7" s="758" t="s">
        <v>157</v>
      </c>
      <c r="D7" s="758"/>
      <c r="E7" s="235">
        <v>17958</v>
      </c>
      <c r="F7" s="235">
        <v>0</v>
      </c>
      <c r="G7" s="235">
        <v>19916</v>
      </c>
      <c r="H7" s="235">
        <v>18253</v>
      </c>
      <c r="I7" s="235">
        <v>16675</v>
      </c>
      <c r="J7" s="138">
        <v>3031</v>
      </c>
      <c r="K7" s="138">
        <v>0</v>
      </c>
      <c r="L7" s="66">
        <f>SUM(L8:L9)</f>
        <v>10398</v>
      </c>
      <c r="M7" s="66"/>
      <c r="N7" s="66">
        <f>SUM(N8:N9)</f>
        <v>0</v>
      </c>
      <c r="O7" s="66">
        <f>SUM(O8:O9)</f>
        <v>5700</v>
      </c>
      <c r="P7" s="66">
        <f>P9</f>
        <v>0</v>
      </c>
      <c r="Q7" s="66">
        <f>Q9</f>
        <v>0</v>
      </c>
      <c r="R7" s="67">
        <f>R8+R9</f>
        <v>5700</v>
      </c>
    </row>
    <row r="8" spans="2:18" ht="12.75">
      <c r="B8" s="705"/>
      <c r="C8" s="759"/>
      <c r="D8" s="40" t="s">
        <v>359</v>
      </c>
      <c r="E8" s="94"/>
      <c r="F8" s="94"/>
      <c r="G8" s="94"/>
      <c r="H8" s="94"/>
      <c r="I8" s="54"/>
      <c r="J8" s="54"/>
      <c r="K8" s="54"/>
      <c r="L8" s="94">
        <v>10398</v>
      </c>
      <c r="M8" s="94"/>
      <c r="N8" s="94"/>
      <c r="O8" s="41"/>
      <c r="P8" s="41"/>
      <c r="Q8" s="41"/>
      <c r="R8" s="95">
        <f t="shared" si="0"/>
        <v>0</v>
      </c>
    </row>
    <row r="9" spans="2:18" ht="13.5" thickBot="1">
      <c r="B9" s="707"/>
      <c r="C9" s="762"/>
      <c r="D9" s="146" t="s">
        <v>408</v>
      </c>
      <c r="E9" s="69"/>
      <c r="F9" s="69"/>
      <c r="G9" s="69"/>
      <c r="H9" s="69"/>
      <c r="I9" s="68"/>
      <c r="J9" s="68"/>
      <c r="K9" s="68"/>
      <c r="L9" s="69"/>
      <c r="M9" s="69"/>
      <c r="N9" s="69"/>
      <c r="O9" s="56">
        <v>5700</v>
      </c>
      <c r="P9" s="56"/>
      <c r="Q9" s="56"/>
      <c r="R9" s="22">
        <f t="shared" si="0"/>
        <v>5700</v>
      </c>
    </row>
    <row r="10" spans="2:18" ht="15.75" thickBot="1">
      <c r="B10" s="213" t="s">
        <v>151</v>
      </c>
      <c r="C10" s="758" t="s">
        <v>152</v>
      </c>
      <c r="D10" s="758"/>
      <c r="E10" s="235">
        <v>894211</v>
      </c>
      <c r="F10" s="235">
        <v>382958</v>
      </c>
      <c r="G10" s="235">
        <v>343590</v>
      </c>
      <c r="H10" s="235">
        <v>610914</v>
      </c>
      <c r="I10" s="235">
        <v>1718795</v>
      </c>
      <c r="J10" s="138">
        <v>495900</v>
      </c>
      <c r="K10" s="235">
        <v>421522</v>
      </c>
      <c r="L10" s="66">
        <f>SUM(L11:L24)</f>
        <v>2058954</v>
      </c>
      <c r="M10" s="66">
        <v>108548.12</v>
      </c>
      <c r="N10" s="215">
        <f>SUM(N11:N24)</f>
        <v>187078.06</v>
      </c>
      <c r="O10" s="66">
        <f>SUM(O11:O24)</f>
        <v>1077226</v>
      </c>
      <c r="P10" s="66">
        <f>SUM(P11:P24)</f>
        <v>0</v>
      </c>
      <c r="Q10" s="66">
        <f>SUM(Q11:Q24)</f>
        <v>6900</v>
      </c>
      <c r="R10" s="67">
        <f t="shared" si="0"/>
        <v>1084126</v>
      </c>
    </row>
    <row r="11" spans="2:18" ht="12.75">
      <c r="B11" s="706"/>
      <c r="C11" s="769"/>
      <c r="D11" s="71" t="s">
        <v>360</v>
      </c>
      <c r="E11" s="21"/>
      <c r="F11" s="21"/>
      <c r="G11" s="21"/>
      <c r="H11" s="21"/>
      <c r="I11" s="55"/>
      <c r="J11" s="55"/>
      <c r="K11" s="21"/>
      <c r="L11" s="21">
        <v>47371</v>
      </c>
      <c r="M11" s="21">
        <v>31209.2</v>
      </c>
      <c r="N11" s="119">
        <v>11397.78</v>
      </c>
      <c r="O11" s="56">
        <v>34926</v>
      </c>
      <c r="P11" s="56"/>
      <c r="Q11" s="56">
        <v>6900</v>
      </c>
      <c r="R11" s="22">
        <f t="shared" si="0"/>
        <v>41826</v>
      </c>
    </row>
    <row r="12" spans="2:20" ht="12.75">
      <c r="B12" s="706"/>
      <c r="C12" s="769"/>
      <c r="D12" s="71" t="s">
        <v>187</v>
      </c>
      <c r="E12" s="21"/>
      <c r="F12" s="21"/>
      <c r="G12" s="21"/>
      <c r="H12" s="21"/>
      <c r="I12" s="55"/>
      <c r="J12" s="55"/>
      <c r="K12" s="21"/>
      <c r="L12" s="21"/>
      <c r="M12" s="21"/>
      <c r="N12" s="119"/>
      <c r="O12" s="56">
        <v>0</v>
      </c>
      <c r="P12" s="56"/>
      <c r="Q12" s="56"/>
      <c r="R12" s="22">
        <f t="shared" si="0"/>
        <v>0</v>
      </c>
      <c r="T12" s="1"/>
    </row>
    <row r="13" spans="2:18" ht="12.75">
      <c r="B13" s="706"/>
      <c r="C13" s="769"/>
      <c r="D13" s="42" t="s">
        <v>361</v>
      </c>
      <c r="E13" s="25"/>
      <c r="F13" s="25"/>
      <c r="G13" s="25"/>
      <c r="H13" s="25"/>
      <c r="I13" s="57"/>
      <c r="J13" s="57"/>
      <c r="K13" s="25"/>
      <c r="L13" s="25"/>
      <c r="M13" s="21"/>
      <c r="N13" s="119">
        <v>4562.8</v>
      </c>
      <c r="O13" s="56">
        <v>0</v>
      </c>
      <c r="P13" s="56"/>
      <c r="Q13" s="56"/>
      <c r="R13" s="22">
        <f t="shared" si="0"/>
        <v>0</v>
      </c>
    </row>
    <row r="14" spans="2:18" ht="12.75">
      <c r="B14" s="706"/>
      <c r="C14" s="769"/>
      <c r="D14" s="46" t="s">
        <v>186</v>
      </c>
      <c r="E14" s="29"/>
      <c r="F14" s="29"/>
      <c r="G14" s="29"/>
      <c r="H14" s="29"/>
      <c r="I14" s="65"/>
      <c r="J14" s="65"/>
      <c r="K14" s="29"/>
      <c r="L14" s="29"/>
      <c r="M14" s="21"/>
      <c r="N14" s="119"/>
      <c r="O14" s="56">
        <v>340000</v>
      </c>
      <c r="P14" s="56"/>
      <c r="Q14" s="56"/>
      <c r="R14" s="22">
        <f t="shared" si="0"/>
        <v>340000</v>
      </c>
    </row>
    <row r="15" spans="2:18" ht="12.75">
      <c r="B15" s="706"/>
      <c r="C15" s="769"/>
      <c r="D15" s="46" t="s">
        <v>3</v>
      </c>
      <c r="E15" s="29"/>
      <c r="F15" s="29"/>
      <c r="G15" s="29"/>
      <c r="H15" s="29"/>
      <c r="I15" s="65"/>
      <c r="J15" s="65"/>
      <c r="K15" s="29"/>
      <c r="L15" s="29">
        <v>282056</v>
      </c>
      <c r="M15" s="21"/>
      <c r="N15" s="115">
        <v>0</v>
      </c>
      <c r="O15" s="56">
        <v>8750</v>
      </c>
      <c r="P15" s="56"/>
      <c r="Q15" s="56"/>
      <c r="R15" s="22">
        <f t="shared" si="0"/>
        <v>8750</v>
      </c>
    </row>
    <row r="16" spans="2:18" ht="12.75">
      <c r="B16" s="706"/>
      <c r="C16" s="769"/>
      <c r="D16" s="42" t="s">
        <v>362</v>
      </c>
      <c r="E16" s="25"/>
      <c r="F16" s="25"/>
      <c r="G16" s="25"/>
      <c r="H16" s="25"/>
      <c r="I16" s="57"/>
      <c r="J16" s="57"/>
      <c r="K16" s="25"/>
      <c r="L16" s="25">
        <v>881052</v>
      </c>
      <c r="M16" s="21">
        <v>70504.9</v>
      </c>
      <c r="N16" s="119"/>
      <c r="O16" s="56">
        <v>0</v>
      </c>
      <c r="P16" s="56"/>
      <c r="Q16" s="56"/>
      <c r="R16" s="22">
        <f t="shared" si="0"/>
        <v>0</v>
      </c>
    </row>
    <row r="17" spans="2:20" ht="12.75">
      <c r="B17" s="706"/>
      <c r="C17" s="769"/>
      <c r="D17" s="42" t="s">
        <v>363</v>
      </c>
      <c r="E17" s="25"/>
      <c r="F17" s="25"/>
      <c r="G17" s="25"/>
      <c r="H17" s="25"/>
      <c r="I17" s="57"/>
      <c r="J17" s="57"/>
      <c r="K17" s="25"/>
      <c r="L17" s="25">
        <v>100004</v>
      </c>
      <c r="M17" s="21"/>
      <c r="N17" s="119">
        <v>13200</v>
      </c>
      <c r="O17" s="56">
        <v>0</v>
      </c>
      <c r="P17" s="56"/>
      <c r="Q17" s="56"/>
      <c r="R17" s="22">
        <f t="shared" si="0"/>
        <v>0</v>
      </c>
      <c r="T17" s="1"/>
    </row>
    <row r="18" spans="2:18" ht="12.75">
      <c r="B18" s="706"/>
      <c r="C18" s="769"/>
      <c r="D18" s="42" t="s">
        <v>364</v>
      </c>
      <c r="E18" s="25"/>
      <c r="F18" s="25"/>
      <c r="G18" s="25"/>
      <c r="H18" s="25"/>
      <c r="I18" s="57"/>
      <c r="J18" s="57"/>
      <c r="K18" s="25"/>
      <c r="L18" s="25">
        <v>0</v>
      </c>
      <c r="M18" s="21"/>
      <c r="N18" s="119"/>
      <c r="O18" s="56">
        <v>0</v>
      </c>
      <c r="P18" s="56"/>
      <c r="Q18" s="56"/>
      <c r="R18" s="22">
        <f t="shared" si="0"/>
        <v>0</v>
      </c>
    </row>
    <row r="19" spans="2:18" ht="12.75">
      <c r="B19" s="706"/>
      <c r="C19" s="769"/>
      <c r="D19" s="42" t="s">
        <v>49</v>
      </c>
      <c r="E19" s="25"/>
      <c r="F19" s="25"/>
      <c r="G19" s="25"/>
      <c r="H19" s="25"/>
      <c r="I19" s="57"/>
      <c r="J19" s="57"/>
      <c r="K19" s="25"/>
      <c r="L19" s="25"/>
      <c r="M19" s="21"/>
      <c r="N19" s="119">
        <v>144897.48</v>
      </c>
      <c r="O19" s="56">
        <v>2800</v>
      </c>
      <c r="P19" s="56"/>
      <c r="Q19" s="56"/>
      <c r="R19" s="22">
        <f t="shared" si="0"/>
        <v>2800</v>
      </c>
    </row>
    <row r="20" spans="2:18" ht="12.75">
      <c r="B20" s="706"/>
      <c r="C20" s="769"/>
      <c r="D20" s="42" t="s">
        <v>5</v>
      </c>
      <c r="E20" s="25"/>
      <c r="F20" s="25"/>
      <c r="G20" s="25"/>
      <c r="H20" s="25"/>
      <c r="I20" s="57"/>
      <c r="J20" s="57"/>
      <c r="K20" s="25"/>
      <c r="L20" s="25"/>
      <c r="M20" s="21"/>
      <c r="N20" s="119"/>
      <c r="O20" s="56">
        <v>250</v>
      </c>
      <c r="P20" s="56"/>
      <c r="Q20" s="56"/>
      <c r="R20" s="22">
        <f t="shared" si="0"/>
        <v>250</v>
      </c>
    </row>
    <row r="21" spans="2:20" ht="12.75">
      <c r="B21" s="706"/>
      <c r="C21" s="769"/>
      <c r="D21" s="42" t="s">
        <v>172</v>
      </c>
      <c r="E21" s="25"/>
      <c r="F21" s="25"/>
      <c r="G21" s="25"/>
      <c r="H21" s="25"/>
      <c r="I21" s="57"/>
      <c r="J21" s="57"/>
      <c r="K21" s="25"/>
      <c r="L21" s="25"/>
      <c r="M21" s="25"/>
      <c r="N21" s="206"/>
      <c r="O21" s="25">
        <v>681900</v>
      </c>
      <c r="P21" s="43"/>
      <c r="Q21" s="43"/>
      <c r="R21" s="26">
        <f t="shared" si="0"/>
        <v>681900</v>
      </c>
      <c r="T21" s="1"/>
    </row>
    <row r="22" spans="2:18" ht="12.75">
      <c r="B22" s="706"/>
      <c r="C22" s="769"/>
      <c r="D22" s="42" t="s">
        <v>4</v>
      </c>
      <c r="E22" s="25"/>
      <c r="F22" s="25"/>
      <c r="G22" s="25"/>
      <c r="H22" s="25"/>
      <c r="I22" s="57"/>
      <c r="J22" s="57"/>
      <c r="K22" s="25"/>
      <c r="L22" s="25"/>
      <c r="M22" s="25"/>
      <c r="N22" s="206"/>
      <c r="O22" s="43">
        <v>3600</v>
      </c>
      <c r="P22" s="43"/>
      <c r="Q22" s="43"/>
      <c r="R22" s="26">
        <f t="shared" si="0"/>
        <v>3600</v>
      </c>
    </row>
    <row r="23" spans="2:18" ht="12.75">
      <c r="B23" s="706"/>
      <c r="C23" s="769"/>
      <c r="D23" s="42" t="s">
        <v>414</v>
      </c>
      <c r="E23" s="25"/>
      <c r="F23" s="25"/>
      <c r="G23" s="25"/>
      <c r="H23" s="25"/>
      <c r="I23" s="57"/>
      <c r="J23" s="57"/>
      <c r="K23" s="25"/>
      <c r="L23" s="25"/>
      <c r="M23" s="25"/>
      <c r="N23" s="206">
        <v>1500</v>
      </c>
      <c r="O23" s="43">
        <v>5000</v>
      </c>
      <c r="P23" s="43"/>
      <c r="Q23" s="43"/>
      <c r="R23" s="26">
        <f t="shared" si="0"/>
        <v>5000</v>
      </c>
    </row>
    <row r="24" spans="2:18" ht="13.5" thickBot="1">
      <c r="B24" s="707"/>
      <c r="C24" s="770"/>
      <c r="D24" s="146" t="s">
        <v>318</v>
      </c>
      <c r="E24" s="69"/>
      <c r="F24" s="69"/>
      <c r="G24" s="69"/>
      <c r="H24" s="69"/>
      <c r="I24" s="68"/>
      <c r="J24" s="68"/>
      <c r="K24" s="69"/>
      <c r="L24" s="69">
        <v>748471</v>
      </c>
      <c r="M24" s="69"/>
      <c r="N24" s="117">
        <v>11520</v>
      </c>
      <c r="O24" s="56">
        <v>0</v>
      </c>
      <c r="P24" s="56"/>
      <c r="Q24" s="56"/>
      <c r="R24" s="22">
        <f t="shared" si="0"/>
        <v>0</v>
      </c>
    </row>
    <row r="25" spans="2:18" ht="15.75" thickBot="1">
      <c r="B25" s="363" t="s">
        <v>29</v>
      </c>
      <c r="C25" s="669" t="s">
        <v>365</v>
      </c>
      <c r="D25" s="686"/>
      <c r="E25" s="235">
        <v>154053</v>
      </c>
      <c r="F25" s="235">
        <v>194317</v>
      </c>
      <c r="G25" s="235">
        <v>340238</v>
      </c>
      <c r="H25" s="235">
        <v>484191</v>
      </c>
      <c r="I25" s="235">
        <v>181309</v>
      </c>
      <c r="J25" s="138">
        <v>33695</v>
      </c>
      <c r="K25" s="235">
        <v>79908</v>
      </c>
      <c r="L25" s="66">
        <f>SUM(L26:L38)</f>
        <v>0</v>
      </c>
      <c r="M25" s="66">
        <f>SUM(M26:M38)</f>
        <v>75693</v>
      </c>
      <c r="N25" s="215">
        <f>SUM(N26:N36)</f>
        <v>107849.53999999998</v>
      </c>
      <c r="O25" s="66">
        <f>SUM(O26:O38)</f>
        <v>200700</v>
      </c>
      <c r="P25" s="66">
        <f>SUM(P26:P37)</f>
        <v>-3000</v>
      </c>
      <c r="Q25" s="66">
        <f>SUM(Q26:Q38)</f>
        <v>0</v>
      </c>
      <c r="R25" s="67">
        <f>O25+P25+Q25</f>
        <v>197700</v>
      </c>
    </row>
    <row r="26" spans="2:18" ht="12.75">
      <c r="B26" s="705"/>
      <c r="C26" s="759"/>
      <c r="D26" s="42" t="s">
        <v>320</v>
      </c>
      <c r="E26" s="25"/>
      <c r="F26" s="25"/>
      <c r="G26" s="25"/>
      <c r="H26" s="25"/>
      <c r="I26" s="57"/>
      <c r="J26" s="365"/>
      <c r="K26" s="366"/>
      <c r="L26" s="25"/>
      <c r="M26" s="21">
        <v>23757.12</v>
      </c>
      <c r="N26" s="119"/>
      <c r="O26" s="56"/>
      <c r="P26" s="56"/>
      <c r="Q26" s="56"/>
      <c r="R26" s="22">
        <f t="shared" si="0"/>
        <v>0</v>
      </c>
    </row>
    <row r="27" spans="2:18" ht="12.75">
      <c r="B27" s="706"/>
      <c r="C27" s="760"/>
      <c r="D27" s="42" t="s">
        <v>366</v>
      </c>
      <c r="E27" s="25"/>
      <c r="F27" s="25"/>
      <c r="G27" s="25"/>
      <c r="H27" s="25"/>
      <c r="I27" s="57"/>
      <c r="J27" s="365"/>
      <c r="K27" s="366"/>
      <c r="L27" s="25"/>
      <c r="M27" s="21"/>
      <c r="N27" s="119"/>
      <c r="O27" s="56"/>
      <c r="P27" s="56"/>
      <c r="Q27" s="56"/>
      <c r="R27" s="22">
        <f t="shared" si="0"/>
        <v>0</v>
      </c>
    </row>
    <row r="28" spans="2:21" ht="12.75">
      <c r="B28" s="706"/>
      <c r="C28" s="760"/>
      <c r="D28" s="42" t="s">
        <v>196</v>
      </c>
      <c r="E28" s="25"/>
      <c r="F28" s="25"/>
      <c r="G28" s="25"/>
      <c r="H28" s="25"/>
      <c r="I28" s="57"/>
      <c r="J28" s="365"/>
      <c r="K28" s="366"/>
      <c r="L28" s="25"/>
      <c r="M28" s="21"/>
      <c r="N28" s="119"/>
      <c r="O28" s="56">
        <v>23040</v>
      </c>
      <c r="P28" s="56"/>
      <c r="Q28" s="56"/>
      <c r="R28" s="22">
        <f t="shared" si="0"/>
        <v>23040</v>
      </c>
      <c r="U28" s="1"/>
    </row>
    <row r="29" spans="2:22" ht="12.75">
      <c r="B29" s="706"/>
      <c r="C29" s="760"/>
      <c r="D29" s="42" t="s">
        <v>197</v>
      </c>
      <c r="E29" s="25"/>
      <c r="F29" s="25"/>
      <c r="G29" s="25"/>
      <c r="H29" s="25"/>
      <c r="I29" s="57"/>
      <c r="J29" s="365"/>
      <c r="K29" s="366"/>
      <c r="L29" s="25"/>
      <c r="M29" s="21"/>
      <c r="N29" s="119"/>
      <c r="O29" s="56">
        <v>57660</v>
      </c>
      <c r="P29" s="56">
        <v>-3000</v>
      </c>
      <c r="Q29" s="56"/>
      <c r="R29" s="22">
        <f t="shared" si="0"/>
        <v>54660</v>
      </c>
      <c r="V29" s="1"/>
    </row>
    <row r="30" spans="2:18" ht="12.75">
      <c r="B30" s="706"/>
      <c r="C30" s="760"/>
      <c r="D30" s="42" t="s">
        <v>50</v>
      </c>
      <c r="E30" s="25"/>
      <c r="F30" s="25"/>
      <c r="G30" s="25"/>
      <c r="H30" s="25"/>
      <c r="I30" s="57"/>
      <c r="J30" s="365"/>
      <c r="K30" s="366"/>
      <c r="L30" s="25"/>
      <c r="M30" s="21">
        <v>29104.44</v>
      </c>
      <c r="N30" s="119"/>
      <c r="O30" s="56"/>
      <c r="P30" s="56"/>
      <c r="Q30" s="56"/>
      <c r="R30" s="22">
        <f t="shared" si="0"/>
        <v>0</v>
      </c>
    </row>
    <row r="31" spans="2:18" ht="12.75">
      <c r="B31" s="706"/>
      <c r="C31" s="760"/>
      <c r="D31" s="42" t="s">
        <v>367</v>
      </c>
      <c r="E31" s="25"/>
      <c r="F31" s="25"/>
      <c r="G31" s="25"/>
      <c r="H31" s="25"/>
      <c r="I31" s="57"/>
      <c r="J31" s="365"/>
      <c r="K31" s="366"/>
      <c r="L31" s="25"/>
      <c r="M31" s="21"/>
      <c r="N31" s="119">
        <v>35969.53</v>
      </c>
      <c r="O31" s="56"/>
      <c r="P31" s="56"/>
      <c r="Q31" s="56"/>
      <c r="R31" s="22">
        <f t="shared" si="0"/>
        <v>0</v>
      </c>
    </row>
    <row r="32" spans="2:18" ht="12.75">
      <c r="B32" s="706"/>
      <c r="C32" s="760"/>
      <c r="D32" s="42" t="s">
        <v>368</v>
      </c>
      <c r="E32" s="29"/>
      <c r="F32" s="29"/>
      <c r="G32" s="29"/>
      <c r="H32" s="29"/>
      <c r="I32" s="65"/>
      <c r="J32" s="367"/>
      <c r="K32" s="368"/>
      <c r="L32" s="29"/>
      <c r="M32" s="29"/>
      <c r="N32" s="119">
        <v>2200</v>
      </c>
      <c r="O32" s="56"/>
      <c r="P32" s="56"/>
      <c r="Q32" s="56"/>
      <c r="R32" s="22">
        <f t="shared" si="0"/>
        <v>0</v>
      </c>
    </row>
    <row r="33" spans="2:18" ht="12.75">
      <c r="B33" s="706"/>
      <c r="C33" s="760"/>
      <c r="D33" s="42" t="s">
        <v>369</v>
      </c>
      <c r="E33" s="29"/>
      <c r="F33" s="29"/>
      <c r="G33" s="29"/>
      <c r="H33" s="29"/>
      <c r="I33" s="65"/>
      <c r="J33" s="367"/>
      <c r="K33" s="368"/>
      <c r="L33" s="29"/>
      <c r="M33" s="29"/>
      <c r="N33" s="119">
        <v>28928.71</v>
      </c>
      <c r="O33" s="56"/>
      <c r="P33" s="56"/>
      <c r="Q33" s="56"/>
      <c r="R33" s="22">
        <f t="shared" si="0"/>
        <v>0</v>
      </c>
    </row>
    <row r="34" spans="2:18" ht="12.75">
      <c r="B34" s="706"/>
      <c r="C34" s="760"/>
      <c r="D34" s="42" t="s">
        <v>370</v>
      </c>
      <c r="E34" s="29"/>
      <c r="F34" s="29"/>
      <c r="G34" s="29"/>
      <c r="H34" s="29"/>
      <c r="I34" s="65"/>
      <c r="J34" s="367"/>
      <c r="K34" s="368"/>
      <c r="L34" s="29"/>
      <c r="M34" s="29"/>
      <c r="N34" s="206">
        <v>19756.98</v>
      </c>
      <c r="O34" s="56"/>
      <c r="P34" s="56"/>
      <c r="Q34" s="56"/>
      <c r="R34" s="22">
        <f t="shared" si="0"/>
        <v>0</v>
      </c>
    </row>
    <row r="35" spans="2:18" ht="12.75">
      <c r="B35" s="706"/>
      <c r="C35" s="760"/>
      <c r="D35" s="42" t="s">
        <v>371</v>
      </c>
      <c r="E35" s="29"/>
      <c r="F35" s="29"/>
      <c r="G35" s="29"/>
      <c r="H35" s="29"/>
      <c r="I35" s="65"/>
      <c r="J35" s="367"/>
      <c r="K35" s="368"/>
      <c r="L35" s="29"/>
      <c r="M35" s="29"/>
      <c r="N35" s="206">
        <v>20994.32</v>
      </c>
      <c r="O35" s="56"/>
      <c r="P35" s="56"/>
      <c r="Q35" s="56"/>
      <c r="R35" s="22">
        <f t="shared" si="0"/>
        <v>0</v>
      </c>
    </row>
    <row r="36" spans="2:18" ht="12.75">
      <c r="B36" s="706"/>
      <c r="C36" s="760"/>
      <c r="D36" s="42" t="s">
        <v>372</v>
      </c>
      <c r="E36" s="29"/>
      <c r="F36" s="29"/>
      <c r="G36" s="29"/>
      <c r="H36" s="29"/>
      <c r="I36" s="65"/>
      <c r="J36" s="367"/>
      <c r="K36" s="368"/>
      <c r="L36" s="29"/>
      <c r="M36" s="29">
        <v>22831.440000000002</v>
      </c>
      <c r="N36" s="206">
        <v>0</v>
      </c>
      <c r="O36" s="56"/>
      <c r="P36" s="56"/>
      <c r="Q36" s="56"/>
      <c r="R36" s="22">
        <f t="shared" si="0"/>
        <v>0</v>
      </c>
    </row>
    <row r="37" spans="2:18" ht="12.75">
      <c r="B37" s="706"/>
      <c r="C37" s="760"/>
      <c r="D37" s="42" t="s">
        <v>415</v>
      </c>
      <c r="E37" s="29"/>
      <c r="F37" s="29"/>
      <c r="G37" s="29"/>
      <c r="H37" s="29"/>
      <c r="I37" s="65"/>
      <c r="J37" s="367"/>
      <c r="K37" s="368"/>
      <c r="L37" s="29"/>
      <c r="M37" s="29"/>
      <c r="N37" s="206"/>
      <c r="O37" s="56">
        <v>115000</v>
      </c>
      <c r="P37" s="56"/>
      <c r="Q37" s="56"/>
      <c r="R37" s="22">
        <f t="shared" si="0"/>
        <v>115000</v>
      </c>
    </row>
    <row r="38" spans="2:18" ht="13.5" thickBot="1">
      <c r="B38" s="362"/>
      <c r="C38" s="364"/>
      <c r="D38" s="42" t="s">
        <v>431</v>
      </c>
      <c r="E38" s="29"/>
      <c r="F38" s="29"/>
      <c r="G38" s="29"/>
      <c r="H38" s="29"/>
      <c r="I38" s="65"/>
      <c r="J38" s="367"/>
      <c r="K38" s="368"/>
      <c r="L38" s="29"/>
      <c r="M38" s="29"/>
      <c r="N38" s="256"/>
      <c r="O38" s="56">
        <v>5000</v>
      </c>
      <c r="P38" s="56"/>
      <c r="Q38" s="56"/>
      <c r="R38" s="22">
        <f t="shared" si="0"/>
        <v>5000</v>
      </c>
    </row>
    <row r="39" spans="2:18" ht="15.75" thickBot="1">
      <c r="B39" s="369" t="s">
        <v>158</v>
      </c>
      <c r="C39" s="669" t="s">
        <v>373</v>
      </c>
      <c r="D39" s="686"/>
      <c r="E39" s="370">
        <v>80894</v>
      </c>
      <c r="F39" s="235">
        <v>8298</v>
      </c>
      <c r="G39" s="235">
        <v>71666</v>
      </c>
      <c r="H39" s="235">
        <v>1330064</v>
      </c>
      <c r="I39" s="235">
        <v>2147096</v>
      </c>
      <c r="J39" s="138">
        <v>8121</v>
      </c>
      <c r="K39" s="235">
        <v>93729</v>
      </c>
      <c r="L39" s="66">
        <f>SUM(L40:L44)</f>
        <v>28919</v>
      </c>
      <c r="M39" s="66">
        <f>SUM(M40:M44)</f>
        <v>0</v>
      </c>
      <c r="N39" s="215">
        <f>SUM(N40:N44)</f>
        <v>69453.41</v>
      </c>
      <c r="O39" s="66">
        <f>SUM(O40:O44)</f>
        <v>135000</v>
      </c>
      <c r="P39" s="66">
        <f>P41+P40+P42</f>
        <v>12000</v>
      </c>
      <c r="Q39" s="66">
        <f>Q41+Q40</f>
        <v>0</v>
      </c>
      <c r="R39" s="67">
        <f>O39+P39+Q39</f>
        <v>147000</v>
      </c>
    </row>
    <row r="40" spans="2:18" ht="12.75">
      <c r="B40" s="705"/>
      <c r="C40" s="759"/>
      <c r="D40" s="40" t="s">
        <v>424</v>
      </c>
      <c r="E40" s="94"/>
      <c r="F40" s="94"/>
      <c r="G40" s="94"/>
      <c r="H40" s="94"/>
      <c r="I40" s="54"/>
      <c r="J40" s="371"/>
      <c r="K40" s="372"/>
      <c r="L40" s="94">
        <v>28919</v>
      </c>
      <c r="M40" s="21"/>
      <c r="N40" s="21"/>
      <c r="O40" s="56">
        <v>135000</v>
      </c>
      <c r="P40" s="56"/>
      <c r="Q40" s="56"/>
      <c r="R40" s="22">
        <f t="shared" si="0"/>
        <v>135000</v>
      </c>
    </row>
    <row r="41" spans="2:18" ht="12.75">
      <c r="B41" s="706"/>
      <c r="C41" s="760"/>
      <c r="D41" s="71" t="s">
        <v>173</v>
      </c>
      <c r="E41" s="21"/>
      <c r="F41" s="21"/>
      <c r="G41" s="21"/>
      <c r="H41" s="21"/>
      <c r="I41" s="55"/>
      <c r="J41" s="373"/>
      <c r="K41" s="374"/>
      <c r="L41" s="21"/>
      <c r="M41" s="21"/>
      <c r="N41" s="636">
        <v>69453.41</v>
      </c>
      <c r="O41" s="56"/>
      <c r="P41" s="56"/>
      <c r="Q41" s="56"/>
      <c r="R41" s="22">
        <f t="shared" si="0"/>
        <v>0</v>
      </c>
    </row>
    <row r="42" spans="2:18" ht="13.5" thickBot="1">
      <c r="B42" s="362"/>
      <c r="C42" s="364"/>
      <c r="D42" s="42" t="s">
        <v>376</v>
      </c>
      <c r="E42" s="21"/>
      <c r="F42" s="21"/>
      <c r="G42" s="21"/>
      <c r="H42" s="21"/>
      <c r="I42" s="55"/>
      <c r="J42" s="373"/>
      <c r="K42" s="374"/>
      <c r="L42" s="21"/>
      <c r="M42" s="21"/>
      <c r="N42" s="21"/>
      <c r="O42" s="56"/>
      <c r="P42" s="56">
        <v>12000</v>
      </c>
      <c r="Q42" s="56"/>
      <c r="R42" s="22">
        <f t="shared" si="0"/>
        <v>12000</v>
      </c>
    </row>
    <row r="43" spans="2:18" ht="12.75" hidden="1">
      <c r="B43" s="362"/>
      <c r="C43" s="364"/>
      <c r="D43" s="146" t="s">
        <v>374</v>
      </c>
      <c r="E43" s="69"/>
      <c r="F43" s="69"/>
      <c r="G43" s="69"/>
      <c r="H43" s="69"/>
      <c r="I43" s="68"/>
      <c r="J43" s="375"/>
      <c r="K43" s="376"/>
      <c r="L43" s="25"/>
      <c r="M43" s="21"/>
      <c r="N43" s="21"/>
      <c r="O43" s="56"/>
      <c r="P43" s="56"/>
      <c r="Q43" s="56"/>
      <c r="R43" s="22">
        <f t="shared" si="0"/>
        <v>0</v>
      </c>
    </row>
    <row r="44" spans="2:18" ht="13.5" hidden="1" thickBot="1">
      <c r="B44" s="377"/>
      <c r="C44" s="378"/>
      <c r="D44" s="42" t="s">
        <v>375</v>
      </c>
      <c r="E44" s="29"/>
      <c r="F44" s="29"/>
      <c r="G44" s="29"/>
      <c r="H44" s="29"/>
      <c r="I44" s="65"/>
      <c r="J44" s="367"/>
      <c r="K44" s="368"/>
      <c r="L44" s="47"/>
      <c r="M44" s="69"/>
      <c r="N44" s="69"/>
      <c r="O44" s="243"/>
      <c r="P44" s="243"/>
      <c r="Q44" s="243"/>
      <c r="R44" s="70">
        <f t="shared" si="0"/>
        <v>0</v>
      </c>
    </row>
    <row r="45" spans="2:18" ht="15.75" thickBot="1">
      <c r="B45" s="379" t="s">
        <v>41</v>
      </c>
      <c r="C45" s="758" t="s">
        <v>42</v>
      </c>
      <c r="D45" s="758"/>
      <c r="E45" s="380"/>
      <c r="F45" s="380"/>
      <c r="G45" s="380"/>
      <c r="H45" s="380"/>
      <c r="I45" s="381">
        <v>182399</v>
      </c>
      <c r="J45" s="381"/>
      <c r="K45" s="382"/>
      <c r="L45" s="108"/>
      <c r="M45" s="108"/>
      <c r="N45" s="108"/>
      <c r="O45" s="66"/>
      <c r="P45" s="66"/>
      <c r="Q45" s="66"/>
      <c r="R45" s="67">
        <f t="shared" si="0"/>
        <v>0</v>
      </c>
    </row>
    <row r="46" spans="2:18" ht="13.5" thickBot="1">
      <c r="B46" s="362"/>
      <c r="C46" s="364"/>
      <c r="D46" s="68"/>
      <c r="E46" s="69"/>
      <c r="F46" s="69"/>
      <c r="G46" s="69"/>
      <c r="H46" s="69"/>
      <c r="I46" s="68"/>
      <c r="J46" s="375"/>
      <c r="K46" s="376"/>
      <c r="L46" s="69"/>
      <c r="M46" s="69"/>
      <c r="N46" s="69"/>
      <c r="O46" s="243"/>
      <c r="P46" s="243"/>
      <c r="Q46" s="243"/>
      <c r="R46" s="70">
        <f t="shared" si="0"/>
        <v>0</v>
      </c>
    </row>
    <row r="47" spans="2:18" ht="15.75" thickBot="1">
      <c r="B47" s="213" t="s">
        <v>409</v>
      </c>
      <c r="C47" s="669" t="s">
        <v>410</v>
      </c>
      <c r="D47" s="686"/>
      <c r="E47" s="214">
        <v>0</v>
      </c>
      <c r="F47" s="214">
        <v>0</v>
      </c>
      <c r="G47" s="214">
        <v>6639</v>
      </c>
      <c r="H47" s="214">
        <v>113606</v>
      </c>
      <c r="I47" s="214">
        <v>254005</v>
      </c>
      <c r="J47" s="281">
        <v>2699311</v>
      </c>
      <c r="K47" s="214">
        <v>3603230</v>
      </c>
      <c r="L47" s="66">
        <f>SUM(L53:L53)</f>
        <v>1781346</v>
      </c>
      <c r="M47" s="66">
        <f>SUM(M48:M53)</f>
        <v>11891.04</v>
      </c>
      <c r="N47" s="215">
        <f>SUM(N48:N53)</f>
        <v>1099.52</v>
      </c>
      <c r="O47" s="66">
        <f>SUM(O48:O53)</f>
        <v>5300</v>
      </c>
      <c r="P47" s="66">
        <f>P48+P53</f>
        <v>0</v>
      </c>
      <c r="Q47" s="66">
        <f>SUM(Q48:Q53)</f>
        <v>49221</v>
      </c>
      <c r="R47" s="67">
        <f t="shared" si="0"/>
        <v>54521</v>
      </c>
    </row>
    <row r="48" spans="2:18" ht="15">
      <c r="B48" s="732"/>
      <c r="C48" s="763"/>
      <c r="D48" s="383" t="s">
        <v>319</v>
      </c>
      <c r="E48" s="384"/>
      <c r="F48" s="384"/>
      <c r="G48" s="384"/>
      <c r="H48" s="384"/>
      <c r="I48" s="383"/>
      <c r="J48" s="385"/>
      <c r="K48" s="386"/>
      <c r="L48" s="308"/>
      <c r="M48" s="87">
        <v>11891.04</v>
      </c>
      <c r="N48" s="387">
        <v>1099.52</v>
      </c>
      <c r="O48" s="471"/>
      <c r="P48" s="471"/>
      <c r="Q48" s="471"/>
      <c r="R48" s="388">
        <f t="shared" si="0"/>
        <v>0</v>
      </c>
    </row>
    <row r="49" spans="2:18" ht="15">
      <c r="B49" s="733"/>
      <c r="C49" s="764"/>
      <c r="D49" s="389" t="s">
        <v>420</v>
      </c>
      <c r="E49" s="390"/>
      <c r="F49" s="390"/>
      <c r="G49" s="390"/>
      <c r="H49" s="390"/>
      <c r="I49" s="389"/>
      <c r="J49" s="391"/>
      <c r="K49" s="392"/>
      <c r="L49" s="310"/>
      <c r="M49" s="310"/>
      <c r="N49" s="393"/>
      <c r="O49" s="89">
        <v>5300</v>
      </c>
      <c r="P49" s="393"/>
      <c r="Q49" s="89"/>
      <c r="R49" s="434">
        <f t="shared" si="0"/>
        <v>5300</v>
      </c>
    </row>
    <row r="50" spans="2:18" ht="15">
      <c r="B50" s="733"/>
      <c r="C50" s="764"/>
      <c r="D50" s="389" t="s">
        <v>117</v>
      </c>
      <c r="E50" s="390"/>
      <c r="F50" s="390"/>
      <c r="G50" s="390"/>
      <c r="H50" s="390"/>
      <c r="I50" s="389"/>
      <c r="J50" s="391"/>
      <c r="K50" s="392"/>
      <c r="L50" s="310"/>
      <c r="M50" s="310"/>
      <c r="N50" s="310"/>
      <c r="O50" s="310"/>
      <c r="P50" s="310"/>
      <c r="Q50" s="310"/>
      <c r="R50" s="434">
        <f t="shared" si="0"/>
        <v>0</v>
      </c>
    </row>
    <row r="51" spans="2:18" ht="15">
      <c r="B51" s="733"/>
      <c r="C51" s="764"/>
      <c r="D51" s="394" t="s">
        <v>118</v>
      </c>
      <c r="E51" s="395"/>
      <c r="F51" s="395"/>
      <c r="G51" s="395"/>
      <c r="H51" s="395"/>
      <c r="I51" s="394"/>
      <c r="J51" s="396"/>
      <c r="K51" s="397"/>
      <c r="L51" s="398"/>
      <c r="M51" s="398"/>
      <c r="N51" s="398"/>
      <c r="O51" s="398"/>
      <c r="P51" s="398"/>
      <c r="Q51" s="398"/>
      <c r="R51" s="434">
        <f t="shared" si="0"/>
        <v>0</v>
      </c>
    </row>
    <row r="52" spans="2:18" ht="15">
      <c r="B52" s="733"/>
      <c r="C52" s="764"/>
      <c r="D52" s="394" t="s">
        <v>381</v>
      </c>
      <c r="E52" s="395"/>
      <c r="F52" s="395"/>
      <c r="G52" s="395"/>
      <c r="H52" s="395"/>
      <c r="I52" s="394"/>
      <c r="J52" s="396"/>
      <c r="K52" s="397"/>
      <c r="L52" s="398"/>
      <c r="M52" s="398"/>
      <c r="N52" s="398"/>
      <c r="O52" s="398"/>
      <c r="P52" s="398"/>
      <c r="Q52" s="91">
        <v>4221</v>
      </c>
      <c r="R52" s="434">
        <f t="shared" si="0"/>
        <v>4221</v>
      </c>
    </row>
    <row r="53" spans="2:18" ht="13.5" thickBot="1">
      <c r="B53" s="734"/>
      <c r="C53" s="765"/>
      <c r="D53" s="45" t="s">
        <v>430</v>
      </c>
      <c r="E53" s="47"/>
      <c r="F53" s="47"/>
      <c r="G53" s="47"/>
      <c r="H53" s="47"/>
      <c r="I53" s="58"/>
      <c r="J53" s="399"/>
      <c r="K53" s="400"/>
      <c r="L53" s="47">
        <v>1781346</v>
      </c>
      <c r="M53" s="76"/>
      <c r="N53" s="76"/>
      <c r="O53" s="211">
        <v>0</v>
      </c>
      <c r="P53" s="211"/>
      <c r="Q53" s="211">
        <v>45000</v>
      </c>
      <c r="R53" s="77">
        <f>O53+P53+Q53</f>
        <v>45000</v>
      </c>
    </row>
    <row r="54" spans="2:18" ht="15.75" thickBot="1">
      <c r="B54" s="363" t="s">
        <v>171</v>
      </c>
      <c r="C54" s="758" t="s">
        <v>170</v>
      </c>
      <c r="D54" s="758"/>
      <c r="E54" s="235">
        <v>38040</v>
      </c>
      <c r="F54" s="235">
        <v>144792</v>
      </c>
      <c r="G54" s="235">
        <v>36414</v>
      </c>
      <c r="H54" s="235">
        <v>3228</v>
      </c>
      <c r="I54" s="235">
        <v>15058</v>
      </c>
      <c r="J54" s="381"/>
      <c r="K54" s="382"/>
      <c r="L54" s="108">
        <f>SUM(L55:L56)</f>
        <v>0</v>
      </c>
      <c r="M54" s="108">
        <f>SUM(M55:M56)</f>
        <v>26868.72</v>
      </c>
      <c r="N54" s="617">
        <f>SUM(N55:N56)</f>
        <v>555131.6</v>
      </c>
      <c r="O54" s="66">
        <f>O55+O56+O57</f>
        <v>10200</v>
      </c>
      <c r="P54" s="66">
        <f>P55+P56+P57</f>
        <v>0</v>
      </c>
      <c r="Q54" s="66">
        <f>Q55+Q56+Q57</f>
        <v>0</v>
      </c>
      <c r="R54" s="67">
        <f>O54+P54+Q54</f>
        <v>10200</v>
      </c>
    </row>
    <row r="55" spans="2:18" ht="14.25" customHeight="1">
      <c r="B55" s="732"/>
      <c r="C55" s="766"/>
      <c r="D55" s="40" t="s">
        <v>417</v>
      </c>
      <c r="E55" s="94"/>
      <c r="F55" s="94"/>
      <c r="G55" s="94"/>
      <c r="H55" s="94"/>
      <c r="I55" s="54"/>
      <c r="J55" s="371"/>
      <c r="K55" s="372"/>
      <c r="L55" s="402"/>
      <c r="M55" s="402">
        <v>11891.04</v>
      </c>
      <c r="N55" s="640">
        <v>555131.6</v>
      </c>
      <c r="O55" s="472">
        <v>9000</v>
      </c>
      <c r="P55" s="472"/>
      <c r="Q55" s="472"/>
      <c r="R55" s="403">
        <f t="shared" si="0"/>
        <v>9000</v>
      </c>
    </row>
    <row r="56" spans="2:18" ht="13.5" customHeight="1">
      <c r="B56" s="733"/>
      <c r="C56" s="767"/>
      <c r="D56" s="42" t="s">
        <v>377</v>
      </c>
      <c r="E56" s="69"/>
      <c r="F56" s="69"/>
      <c r="G56" s="69"/>
      <c r="H56" s="69"/>
      <c r="I56" s="68"/>
      <c r="J56" s="375"/>
      <c r="K56" s="376"/>
      <c r="L56" s="69"/>
      <c r="M56" s="25">
        <v>14977.68</v>
      </c>
      <c r="N56" s="25"/>
      <c r="O56" s="43"/>
      <c r="P56" s="43"/>
      <c r="Q56" s="43"/>
      <c r="R56" s="26">
        <f t="shared" si="0"/>
        <v>0</v>
      </c>
    </row>
    <row r="57" spans="2:18" ht="13.5" thickBot="1">
      <c r="B57" s="734"/>
      <c r="C57" s="768"/>
      <c r="D57" s="146" t="s">
        <v>418</v>
      </c>
      <c r="E57" s="69"/>
      <c r="F57" s="69"/>
      <c r="G57" s="69"/>
      <c r="H57" s="69"/>
      <c r="I57" s="68"/>
      <c r="J57" s="375"/>
      <c r="K57" s="376"/>
      <c r="L57" s="69"/>
      <c r="M57" s="69"/>
      <c r="N57" s="69"/>
      <c r="O57" s="243">
        <v>1200</v>
      </c>
      <c r="P57" s="243"/>
      <c r="Q57" s="243"/>
      <c r="R57" s="70">
        <v>1200</v>
      </c>
    </row>
    <row r="58" spans="2:18" ht="15.75" thickBot="1">
      <c r="B58" s="363" t="s">
        <v>148</v>
      </c>
      <c r="C58" s="758" t="s">
        <v>131</v>
      </c>
      <c r="D58" s="758"/>
      <c r="E58" s="235">
        <v>326960</v>
      </c>
      <c r="F58" s="235">
        <v>144858</v>
      </c>
      <c r="G58" s="235">
        <v>123880</v>
      </c>
      <c r="H58" s="235">
        <v>20761</v>
      </c>
      <c r="I58" s="235">
        <v>158221</v>
      </c>
      <c r="J58" s="138">
        <v>92051</v>
      </c>
      <c r="K58" s="235">
        <v>68225</v>
      </c>
      <c r="L58" s="66">
        <f aca="true" t="shared" si="1" ref="L58:Q58">SUM(L59:L78)</f>
        <v>16198</v>
      </c>
      <c r="M58" s="66">
        <f t="shared" si="1"/>
        <v>1305435.64</v>
      </c>
      <c r="N58" s="215">
        <f t="shared" si="1"/>
        <v>139207.66</v>
      </c>
      <c r="O58" s="66">
        <f t="shared" si="1"/>
        <v>41600</v>
      </c>
      <c r="P58" s="66">
        <f t="shared" si="1"/>
        <v>0</v>
      </c>
      <c r="Q58" s="66">
        <f t="shared" si="1"/>
        <v>0</v>
      </c>
      <c r="R58" s="67">
        <f t="shared" si="0"/>
        <v>41600</v>
      </c>
    </row>
    <row r="59" spans="2:18" ht="12.75">
      <c r="B59" s="705"/>
      <c r="C59" s="759"/>
      <c r="D59" s="404" t="s">
        <v>378</v>
      </c>
      <c r="E59" s="405"/>
      <c r="F59" s="405"/>
      <c r="G59" s="405"/>
      <c r="H59" s="405"/>
      <c r="I59" s="406"/>
      <c r="J59" s="407"/>
      <c r="K59" s="408"/>
      <c r="L59" s="94"/>
      <c r="M59" s="94"/>
      <c r="N59" s="637">
        <v>1289.08</v>
      </c>
      <c r="O59" s="43"/>
      <c r="P59" s="43"/>
      <c r="Q59" s="43"/>
      <c r="R59" s="26">
        <f t="shared" si="0"/>
        <v>0</v>
      </c>
    </row>
    <row r="60" spans="2:18" ht="12.75" hidden="1">
      <c r="B60" s="706"/>
      <c r="C60" s="760"/>
      <c r="D60" s="227" t="s">
        <v>379</v>
      </c>
      <c r="E60" s="409"/>
      <c r="F60" s="409"/>
      <c r="G60" s="409"/>
      <c r="H60" s="409"/>
      <c r="I60" s="410"/>
      <c r="J60" s="411"/>
      <c r="K60" s="290"/>
      <c r="L60" s="25"/>
      <c r="M60" s="21"/>
      <c r="N60" s="119">
        <v>0</v>
      </c>
      <c r="O60" s="43"/>
      <c r="P60" s="43"/>
      <c r="Q60" s="43"/>
      <c r="R60" s="26">
        <f t="shared" si="0"/>
        <v>0</v>
      </c>
    </row>
    <row r="61" spans="2:18" ht="12.75" hidden="1">
      <c r="B61" s="706"/>
      <c r="C61" s="760"/>
      <c r="D61" s="227" t="s">
        <v>380</v>
      </c>
      <c r="E61" s="409"/>
      <c r="F61" s="409"/>
      <c r="G61" s="409"/>
      <c r="H61" s="409"/>
      <c r="I61" s="410"/>
      <c r="J61" s="411"/>
      <c r="K61" s="290"/>
      <c r="L61" s="25"/>
      <c r="M61" s="21"/>
      <c r="N61" s="119">
        <v>0</v>
      </c>
      <c r="O61" s="43"/>
      <c r="P61" s="43"/>
      <c r="Q61" s="43"/>
      <c r="R61" s="26">
        <f t="shared" si="0"/>
        <v>0</v>
      </c>
    </row>
    <row r="62" spans="2:18" ht="12.75" hidden="1">
      <c r="B62" s="706"/>
      <c r="C62" s="760"/>
      <c r="D62" s="227" t="s">
        <v>381</v>
      </c>
      <c r="E62" s="409"/>
      <c r="F62" s="409"/>
      <c r="G62" s="409"/>
      <c r="H62" s="409"/>
      <c r="I62" s="410"/>
      <c r="J62" s="411"/>
      <c r="K62" s="290"/>
      <c r="L62" s="25"/>
      <c r="M62" s="21"/>
      <c r="N62" s="119">
        <v>0</v>
      </c>
      <c r="O62" s="43"/>
      <c r="P62" s="43"/>
      <c r="Q62" s="43"/>
      <c r="R62" s="26">
        <f t="shared" si="0"/>
        <v>0</v>
      </c>
    </row>
    <row r="63" spans="2:18" ht="12.75" hidden="1">
      <c r="B63" s="706"/>
      <c r="C63" s="760"/>
      <c r="D63" s="227" t="s">
        <v>382</v>
      </c>
      <c r="E63" s="409"/>
      <c r="F63" s="409"/>
      <c r="G63" s="409"/>
      <c r="H63" s="409"/>
      <c r="I63" s="410"/>
      <c r="J63" s="411"/>
      <c r="K63" s="290"/>
      <c r="L63" s="25"/>
      <c r="M63" s="21"/>
      <c r="N63" s="119">
        <v>0</v>
      </c>
      <c r="O63" s="43"/>
      <c r="P63" s="43"/>
      <c r="Q63" s="43"/>
      <c r="R63" s="26">
        <f t="shared" si="0"/>
        <v>0</v>
      </c>
    </row>
    <row r="64" spans="2:18" ht="12.75" hidden="1">
      <c r="B64" s="706"/>
      <c r="C64" s="760"/>
      <c r="D64" s="412" t="s">
        <v>383</v>
      </c>
      <c r="E64" s="413"/>
      <c r="F64" s="413"/>
      <c r="G64" s="413"/>
      <c r="H64" s="413"/>
      <c r="I64" s="414"/>
      <c r="J64" s="415"/>
      <c r="K64" s="416"/>
      <c r="L64" s="29"/>
      <c r="M64" s="69"/>
      <c r="N64" s="117">
        <v>0</v>
      </c>
      <c r="O64" s="43"/>
      <c r="P64" s="43"/>
      <c r="Q64" s="43"/>
      <c r="R64" s="26">
        <f t="shared" si="0"/>
        <v>0</v>
      </c>
    </row>
    <row r="65" spans="2:18" ht="12.75" hidden="1">
      <c r="B65" s="706"/>
      <c r="C65" s="760"/>
      <c r="D65" s="417" t="s">
        <v>384</v>
      </c>
      <c r="E65" s="418"/>
      <c r="F65" s="418"/>
      <c r="G65" s="418"/>
      <c r="H65" s="418"/>
      <c r="I65" s="419"/>
      <c r="J65" s="420"/>
      <c r="K65" s="421"/>
      <c r="L65" s="29"/>
      <c r="M65" s="69"/>
      <c r="N65" s="117">
        <v>0</v>
      </c>
      <c r="O65" s="43"/>
      <c r="P65" s="43"/>
      <c r="Q65" s="43"/>
      <c r="R65" s="26">
        <f t="shared" si="0"/>
        <v>0</v>
      </c>
    </row>
    <row r="66" spans="2:18" ht="12.75" hidden="1">
      <c r="B66" s="706"/>
      <c r="C66" s="760"/>
      <c r="D66" s="227" t="s">
        <v>385</v>
      </c>
      <c r="E66" s="418"/>
      <c r="F66" s="418"/>
      <c r="G66" s="418"/>
      <c r="H66" s="418"/>
      <c r="I66" s="419"/>
      <c r="J66" s="420"/>
      <c r="K66" s="421"/>
      <c r="L66" s="29"/>
      <c r="M66" s="69"/>
      <c r="N66" s="117">
        <v>0</v>
      </c>
      <c r="O66" s="43"/>
      <c r="P66" s="43"/>
      <c r="Q66" s="43"/>
      <c r="R66" s="26">
        <f t="shared" si="0"/>
        <v>0</v>
      </c>
    </row>
    <row r="67" spans="2:18" ht="12.75" hidden="1">
      <c r="B67" s="706"/>
      <c r="C67" s="760"/>
      <c r="D67" s="42" t="s">
        <v>386</v>
      </c>
      <c r="E67" s="25"/>
      <c r="F67" s="25"/>
      <c r="G67" s="25"/>
      <c r="H67" s="25"/>
      <c r="I67" s="57"/>
      <c r="J67" s="365"/>
      <c r="K67" s="366"/>
      <c r="L67" s="25"/>
      <c r="M67" s="25"/>
      <c r="N67" s="206">
        <v>0</v>
      </c>
      <c r="O67" s="43"/>
      <c r="P67" s="43"/>
      <c r="Q67" s="43"/>
      <c r="R67" s="26">
        <f t="shared" si="0"/>
        <v>0</v>
      </c>
    </row>
    <row r="68" spans="2:18" ht="12.75" hidden="1">
      <c r="B68" s="706"/>
      <c r="C68" s="760"/>
      <c r="D68" s="42" t="s">
        <v>387</v>
      </c>
      <c r="E68" s="25"/>
      <c r="F68" s="25"/>
      <c r="G68" s="25"/>
      <c r="H68" s="25"/>
      <c r="I68" s="57"/>
      <c r="J68" s="365"/>
      <c r="K68" s="366"/>
      <c r="L68" s="25">
        <v>7632</v>
      </c>
      <c r="M68" s="25"/>
      <c r="N68" s="206">
        <v>0</v>
      </c>
      <c r="O68" s="43"/>
      <c r="P68" s="43"/>
      <c r="Q68" s="43"/>
      <c r="R68" s="26">
        <f t="shared" si="0"/>
        <v>0</v>
      </c>
    </row>
    <row r="69" spans="2:18" ht="12.75">
      <c r="B69" s="706"/>
      <c r="C69" s="760"/>
      <c r="D69" s="42" t="s">
        <v>408</v>
      </c>
      <c r="E69" s="25"/>
      <c r="F69" s="25"/>
      <c r="G69" s="25"/>
      <c r="H69" s="25"/>
      <c r="I69" s="57"/>
      <c r="J69" s="365"/>
      <c r="K69" s="366"/>
      <c r="L69" s="25"/>
      <c r="M69" s="25"/>
      <c r="N69" s="206">
        <v>0</v>
      </c>
      <c r="O69" s="43">
        <v>12000</v>
      </c>
      <c r="P69" s="43"/>
      <c r="Q69" s="43"/>
      <c r="R69" s="26">
        <f aca="true" t="shared" si="2" ref="R69:R104">O69+P69+Q69</f>
        <v>12000</v>
      </c>
    </row>
    <row r="70" spans="2:18" ht="12.75">
      <c r="B70" s="706"/>
      <c r="C70" s="760"/>
      <c r="D70" s="42" t="s">
        <v>388</v>
      </c>
      <c r="E70" s="25"/>
      <c r="F70" s="25"/>
      <c r="G70" s="25"/>
      <c r="H70" s="25"/>
      <c r="I70" s="57"/>
      <c r="J70" s="365"/>
      <c r="K70" s="366"/>
      <c r="L70" s="25">
        <v>0</v>
      </c>
      <c r="M70" s="25"/>
      <c r="N70" s="206">
        <v>0</v>
      </c>
      <c r="O70" s="43"/>
      <c r="P70" s="43"/>
      <c r="Q70" s="43"/>
      <c r="R70" s="26">
        <f t="shared" si="2"/>
        <v>0</v>
      </c>
    </row>
    <row r="71" spans="2:18" ht="12.75">
      <c r="B71" s="706"/>
      <c r="C71" s="760"/>
      <c r="D71" s="42" t="s">
        <v>389</v>
      </c>
      <c r="E71" s="25"/>
      <c r="F71" s="25"/>
      <c r="G71" s="25"/>
      <c r="H71" s="25"/>
      <c r="I71" s="57"/>
      <c r="J71" s="365"/>
      <c r="K71" s="366"/>
      <c r="L71" s="25">
        <v>0</v>
      </c>
      <c r="M71" s="25">
        <v>1302435.64</v>
      </c>
      <c r="N71" s="206">
        <v>95467.84</v>
      </c>
      <c r="O71" s="43"/>
      <c r="P71" s="43"/>
      <c r="Q71" s="43"/>
      <c r="R71" s="26">
        <f t="shared" si="2"/>
        <v>0</v>
      </c>
    </row>
    <row r="72" spans="2:18" ht="12.75">
      <c r="B72" s="706"/>
      <c r="C72" s="760"/>
      <c r="D72" s="42" t="s">
        <v>390</v>
      </c>
      <c r="E72" s="25"/>
      <c r="F72" s="25"/>
      <c r="G72" s="25"/>
      <c r="H72" s="25"/>
      <c r="I72" s="57"/>
      <c r="J72" s="365"/>
      <c r="K72" s="366"/>
      <c r="L72" s="25"/>
      <c r="M72" s="25"/>
      <c r="N72" s="206">
        <v>38905.74</v>
      </c>
      <c r="O72" s="43"/>
      <c r="P72" s="43"/>
      <c r="Q72" s="43"/>
      <c r="R72" s="26">
        <f t="shared" si="2"/>
        <v>0</v>
      </c>
    </row>
    <row r="73" spans="2:18" ht="12.75" hidden="1">
      <c r="B73" s="706"/>
      <c r="C73" s="760"/>
      <c r="D73" s="42" t="s">
        <v>391</v>
      </c>
      <c r="E73" s="25"/>
      <c r="F73" s="25"/>
      <c r="G73" s="25"/>
      <c r="H73" s="25"/>
      <c r="I73" s="57"/>
      <c r="J73" s="365"/>
      <c r="K73" s="366"/>
      <c r="L73" s="25"/>
      <c r="M73" s="25"/>
      <c r="N73" s="206">
        <v>0</v>
      </c>
      <c r="O73" s="43"/>
      <c r="P73" s="43"/>
      <c r="Q73" s="43"/>
      <c r="R73" s="26">
        <f t="shared" si="2"/>
        <v>0</v>
      </c>
    </row>
    <row r="74" spans="2:18" ht="12.75" hidden="1">
      <c r="B74" s="706"/>
      <c r="C74" s="760"/>
      <c r="D74" s="42" t="s">
        <v>392</v>
      </c>
      <c r="E74" s="25"/>
      <c r="F74" s="25"/>
      <c r="G74" s="25"/>
      <c r="H74" s="25"/>
      <c r="I74" s="57"/>
      <c r="J74" s="365"/>
      <c r="K74" s="366"/>
      <c r="L74" s="25"/>
      <c r="M74" s="25"/>
      <c r="N74" s="206">
        <v>0</v>
      </c>
      <c r="O74" s="43"/>
      <c r="P74" s="43"/>
      <c r="Q74" s="43"/>
      <c r="R74" s="26">
        <f t="shared" si="2"/>
        <v>0</v>
      </c>
    </row>
    <row r="75" spans="2:18" ht="12.75">
      <c r="B75" s="706"/>
      <c r="C75" s="760"/>
      <c r="D75" s="42" t="s">
        <v>440</v>
      </c>
      <c r="E75" s="25"/>
      <c r="F75" s="25"/>
      <c r="G75" s="25"/>
      <c r="H75" s="25"/>
      <c r="I75" s="57"/>
      <c r="J75" s="365"/>
      <c r="K75" s="366"/>
      <c r="L75" s="25">
        <v>8090</v>
      </c>
      <c r="M75" s="25"/>
      <c r="N75" s="206">
        <v>0</v>
      </c>
      <c r="O75" s="43">
        <v>5300</v>
      </c>
      <c r="P75" s="43"/>
      <c r="Q75" s="43"/>
      <c r="R75" s="26">
        <f t="shared" si="2"/>
        <v>5300</v>
      </c>
    </row>
    <row r="76" spans="2:18" ht="12.75">
      <c r="B76" s="706"/>
      <c r="C76" s="760"/>
      <c r="D76" s="42" t="s">
        <v>439</v>
      </c>
      <c r="E76" s="25"/>
      <c r="F76" s="25"/>
      <c r="G76" s="25"/>
      <c r="H76" s="25"/>
      <c r="I76" s="57"/>
      <c r="J76" s="365"/>
      <c r="K76" s="366"/>
      <c r="L76" s="25"/>
      <c r="M76" s="25"/>
      <c r="N76" s="206"/>
      <c r="O76" s="43">
        <v>24300</v>
      </c>
      <c r="P76" s="43"/>
      <c r="Q76" s="43"/>
      <c r="R76" s="26">
        <f t="shared" si="2"/>
        <v>24300</v>
      </c>
    </row>
    <row r="77" spans="2:18" ht="12.75">
      <c r="B77" s="706"/>
      <c r="C77" s="760"/>
      <c r="D77" s="42" t="s">
        <v>393</v>
      </c>
      <c r="E77" s="29"/>
      <c r="F77" s="29"/>
      <c r="G77" s="29"/>
      <c r="H77" s="29"/>
      <c r="I77" s="65"/>
      <c r="J77" s="367"/>
      <c r="K77" s="368"/>
      <c r="L77" s="29"/>
      <c r="M77" s="29"/>
      <c r="N77" s="224"/>
      <c r="O77" s="43"/>
      <c r="P77" s="43"/>
      <c r="Q77" s="43"/>
      <c r="R77" s="26">
        <f t="shared" si="2"/>
        <v>0</v>
      </c>
    </row>
    <row r="78" spans="2:18" ht="13.5" thickBot="1">
      <c r="B78" s="707"/>
      <c r="C78" s="762"/>
      <c r="D78" s="116" t="s">
        <v>381</v>
      </c>
      <c r="E78" s="47"/>
      <c r="F78" s="47"/>
      <c r="G78" s="47"/>
      <c r="H78" s="47"/>
      <c r="I78" s="58"/>
      <c r="J78" s="399"/>
      <c r="K78" s="400"/>
      <c r="L78" s="47">
        <v>476</v>
      </c>
      <c r="M78" s="47">
        <v>3000</v>
      </c>
      <c r="N78" s="637">
        <v>3545</v>
      </c>
      <c r="O78" s="73"/>
      <c r="P78" s="73"/>
      <c r="Q78" s="73"/>
      <c r="R78" s="30">
        <f t="shared" si="2"/>
        <v>0</v>
      </c>
    </row>
    <row r="79" spans="2:18" ht="15.75" hidden="1" thickBot="1">
      <c r="B79" s="294" t="s">
        <v>394</v>
      </c>
      <c r="C79" s="673" t="s">
        <v>323</v>
      </c>
      <c r="D79" s="674"/>
      <c r="E79" s="422"/>
      <c r="F79" s="422"/>
      <c r="G79" s="422"/>
      <c r="H79" s="422"/>
      <c r="I79" s="270"/>
      <c r="J79" s="423"/>
      <c r="K79" s="424"/>
      <c r="L79" s="401"/>
      <c r="M79" s="401"/>
      <c r="N79" s="401"/>
      <c r="O79" s="66"/>
      <c r="P79" s="66"/>
      <c r="Q79" s="66"/>
      <c r="R79" s="67">
        <f t="shared" si="2"/>
        <v>0</v>
      </c>
    </row>
    <row r="80" spans="2:18" ht="12.75" hidden="1">
      <c r="B80" s="362"/>
      <c r="C80" s="364"/>
      <c r="D80" s="42" t="s">
        <v>395</v>
      </c>
      <c r="E80" s="25"/>
      <c r="F80" s="25"/>
      <c r="G80" s="25"/>
      <c r="H80" s="25"/>
      <c r="I80" s="57"/>
      <c r="J80" s="365"/>
      <c r="K80" s="366"/>
      <c r="L80" s="25"/>
      <c r="M80" s="25"/>
      <c r="N80" s="25"/>
      <c r="O80" s="43"/>
      <c r="P80" s="43"/>
      <c r="Q80" s="43"/>
      <c r="R80" s="26">
        <f t="shared" si="2"/>
        <v>0</v>
      </c>
    </row>
    <row r="81" spans="2:18" ht="12.75" hidden="1">
      <c r="B81" s="362"/>
      <c r="C81" s="364"/>
      <c r="D81" s="42"/>
      <c r="E81" s="25"/>
      <c r="F81" s="25"/>
      <c r="G81" s="25"/>
      <c r="H81" s="25"/>
      <c r="I81" s="57"/>
      <c r="J81" s="365"/>
      <c r="K81" s="366"/>
      <c r="L81" s="25"/>
      <c r="M81" s="25"/>
      <c r="N81" s="25"/>
      <c r="O81" s="43"/>
      <c r="P81" s="43"/>
      <c r="Q81" s="43"/>
      <c r="R81" s="26">
        <f t="shared" si="2"/>
        <v>0</v>
      </c>
    </row>
    <row r="82" spans="2:18" ht="13.5" hidden="1" thickBot="1">
      <c r="B82" s="362"/>
      <c r="C82" s="364"/>
      <c r="D82" s="46"/>
      <c r="E82" s="29"/>
      <c r="F82" s="29"/>
      <c r="G82" s="29"/>
      <c r="H82" s="29"/>
      <c r="I82" s="65"/>
      <c r="J82" s="367"/>
      <c r="K82" s="368"/>
      <c r="L82" s="29"/>
      <c r="M82" s="29"/>
      <c r="N82" s="29"/>
      <c r="O82" s="73"/>
      <c r="P82" s="73"/>
      <c r="Q82" s="73"/>
      <c r="R82" s="30">
        <f t="shared" si="2"/>
        <v>0</v>
      </c>
    </row>
    <row r="83" spans="2:18" ht="15.75" thickBot="1">
      <c r="B83" s="363" t="s">
        <v>39</v>
      </c>
      <c r="C83" s="758" t="s">
        <v>40</v>
      </c>
      <c r="D83" s="758"/>
      <c r="E83" s="235">
        <v>8298</v>
      </c>
      <c r="F83" s="235">
        <v>3983</v>
      </c>
      <c r="G83" s="235">
        <v>175065</v>
      </c>
      <c r="H83" s="235">
        <v>138049</v>
      </c>
      <c r="I83" s="235">
        <v>127764</v>
      </c>
      <c r="J83" s="138">
        <v>149292</v>
      </c>
      <c r="K83" s="235">
        <v>3000</v>
      </c>
      <c r="L83" s="66">
        <f>SUM(L89:L91)</f>
        <v>6455</v>
      </c>
      <c r="M83" s="66">
        <f>SUM(M84:M91)</f>
        <v>131475.39</v>
      </c>
      <c r="N83" s="215">
        <f>SUM(N84:N91)</f>
        <v>1775474.1500000001</v>
      </c>
      <c r="O83" s="66">
        <f>SUM(O84:O91)</f>
        <v>13400</v>
      </c>
      <c r="P83" s="66">
        <f>SUM(P84:P91)</f>
        <v>0</v>
      </c>
      <c r="Q83" s="66">
        <f>SUM(Q84:Q91)</f>
        <v>0</v>
      </c>
      <c r="R83" s="67">
        <f t="shared" si="2"/>
        <v>13400</v>
      </c>
    </row>
    <row r="84" spans="2:18" ht="12.75">
      <c r="B84" s="732"/>
      <c r="C84" s="763"/>
      <c r="D84" s="383" t="s">
        <v>315</v>
      </c>
      <c r="E84" s="425"/>
      <c r="F84" s="425"/>
      <c r="G84" s="425"/>
      <c r="H84" s="425"/>
      <c r="I84" s="426"/>
      <c r="J84" s="427"/>
      <c r="K84" s="428"/>
      <c r="L84" s="144"/>
      <c r="M84" s="144">
        <v>123141.28</v>
      </c>
      <c r="N84" s="638">
        <f>3237.4+876858.72+722338.77</f>
        <v>1602434.8900000001</v>
      </c>
      <c r="O84" s="87">
        <v>8000</v>
      </c>
      <c r="P84" s="87"/>
      <c r="Q84" s="87"/>
      <c r="R84" s="429">
        <f t="shared" si="2"/>
        <v>8000</v>
      </c>
    </row>
    <row r="85" spans="2:18" ht="12.75">
      <c r="B85" s="733"/>
      <c r="C85" s="764"/>
      <c r="D85" s="389" t="s">
        <v>174</v>
      </c>
      <c r="E85" s="430"/>
      <c r="F85" s="430"/>
      <c r="G85" s="430"/>
      <c r="H85" s="430"/>
      <c r="I85" s="431"/>
      <c r="J85" s="432"/>
      <c r="K85" s="433"/>
      <c r="L85" s="20"/>
      <c r="M85" s="20"/>
      <c r="N85" s="639">
        <f>18221-128.61</f>
        <v>18092.39</v>
      </c>
      <c r="O85" s="89">
        <v>3400</v>
      </c>
      <c r="P85" s="89"/>
      <c r="Q85" s="89"/>
      <c r="R85" s="434">
        <f t="shared" si="2"/>
        <v>3400</v>
      </c>
    </row>
    <row r="86" spans="2:18" ht="12.75">
      <c r="B86" s="733"/>
      <c r="C86" s="764"/>
      <c r="D86" s="389" t="s">
        <v>396</v>
      </c>
      <c r="E86" s="430"/>
      <c r="F86" s="430"/>
      <c r="G86" s="430"/>
      <c r="H86" s="430"/>
      <c r="I86" s="431"/>
      <c r="J86" s="432"/>
      <c r="K86" s="433"/>
      <c r="L86" s="20"/>
      <c r="M86" s="20"/>
      <c r="N86" s="639">
        <v>16624.5</v>
      </c>
      <c r="O86" s="89"/>
      <c r="P86" s="89"/>
      <c r="Q86" s="89"/>
      <c r="R86" s="434">
        <f t="shared" si="2"/>
        <v>0</v>
      </c>
    </row>
    <row r="87" spans="2:18" ht="12.75">
      <c r="B87" s="733"/>
      <c r="C87" s="764"/>
      <c r="D87" s="389" t="s">
        <v>397</v>
      </c>
      <c r="E87" s="430"/>
      <c r="F87" s="430"/>
      <c r="G87" s="430"/>
      <c r="H87" s="430"/>
      <c r="I87" s="431"/>
      <c r="J87" s="432"/>
      <c r="K87" s="433"/>
      <c r="L87" s="20"/>
      <c r="M87" s="20"/>
      <c r="N87" s="639"/>
      <c r="O87" s="89"/>
      <c r="P87" s="89"/>
      <c r="Q87" s="89"/>
      <c r="R87" s="434">
        <f t="shared" si="2"/>
        <v>0</v>
      </c>
    </row>
    <row r="88" spans="2:18" ht="12.75">
      <c r="B88" s="733"/>
      <c r="C88" s="764"/>
      <c r="D88" s="389" t="s">
        <v>398</v>
      </c>
      <c r="E88" s="430"/>
      <c r="F88" s="430"/>
      <c r="G88" s="430"/>
      <c r="H88" s="430"/>
      <c r="I88" s="431"/>
      <c r="J88" s="432"/>
      <c r="K88" s="433"/>
      <c r="L88" s="20"/>
      <c r="M88" s="20"/>
      <c r="N88" s="639">
        <v>120000</v>
      </c>
      <c r="O88" s="89"/>
      <c r="P88" s="89"/>
      <c r="Q88" s="89"/>
      <c r="R88" s="434">
        <f t="shared" si="2"/>
        <v>0</v>
      </c>
    </row>
    <row r="89" spans="2:18" ht="12.75">
      <c r="B89" s="733"/>
      <c r="C89" s="764"/>
      <c r="D89" s="71" t="s">
        <v>399</v>
      </c>
      <c r="E89" s="21"/>
      <c r="F89" s="21"/>
      <c r="G89" s="21"/>
      <c r="H89" s="21"/>
      <c r="I89" s="55"/>
      <c r="J89" s="373"/>
      <c r="K89" s="374"/>
      <c r="L89" s="21">
        <v>6455</v>
      </c>
      <c r="M89" s="21"/>
      <c r="N89" s="639">
        <v>14992.37</v>
      </c>
      <c r="O89" s="56"/>
      <c r="P89" s="56"/>
      <c r="Q89" s="56"/>
      <c r="R89" s="22">
        <f t="shared" si="2"/>
        <v>0</v>
      </c>
    </row>
    <row r="90" spans="2:18" ht="12.75" hidden="1">
      <c r="B90" s="733"/>
      <c r="C90" s="764"/>
      <c r="D90" s="146" t="s">
        <v>400</v>
      </c>
      <c r="E90" s="69"/>
      <c r="F90" s="69"/>
      <c r="G90" s="69"/>
      <c r="H90" s="69"/>
      <c r="I90" s="68"/>
      <c r="J90" s="375"/>
      <c r="K90" s="376"/>
      <c r="L90" s="69"/>
      <c r="M90" s="43"/>
      <c r="N90" s="206"/>
      <c r="O90" s="56"/>
      <c r="P90" s="56"/>
      <c r="Q90" s="56"/>
      <c r="R90" s="22">
        <f t="shared" si="2"/>
        <v>0</v>
      </c>
    </row>
    <row r="91" spans="2:18" ht="13.5" thickBot="1">
      <c r="B91" s="734"/>
      <c r="C91" s="765"/>
      <c r="D91" s="45" t="s">
        <v>401</v>
      </c>
      <c r="E91" s="47"/>
      <c r="F91" s="47"/>
      <c r="G91" s="47"/>
      <c r="H91" s="47"/>
      <c r="I91" s="58"/>
      <c r="J91" s="399"/>
      <c r="K91" s="400"/>
      <c r="L91" s="47"/>
      <c r="M91" s="76">
        <v>8334.11</v>
      </c>
      <c r="N91" s="212">
        <v>3330</v>
      </c>
      <c r="O91" s="211">
        <v>2000</v>
      </c>
      <c r="P91" s="211"/>
      <c r="Q91" s="211"/>
      <c r="R91" s="77">
        <f t="shared" si="2"/>
        <v>2000</v>
      </c>
    </row>
    <row r="92" spans="2:18" ht="15.75" thickBot="1">
      <c r="B92" s="363" t="s">
        <v>146</v>
      </c>
      <c r="C92" s="758" t="s">
        <v>184</v>
      </c>
      <c r="D92" s="758"/>
      <c r="E92" s="235"/>
      <c r="F92" s="235">
        <v>22472</v>
      </c>
      <c r="G92" s="235">
        <v>20713</v>
      </c>
      <c r="H92" s="235">
        <v>11074</v>
      </c>
      <c r="I92" s="235">
        <v>15914</v>
      </c>
      <c r="J92" s="138">
        <v>116842</v>
      </c>
      <c r="K92" s="235">
        <v>38905</v>
      </c>
      <c r="L92" s="66">
        <f aca="true" t="shared" si="3" ref="L92:Q92">SUM(L93:L95)</f>
        <v>15848</v>
      </c>
      <c r="M92" s="66">
        <f t="shared" si="3"/>
        <v>26915.190000000002</v>
      </c>
      <c r="N92" s="215">
        <f t="shared" si="3"/>
        <v>9771.24</v>
      </c>
      <c r="O92" s="66">
        <f t="shared" si="3"/>
        <v>65000</v>
      </c>
      <c r="P92" s="66">
        <f t="shared" si="3"/>
        <v>0</v>
      </c>
      <c r="Q92" s="66">
        <f t="shared" si="3"/>
        <v>0</v>
      </c>
      <c r="R92" s="67">
        <f>O92+P92+Q92</f>
        <v>65000</v>
      </c>
    </row>
    <row r="93" spans="2:18" ht="12.75">
      <c r="B93" s="705"/>
      <c r="C93" s="759"/>
      <c r="D93" s="40" t="s">
        <v>402</v>
      </c>
      <c r="E93" s="94"/>
      <c r="F93" s="94"/>
      <c r="G93" s="94"/>
      <c r="H93" s="94"/>
      <c r="I93" s="54"/>
      <c r="J93" s="371"/>
      <c r="K93" s="372"/>
      <c r="L93" s="94">
        <v>7000</v>
      </c>
      <c r="M93" s="21">
        <v>16662.2</v>
      </c>
      <c r="N93" s="119"/>
      <c r="O93" s="56"/>
      <c r="P93" s="56"/>
      <c r="Q93" s="56"/>
      <c r="R93" s="22">
        <f t="shared" si="2"/>
        <v>0</v>
      </c>
    </row>
    <row r="94" spans="2:18" ht="12.75">
      <c r="B94" s="706"/>
      <c r="C94" s="760"/>
      <c r="D94" s="146" t="s">
        <v>289</v>
      </c>
      <c r="E94" s="69"/>
      <c r="F94" s="69"/>
      <c r="G94" s="69"/>
      <c r="H94" s="69"/>
      <c r="I94" s="68"/>
      <c r="J94" s="375"/>
      <c r="K94" s="376"/>
      <c r="L94" s="69"/>
      <c r="M94" s="69"/>
      <c r="N94" s="117">
        <v>9771.24</v>
      </c>
      <c r="O94" s="89"/>
      <c r="P94" s="89"/>
      <c r="Q94" s="89"/>
      <c r="R94" s="434">
        <f t="shared" si="2"/>
        <v>0</v>
      </c>
    </row>
    <row r="95" spans="2:18" ht="13.5" thickBot="1">
      <c r="B95" s="707"/>
      <c r="C95" s="762"/>
      <c r="D95" s="45" t="s">
        <v>444</v>
      </c>
      <c r="E95" s="47"/>
      <c r="F95" s="47"/>
      <c r="G95" s="47"/>
      <c r="H95" s="47"/>
      <c r="I95" s="58"/>
      <c r="J95" s="399"/>
      <c r="K95" s="400"/>
      <c r="L95" s="47">
        <v>8848</v>
      </c>
      <c r="M95" s="47">
        <v>10252.99</v>
      </c>
      <c r="N95" s="256"/>
      <c r="O95" s="59">
        <v>65000</v>
      </c>
      <c r="P95" s="59"/>
      <c r="Q95" s="59"/>
      <c r="R95" s="48">
        <f t="shared" si="2"/>
        <v>65000</v>
      </c>
    </row>
    <row r="96" spans="2:18" ht="15.75" hidden="1" thickBot="1">
      <c r="B96" s="379" t="s">
        <v>403</v>
      </c>
      <c r="C96" s="669" t="s">
        <v>325</v>
      </c>
      <c r="D96" s="686"/>
      <c r="E96" s="422"/>
      <c r="F96" s="422"/>
      <c r="G96" s="422"/>
      <c r="H96" s="422"/>
      <c r="I96" s="270"/>
      <c r="J96" s="423"/>
      <c r="K96" s="424"/>
      <c r="L96" s="401">
        <v>5500</v>
      </c>
      <c r="M96" s="401"/>
      <c r="N96" s="401">
        <f>N97</f>
        <v>0</v>
      </c>
      <c r="O96" s="78">
        <f>O97</f>
        <v>0</v>
      </c>
      <c r="P96" s="78"/>
      <c r="Q96" s="78"/>
      <c r="R96" s="80">
        <f t="shared" si="2"/>
        <v>0</v>
      </c>
    </row>
    <row r="97" spans="2:18" ht="13.5" hidden="1" thickBot="1">
      <c r="B97" s="362"/>
      <c r="C97" s="364"/>
      <c r="D97" s="116" t="s">
        <v>376</v>
      </c>
      <c r="E97" s="69"/>
      <c r="F97" s="69"/>
      <c r="G97" s="69"/>
      <c r="H97" s="69"/>
      <c r="I97" s="68"/>
      <c r="J97" s="375"/>
      <c r="K97" s="376"/>
      <c r="L97" s="69">
        <v>5500</v>
      </c>
      <c r="M97" s="69"/>
      <c r="N97" s="69"/>
      <c r="O97" s="43"/>
      <c r="P97" s="43"/>
      <c r="Q97" s="43"/>
      <c r="R97" s="26">
        <f t="shared" si="2"/>
        <v>0</v>
      </c>
    </row>
    <row r="98" spans="2:18" ht="15.75" thickBot="1">
      <c r="B98" s="435" t="s">
        <v>329</v>
      </c>
      <c r="C98" s="773" t="s">
        <v>330</v>
      </c>
      <c r="D98" s="773"/>
      <c r="E98" s="235">
        <v>666567</v>
      </c>
      <c r="F98" s="235">
        <v>223164</v>
      </c>
      <c r="G98" s="235">
        <v>527019</v>
      </c>
      <c r="H98" s="235">
        <v>279677</v>
      </c>
      <c r="I98" s="235">
        <v>1160065</v>
      </c>
      <c r="J98" s="436">
        <v>2097438</v>
      </c>
      <c r="K98" s="235">
        <v>344577</v>
      </c>
      <c r="L98" s="66">
        <f aca="true" t="shared" si="4" ref="L98:Q98">SUM(L99:L106)</f>
        <v>11076</v>
      </c>
      <c r="M98" s="66">
        <f t="shared" si="4"/>
        <v>22611.84</v>
      </c>
      <c r="N98" s="215">
        <f t="shared" si="4"/>
        <v>52135.36</v>
      </c>
      <c r="O98" s="66">
        <f t="shared" si="4"/>
        <v>63100</v>
      </c>
      <c r="P98" s="66">
        <f>SUM(P99:P106)</f>
        <v>0</v>
      </c>
      <c r="Q98" s="66">
        <f t="shared" si="4"/>
        <v>3480</v>
      </c>
      <c r="R98" s="67">
        <f>O98+P98+Q98</f>
        <v>66580</v>
      </c>
    </row>
    <row r="99" spans="2:18" ht="12.75">
      <c r="B99" s="705"/>
      <c r="C99" s="759"/>
      <c r="D99" s="42" t="s">
        <v>438</v>
      </c>
      <c r="E99" s="57"/>
      <c r="F99" s="57"/>
      <c r="G99" s="57"/>
      <c r="H99" s="57"/>
      <c r="I99" s="57"/>
      <c r="J99" s="365"/>
      <c r="K99" s="366"/>
      <c r="L99" s="25">
        <v>11076</v>
      </c>
      <c r="M99" s="21"/>
      <c r="N99" s="119"/>
      <c r="O99" s="56">
        <v>11500</v>
      </c>
      <c r="P99" s="56"/>
      <c r="Q99" s="56"/>
      <c r="R99" s="22">
        <f t="shared" si="2"/>
        <v>11500</v>
      </c>
    </row>
    <row r="100" spans="2:18" ht="12.75">
      <c r="B100" s="706"/>
      <c r="C100" s="760"/>
      <c r="D100" s="42" t="s">
        <v>423</v>
      </c>
      <c r="E100" s="57"/>
      <c r="F100" s="57"/>
      <c r="G100" s="57"/>
      <c r="H100" s="57"/>
      <c r="I100" s="57"/>
      <c r="J100" s="365"/>
      <c r="K100" s="366"/>
      <c r="L100" s="25"/>
      <c r="M100" s="21"/>
      <c r="N100" s="119"/>
      <c r="O100" s="56">
        <v>19000</v>
      </c>
      <c r="P100" s="56"/>
      <c r="Q100" s="56"/>
      <c r="R100" s="22">
        <f t="shared" si="2"/>
        <v>19000</v>
      </c>
    </row>
    <row r="101" spans="2:18" ht="12.75">
      <c r="B101" s="706"/>
      <c r="C101" s="760"/>
      <c r="D101" s="42" t="s">
        <v>448</v>
      </c>
      <c r="E101" s="57"/>
      <c r="F101" s="57"/>
      <c r="G101" s="57"/>
      <c r="H101" s="57"/>
      <c r="I101" s="57"/>
      <c r="J101" s="365"/>
      <c r="K101" s="366"/>
      <c r="L101" s="25"/>
      <c r="M101" s="21"/>
      <c r="N101" s="119"/>
      <c r="O101" s="56"/>
      <c r="P101" s="56"/>
      <c r="Q101" s="56">
        <v>3480</v>
      </c>
      <c r="R101" s="22">
        <f t="shared" si="2"/>
        <v>3480</v>
      </c>
    </row>
    <row r="102" spans="2:18" ht="13.5" customHeight="1">
      <c r="B102" s="706"/>
      <c r="C102" s="760"/>
      <c r="D102" s="42" t="s">
        <v>436</v>
      </c>
      <c r="E102" s="57"/>
      <c r="F102" s="57"/>
      <c r="G102" s="57"/>
      <c r="H102" s="57"/>
      <c r="I102" s="57"/>
      <c r="J102" s="365"/>
      <c r="K102" s="366"/>
      <c r="L102" s="25"/>
      <c r="M102" s="21">
        <v>22611.84</v>
      </c>
      <c r="N102" s="639">
        <v>8850</v>
      </c>
      <c r="O102" s="56">
        <v>0</v>
      </c>
      <c r="P102" s="56"/>
      <c r="Q102" s="56"/>
      <c r="R102" s="22">
        <f t="shared" si="2"/>
        <v>0</v>
      </c>
    </row>
    <row r="103" spans="2:18" ht="12.75">
      <c r="B103" s="706"/>
      <c r="C103" s="760"/>
      <c r="D103" s="42" t="s">
        <v>175</v>
      </c>
      <c r="E103" s="57"/>
      <c r="F103" s="57"/>
      <c r="G103" s="57"/>
      <c r="H103" s="57"/>
      <c r="I103" s="57"/>
      <c r="J103" s="365"/>
      <c r="K103" s="366"/>
      <c r="L103" s="25"/>
      <c r="M103" s="21"/>
      <c r="N103" s="639">
        <v>31200</v>
      </c>
      <c r="O103" s="56">
        <v>0</v>
      </c>
      <c r="P103" s="56"/>
      <c r="Q103" s="56"/>
      <c r="R103" s="22">
        <f t="shared" si="2"/>
        <v>0</v>
      </c>
    </row>
    <row r="104" spans="2:18" ht="12.75">
      <c r="B104" s="706"/>
      <c r="C104" s="760"/>
      <c r="D104" s="42" t="s">
        <v>176</v>
      </c>
      <c r="E104" s="57"/>
      <c r="F104" s="57"/>
      <c r="G104" s="57"/>
      <c r="H104" s="57"/>
      <c r="I104" s="57"/>
      <c r="J104" s="365"/>
      <c r="K104" s="366"/>
      <c r="L104" s="25"/>
      <c r="M104" s="21"/>
      <c r="N104" s="639">
        <v>12085.36</v>
      </c>
      <c r="O104" s="56">
        <v>0</v>
      </c>
      <c r="P104" s="56"/>
      <c r="Q104" s="56"/>
      <c r="R104" s="22">
        <f t="shared" si="2"/>
        <v>0</v>
      </c>
    </row>
    <row r="105" spans="2:18" ht="12.75">
      <c r="B105" s="706"/>
      <c r="C105" s="760"/>
      <c r="D105" s="42" t="s">
        <v>13</v>
      </c>
      <c r="E105" s="65"/>
      <c r="F105" s="65"/>
      <c r="G105" s="65"/>
      <c r="H105" s="65"/>
      <c r="I105" s="65"/>
      <c r="J105" s="367"/>
      <c r="K105" s="368"/>
      <c r="L105" s="29"/>
      <c r="M105" s="69"/>
      <c r="N105" s="117"/>
      <c r="O105" s="56">
        <v>5000</v>
      </c>
      <c r="P105" s="56"/>
      <c r="Q105" s="56"/>
      <c r="R105" s="22">
        <f>O105+P105+Q105</f>
        <v>5000</v>
      </c>
    </row>
    <row r="106" spans="2:18" ht="13.5" thickBot="1">
      <c r="B106" s="707"/>
      <c r="C106" s="762"/>
      <c r="D106" s="46" t="s">
        <v>416</v>
      </c>
      <c r="E106" s="65"/>
      <c r="F106" s="65"/>
      <c r="G106" s="65"/>
      <c r="H106" s="65"/>
      <c r="I106" s="65"/>
      <c r="J106" s="367"/>
      <c r="K106" s="368"/>
      <c r="L106" s="29"/>
      <c r="M106" s="29"/>
      <c r="N106" s="224"/>
      <c r="O106" s="43">
        <v>27600</v>
      </c>
      <c r="P106" s="43"/>
      <c r="Q106" s="43"/>
      <c r="R106" s="26">
        <f aca="true" t="shared" si="5" ref="R106:R111">O106+P106+Q106</f>
        <v>27600</v>
      </c>
    </row>
    <row r="107" spans="2:18" ht="15.75" hidden="1" thickBot="1">
      <c r="B107" s="213" t="s">
        <v>342</v>
      </c>
      <c r="C107" s="669" t="s">
        <v>343</v>
      </c>
      <c r="D107" s="686"/>
      <c r="E107" s="5"/>
      <c r="F107" s="5"/>
      <c r="G107" s="5"/>
      <c r="H107" s="5"/>
      <c r="I107" s="5"/>
      <c r="J107" s="281">
        <v>104542</v>
      </c>
      <c r="K107" s="214">
        <v>66000</v>
      </c>
      <c r="L107" s="66">
        <f>L108+L109</f>
        <v>0</v>
      </c>
      <c r="M107" s="108"/>
      <c r="N107" s="617"/>
      <c r="O107" s="66"/>
      <c r="P107" s="66"/>
      <c r="Q107" s="66"/>
      <c r="R107" s="67">
        <f t="shared" si="5"/>
        <v>0</v>
      </c>
    </row>
    <row r="108" spans="2:18" ht="12.75" hidden="1">
      <c r="B108" s="437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9"/>
      <c r="N108" s="438"/>
      <c r="O108" s="327"/>
      <c r="P108" s="327"/>
      <c r="Q108" s="327"/>
      <c r="R108" s="440">
        <f t="shared" si="5"/>
        <v>0</v>
      </c>
    </row>
    <row r="109" spans="2:18" ht="13.5" hidden="1" thickBot="1">
      <c r="B109" s="362"/>
      <c r="C109" s="364"/>
      <c r="D109" s="146" t="s">
        <v>406</v>
      </c>
      <c r="E109" s="68"/>
      <c r="F109" s="68"/>
      <c r="G109" s="68"/>
      <c r="H109" s="68"/>
      <c r="I109" s="68"/>
      <c r="J109" s="68"/>
      <c r="K109" s="68"/>
      <c r="L109" s="69"/>
      <c r="M109" s="69"/>
      <c r="N109" s="69"/>
      <c r="O109" s="243"/>
      <c r="P109" s="243"/>
      <c r="Q109" s="243"/>
      <c r="R109" s="70">
        <f t="shared" si="5"/>
        <v>0</v>
      </c>
    </row>
    <row r="110" spans="2:18" ht="13.5" thickBot="1">
      <c r="B110" s="441" t="s">
        <v>407</v>
      </c>
      <c r="C110" s="774" t="s">
        <v>350</v>
      </c>
      <c r="D110" s="775"/>
      <c r="E110" s="442"/>
      <c r="F110" s="442"/>
      <c r="G110" s="442"/>
      <c r="H110" s="442"/>
      <c r="I110" s="442"/>
      <c r="J110" s="130">
        <f>J111</f>
        <v>0</v>
      </c>
      <c r="K110" s="130">
        <f>K111</f>
        <v>0</v>
      </c>
      <c r="L110" s="130">
        <f>L111</f>
        <v>0</v>
      </c>
      <c r="M110" s="130">
        <f>M111</f>
        <v>82887.77</v>
      </c>
      <c r="N110" s="635">
        <v>7399.64</v>
      </c>
      <c r="O110" s="36">
        <f>O111</f>
        <v>0</v>
      </c>
      <c r="P110" s="36">
        <f>P111</f>
        <v>0</v>
      </c>
      <c r="Q110" s="36">
        <f>Q111</f>
        <v>0</v>
      </c>
      <c r="R110" s="443">
        <f t="shared" si="5"/>
        <v>0</v>
      </c>
    </row>
    <row r="111" spans="2:18" ht="13.5" thickBot="1">
      <c r="B111" s="362"/>
      <c r="C111" s="364"/>
      <c r="D111" s="438" t="s">
        <v>317</v>
      </c>
      <c r="E111" s="438"/>
      <c r="F111" s="438"/>
      <c r="G111" s="438"/>
      <c r="H111" s="438"/>
      <c r="I111" s="438"/>
      <c r="J111" s="68"/>
      <c r="K111" s="68"/>
      <c r="L111" s="69"/>
      <c r="M111" s="69">
        <v>82887.77</v>
      </c>
      <c r="N111" s="117">
        <v>7399.64</v>
      </c>
      <c r="O111" s="243"/>
      <c r="P111" s="243"/>
      <c r="Q111" s="243"/>
      <c r="R111" s="70">
        <f t="shared" si="5"/>
        <v>0</v>
      </c>
    </row>
    <row r="112" spans="2:20" ht="17.25" thickBot="1" thickTop="1">
      <c r="B112" s="771" t="s">
        <v>138</v>
      </c>
      <c r="C112" s="772"/>
      <c r="D112" s="772"/>
      <c r="E112" s="102">
        <v>2988050</v>
      </c>
      <c r="F112" s="102">
        <v>1793069</v>
      </c>
      <c r="G112" s="102">
        <v>2942409</v>
      </c>
      <c r="H112" s="102">
        <v>4880528</v>
      </c>
      <c r="I112" s="102">
        <f aca="true" t="shared" si="6" ref="I112:N112">I98+I83+I92+I79+I58+I54+I47+I45+I39+I25+I10+I7+I4+I96+I107+I110</f>
        <v>5977301</v>
      </c>
      <c r="J112" s="102">
        <f t="shared" si="6"/>
        <v>5818483</v>
      </c>
      <c r="K112" s="102">
        <f t="shared" si="6"/>
        <v>4719096</v>
      </c>
      <c r="L112" s="102">
        <f t="shared" si="6"/>
        <v>3934694</v>
      </c>
      <c r="M112" s="102">
        <f t="shared" si="6"/>
        <v>1792326.71</v>
      </c>
      <c r="N112" s="602">
        <f t="shared" si="6"/>
        <v>2904600.1800000006</v>
      </c>
      <c r="O112" s="102">
        <f>O110+O98+O92+O83+O58+O54+O47+O39+O25+O10+O7+O4</f>
        <v>1624226</v>
      </c>
      <c r="P112" s="102">
        <f>P110+P98+P92+P83+P58+P54+P47+P39+P25+P10+P7+P4</f>
        <v>9000</v>
      </c>
      <c r="Q112" s="102">
        <f>Q110+Q98+Q92+Q83+Q58+Q54+Q47+Q39+Q25+Q10+Q7+Q4</f>
        <v>59601</v>
      </c>
      <c r="R112" s="103">
        <f>R110+R98+R92+R83+R58+R54+R47+R39+R25+R10+R7+R4</f>
        <v>1692827</v>
      </c>
      <c r="T112" s="1"/>
    </row>
    <row r="113" ht="13.5" thickTop="1"/>
    <row r="115" ht="12.75">
      <c r="R115" s="1"/>
    </row>
    <row r="117" ht="12.75">
      <c r="N117" s="587"/>
    </row>
  </sheetData>
  <sheetProtection/>
  <mergeCells count="56">
    <mergeCell ref="P2:Q2"/>
    <mergeCell ref="C10:D10"/>
    <mergeCell ref="C45:D45"/>
    <mergeCell ref="C47:D47"/>
    <mergeCell ref="C25:D25"/>
    <mergeCell ref="N2:N3"/>
    <mergeCell ref="I2:I3"/>
    <mergeCell ref="G2:G3"/>
    <mergeCell ref="H2:H3"/>
    <mergeCell ref="M2:M3"/>
    <mergeCell ref="O2:O3"/>
    <mergeCell ref="L2:L3"/>
    <mergeCell ref="B1:K1"/>
    <mergeCell ref="E2:E3"/>
    <mergeCell ref="D2:D3"/>
    <mergeCell ref="F2:F3"/>
    <mergeCell ref="C2:C3"/>
    <mergeCell ref="J2:J3"/>
    <mergeCell ref="K2:K3"/>
    <mergeCell ref="B2:B3"/>
    <mergeCell ref="C83:D83"/>
    <mergeCell ref="B48:B53"/>
    <mergeCell ref="R2:R3"/>
    <mergeCell ref="C92:D92"/>
    <mergeCell ref="C54:D54"/>
    <mergeCell ref="C79:D79"/>
    <mergeCell ref="C59:C78"/>
    <mergeCell ref="C7:D7"/>
    <mergeCell ref="C8:C9"/>
    <mergeCell ref="C5:C6"/>
    <mergeCell ref="B112:D112"/>
    <mergeCell ref="C96:D96"/>
    <mergeCell ref="C98:D98"/>
    <mergeCell ref="B99:B106"/>
    <mergeCell ref="C99:C106"/>
    <mergeCell ref="C110:D110"/>
    <mergeCell ref="C107:D107"/>
    <mergeCell ref="C39:D39"/>
    <mergeCell ref="B5:B6"/>
    <mergeCell ref="B11:B24"/>
    <mergeCell ref="C11:C24"/>
    <mergeCell ref="C48:C53"/>
    <mergeCell ref="B40:B41"/>
    <mergeCell ref="B26:B37"/>
    <mergeCell ref="B8:B9"/>
    <mergeCell ref="C26:C37"/>
    <mergeCell ref="C58:D58"/>
    <mergeCell ref="C40:C41"/>
    <mergeCell ref="C4:D4"/>
    <mergeCell ref="B93:B95"/>
    <mergeCell ref="C93:C95"/>
    <mergeCell ref="B84:B91"/>
    <mergeCell ref="B59:B78"/>
    <mergeCell ref="C84:C91"/>
    <mergeCell ref="B55:B57"/>
    <mergeCell ref="C55:C57"/>
  </mergeCells>
  <printOptions/>
  <pageMargins left="0.15748031496062992" right="0.15748031496062992" top="0.35433070866141736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P23"/>
  <sheetViews>
    <sheetView zoomScalePageLayoutView="0" workbookViewId="0" topLeftCell="C1">
      <selection activeCell="O4" sqref="O4"/>
    </sheetView>
  </sheetViews>
  <sheetFormatPr defaultColWidth="9.140625" defaultRowHeight="12.75"/>
  <cols>
    <col min="1" max="1" width="8.00390625" style="0" customWidth="1"/>
    <col min="2" max="2" width="8.140625" style="0" customWidth="1"/>
    <col min="3" max="3" width="32.421875" style="0" customWidth="1"/>
    <col min="4" max="10" width="11.7109375" style="0" hidden="1" customWidth="1"/>
    <col min="11" max="11" width="10.57421875" style="0" hidden="1" customWidth="1"/>
    <col min="12" max="12" width="2.00390625" style="0" hidden="1" customWidth="1"/>
    <col min="13" max="13" width="15.8515625" style="0" customWidth="1"/>
    <col min="14" max="16" width="14.00390625" style="0" customWidth="1"/>
  </cols>
  <sheetData>
    <row r="1" spans="1:12" ht="12.75">
      <c r="A1" s="527" t="s">
        <v>20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ht="13.5" thickBot="1">
      <c r="A2" s="523" t="s">
        <v>21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</row>
    <row r="3" spans="1:16" ht="16.5" customHeight="1" thickBot="1" thickTop="1">
      <c r="A3" s="679" t="s">
        <v>198</v>
      </c>
      <c r="B3" s="681" t="s">
        <v>199</v>
      </c>
      <c r="C3" s="677" t="s">
        <v>200</v>
      </c>
      <c r="D3" s="677" t="s">
        <v>297</v>
      </c>
      <c r="E3" s="677" t="s">
        <v>298</v>
      </c>
      <c r="F3" s="677" t="s">
        <v>299</v>
      </c>
      <c r="G3" s="677" t="s">
        <v>300</v>
      </c>
      <c r="H3" s="677" t="s">
        <v>301</v>
      </c>
      <c r="I3" s="677" t="s">
        <v>206</v>
      </c>
      <c r="J3" s="677" t="s">
        <v>207</v>
      </c>
      <c r="K3" s="677" t="s">
        <v>208</v>
      </c>
      <c r="L3" s="677" t="s">
        <v>209</v>
      </c>
      <c r="M3" s="701" t="s">
        <v>434</v>
      </c>
      <c r="N3" s="677" t="s">
        <v>413</v>
      </c>
      <c r="O3" s="534" t="s">
        <v>445</v>
      </c>
      <c r="P3" s="671" t="s">
        <v>412</v>
      </c>
    </row>
    <row r="4" spans="1:16" ht="27.75" customHeight="1" thickBot="1">
      <c r="A4" s="680"/>
      <c r="B4" s="682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702"/>
      <c r="N4" s="678"/>
      <c r="O4" s="531" t="s">
        <v>210</v>
      </c>
      <c r="P4" s="672"/>
    </row>
    <row r="5" spans="1:16" ht="14.25" thickBot="1" thickTop="1">
      <c r="A5" s="38">
        <v>519</v>
      </c>
      <c r="B5" s="788" t="s">
        <v>145</v>
      </c>
      <c r="C5" s="789"/>
      <c r="D5" s="15">
        <f aca="true" t="shared" si="0" ref="D5:M5">SUM(D6:D7)</f>
        <v>0</v>
      </c>
      <c r="E5" s="15">
        <f t="shared" si="0"/>
        <v>0</v>
      </c>
      <c r="F5" s="15">
        <f t="shared" si="0"/>
        <v>806731</v>
      </c>
      <c r="G5" s="15">
        <f t="shared" si="0"/>
        <v>1932030</v>
      </c>
      <c r="H5" s="15">
        <f t="shared" si="0"/>
        <v>1218758</v>
      </c>
      <c r="I5" s="15">
        <f t="shared" si="0"/>
        <v>1712805</v>
      </c>
      <c r="J5" s="15">
        <f t="shared" si="0"/>
        <v>796126</v>
      </c>
      <c r="K5" s="15">
        <f t="shared" si="0"/>
        <v>889265</v>
      </c>
      <c r="L5" s="150">
        <f t="shared" si="0"/>
        <v>1041848.1</v>
      </c>
      <c r="M5" s="150">
        <f t="shared" si="0"/>
        <v>1842801.75</v>
      </c>
      <c r="N5" s="15">
        <f>SUM(N6:N7)</f>
        <v>83000</v>
      </c>
      <c r="O5" s="15">
        <f>SUM(O6:O7)</f>
        <v>0</v>
      </c>
      <c r="P5" s="16">
        <f>SUM(P6:P7)</f>
        <v>83000</v>
      </c>
    </row>
    <row r="6" spans="1:16" ht="12.75">
      <c r="A6" s="658"/>
      <c r="B6" s="151"/>
      <c r="C6" s="40" t="s">
        <v>57</v>
      </c>
      <c r="D6" s="40"/>
      <c r="E6" s="40"/>
      <c r="F6" s="40"/>
      <c r="G6" s="40">
        <v>186636</v>
      </c>
      <c r="H6" s="40">
        <v>1102901</v>
      </c>
      <c r="I6" s="40">
        <v>1052724</v>
      </c>
      <c r="J6" s="41">
        <v>232649</v>
      </c>
      <c r="K6" s="41">
        <v>638944</v>
      </c>
      <c r="L6" s="152">
        <v>96973.2</v>
      </c>
      <c r="M6" s="641">
        <v>633655.25</v>
      </c>
      <c r="N6" s="41"/>
      <c r="O6" s="41"/>
      <c r="P6" s="95">
        <f>N6+O6</f>
        <v>0</v>
      </c>
    </row>
    <row r="7" spans="1:16" ht="13.5" thickBot="1">
      <c r="A7" s="662"/>
      <c r="B7" s="153"/>
      <c r="C7" s="45" t="s">
        <v>58</v>
      </c>
      <c r="D7" s="45"/>
      <c r="E7" s="45"/>
      <c r="F7" s="45">
        <v>806731</v>
      </c>
      <c r="G7" s="45">
        <v>1745394</v>
      </c>
      <c r="H7" s="45">
        <v>115857</v>
      </c>
      <c r="I7" s="45">
        <v>660081</v>
      </c>
      <c r="J7" s="59">
        <v>563477</v>
      </c>
      <c r="K7" s="154">
        <v>250321</v>
      </c>
      <c r="L7" s="155">
        <v>944874.9</v>
      </c>
      <c r="M7" s="642">
        <v>1209146.5</v>
      </c>
      <c r="N7" s="59">
        <v>83000</v>
      </c>
      <c r="O7" s="59"/>
      <c r="P7" s="48">
        <f>N7+O7</f>
        <v>83000</v>
      </c>
    </row>
    <row r="8" spans="1:16" ht="13.5" thickBot="1">
      <c r="A8" s="17">
        <v>450</v>
      </c>
      <c r="B8" s="783" t="s">
        <v>257</v>
      </c>
      <c r="C8" s="725"/>
      <c r="D8" s="63">
        <f>SUM(D9:D15)</f>
        <v>499436</v>
      </c>
      <c r="E8" s="63">
        <v>313085</v>
      </c>
      <c r="F8" s="63">
        <v>834018</v>
      </c>
      <c r="G8" s="63">
        <f aca="true" t="shared" si="1" ref="G8:M8">SUM(G9:G15)</f>
        <v>822908</v>
      </c>
      <c r="H8" s="63">
        <f t="shared" si="1"/>
        <v>3260676</v>
      </c>
      <c r="I8" s="63">
        <f t="shared" si="1"/>
        <v>553863</v>
      </c>
      <c r="J8" s="63">
        <f t="shared" si="1"/>
        <v>509280</v>
      </c>
      <c r="K8" s="63">
        <f t="shared" si="1"/>
        <v>620269</v>
      </c>
      <c r="L8" s="156">
        <f t="shared" si="1"/>
        <v>259121.03000000003</v>
      </c>
      <c r="M8" s="156">
        <f t="shared" si="1"/>
        <v>923759.61</v>
      </c>
      <c r="N8" s="63">
        <f>SUM(N9:N15)</f>
        <v>1012868</v>
      </c>
      <c r="O8" s="63">
        <f>SUM(O9:O15)</f>
        <v>0</v>
      </c>
      <c r="P8" s="64">
        <f>SUM(P9:P15)</f>
        <v>1012868</v>
      </c>
    </row>
    <row r="9" spans="1:16" ht="12.75">
      <c r="A9" s="658"/>
      <c r="B9" s="151"/>
      <c r="C9" s="157" t="s">
        <v>178</v>
      </c>
      <c r="D9" s="157">
        <v>190367</v>
      </c>
      <c r="E9" s="157"/>
      <c r="F9" s="157"/>
      <c r="G9" s="41">
        <f>265551+398</f>
        <v>265949</v>
      </c>
      <c r="H9" s="157">
        <v>1534133</v>
      </c>
      <c r="I9" s="157">
        <v>43800</v>
      </c>
      <c r="J9" s="158"/>
      <c r="K9" s="159">
        <v>9775</v>
      </c>
      <c r="L9" s="160">
        <v>16185.64</v>
      </c>
      <c r="M9" s="160">
        <v>0</v>
      </c>
      <c r="N9" s="41">
        <v>320300</v>
      </c>
      <c r="O9" s="41"/>
      <c r="P9" s="95">
        <f>N9+O9</f>
        <v>320300</v>
      </c>
    </row>
    <row r="10" spans="1:16" ht="12.75">
      <c r="A10" s="661"/>
      <c r="B10" s="161"/>
      <c r="C10" s="162" t="s">
        <v>179</v>
      </c>
      <c r="D10" s="162"/>
      <c r="E10" s="162"/>
      <c r="F10" s="162"/>
      <c r="G10" s="56"/>
      <c r="H10" s="162">
        <v>921499</v>
      </c>
      <c r="I10" s="162">
        <v>220604</v>
      </c>
      <c r="J10" s="163">
        <v>192501</v>
      </c>
      <c r="K10" s="164">
        <v>494</v>
      </c>
      <c r="L10" s="165">
        <v>208144.39</v>
      </c>
      <c r="M10" s="643">
        <f>876858.72+30930.89</f>
        <v>907789.61</v>
      </c>
      <c r="N10" s="56">
        <v>681900</v>
      </c>
      <c r="O10" s="56"/>
      <c r="P10" s="22">
        <f>N10+O10</f>
        <v>681900</v>
      </c>
    </row>
    <row r="11" spans="1:16" ht="12.75">
      <c r="A11" s="661"/>
      <c r="B11" s="161"/>
      <c r="C11" s="162" t="s">
        <v>180</v>
      </c>
      <c r="D11" s="162"/>
      <c r="E11" s="162"/>
      <c r="F11" s="162"/>
      <c r="G11" s="56">
        <v>545044</v>
      </c>
      <c r="H11" s="162">
        <v>545044</v>
      </c>
      <c r="I11" s="162"/>
      <c r="J11" s="163"/>
      <c r="K11" s="164"/>
      <c r="L11" s="165"/>
      <c r="M11" s="643">
        <v>12870</v>
      </c>
      <c r="N11" s="56"/>
      <c r="O11" s="56"/>
      <c r="P11" s="22">
        <f>N11+O11</f>
        <v>0</v>
      </c>
    </row>
    <row r="12" spans="1:16" ht="13.5" thickBot="1">
      <c r="A12" s="661"/>
      <c r="B12" s="161"/>
      <c r="C12" s="162" t="s">
        <v>181</v>
      </c>
      <c r="D12" s="162">
        <v>309069</v>
      </c>
      <c r="E12" s="162"/>
      <c r="F12" s="162"/>
      <c r="G12" s="56"/>
      <c r="H12" s="162">
        <v>260000</v>
      </c>
      <c r="I12" s="162">
        <v>277803</v>
      </c>
      <c r="J12" s="163">
        <v>316779</v>
      </c>
      <c r="K12" s="164">
        <v>610000</v>
      </c>
      <c r="L12" s="165">
        <v>34791</v>
      </c>
      <c r="M12" s="643">
        <v>3100</v>
      </c>
      <c r="N12" s="56">
        <v>10668</v>
      </c>
      <c r="O12" s="56"/>
      <c r="P12" s="22">
        <f>N12+O12</f>
        <v>10668</v>
      </c>
    </row>
    <row r="13" spans="1:16" ht="13.5" hidden="1" thickBot="1">
      <c r="A13" s="661"/>
      <c r="B13" s="161"/>
      <c r="C13" s="162" t="s">
        <v>59</v>
      </c>
      <c r="D13" s="162"/>
      <c r="E13" s="162"/>
      <c r="F13" s="162"/>
      <c r="G13" s="162">
        <v>11915</v>
      </c>
      <c r="H13" s="162"/>
      <c r="I13" s="162">
        <v>11656</v>
      </c>
      <c r="J13" s="163"/>
      <c r="K13" s="56"/>
      <c r="L13" s="72"/>
      <c r="M13" s="72">
        <v>0</v>
      </c>
      <c r="N13" s="56"/>
      <c r="O13" s="56"/>
      <c r="P13" s="22"/>
    </row>
    <row r="14" spans="1:16" ht="13.5" hidden="1" thickBot="1">
      <c r="A14" s="661"/>
      <c r="B14" s="166"/>
      <c r="C14" s="167"/>
      <c r="D14" s="167"/>
      <c r="E14" s="167"/>
      <c r="F14" s="167"/>
      <c r="G14" s="167"/>
      <c r="H14" s="167"/>
      <c r="I14" s="167"/>
      <c r="J14" s="167"/>
      <c r="K14" s="43"/>
      <c r="L14" s="115"/>
      <c r="M14" s="115"/>
      <c r="N14" s="43"/>
      <c r="O14" s="43"/>
      <c r="P14" s="26"/>
    </row>
    <row r="15" spans="1:16" ht="13.5" hidden="1" thickBot="1">
      <c r="A15" s="784"/>
      <c r="B15" s="166"/>
      <c r="C15" s="167"/>
      <c r="D15" s="167"/>
      <c r="E15" s="167"/>
      <c r="F15" s="167"/>
      <c r="G15" s="167"/>
      <c r="H15" s="167"/>
      <c r="I15" s="167"/>
      <c r="J15" s="167"/>
      <c r="K15" s="43"/>
      <c r="L15" s="115"/>
      <c r="M15" s="115"/>
      <c r="N15" s="43"/>
      <c r="O15" s="43"/>
      <c r="P15" s="26"/>
    </row>
    <row r="16" spans="1:16" ht="14.25" thickBot="1" thickTop="1">
      <c r="A16" s="785" t="s">
        <v>60</v>
      </c>
      <c r="B16" s="786"/>
      <c r="C16" s="787"/>
      <c r="D16" s="168">
        <f aca="true" t="shared" si="2" ref="D16:M16">D8+D5</f>
        <v>499436</v>
      </c>
      <c r="E16" s="168">
        <f t="shared" si="2"/>
        <v>313085</v>
      </c>
      <c r="F16" s="168">
        <f t="shared" si="2"/>
        <v>1640749</v>
      </c>
      <c r="G16" s="168">
        <f t="shared" si="2"/>
        <v>2754938</v>
      </c>
      <c r="H16" s="168">
        <f t="shared" si="2"/>
        <v>4479434</v>
      </c>
      <c r="I16" s="168">
        <f t="shared" si="2"/>
        <v>2266668</v>
      </c>
      <c r="J16" s="168">
        <f t="shared" si="2"/>
        <v>1305406</v>
      </c>
      <c r="K16" s="168">
        <f t="shared" si="2"/>
        <v>1509534</v>
      </c>
      <c r="L16" s="169">
        <f t="shared" si="2"/>
        <v>1300969.13</v>
      </c>
      <c r="M16" s="169">
        <f t="shared" si="2"/>
        <v>2766561.36</v>
      </c>
      <c r="N16" s="168">
        <f>N8+N5</f>
        <v>1095868</v>
      </c>
      <c r="O16" s="168">
        <f>O8+O5</f>
        <v>0</v>
      </c>
      <c r="P16" s="170">
        <f>P8+P5</f>
        <v>1095868</v>
      </c>
    </row>
    <row r="17" spans="1:14" ht="13.5" thickTop="1">
      <c r="A17" s="782"/>
      <c r="B17" s="782"/>
      <c r="C17" s="782"/>
      <c r="D17" s="782"/>
      <c r="E17" s="782"/>
      <c r="F17" s="782"/>
      <c r="G17" s="782"/>
      <c r="H17" s="782"/>
      <c r="I17" s="782"/>
      <c r="J17" s="782"/>
      <c r="K17" s="171"/>
      <c r="L17" s="171"/>
      <c r="M17" s="171"/>
      <c r="N17" s="172"/>
    </row>
    <row r="23" ht="12.75">
      <c r="P23" s="1"/>
    </row>
  </sheetData>
  <sheetProtection/>
  <mergeCells count="21">
    <mergeCell ref="P3:P4"/>
    <mergeCell ref="I3:I4"/>
    <mergeCell ref="J3:J4"/>
    <mergeCell ref="K3:K4"/>
    <mergeCell ref="L3:L4"/>
    <mergeCell ref="E3:E4"/>
    <mergeCell ref="C3:C4"/>
    <mergeCell ref="M3:M4"/>
    <mergeCell ref="B3:B4"/>
    <mergeCell ref="D3:D4"/>
    <mergeCell ref="A3:A4"/>
    <mergeCell ref="F3:F4"/>
    <mergeCell ref="N3:N4"/>
    <mergeCell ref="A17:J17"/>
    <mergeCell ref="B8:C8"/>
    <mergeCell ref="A9:A15"/>
    <mergeCell ref="G3:G4"/>
    <mergeCell ref="H3:H4"/>
    <mergeCell ref="A16:C16"/>
    <mergeCell ref="A6:A7"/>
    <mergeCell ref="B5:C5"/>
  </mergeCells>
  <printOptions/>
  <pageMargins left="0.15748031496062992" right="0.15748031496062992" top="0.4330708661417323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11"/>
  <sheetViews>
    <sheetView zoomScalePageLayoutView="0" workbookViewId="0" topLeftCell="A1">
      <selection activeCell="S5" sqref="S5"/>
    </sheetView>
  </sheetViews>
  <sheetFormatPr defaultColWidth="9.140625" defaultRowHeight="12.75"/>
  <cols>
    <col min="2" max="2" width="7.421875" style="0" customWidth="1"/>
    <col min="3" max="3" width="35.140625" style="0" customWidth="1"/>
    <col min="4" max="11" width="0" style="0" hidden="1" customWidth="1"/>
    <col min="12" max="12" width="11.00390625" style="0" hidden="1" customWidth="1"/>
    <col min="13" max="14" width="11.7109375" style="0" customWidth="1"/>
    <col min="15" max="15" width="10.421875" style="0" customWidth="1"/>
    <col min="16" max="16" width="10.57421875" style="0" customWidth="1"/>
    <col min="17" max="17" width="11.7109375" style="0" customWidth="1"/>
  </cols>
  <sheetData>
    <row r="1" spans="1:15" ht="13.5" thickBot="1">
      <c r="A1" s="704" t="s">
        <v>61</v>
      </c>
      <c r="B1" s="704"/>
      <c r="C1" s="704"/>
      <c r="D1" s="704"/>
      <c r="E1" s="704"/>
      <c r="F1" s="704"/>
      <c r="G1" s="704"/>
      <c r="H1" s="704"/>
      <c r="I1" s="704"/>
      <c r="J1" s="704"/>
      <c r="K1" s="173"/>
      <c r="L1" s="173"/>
      <c r="M1" s="173"/>
      <c r="N1" s="172"/>
      <c r="O1" s="172"/>
    </row>
    <row r="2" spans="1:17" ht="14.25" customHeight="1" thickBot="1" thickTop="1">
      <c r="A2" s="794" t="s">
        <v>139</v>
      </c>
      <c r="B2" s="796" t="s">
        <v>199</v>
      </c>
      <c r="C2" s="749" t="s">
        <v>140</v>
      </c>
      <c r="D2" s="677" t="s">
        <v>297</v>
      </c>
      <c r="E2" s="677" t="s">
        <v>298</v>
      </c>
      <c r="F2" s="677" t="s">
        <v>299</v>
      </c>
      <c r="G2" s="677" t="s">
        <v>300</v>
      </c>
      <c r="H2" s="677" t="s">
        <v>301</v>
      </c>
      <c r="I2" s="677" t="s">
        <v>206</v>
      </c>
      <c r="J2" s="677" t="s">
        <v>207</v>
      </c>
      <c r="K2" s="677" t="s">
        <v>208</v>
      </c>
      <c r="L2" s="677" t="s">
        <v>209</v>
      </c>
      <c r="M2" s="701" t="s">
        <v>434</v>
      </c>
      <c r="N2" s="677" t="s">
        <v>413</v>
      </c>
      <c r="O2" s="790" t="s">
        <v>445</v>
      </c>
      <c r="P2" s="781"/>
      <c r="Q2" s="776" t="s">
        <v>412</v>
      </c>
    </row>
    <row r="3" spans="1:17" ht="25.5" customHeight="1" thickBot="1">
      <c r="A3" s="795"/>
      <c r="B3" s="797"/>
      <c r="C3" s="750"/>
      <c r="D3" s="678"/>
      <c r="E3" s="678"/>
      <c r="F3" s="678"/>
      <c r="G3" s="678"/>
      <c r="H3" s="678"/>
      <c r="I3" s="678"/>
      <c r="J3" s="678"/>
      <c r="K3" s="678"/>
      <c r="L3" s="678"/>
      <c r="M3" s="702"/>
      <c r="N3" s="678"/>
      <c r="O3" s="528" t="s">
        <v>62</v>
      </c>
      <c r="P3" s="531" t="s">
        <v>56</v>
      </c>
      <c r="Q3" s="777"/>
    </row>
    <row r="4" spans="1:17" ht="14.25" thickBot="1" thickTop="1">
      <c r="A4" s="174" t="s">
        <v>149</v>
      </c>
      <c r="B4" s="788" t="s">
        <v>145</v>
      </c>
      <c r="C4" s="789"/>
      <c r="D4" s="175">
        <f aca="true" t="shared" si="0" ref="D4:N4">SUM(D5:D10)</f>
        <v>477793</v>
      </c>
      <c r="E4" s="175">
        <f t="shared" si="0"/>
        <v>470856</v>
      </c>
      <c r="F4" s="175">
        <f t="shared" si="0"/>
        <v>334085</v>
      </c>
      <c r="G4" s="175">
        <f t="shared" si="0"/>
        <v>1303204</v>
      </c>
      <c r="H4" s="175">
        <f t="shared" si="0"/>
        <v>978096</v>
      </c>
      <c r="I4" s="175">
        <f t="shared" si="0"/>
        <v>1356608</v>
      </c>
      <c r="J4" s="175">
        <f t="shared" si="0"/>
        <v>1191263</v>
      </c>
      <c r="K4" s="175">
        <f t="shared" si="0"/>
        <v>977990</v>
      </c>
      <c r="L4" s="176">
        <f t="shared" si="0"/>
        <v>439019.94999999995</v>
      </c>
      <c r="M4" s="176">
        <f t="shared" si="0"/>
        <v>540080.3</v>
      </c>
      <c r="N4" s="540">
        <f t="shared" si="0"/>
        <v>407445</v>
      </c>
      <c r="O4" s="175">
        <f>SUM(O5:O10)</f>
        <v>0</v>
      </c>
      <c r="P4" s="175">
        <f>SUM(P5:P10)</f>
        <v>0</v>
      </c>
      <c r="Q4" s="177">
        <f>SUM(Q5:Q10)</f>
        <v>407445</v>
      </c>
    </row>
    <row r="5" spans="1:17" ht="12.75">
      <c r="A5" s="791"/>
      <c r="B5" s="178"/>
      <c r="C5" s="178" t="s">
        <v>63</v>
      </c>
      <c r="D5" s="178">
        <v>307741</v>
      </c>
      <c r="E5" s="178">
        <v>188873</v>
      </c>
      <c r="F5" s="178">
        <v>209516</v>
      </c>
      <c r="G5" s="178">
        <v>326854</v>
      </c>
      <c r="H5" s="178">
        <v>199897</v>
      </c>
      <c r="I5" s="178">
        <v>22394</v>
      </c>
      <c r="J5" s="179">
        <v>122620</v>
      </c>
      <c r="K5" s="180">
        <v>207083</v>
      </c>
      <c r="L5" s="181">
        <v>173080.99</v>
      </c>
      <c r="M5" s="644">
        <v>233161.19</v>
      </c>
      <c r="N5" s="541">
        <v>338000</v>
      </c>
      <c r="O5" s="545"/>
      <c r="P5" s="497"/>
      <c r="Q5" s="182">
        <f>N5+O5+P5</f>
        <v>338000</v>
      </c>
    </row>
    <row r="6" spans="1:17" ht="12.75">
      <c r="A6" s="792"/>
      <c r="B6" s="183"/>
      <c r="C6" s="184" t="s">
        <v>64</v>
      </c>
      <c r="D6" s="184"/>
      <c r="E6" s="184"/>
      <c r="F6" s="184"/>
      <c r="G6" s="184"/>
      <c r="H6" s="184">
        <v>490783</v>
      </c>
      <c r="I6" s="184">
        <v>1098574</v>
      </c>
      <c r="J6" s="185">
        <v>733308</v>
      </c>
      <c r="K6" s="186">
        <v>631012</v>
      </c>
      <c r="L6" s="187">
        <v>171789.61</v>
      </c>
      <c r="M6" s="645">
        <v>233027.7</v>
      </c>
      <c r="N6" s="97"/>
      <c r="O6" s="193"/>
      <c r="P6" s="96"/>
      <c r="Q6" s="98">
        <f>N6+O6+P6</f>
        <v>0</v>
      </c>
    </row>
    <row r="7" spans="1:17" ht="12.75">
      <c r="A7" s="792"/>
      <c r="B7" s="188"/>
      <c r="C7" s="120" t="s">
        <v>65</v>
      </c>
      <c r="D7" s="120"/>
      <c r="E7" s="120"/>
      <c r="F7" s="120"/>
      <c r="G7" s="120"/>
      <c r="H7" s="120">
        <v>52527</v>
      </c>
      <c r="I7" s="120">
        <v>53214</v>
      </c>
      <c r="J7" s="96">
        <v>53736</v>
      </c>
      <c r="K7" s="186">
        <v>54692</v>
      </c>
      <c r="L7" s="187">
        <v>59829.25</v>
      </c>
      <c r="M7" s="646">
        <v>73891.41</v>
      </c>
      <c r="N7" s="542">
        <v>69445</v>
      </c>
      <c r="O7" s="187"/>
      <c r="P7" s="186"/>
      <c r="Q7" s="189">
        <f>N7+O7+P7</f>
        <v>69445</v>
      </c>
    </row>
    <row r="8" spans="1:19" ht="12.75">
      <c r="A8" s="792"/>
      <c r="B8" s="190"/>
      <c r="C8" s="191" t="s">
        <v>66</v>
      </c>
      <c r="D8" s="191">
        <v>2622</v>
      </c>
      <c r="E8" s="191">
        <v>6805</v>
      </c>
      <c r="F8" s="191">
        <v>5206</v>
      </c>
      <c r="G8" s="191">
        <v>73230</v>
      </c>
      <c r="H8" s="191">
        <v>22330</v>
      </c>
      <c r="I8" s="191">
        <v>7462</v>
      </c>
      <c r="J8" s="192"/>
      <c r="K8" s="96"/>
      <c r="L8" s="193"/>
      <c r="M8" s="193"/>
      <c r="N8" s="97"/>
      <c r="O8" s="96"/>
      <c r="P8" s="96"/>
      <c r="Q8" s="98">
        <f>N8+O8+P8</f>
        <v>0</v>
      </c>
      <c r="S8" s="1"/>
    </row>
    <row r="9" spans="1:17" ht="13.5" thickBot="1">
      <c r="A9" s="792"/>
      <c r="B9" s="188"/>
      <c r="C9" s="188" t="s">
        <v>67</v>
      </c>
      <c r="D9" s="188"/>
      <c r="E9" s="188">
        <v>275178</v>
      </c>
      <c r="F9" s="188"/>
      <c r="G9" s="188">
        <v>903120</v>
      </c>
      <c r="H9" s="188">
        <v>212559</v>
      </c>
      <c r="I9" s="188">
        <v>174964</v>
      </c>
      <c r="J9" s="194">
        <v>281599</v>
      </c>
      <c r="K9" s="194">
        <v>85203</v>
      </c>
      <c r="L9" s="195">
        <v>34320.1</v>
      </c>
      <c r="M9" s="195">
        <v>0</v>
      </c>
      <c r="N9" s="543">
        <v>0</v>
      </c>
      <c r="O9" s="195"/>
      <c r="P9" s="194"/>
      <c r="Q9" s="196">
        <f>N9+O9+P9</f>
        <v>0</v>
      </c>
    </row>
    <row r="10" spans="1:17" ht="13.5" hidden="1" thickBot="1">
      <c r="A10" s="793"/>
      <c r="B10" s="197"/>
      <c r="C10" s="188"/>
      <c r="D10" s="197">
        <v>167430</v>
      </c>
      <c r="E10" s="197">
        <v>0</v>
      </c>
      <c r="F10" s="197">
        <v>119363</v>
      </c>
      <c r="G10" s="197"/>
      <c r="H10" s="197"/>
      <c r="I10" s="197"/>
      <c r="J10" s="198"/>
      <c r="K10" s="198"/>
      <c r="L10" s="199"/>
      <c r="M10" s="199">
        <v>0</v>
      </c>
      <c r="N10" s="535">
        <v>0</v>
      </c>
      <c r="O10" s="199"/>
      <c r="P10" s="198">
        <v>0</v>
      </c>
      <c r="Q10" s="450">
        <v>0</v>
      </c>
    </row>
    <row r="11" spans="1:17" ht="14.25" thickBot="1" thickTop="1">
      <c r="A11" s="785" t="s">
        <v>60</v>
      </c>
      <c r="B11" s="786"/>
      <c r="C11" s="787"/>
      <c r="D11" s="168">
        <f aca="true" t="shared" si="1" ref="D11:N11">D4</f>
        <v>477793</v>
      </c>
      <c r="E11" s="168">
        <f t="shared" si="1"/>
        <v>470856</v>
      </c>
      <c r="F11" s="168">
        <f t="shared" si="1"/>
        <v>334085</v>
      </c>
      <c r="G11" s="168">
        <f t="shared" si="1"/>
        <v>1303204</v>
      </c>
      <c r="H11" s="168">
        <f t="shared" si="1"/>
        <v>978096</v>
      </c>
      <c r="I11" s="168">
        <f t="shared" si="1"/>
        <v>1356608</v>
      </c>
      <c r="J11" s="168">
        <f t="shared" si="1"/>
        <v>1191263</v>
      </c>
      <c r="K11" s="168">
        <f t="shared" si="1"/>
        <v>977990</v>
      </c>
      <c r="L11" s="169">
        <f t="shared" si="1"/>
        <v>439019.94999999995</v>
      </c>
      <c r="M11" s="169">
        <f t="shared" si="1"/>
        <v>540080.3</v>
      </c>
      <c r="N11" s="544">
        <f t="shared" si="1"/>
        <v>407445</v>
      </c>
      <c r="O11" s="168">
        <f>O4</f>
        <v>0</v>
      </c>
      <c r="P11" s="168">
        <f>P4</f>
        <v>0</v>
      </c>
      <c r="Q11" s="170">
        <f>Q4</f>
        <v>407445</v>
      </c>
    </row>
    <row r="12" ht="13.5" thickTop="1"/>
  </sheetData>
  <sheetProtection/>
  <mergeCells count="20">
    <mergeCell ref="A11:C11"/>
    <mergeCell ref="B4:C4"/>
    <mergeCell ref="M2:M3"/>
    <mergeCell ref="A2:A3"/>
    <mergeCell ref="B2:B3"/>
    <mergeCell ref="C2:C3"/>
    <mergeCell ref="D2:D3"/>
    <mergeCell ref="G2:G3"/>
    <mergeCell ref="I2:I3"/>
    <mergeCell ref="E2:E3"/>
    <mergeCell ref="Q2:Q3"/>
    <mergeCell ref="O2:P2"/>
    <mergeCell ref="A5:A10"/>
    <mergeCell ref="A1:J1"/>
    <mergeCell ref="H2:H3"/>
    <mergeCell ref="N2:N3"/>
    <mergeCell ref="L2:L3"/>
    <mergeCell ref="J2:J3"/>
    <mergeCell ref="K2:K3"/>
    <mergeCell ref="F2:F3"/>
  </mergeCells>
  <printOptions/>
  <pageMargins left="0.15748031496062992" right="0.11811023622047245" top="0.984251968503937" bottom="0.98425196850393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34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52.00390625" style="0" customWidth="1"/>
    <col min="2" max="9" width="14.421875" style="0" hidden="1" customWidth="1"/>
    <col min="10" max="10" width="13.421875" style="0" hidden="1" customWidth="1"/>
    <col min="11" max="11" width="15.00390625" style="0" customWidth="1"/>
    <col min="12" max="12" width="11.8515625" style="0" customWidth="1"/>
    <col min="13" max="13" width="10.140625" style="0" customWidth="1"/>
    <col min="14" max="15" width="13.28125" style="0" customWidth="1"/>
    <col min="16" max="16" width="11.00390625" style="0" customWidth="1"/>
    <col min="17" max="17" width="11.7109375" style="0" bestFit="1" customWidth="1"/>
    <col min="18" max="18" width="10.140625" style="0" bestFit="1" customWidth="1"/>
  </cols>
  <sheetData>
    <row r="1" spans="1:16" ht="15">
      <c r="A1" s="798" t="s">
        <v>160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</row>
    <row r="2" spans="1:13" ht="13.5" thickBot="1">
      <c r="A2" s="799"/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172"/>
      <c r="M2" s="172"/>
    </row>
    <row r="3" spans="1:16" ht="13.5" customHeight="1" thickTop="1">
      <c r="A3" s="800" t="s">
        <v>200</v>
      </c>
      <c r="B3" s="677" t="s">
        <v>297</v>
      </c>
      <c r="C3" s="677" t="s">
        <v>298</v>
      </c>
      <c r="D3" s="677" t="s">
        <v>299</v>
      </c>
      <c r="E3" s="677" t="s">
        <v>300</v>
      </c>
      <c r="F3" s="677" t="s">
        <v>301</v>
      </c>
      <c r="G3" s="677" t="s">
        <v>206</v>
      </c>
      <c r="H3" s="677" t="s">
        <v>207</v>
      </c>
      <c r="I3" s="677" t="s">
        <v>208</v>
      </c>
      <c r="J3" s="677" t="s">
        <v>209</v>
      </c>
      <c r="K3" s="677" t="s">
        <v>434</v>
      </c>
      <c r="L3" s="803" t="s">
        <v>413</v>
      </c>
      <c r="M3" s="815" t="s">
        <v>445</v>
      </c>
      <c r="N3" s="816"/>
      <c r="O3" s="701"/>
      <c r="P3" s="776" t="s">
        <v>412</v>
      </c>
    </row>
    <row r="4" spans="1:18" ht="12.75">
      <c r="A4" s="801"/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4"/>
      <c r="M4" s="806" t="s">
        <v>210</v>
      </c>
      <c r="N4" s="807"/>
      <c r="O4" s="808"/>
      <c r="P4" s="811"/>
      <c r="R4" s="1"/>
    </row>
    <row r="5" spans="1:18" ht="13.5" thickBot="1">
      <c r="A5" s="801"/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805"/>
      <c r="M5" s="531" t="s">
        <v>62</v>
      </c>
      <c r="N5" s="528" t="s">
        <v>68</v>
      </c>
      <c r="O5" s="532" t="s">
        <v>56</v>
      </c>
      <c r="P5" s="777"/>
      <c r="R5" s="1"/>
    </row>
    <row r="6" spans="1:19" ht="13.5" thickTop="1">
      <c r="A6" s="447" t="s">
        <v>161</v>
      </c>
      <c r="B6" s="448">
        <f>'Bežné príjmy'!D106</f>
        <v>7125871</v>
      </c>
      <c r="C6" s="448">
        <f>'Bežné príjmy'!E106</f>
        <v>7561840</v>
      </c>
      <c r="D6" s="448">
        <f>'Bežné príjmy'!F106</f>
        <v>9082354</v>
      </c>
      <c r="E6" s="448">
        <f>'Bežné príjmy'!G106</f>
        <v>9080838</v>
      </c>
      <c r="F6" s="448">
        <f>'Bežné príjmy'!H106</f>
        <v>8537685</v>
      </c>
      <c r="G6" s="448">
        <f>'Bežné príjmy'!I106</f>
        <v>9096722</v>
      </c>
      <c r="H6" s="448">
        <f>'Bežné príjmy'!J106</f>
        <v>9201831</v>
      </c>
      <c r="I6" s="448">
        <f>'Bežné príjmy'!K106</f>
        <v>9722622</v>
      </c>
      <c r="J6" s="448">
        <f>'Bežné príjmy'!L106</f>
        <v>9640328.239999998</v>
      </c>
      <c r="K6" s="647">
        <f>'Bežné príjmy'!M106</f>
        <v>10178626.01</v>
      </c>
      <c r="L6" s="448">
        <f>'Bežné príjmy'!N106</f>
        <v>10158585</v>
      </c>
      <c r="M6" s="826">
        <f>'Bežné príjmy'!O106</f>
        <v>30383</v>
      </c>
      <c r="N6" s="827"/>
      <c r="O6" s="827"/>
      <c r="P6" s="549">
        <f>'Bežné príjmy'!P106</f>
        <v>10188968</v>
      </c>
      <c r="S6" s="1"/>
    </row>
    <row r="7" spans="1:19" ht="13.5" thickBot="1">
      <c r="A7" s="449" t="s">
        <v>162</v>
      </c>
      <c r="B7" s="198">
        <f>'Bežné výdavky'!D198</f>
        <v>5867125</v>
      </c>
      <c r="C7" s="198">
        <f>'Bežné výdavky'!E198</f>
        <v>6460200</v>
      </c>
      <c r="D7" s="198">
        <f>'Bežné výdavky'!F198</f>
        <v>7832271</v>
      </c>
      <c r="E7" s="198">
        <f>'Bežné výdavky'!G198</f>
        <v>8716285.43</v>
      </c>
      <c r="F7" s="198">
        <f>'Bežné výdavky'!H198</f>
        <v>9309387</v>
      </c>
      <c r="G7" s="198">
        <f>'Bežné výdavky'!I198</f>
        <v>8743512.2</v>
      </c>
      <c r="H7" s="198">
        <f>'Bežné výdavky'!J198</f>
        <v>8908071</v>
      </c>
      <c r="I7" s="198">
        <f>'Bežné výdavky'!K198</f>
        <v>8934542</v>
      </c>
      <c r="J7" s="198">
        <f>'Bežné výdavky'!L198</f>
        <v>9572545.38</v>
      </c>
      <c r="K7" s="199">
        <f>'Bežné výdavky'!M198</f>
        <v>9554914.799999999</v>
      </c>
      <c r="L7" s="198">
        <f>'Bežné výdavky'!N198</f>
        <v>9653283</v>
      </c>
      <c r="M7" s="198">
        <f>'Bežné výdavky'!O198</f>
        <v>-15480</v>
      </c>
      <c r="N7" s="198">
        <f>'Bežné výdavky'!P198</f>
        <v>33383</v>
      </c>
      <c r="O7" s="535"/>
      <c r="P7" s="475">
        <f>'Bežné výdavky'!Q198</f>
        <v>9671186</v>
      </c>
      <c r="S7" s="1"/>
    </row>
    <row r="8" spans="1:19" ht="15.75" thickBot="1">
      <c r="A8" s="451" t="s">
        <v>163</v>
      </c>
      <c r="B8" s="452">
        <f aca="true" t="shared" si="0" ref="B8:K8">B6-B7</f>
        <v>1258746</v>
      </c>
      <c r="C8" s="452">
        <f t="shared" si="0"/>
        <v>1101640</v>
      </c>
      <c r="D8" s="452">
        <f t="shared" si="0"/>
        <v>1250083</v>
      </c>
      <c r="E8" s="452">
        <f t="shared" si="0"/>
        <v>364552.5700000003</v>
      </c>
      <c r="F8" s="452">
        <f t="shared" si="0"/>
        <v>-771702</v>
      </c>
      <c r="G8" s="452">
        <f t="shared" si="0"/>
        <v>353209.80000000075</v>
      </c>
      <c r="H8" s="452">
        <f t="shared" si="0"/>
        <v>293760</v>
      </c>
      <c r="I8" s="452">
        <f t="shared" si="0"/>
        <v>788080</v>
      </c>
      <c r="J8" s="453">
        <f t="shared" si="0"/>
        <v>67782.85999999754</v>
      </c>
      <c r="K8" s="453">
        <f t="shared" si="0"/>
        <v>623711.2100000009</v>
      </c>
      <c r="L8" s="452">
        <f>L6-L7</f>
        <v>505302</v>
      </c>
      <c r="M8" s="812">
        <f>M6-M7-N7-O7</f>
        <v>12480</v>
      </c>
      <c r="N8" s="813"/>
      <c r="O8" s="814"/>
      <c r="P8" s="454">
        <f>P6-P7</f>
        <v>517782</v>
      </c>
      <c r="R8" s="1"/>
      <c r="S8" s="1"/>
    </row>
    <row r="9" spans="1:16" ht="14.25" thickBot="1" thickTop="1">
      <c r="A9" s="809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810"/>
    </row>
    <row r="10" spans="1:19" ht="13.5" thickTop="1">
      <c r="A10" s="447" t="s">
        <v>164</v>
      </c>
      <c r="B10" s="448">
        <f>'Kapitálové príjmy'!D48</f>
        <v>2113092</v>
      </c>
      <c r="C10" s="448">
        <f>'Kapitálové príjmy'!E48</f>
        <v>1017958</v>
      </c>
      <c r="D10" s="448">
        <f>'Kapitálové príjmy'!F48</f>
        <v>1245369</v>
      </c>
      <c r="E10" s="448">
        <f>'Kapitálové príjmy'!G48</f>
        <v>4391413</v>
      </c>
      <c r="F10" s="448">
        <f>'Kapitálové príjmy'!H48</f>
        <v>3456141</v>
      </c>
      <c r="G10" s="448">
        <f>'Kapitálové príjmy'!I48</f>
        <v>4649713</v>
      </c>
      <c r="H10" s="448">
        <f>'Kapitálové príjmy'!J48</f>
        <v>4502774.06</v>
      </c>
      <c r="I10" s="448">
        <f>'Kapitálové príjmy'!K48</f>
        <v>3678497</v>
      </c>
      <c r="J10" s="448">
        <f>'Kapitálové príjmy'!L48</f>
        <v>1218338.5899999999</v>
      </c>
      <c r="K10" s="647">
        <f>'Kapitálové príjmy'!M48</f>
        <v>752297.52</v>
      </c>
      <c r="L10" s="448">
        <f>'Kapitálové príjmy'!N48</f>
        <v>430501</v>
      </c>
      <c r="M10" s="826">
        <f>'Kapitálové príjmy'!O48</f>
        <v>56121</v>
      </c>
      <c r="N10" s="827"/>
      <c r="O10" s="827"/>
      <c r="P10" s="549">
        <f>'Kapitálové príjmy'!P48</f>
        <v>486622</v>
      </c>
      <c r="R10" s="1"/>
      <c r="S10" s="1"/>
    </row>
    <row r="11" spans="1:19" ht="13.5" thickBot="1">
      <c r="A11" s="537" t="s">
        <v>165</v>
      </c>
      <c r="B11" s="538">
        <f>'Kapitálové výdavky'!E112</f>
        <v>2988050</v>
      </c>
      <c r="C11" s="538">
        <f>'Kapitálové výdavky'!F112</f>
        <v>1793069</v>
      </c>
      <c r="D11" s="538">
        <f>'Kapitálové výdavky'!G112</f>
        <v>2942409</v>
      </c>
      <c r="E11" s="538">
        <f>'Kapitálové výdavky'!H112</f>
        <v>4880528</v>
      </c>
      <c r="F11" s="538">
        <f>'Kapitálové výdavky'!I112</f>
        <v>5977301</v>
      </c>
      <c r="G11" s="538">
        <f>'Kapitálové výdavky'!J112</f>
        <v>5818483</v>
      </c>
      <c r="H11" s="538">
        <f>'Kapitálové výdavky'!K112</f>
        <v>4719096</v>
      </c>
      <c r="I11" s="538">
        <f>'Kapitálové výdavky'!L112</f>
        <v>3934694</v>
      </c>
      <c r="J11" s="538">
        <f>'Kapitálové výdavky'!M112</f>
        <v>1792326.71</v>
      </c>
      <c r="K11" s="648">
        <f>'Kapitálové výdavky'!N112</f>
        <v>2904600.1800000006</v>
      </c>
      <c r="L11" s="538">
        <f>'Kapitálové výdavky'!O112</f>
        <v>1624226</v>
      </c>
      <c r="M11" s="538">
        <f>'Kapitálové výdavky'!P112</f>
        <v>9000</v>
      </c>
      <c r="N11" s="538">
        <f>'Kapitálové výdavky'!Q112</f>
        <v>59601</v>
      </c>
      <c r="O11" s="539"/>
      <c r="P11" s="480">
        <f>'Kapitálové výdavky'!R112</f>
        <v>1692827</v>
      </c>
      <c r="R11" s="1"/>
      <c r="S11" s="1"/>
    </row>
    <row r="12" spans="1:19" ht="15.75" thickBot="1">
      <c r="A12" s="455" t="s">
        <v>166</v>
      </c>
      <c r="B12" s="456">
        <f aca="true" t="shared" si="1" ref="B12:K12">B10-B11</f>
        <v>-874958</v>
      </c>
      <c r="C12" s="456">
        <f t="shared" si="1"/>
        <v>-775111</v>
      </c>
      <c r="D12" s="456">
        <f t="shared" si="1"/>
        <v>-1697040</v>
      </c>
      <c r="E12" s="456">
        <f t="shared" si="1"/>
        <v>-489115</v>
      </c>
      <c r="F12" s="456">
        <f t="shared" si="1"/>
        <v>-2521160</v>
      </c>
      <c r="G12" s="456">
        <f t="shared" si="1"/>
        <v>-1168770</v>
      </c>
      <c r="H12" s="456">
        <f t="shared" si="1"/>
        <v>-216321.9400000004</v>
      </c>
      <c r="I12" s="456">
        <f t="shared" si="1"/>
        <v>-256197</v>
      </c>
      <c r="J12" s="457">
        <f t="shared" si="1"/>
        <v>-573988.1200000001</v>
      </c>
      <c r="K12" s="457">
        <f t="shared" si="1"/>
        <v>-2152302.6600000006</v>
      </c>
      <c r="L12" s="456">
        <f>L10-L11</f>
        <v>-1193725</v>
      </c>
      <c r="M12" s="812">
        <f>M10-M11-N11-O11</f>
        <v>-12480</v>
      </c>
      <c r="N12" s="813"/>
      <c r="O12" s="814"/>
      <c r="P12" s="454">
        <f>P10-P11</f>
        <v>-1206205</v>
      </c>
      <c r="R12" s="651"/>
      <c r="S12" s="1"/>
    </row>
    <row r="13" spans="1:18" ht="14.25" thickBot="1" thickTop="1">
      <c r="A13" s="809"/>
      <c r="B13" s="782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810"/>
      <c r="R13" s="1"/>
    </row>
    <row r="14" spans="1:16" ht="13.5" thickTop="1">
      <c r="A14" s="447" t="s">
        <v>167</v>
      </c>
      <c r="B14" s="448">
        <f>'Fin operácie - príjmy'!D16</f>
        <v>499436</v>
      </c>
      <c r="C14" s="448">
        <f>'Fin operácie - príjmy'!E16</f>
        <v>313085</v>
      </c>
      <c r="D14" s="448">
        <f>'Fin operácie - príjmy'!F16</f>
        <v>1640749</v>
      </c>
      <c r="E14" s="448">
        <f>'Fin operácie - príjmy'!G16</f>
        <v>2754938</v>
      </c>
      <c r="F14" s="448">
        <f>'Fin operácie - príjmy'!H16</f>
        <v>4479434</v>
      </c>
      <c r="G14" s="448">
        <f>'Fin operácie - príjmy'!I16</f>
        <v>2266668</v>
      </c>
      <c r="H14" s="448">
        <f>'Fin operácie - príjmy'!J16</f>
        <v>1305406</v>
      </c>
      <c r="I14" s="448">
        <f>'Fin operácie - príjmy'!K16</f>
        <v>1509534</v>
      </c>
      <c r="J14" s="448">
        <f>'Fin operácie - príjmy'!L16</f>
        <v>1300969.13</v>
      </c>
      <c r="K14" s="647">
        <f>'Fin operácie - príjmy'!M16</f>
        <v>2766561.36</v>
      </c>
      <c r="L14" s="448">
        <f>'Fin operácie - príjmy'!N16</f>
        <v>1095868</v>
      </c>
      <c r="M14" s="826">
        <f>'Fin operácie - príjmy'!O16</f>
        <v>0</v>
      </c>
      <c r="N14" s="827"/>
      <c r="O14" s="827"/>
      <c r="P14" s="536">
        <f>'Fin operácie - príjmy'!P16</f>
        <v>1095868</v>
      </c>
    </row>
    <row r="15" spans="1:16" ht="13.5" thickBot="1">
      <c r="A15" s="449" t="s">
        <v>168</v>
      </c>
      <c r="B15" s="198">
        <f>'Finančné operácie - výdavky'!D11</f>
        <v>477793</v>
      </c>
      <c r="C15" s="198">
        <f>'Finančné operácie - výdavky'!E11</f>
        <v>470856</v>
      </c>
      <c r="D15" s="198">
        <f>'Finančné operácie - výdavky'!F11</f>
        <v>334085</v>
      </c>
      <c r="E15" s="198">
        <f>'Finančné operácie - výdavky'!G11</f>
        <v>1303204</v>
      </c>
      <c r="F15" s="198">
        <f>'Finančné operácie - výdavky'!H11</f>
        <v>978096</v>
      </c>
      <c r="G15" s="198">
        <f>'Finančné operácie - výdavky'!I11</f>
        <v>1356608</v>
      </c>
      <c r="H15" s="198">
        <f>'Finančné operácie - výdavky'!J11</f>
        <v>1191263</v>
      </c>
      <c r="I15" s="198">
        <f>'Finančné operácie - výdavky'!K11</f>
        <v>977990</v>
      </c>
      <c r="J15" s="198">
        <f>'Finančné operácie - výdavky'!L11</f>
        <v>439019.94999999995</v>
      </c>
      <c r="K15" s="199">
        <f>'Finančné operácie - výdavky'!M11</f>
        <v>540080.3</v>
      </c>
      <c r="L15" s="198">
        <f>'Finančné operácie - výdavky'!N11</f>
        <v>407445</v>
      </c>
      <c r="M15" s="198">
        <f>'Finančné operácie - výdavky'!O11</f>
        <v>0</v>
      </c>
      <c r="N15" s="198"/>
      <c r="O15" s="535">
        <f>'Finančné operácie - výdavky'!P11</f>
        <v>0</v>
      </c>
      <c r="P15" s="475">
        <f>'Finančné operácie - výdavky'!Q11</f>
        <v>407445</v>
      </c>
    </row>
    <row r="16" spans="1:16" ht="15.75" thickBot="1">
      <c r="A16" s="455" t="s">
        <v>33</v>
      </c>
      <c r="B16" s="456">
        <f aca="true" t="shared" si="2" ref="B16:K16">B14-B15</f>
        <v>21643</v>
      </c>
      <c r="C16" s="456">
        <f t="shared" si="2"/>
        <v>-157771</v>
      </c>
      <c r="D16" s="456">
        <f t="shared" si="2"/>
        <v>1306664</v>
      </c>
      <c r="E16" s="456">
        <f t="shared" si="2"/>
        <v>1451734</v>
      </c>
      <c r="F16" s="456">
        <f t="shared" si="2"/>
        <v>3501338</v>
      </c>
      <c r="G16" s="456">
        <f t="shared" si="2"/>
        <v>910060</v>
      </c>
      <c r="H16" s="456">
        <f t="shared" si="2"/>
        <v>114143</v>
      </c>
      <c r="I16" s="456">
        <f t="shared" si="2"/>
        <v>531544</v>
      </c>
      <c r="J16" s="457">
        <f t="shared" si="2"/>
        <v>861949.1799999999</v>
      </c>
      <c r="K16" s="457">
        <f t="shared" si="2"/>
        <v>2226481.0599999996</v>
      </c>
      <c r="L16" s="456">
        <f>L14-L15</f>
        <v>688423</v>
      </c>
      <c r="M16" s="812">
        <f>M14-M15-N15-O15</f>
        <v>0</v>
      </c>
      <c r="N16" s="813"/>
      <c r="O16" s="814"/>
      <c r="P16" s="454">
        <f>P14-P15</f>
        <v>688423</v>
      </c>
    </row>
    <row r="17" spans="1:16" ht="14.25" thickBot="1" thickTop="1">
      <c r="A17" s="809"/>
      <c r="B17" s="782"/>
      <c r="C17" s="782"/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N17" s="782"/>
      <c r="O17" s="782"/>
      <c r="P17" s="810"/>
    </row>
    <row r="18" spans="1:16" ht="16.5" customHeight="1" thickTop="1">
      <c r="A18" s="820" t="s">
        <v>34</v>
      </c>
      <c r="B18" s="821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1"/>
      <c r="P18" s="822"/>
    </row>
    <row r="19" spans="1:16" ht="13.5" customHeight="1" thickBot="1">
      <c r="A19" s="823"/>
      <c r="B19" s="824"/>
      <c r="C19" s="824"/>
      <c r="D19" s="824"/>
      <c r="E19" s="824"/>
      <c r="F19" s="824"/>
      <c r="G19" s="824"/>
      <c r="H19" s="824"/>
      <c r="I19" s="824"/>
      <c r="J19" s="824"/>
      <c r="K19" s="824"/>
      <c r="L19" s="824"/>
      <c r="M19" s="824"/>
      <c r="N19" s="824"/>
      <c r="O19" s="824"/>
      <c r="P19" s="825"/>
    </row>
    <row r="20" spans="1:16" ht="17.25" thickBot="1" thickTop="1">
      <c r="A20" s="458" t="s">
        <v>35</v>
      </c>
      <c r="B20" s="459">
        <f aca="true" t="shared" si="3" ref="B20:J20">B8+B12+B16</f>
        <v>405431</v>
      </c>
      <c r="C20" s="459">
        <f t="shared" si="3"/>
        <v>168758</v>
      </c>
      <c r="D20" s="459">
        <f t="shared" si="3"/>
        <v>859707</v>
      </c>
      <c r="E20" s="459">
        <f t="shared" si="3"/>
        <v>1327171.5700000003</v>
      </c>
      <c r="F20" s="459">
        <f t="shared" si="3"/>
        <v>208476</v>
      </c>
      <c r="G20" s="459">
        <f t="shared" si="3"/>
        <v>94499.80000000075</v>
      </c>
      <c r="H20" s="459">
        <f t="shared" si="3"/>
        <v>191581.0599999996</v>
      </c>
      <c r="I20" s="459">
        <f t="shared" si="3"/>
        <v>1063427</v>
      </c>
      <c r="J20" s="460">
        <f t="shared" si="3"/>
        <v>355743.91999999736</v>
      </c>
      <c r="K20" s="460">
        <f>K8+K12+K16</f>
        <v>697889.6099999999</v>
      </c>
      <c r="L20" s="499">
        <f>L16+L12+L8</f>
        <v>0</v>
      </c>
      <c r="M20" s="817">
        <f>M16+M12+M8</f>
        <v>0</v>
      </c>
      <c r="N20" s="818"/>
      <c r="O20" s="819"/>
      <c r="P20" s="498">
        <f>P16+P12+P8</f>
        <v>0</v>
      </c>
    </row>
    <row r="21" ht="13.5" thickTop="1"/>
    <row r="23" ht="12.75">
      <c r="P23" s="1"/>
    </row>
    <row r="24" spans="1:18" ht="12.75">
      <c r="A24" t="s">
        <v>451</v>
      </c>
      <c r="L24" s="1"/>
      <c r="P24" s="1"/>
      <c r="Q24" s="1"/>
      <c r="R24" s="1"/>
    </row>
    <row r="25" spans="1:18" ht="12.75">
      <c r="A25" t="s">
        <v>452</v>
      </c>
      <c r="L25" s="1"/>
      <c r="N25" s="1"/>
      <c r="O25" s="1"/>
      <c r="P25" s="1"/>
      <c r="Q25" s="587"/>
      <c r="R25" s="1"/>
    </row>
    <row r="26" ht="12.75">
      <c r="P26" s="1"/>
    </row>
    <row r="27" spans="1:16" ht="12.75">
      <c r="A27" t="s">
        <v>450</v>
      </c>
      <c r="L27" s="1"/>
      <c r="P27" s="1"/>
    </row>
    <row r="28" spans="16:18" ht="12.75">
      <c r="P28" s="1"/>
      <c r="R28" s="1"/>
    </row>
    <row r="29" spans="14:16" ht="12.75">
      <c r="N29" s="594" t="s">
        <v>426</v>
      </c>
      <c r="P29" s="587"/>
    </row>
    <row r="30" spans="11:14" ht="12.75">
      <c r="K30" s="1"/>
      <c r="L30" s="1"/>
      <c r="N30" s="594" t="s">
        <v>427</v>
      </c>
    </row>
    <row r="31" spans="11:12" ht="12.75">
      <c r="K31" s="1"/>
      <c r="L31" s="1"/>
    </row>
    <row r="32" spans="11:14" ht="12.75">
      <c r="K32" s="1"/>
      <c r="N32" s="1"/>
    </row>
    <row r="33" ht="12.75">
      <c r="L33" s="1"/>
    </row>
    <row r="34" ht="12.75">
      <c r="N34" s="1"/>
    </row>
  </sheetData>
  <sheetProtection/>
  <mergeCells count="28">
    <mergeCell ref="M12:O12"/>
    <mergeCell ref="M3:O3"/>
    <mergeCell ref="M20:O20"/>
    <mergeCell ref="A17:P17"/>
    <mergeCell ref="A18:P19"/>
    <mergeCell ref="M14:O14"/>
    <mergeCell ref="A13:P13"/>
    <mergeCell ref="M16:O16"/>
    <mergeCell ref="M6:O6"/>
    <mergeCell ref="M10:O10"/>
    <mergeCell ref="M4:O4"/>
    <mergeCell ref="A9:P9"/>
    <mergeCell ref="P3:P5"/>
    <mergeCell ref="J3:J5"/>
    <mergeCell ref="I3:I5"/>
    <mergeCell ref="H3:H5"/>
    <mergeCell ref="K3:K5"/>
    <mergeCell ref="M8:O8"/>
    <mergeCell ref="A1:P1"/>
    <mergeCell ref="A2:K2"/>
    <mergeCell ref="A3:A5"/>
    <mergeCell ref="B3:B5"/>
    <mergeCell ref="C3:C5"/>
    <mergeCell ref="D3:D5"/>
    <mergeCell ref="F3:F5"/>
    <mergeCell ref="L3:L5"/>
    <mergeCell ref="E3:E5"/>
    <mergeCell ref="G3:G5"/>
  </mergeCells>
  <printOptions/>
  <pageMargins left="0.75" right="0.75" top="0.5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U121"/>
  <sheetViews>
    <sheetView zoomScalePageLayoutView="0" workbookViewId="0" topLeftCell="A16">
      <selection activeCell="C75" sqref="C75"/>
    </sheetView>
  </sheetViews>
  <sheetFormatPr defaultColWidth="9.140625" defaultRowHeight="12.75"/>
  <cols>
    <col min="1" max="1" width="10.8515625" style="0" customWidth="1"/>
    <col min="2" max="2" width="8.28125" style="0" customWidth="1"/>
    <col min="3" max="3" width="29.7109375" style="0" customWidth="1"/>
    <col min="4" max="11" width="9.140625" style="0" hidden="1" customWidth="1"/>
    <col min="12" max="20" width="14.140625" style="0" customWidth="1"/>
  </cols>
  <sheetData>
    <row r="1" spans="1:20" ht="18">
      <c r="A1" s="844" t="s">
        <v>22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</row>
    <row r="2" ht="13.5" thickBot="1"/>
    <row r="3" spans="1:20" ht="13.5" customHeight="1" thickBot="1" thickTop="1">
      <c r="A3" s="832" t="s">
        <v>139</v>
      </c>
      <c r="B3" s="839" t="s">
        <v>199</v>
      </c>
      <c r="C3" s="847" t="s">
        <v>140</v>
      </c>
      <c r="D3" s="842" t="s">
        <v>297</v>
      </c>
      <c r="E3" s="842" t="s">
        <v>298</v>
      </c>
      <c r="F3" s="842" t="s">
        <v>299</v>
      </c>
      <c r="G3" s="842" t="s">
        <v>300</v>
      </c>
      <c r="H3" s="842" t="s">
        <v>301</v>
      </c>
      <c r="I3" s="842" t="s">
        <v>206</v>
      </c>
      <c r="J3" s="842" t="s">
        <v>207</v>
      </c>
      <c r="K3" s="842" t="s">
        <v>208</v>
      </c>
      <c r="L3" s="845" t="s">
        <v>413</v>
      </c>
      <c r="M3" s="836" t="s">
        <v>188</v>
      </c>
      <c r="N3" s="836"/>
      <c r="O3" s="836"/>
      <c r="P3" s="836"/>
      <c r="Q3" s="836"/>
      <c r="R3" s="836"/>
      <c r="S3" s="836"/>
      <c r="T3" s="828" t="s">
        <v>147</v>
      </c>
    </row>
    <row r="4" spans="1:20" ht="30" customHeight="1" thickBot="1">
      <c r="A4" s="833"/>
      <c r="B4" s="840"/>
      <c r="C4" s="848"/>
      <c r="D4" s="843"/>
      <c r="E4" s="843"/>
      <c r="F4" s="843"/>
      <c r="G4" s="843"/>
      <c r="H4" s="843"/>
      <c r="I4" s="843"/>
      <c r="J4" s="843"/>
      <c r="K4" s="843"/>
      <c r="L4" s="846"/>
      <c r="M4" s="500" t="s">
        <v>189</v>
      </c>
      <c r="N4" s="529" t="s">
        <v>190</v>
      </c>
      <c r="O4" s="529" t="s">
        <v>191</v>
      </c>
      <c r="P4" s="500" t="s">
        <v>192</v>
      </c>
      <c r="Q4" s="500" t="s">
        <v>195</v>
      </c>
      <c r="R4" s="500" t="s">
        <v>193</v>
      </c>
      <c r="S4" s="500" t="s">
        <v>194</v>
      </c>
      <c r="T4" s="829"/>
    </row>
    <row r="5" spans="1:20" ht="16.5" thickBot="1" thickTop="1">
      <c r="A5" s="515" t="s">
        <v>69</v>
      </c>
      <c r="B5" s="831" t="str">
        <f>'Kapitálové výdavky'!C4</f>
        <v>Verejná správa</v>
      </c>
      <c r="C5" s="831"/>
      <c r="D5" s="360">
        <v>372735</v>
      </c>
      <c r="E5" s="360">
        <v>64629</v>
      </c>
      <c r="F5" s="360">
        <v>39833</v>
      </c>
      <c r="G5" s="360">
        <v>3383</v>
      </c>
      <c r="H5" s="360"/>
      <c r="I5" s="361">
        <v>18260</v>
      </c>
      <c r="J5" s="361">
        <v>0</v>
      </c>
      <c r="K5" s="361">
        <v>0</v>
      </c>
      <c r="L5" s="501">
        <f>L6+L7</f>
        <v>7000</v>
      </c>
      <c r="M5" s="501">
        <f>M6+M7</f>
        <v>7000</v>
      </c>
      <c r="N5" s="501">
        <f aca="true" t="shared" si="0" ref="N5:S5">N6</f>
        <v>0</v>
      </c>
      <c r="O5" s="501">
        <f t="shared" si="0"/>
        <v>0</v>
      </c>
      <c r="P5" s="501">
        <f t="shared" si="0"/>
        <v>0</v>
      </c>
      <c r="Q5" s="501">
        <f t="shared" si="0"/>
        <v>0</v>
      </c>
      <c r="R5" s="501">
        <f t="shared" si="0"/>
        <v>0</v>
      </c>
      <c r="S5" s="501">
        <f t="shared" si="0"/>
        <v>0</v>
      </c>
      <c r="T5" s="516">
        <f>T6+T7</f>
        <v>7000</v>
      </c>
    </row>
    <row r="6" spans="1:20" ht="12.75">
      <c r="A6" s="705"/>
      <c r="B6" s="759"/>
      <c r="C6" s="71" t="str">
        <f>'Kapitálové výdavky'!D5</f>
        <v>auto</v>
      </c>
      <c r="D6" s="21"/>
      <c r="E6" s="21"/>
      <c r="F6" s="21"/>
      <c r="G6" s="21"/>
      <c r="H6" s="55"/>
      <c r="I6" s="55"/>
      <c r="J6" s="55"/>
      <c r="K6" s="21"/>
      <c r="L6" s="56">
        <f>'Kapitálové výdavky'!O5</f>
        <v>4500</v>
      </c>
      <c r="M6" s="56">
        <v>4500</v>
      </c>
      <c r="N6" s="56"/>
      <c r="O6" s="56"/>
      <c r="P6" s="56"/>
      <c r="Q6" s="56"/>
      <c r="R6" s="56"/>
      <c r="S6" s="56"/>
      <c r="T6" s="22">
        <f>SUM(M6:S6)</f>
        <v>4500</v>
      </c>
    </row>
    <row r="7" spans="1:20" ht="13.5" thickBot="1">
      <c r="A7" s="707"/>
      <c r="B7" s="760"/>
      <c r="C7" s="146" t="s">
        <v>432</v>
      </c>
      <c r="D7" s="21"/>
      <c r="E7" s="21"/>
      <c r="F7" s="21"/>
      <c r="G7" s="21"/>
      <c r="H7" s="55"/>
      <c r="I7" s="55"/>
      <c r="J7" s="55"/>
      <c r="K7" s="21"/>
      <c r="L7" s="72">
        <v>2500</v>
      </c>
      <c r="M7" s="56">
        <v>2500</v>
      </c>
      <c r="N7" s="72"/>
      <c r="O7" s="72"/>
      <c r="P7" s="72"/>
      <c r="Q7" s="72"/>
      <c r="R7" s="72"/>
      <c r="S7" s="72"/>
      <c r="T7" s="22">
        <f>SUM(M7:S7)</f>
        <v>2500</v>
      </c>
    </row>
    <row r="8" spans="1:20" ht="15.75" thickBot="1">
      <c r="A8" s="513" t="s">
        <v>156</v>
      </c>
      <c r="B8" s="830" t="str">
        <f>'Kapitálové výdavky'!C7</f>
        <v>Policajné služby</v>
      </c>
      <c r="C8" s="830"/>
      <c r="D8" s="235">
        <v>17958</v>
      </c>
      <c r="E8" s="235">
        <v>0</v>
      </c>
      <c r="F8" s="235">
        <v>19916</v>
      </c>
      <c r="G8" s="235">
        <v>18253</v>
      </c>
      <c r="H8" s="235">
        <v>16675</v>
      </c>
      <c r="I8" s="138">
        <v>3031</v>
      </c>
      <c r="J8" s="138">
        <v>0</v>
      </c>
      <c r="K8" s="66">
        <f>SUM(K9:K10)</f>
        <v>10398</v>
      </c>
      <c r="L8" s="502">
        <f>SUM(L9:L10)</f>
        <v>5700</v>
      </c>
      <c r="M8" s="502">
        <f>SUM(M9:M10)</f>
        <v>5700</v>
      </c>
      <c r="N8" s="502">
        <f aca="true" t="shared" si="1" ref="N8:T8">SUM(N9:N10)</f>
        <v>0</v>
      </c>
      <c r="O8" s="502">
        <f t="shared" si="1"/>
        <v>0</v>
      </c>
      <c r="P8" s="502">
        <f t="shared" si="1"/>
        <v>0</v>
      </c>
      <c r="Q8" s="502">
        <f t="shared" si="1"/>
        <v>0</v>
      </c>
      <c r="R8" s="502">
        <f t="shared" si="1"/>
        <v>0</v>
      </c>
      <c r="S8" s="502">
        <f t="shared" si="1"/>
        <v>0</v>
      </c>
      <c r="T8" s="517">
        <f t="shared" si="1"/>
        <v>5700</v>
      </c>
    </row>
    <row r="9" spans="1:20" ht="12.75">
      <c r="A9" s="705"/>
      <c r="B9" s="759"/>
      <c r="C9" s="71" t="str">
        <f>'Kapitálové výdavky'!D8</f>
        <v>kamerový systém</v>
      </c>
      <c r="D9" s="94"/>
      <c r="E9" s="94"/>
      <c r="F9" s="94"/>
      <c r="G9" s="94"/>
      <c r="H9" s="54"/>
      <c r="I9" s="54"/>
      <c r="J9" s="54"/>
      <c r="K9" s="94">
        <v>10398</v>
      </c>
      <c r="L9" s="41">
        <f>'Kapitálové výdavky'!O8</f>
        <v>0</v>
      </c>
      <c r="M9" s="41"/>
      <c r="N9" s="41"/>
      <c r="O9" s="41"/>
      <c r="P9" s="41"/>
      <c r="Q9" s="41"/>
      <c r="R9" s="41"/>
      <c r="S9" s="41"/>
      <c r="T9" s="95">
        <f>SUM(M9:S9)</f>
        <v>0</v>
      </c>
    </row>
    <row r="10" spans="1:20" ht="13.5" thickBot="1">
      <c r="A10" s="707"/>
      <c r="B10" s="760"/>
      <c r="C10" s="146" t="str">
        <f>'Kapitálové výdavky'!D9</f>
        <v>auto</v>
      </c>
      <c r="D10" s="69"/>
      <c r="E10" s="69"/>
      <c r="F10" s="69"/>
      <c r="G10" s="69"/>
      <c r="H10" s="68"/>
      <c r="I10" s="68"/>
      <c r="J10" s="68"/>
      <c r="K10" s="69"/>
      <c r="L10" s="56">
        <v>5700</v>
      </c>
      <c r="M10" s="56">
        <v>5700</v>
      </c>
      <c r="N10" s="56"/>
      <c r="O10" s="56"/>
      <c r="P10" s="56"/>
      <c r="Q10" s="56"/>
      <c r="R10" s="56"/>
      <c r="S10" s="56"/>
      <c r="T10" s="22">
        <f>SUM(M10:S10)</f>
        <v>5700</v>
      </c>
    </row>
    <row r="11" spans="1:21" ht="15.75" thickBot="1">
      <c r="A11" s="513" t="s">
        <v>151</v>
      </c>
      <c r="B11" s="830" t="str">
        <f>'Kapitálové výdavky'!C10</f>
        <v>Výstavba</v>
      </c>
      <c r="C11" s="830"/>
      <c r="D11" s="235">
        <v>894211</v>
      </c>
      <c r="E11" s="235">
        <v>382958</v>
      </c>
      <c r="F11" s="235">
        <v>343590</v>
      </c>
      <c r="G11" s="235">
        <v>610914</v>
      </c>
      <c r="H11" s="235">
        <v>1718795</v>
      </c>
      <c r="I11" s="138">
        <v>495900</v>
      </c>
      <c r="J11" s="235">
        <v>421522</v>
      </c>
      <c r="K11" s="66">
        <f>SUM(K12:K25)</f>
        <v>2058954</v>
      </c>
      <c r="L11" s="502">
        <f>SUM(L12:L25)</f>
        <v>1084126</v>
      </c>
      <c r="M11" s="502">
        <f>SUM(M12:M25)</f>
        <v>27776</v>
      </c>
      <c r="N11" s="502">
        <f aca="true" t="shared" si="2" ref="N11:S11">SUM(N12:N25)</f>
        <v>27650</v>
      </c>
      <c r="O11" s="502">
        <f t="shared" si="2"/>
        <v>0</v>
      </c>
      <c r="P11" s="502">
        <f t="shared" si="2"/>
        <v>344000</v>
      </c>
      <c r="Q11" s="502">
        <f t="shared" si="2"/>
        <v>681900</v>
      </c>
      <c r="R11" s="502">
        <f t="shared" si="2"/>
        <v>0</v>
      </c>
      <c r="S11" s="502">
        <f t="shared" si="2"/>
        <v>2800</v>
      </c>
      <c r="T11" s="517">
        <f>SUM(T12:T25)</f>
        <v>1084126</v>
      </c>
      <c r="U11" s="1"/>
    </row>
    <row r="12" spans="1:20" ht="12.75">
      <c r="A12" s="706"/>
      <c r="B12" s="769"/>
      <c r="C12" s="71" t="str">
        <f>'Kapitálové výdavky'!D11</f>
        <v>Projektová dokumentácia</v>
      </c>
      <c r="D12" s="21"/>
      <c r="E12" s="21"/>
      <c r="F12" s="21"/>
      <c r="G12" s="21"/>
      <c r="H12" s="55"/>
      <c r="I12" s="55"/>
      <c r="J12" s="21"/>
      <c r="K12" s="21">
        <v>47371</v>
      </c>
      <c r="L12" s="56">
        <v>41826</v>
      </c>
      <c r="M12" s="56">
        <f>20526+4400</f>
        <v>24926</v>
      </c>
      <c r="N12" s="56">
        <v>16900</v>
      </c>
      <c r="O12" s="56"/>
      <c r="P12" s="56"/>
      <c r="Q12" s="56"/>
      <c r="R12" s="56"/>
      <c r="S12" s="56"/>
      <c r="T12" s="22">
        <f aca="true" t="shared" si="3" ref="T12:T25">SUM(M12:S12)</f>
        <v>41826</v>
      </c>
    </row>
    <row r="13" spans="1:20" ht="12.75">
      <c r="A13" s="706"/>
      <c r="B13" s="769"/>
      <c r="C13" s="71" t="str">
        <f>'Kapitálové výdavky'!D12</f>
        <v>Spolufinancovanie projektov</v>
      </c>
      <c r="D13" s="21"/>
      <c r="E13" s="21"/>
      <c r="F13" s="21"/>
      <c r="G13" s="21"/>
      <c r="H13" s="55"/>
      <c r="I13" s="55"/>
      <c r="J13" s="21"/>
      <c r="K13" s="21"/>
      <c r="L13" s="56"/>
      <c r="M13" s="56"/>
      <c r="N13" s="56"/>
      <c r="O13" s="56"/>
      <c r="P13" s="56"/>
      <c r="Q13" s="56"/>
      <c r="R13" s="56"/>
      <c r="S13" s="56"/>
      <c r="T13" s="22">
        <f t="shared" si="3"/>
        <v>0</v>
      </c>
    </row>
    <row r="14" spans="1:20" ht="12.75">
      <c r="A14" s="706"/>
      <c r="B14" s="769"/>
      <c r="C14" s="71" t="s">
        <v>414</v>
      </c>
      <c r="D14" s="25"/>
      <c r="E14" s="25"/>
      <c r="F14" s="25"/>
      <c r="G14" s="25"/>
      <c r="H14" s="57"/>
      <c r="I14" s="57"/>
      <c r="J14" s="25"/>
      <c r="K14" s="25"/>
      <c r="L14" s="56">
        <v>5000</v>
      </c>
      <c r="M14" s="56">
        <v>1000</v>
      </c>
      <c r="N14" s="56"/>
      <c r="O14" s="56"/>
      <c r="P14" s="56">
        <v>4000</v>
      </c>
      <c r="Q14" s="56"/>
      <c r="R14" s="56"/>
      <c r="S14" s="56"/>
      <c r="T14" s="22">
        <f t="shared" si="3"/>
        <v>5000</v>
      </c>
    </row>
    <row r="15" spans="1:20" ht="12.75">
      <c r="A15" s="706"/>
      <c r="B15" s="769"/>
      <c r="C15" s="71" t="str">
        <f>'Kapitálové výdavky'!D14</f>
        <v>Na  obnovu kult. Pamiatok</v>
      </c>
      <c r="D15" s="29"/>
      <c r="E15" s="29"/>
      <c r="F15" s="29"/>
      <c r="G15" s="29"/>
      <c r="H15" s="65"/>
      <c r="I15" s="65"/>
      <c r="J15" s="29"/>
      <c r="K15" s="29"/>
      <c r="L15" s="56">
        <v>340000</v>
      </c>
      <c r="M15" s="56"/>
      <c r="N15" s="56"/>
      <c r="O15" s="56"/>
      <c r="P15" s="56">
        <v>340000</v>
      </c>
      <c r="Q15" s="56"/>
      <c r="R15" s="56"/>
      <c r="S15" s="56"/>
      <c r="T15" s="22">
        <f t="shared" si="3"/>
        <v>340000</v>
      </c>
    </row>
    <row r="16" spans="1:20" ht="12.75">
      <c r="A16" s="706"/>
      <c r="B16" s="769"/>
      <c r="C16" s="71" t="str">
        <f>'Kapitálové výdavky'!D15</f>
        <v>Kostol sv. Jakuba </v>
      </c>
      <c r="D16" s="29"/>
      <c r="E16" s="29"/>
      <c r="F16" s="29"/>
      <c r="G16" s="29"/>
      <c r="H16" s="65"/>
      <c r="I16" s="65"/>
      <c r="J16" s="29"/>
      <c r="K16" s="29">
        <v>282056</v>
      </c>
      <c r="L16" s="56">
        <v>8750</v>
      </c>
      <c r="M16" s="56"/>
      <c r="N16" s="56">
        <v>8750</v>
      </c>
      <c r="O16" s="56"/>
      <c r="P16" s="56"/>
      <c r="Q16" s="56"/>
      <c r="R16" s="56"/>
      <c r="S16" s="56"/>
      <c r="T16" s="22">
        <f t="shared" si="3"/>
        <v>8750</v>
      </c>
    </row>
    <row r="17" spans="1:20" ht="12.75">
      <c r="A17" s="706"/>
      <c r="B17" s="769"/>
      <c r="C17" s="71" t="str">
        <f>'Kapitálové výdavky'!D16</f>
        <v>Prestavba N.M.P. I. etapa </v>
      </c>
      <c r="D17" s="25"/>
      <c r="E17" s="25"/>
      <c r="F17" s="25"/>
      <c r="G17" s="25"/>
      <c r="H17" s="57"/>
      <c r="I17" s="57"/>
      <c r="J17" s="25"/>
      <c r="K17" s="25">
        <v>881052</v>
      </c>
      <c r="L17" s="56">
        <v>0</v>
      </c>
      <c r="M17" s="56"/>
      <c r="N17" s="56"/>
      <c r="O17" s="56"/>
      <c r="P17" s="56"/>
      <c r="Q17" s="56"/>
      <c r="R17" s="56"/>
      <c r="S17" s="56"/>
      <c r="T17" s="22">
        <f t="shared" si="3"/>
        <v>0</v>
      </c>
    </row>
    <row r="18" spans="1:20" ht="12.75">
      <c r="A18" s="706"/>
      <c r="B18" s="769"/>
      <c r="C18" s="71" t="str">
        <f>'Kapitálové výdavky'!D17</f>
        <v>Dom meštiansky, NMP č.43</v>
      </c>
      <c r="D18" s="25"/>
      <c r="E18" s="25"/>
      <c r="F18" s="25"/>
      <c r="G18" s="25"/>
      <c r="H18" s="57"/>
      <c r="I18" s="57"/>
      <c r="J18" s="25"/>
      <c r="K18" s="25">
        <v>100004</v>
      </c>
      <c r="L18" s="56">
        <v>0</v>
      </c>
      <c r="M18" s="56"/>
      <c r="N18" s="56"/>
      <c r="O18" s="56"/>
      <c r="P18" s="56"/>
      <c r="Q18" s="56"/>
      <c r="R18" s="56"/>
      <c r="S18" s="56"/>
      <c r="T18" s="22">
        <f t="shared" si="3"/>
        <v>0</v>
      </c>
    </row>
    <row r="19" spans="1:20" ht="12.75">
      <c r="A19" s="706"/>
      <c r="B19" s="769"/>
      <c r="C19" s="71" t="str">
        <f>'Kapitálové výdavky'!D18</f>
        <v>Prestavba N.M.P. II. etapa </v>
      </c>
      <c r="D19" s="25"/>
      <c r="E19" s="25"/>
      <c r="F19" s="25"/>
      <c r="G19" s="25"/>
      <c r="H19" s="57"/>
      <c r="I19" s="57"/>
      <c r="J19" s="25"/>
      <c r="K19" s="25">
        <v>0</v>
      </c>
      <c r="L19" s="56">
        <v>0</v>
      </c>
      <c r="M19" s="56"/>
      <c r="N19" s="56"/>
      <c r="O19" s="56"/>
      <c r="P19" s="56"/>
      <c r="Q19" s="56"/>
      <c r="R19" s="56"/>
      <c r="S19" s="56"/>
      <c r="T19" s="22">
        <f t="shared" si="3"/>
        <v>0</v>
      </c>
    </row>
    <row r="20" spans="1:20" ht="12.75">
      <c r="A20" s="706"/>
      <c r="B20" s="769"/>
      <c r="C20" s="71" t="str">
        <f>'Kapitálové výdavky'!D19</f>
        <v>NMP č.4</v>
      </c>
      <c r="D20" s="25"/>
      <c r="E20" s="25"/>
      <c r="F20" s="25"/>
      <c r="G20" s="25"/>
      <c r="H20" s="57"/>
      <c r="I20" s="57"/>
      <c r="J20" s="25"/>
      <c r="K20" s="25"/>
      <c r="L20" s="56">
        <v>2800</v>
      </c>
      <c r="M20" s="56"/>
      <c r="N20" s="56"/>
      <c r="O20" s="56"/>
      <c r="P20" s="56"/>
      <c r="Q20" s="56"/>
      <c r="R20" s="56"/>
      <c r="S20" s="56">
        <v>2800</v>
      </c>
      <c r="T20" s="22">
        <f t="shared" si="3"/>
        <v>2800</v>
      </c>
    </row>
    <row r="21" spans="1:20" ht="12.75">
      <c r="A21" s="706"/>
      <c r="B21" s="769"/>
      <c r="C21" s="71" t="str">
        <f>'Kapitálové výdavky'!D20</f>
        <v>PD Košická ulica č. 26 </v>
      </c>
      <c r="D21" s="25"/>
      <c r="E21" s="25"/>
      <c r="F21" s="25"/>
      <c r="G21" s="25"/>
      <c r="H21" s="57"/>
      <c r="I21" s="57"/>
      <c r="J21" s="25"/>
      <c r="K21" s="25"/>
      <c r="L21" s="56">
        <v>250</v>
      </c>
      <c r="M21" s="56">
        <v>250</v>
      </c>
      <c r="N21" s="56"/>
      <c r="O21" s="56"/>
      <c r="P21" s="56"/>
      <c r="Q21" s="56"/>
      <c r="R21" s="56"/>
      <c r="S21" s="56"/>
      <c r="T21" s="22">
        <f t="shared" si="3"/>
        <v>250</v>
      </c>
    </row>
    <row r="22" spans="1:20" ht="12.75">
      <c r="A22" s="706"/>
      <c r="B22" s="769"/>
      <c r="C22" s="71" t="str">
        <f>'Kapitálové výdavky'!D21</f>
        <v>Kostol sv. Jakuba - veža</v>
      </c>
      <c r="D22" s="25"/>
      <c r="E22" s="25"/>
      <c r="F22" s="25"/>
      <c r="G22" s="25"/>
      <c r="H22" s="57"/>
      <c r="I22" s="57"/>
      <c r="J22" s="25"/>
      <c r="K22" s="25"/>
      <c r="L22" s="25">
        <v>681900</v>
      </c>
      <c r="M22" s="25"/>
      <c r="N22" s="25"/>
      <c r="O22" s="25"/>
      <c r="P22" s="25"/>
      <c r="Q22" s="25">
        <v>681900</v>
      </c>
      <c r="R22" s="25"/>
      <c r="S22" s="25"/>
      <c r="T22" s="26">
        <f t="shared" si="3"/>
        <v>681900</v>
      </c>
    </row>
    <row r="23" spans="1:20" ht="13.5" thickBot="1">
      <c r="A23" s="706"/>
      <c r="B23" s="769"/>
      <c r="C23" s="71" t="str">
        <f>'Kapitálové výdavky'!D22</f>
        <v>Hradby</v>
      </c>
      <c r="D23" s="25"/>
      <c r="E23" s="25"/>
      <c r="F23" s="25"/>
      <c r="G23" s="25"/>
      <c r="H23" s="57"/>
      <c r="I23" s="57"/>
      <c r="J23" s="25"/>
      <c r="K23" s="25"/>
      <c r="L23" s="43">
        <v>3600</v>
      </c>
      <c r="M23" s="43">
        <v>1600</v>
      </c>
      <c r="N23" s="43">
        <v>2000</v>
      </c>
      <c r="O23" s="43"/>
      <c r="P23" s="43"/>
      <c r="Q23" s="43"/>
      <c r="R23" s="43"/>
      <c r="S23" s="43"/>
      <c r="T23" s="26">
        <f t="shared" si="3"/>
        <v>3600</v>
      </c>
    </row>
    <row r="24" spans="1:20" ht="13.5" hidden="1" thickBot="1">
      <c r="A24" s="706"/>
      <c r="B24" s="769"/>
      <c r="C24" s="71"/>
      <c r="D24" s="25"/>
      <c r="E24" s="25"/>
      <c r="F24" s="25"/>
      <c r="G24" s="25"/>
      <c r="H24" s="57"/>
      <c r="I24" s="57"/>
      <c r="J24" s="25"/>
      <c r="K24" s="25"/>
      <c r="L24" s="43"/>
      <c r="M24" s="43"/>
      <c r="N24" s="43"/>
      <c r="O24" s="43"/>
      <c r="P24" s="43"/>
      <c r="Q24" s="43"/>
      <c r="R24" s="43"/>
      <c r="S24" s="43"/>
      <c r="T24" s="26">
        <f t="shared" si="3"/>
        <v>0</v>
      </c>
    </row>
    <row r="25" spans="1:20" ht="13.5" hidden="1" thickBot="1">
      <c r="A25" s="707"/>
      <c r="B25" s="769"/>
      <c r="C25" s="146" t="str">
        <f>'Kapitálové výdavky'!D24</f>
        <v>Radnica a Zvonica NMP 2</v>
      </c>
      <c r="D25" s="69"/>
      <c r="E25" s="69"/>
      <c r="F25" s="69"/>
      <c r="G25" s="69"/>
      <c r="H25" s="68"/>
      <c r="I25" s="68"/>
      <c r="J25" s="69"/>
      <c r="K25" s="69">
        <v>748471</v>
      </c>
      <c r="L25" s="56">
        <f>'Kapitálové výdavky'!O24</f>
        <v>0</v>
      </c>
      <c r="M25" s="56"/>
      <c r="N25" s="56"/>
      <c r="O25" s="56"/>
      <c r="P25" s="56"/>
      <c r="Q25" s="56"/>
      <c r="R25" s="56"/>
      <c r="S25" s="56"/>
      <c r="T25" s="22">
        <f t="shared" si="3"/>
        <v>0</v>
      </c>
    </row>
    <row r="26" spans="1:20" ht="15.75" thickBot="1">
      <c r="A26" s="512" t="s">
        <v>29</v>
      </c>
      <c r="B26" s="830" t="str">
        <f>'Kapitálové výdavky'!C25</f>
        <v>Doprava-výstavba a oprava ciest</v>
      </c>
      <c r="C26" s="830"/>
      <c r="D26" s="235">
        <v>154053</v>
      </c>
      <c r="E26" s="235">
        <v>194317</v>
      </c>
      <c r="F26" s="235">
        <v>340238</v>
      </c>
      <c r="G26" s="235">
        <v>484191</v>
      </c>
      <c r="H26" s="235">
        <v>181309</v>
      </c>
      <c r="I26" s="138">
        <v>33695</v>
      </c>
      <c r="J26" s="235">
        <v>79908</v>
      </c>
      <c r="K26" s="66">
        <f>SUM(K27:K39)</f>
        <v>0</v>
      </c>
      <c r="L26" s="502">
        <f>SUM(L27:L39)</f>
        <v>197700</v>
      </c>
      <c r="M26" s="502">
        <f>SUM(M27:M39)</f>
        <v>12500</v>
      </c>
      <c r="N26" s="502">
        <f aca="true" t="shared" si="4" ref="N26:S26">SUM(N27:N37)</f>
        <v>0</v>
      </c>
      <c r="O26" s="502">
        <f t="shared" si="4"/>
        <v>0</v>
      </c>
      <c r="P26" s="502">
        <f t="shared" si="4"/>
        <v>0</v>
      </c>
      <c r="Q26" s="502">
        <f t="shared" si="4"/>
        <v>0</v>
      </c>
      <c r="R26" s="502">
        <f t="shared" si="4"/>
        <v>115000</v>
      </c>
      <c r="S26" s="502">
        <f t="shared" si="4"/>
        <v>70200</v>
      </c>
      <c r="T26" s="517">
        <f>SUM(T27:T39)</f>
        <v>197700</v>
      </c>
    </row>
    <row r="27" spans="1:20" ht="12.75" hidden="1">
      <c r="A27" s="705"/>
      <c r="B27" s="759"/>
      <c r="C27" s="71" t="str">
        <f>'Kapitálové výdavky'!D26</f>
        <v>modernizácia autobusových zastávok</v>
      </c>
      <c r="D27" s="25"/>
      <c r="E27" s="25"/>
      <c r="F27" s="25"/>
      <c r="G27" s="25"/>
      <c r="H27" s="57"/>
      <c r="I27" s="365"/>
      <c r="J27" s="366"/>
      <c r="K27" s="25"/>
      <c r="L27" s="56">
        <f>'Kapitálové výdavky'!O26</f>
        <v>0</v>
      </c>
      <c r="M27" s="56"/>
      <c r="N27" s="56"/>
      <c r="O27" s="56"/>
      <c r="P27" s="56"/>
      <c r="Q27" s="56"/>
      <c r="R27" s="56"/>
      <c r="S27" s="56"/>
      <c r="T27" s="22">
        <f aca="true" t="shared" si="5" ref="T27:T39">SUM(M27:S27)</f>
        <v>0</v>
      </c>
    </row>
    <row r="28" spans="1:20" ht="12.75" hidden="1">
      <c r="A28" s="706"/>
      <c r="B28" s="760"/>
      <c r="C28" s="71" t="str">
        <f>'Kapitálové výdavky'!D27</f>
        <v>Projekt dopravného značenia MHD</v>
      </c>
      <c r="D28" s="25"/>
      <c r="E28" s="25"/>
      <c r="F28" s="25"/>
      <c r="G28" s="25"/>
      <c r="H28" s="57"/>
      <c r="I28" s="365"/>
      <c r="J28" s="366"/>
      <c r="K28" s="25"/>
      <c r="L28" s="56">
        <f>'Kapitálové výdavky'!O27</f>
        <v>0</v>
      </c>
      <c r="M28" s="56"/>
      <c r="N28" s="56"/>
      <c r="O28" s="56"/>
      <c r="P28" s="56"/>
      <c r="Q28" s="56"/>
      <c r="R28" s="56"/>
      <c r="S28" s="56"/>
      <c r="T28" s="22">
        <f t="shared" si="5"/>
        <v>0</v>
      </c>
    </row>
    <row r="29" spans="1:20" ht="12.75">
      <c r="A29" s="706"/>
      <c r="B29" s="760"/>
      <c r="C29" s="71" t="str">
        <f>'Kapitálové výdavky'!D28</f>
        <v>PD - cesta Mariánska hora</v>
      </c>
      <c r="D29" s="25"/>
      <c r="E29" s="25"/>
      <c r="F29" s="25"/>
      <c r="G29" s="25"/>
      <c r="H29" s="57"/>
      <c r="I29" s="365"/>
      <c r="J29" s="366"/>
      <c r="K29" s="25"/>
      <c r="L29" s="56">
        <v>23040</v>
      </c>
      <c r="M29" s="56"/>
      <c r="N29" s="56"/>
      <c r="O29" s="56"/>
      <c r="P29" s="56"/>
      <c r="Q29" s="56"/>
      <c r="R29" s="56"/>
      <c r="S29" s="56">
        <v>23040</v>
      </c>
      <c r="T29" s="22">
        <f t="shared" si="5"/>
        <v>23040</v>
      </c>
    </row>
    <row r="30" spans="1:20" ht="12.75">
      <c r="A30" s="706"/>
      <c r="B30" s="760"/>
      <c r="C30" s="71" t="str">
        <f>'Kapitálové výdavky'!D29</f>
        <v>MPV  - cesta Mariánska hora</v>
      </c>
      <c r="D30" s="25"/>
      <c r="E30" s="25"/>
      <c r="F30" s="25"/>
      <c r="G30" s="25"/>
      <c r="H30" s="57"/>
      <c r="I30" s="365"/>
      <c r="J30" s="366"/>
      <c r="K30" s="25"/>
      <c r="L30" s="56">
        <v>54660</v>
      </c>
      <c r="M30" s="56">
        <f>10500-3000</f>
        <v>7500</v>
      </c>
      <c r="N30" s="56"/>
      <c r="O30" s="56"/>
      <c r="P30" s="56"/>
      <c r="Q30" s="56"/>
      <c r="R30" s="56"/>
      <c r="S30" s="56">
        <f>21685+15000+3515+6960</f>
        <v>47160</v>
      </c>
      <c r="T30" s="22">
        <f t="shared" si="5"/>
        <v>54660</v>
      </c>
    </row>
    <row r="31" spans="1:20" ht="12.75">
      <c r="A31" s="706"/>
      <c r="B31" s="760"/>
      <c r="C31" s="71" t="s">
        <v>415</v>
      </c>
      <c r="D31" s="25"/>
      <c r="E31" s="25"/>
      <c r="F31" s="25"/>
      <c r="G31" s="25"/>
      <c r="H31" s="57"/>
      <c r="I31" s="365"/>
      <c r="J31" s="366"/>
      <c r="K31" s="25"/>
      <c r="L31" s="56">
        <v>115000</v>
      </c>
      <c r="M31" s="56"/>
      <c r="N31" s="56"/>
      <c r="O31" s="56"/>
      <c r="P31" s="56"/>
      <c r="Q31" s="56"/>
      <c r="R31" s="56">
        <v>115000</v>
      </c>
      <c r="S31" s="56"/>
      <c r="T31" s="22">
        <f t="shared" si="5"/>
        <v>115000</v>
      </c>
    </row>
    <row r="32" spans="1:20" ht="12.75" hidden="1">
      <c r="A32" s="706"/>
      <c r="B32" s="760"/>
      <c r="C32" s="71" t="str">
        <f>'Kapitálové výdavky'!D31</f>
        <v>Spevnené plochy a komunikácie</v>
      </c>
      <c r="D32" s="25"/>
      <c r="E32" s="25"/>
      <c r="F32" s="25"/>
      <c r="G32" s="25"/>
      <c r="H32" s="57"/>
      <c r="I32" s="365"/>
      <c r="J32" s="366"/>
      <c r="K32" s="25"/>
      <c r="L32" s="56">
        <f>'Kapitálové výdavky'!O31</f>
        <v>0</v>
      </c>
      <c r="M32" s="56"/>
      <c r="N32" s="56"/>
      <c r="O32" s="56"/>
      <c r="P32" s="56"/>
      <c r="Q32" s="56"/>
      <c r="R32" s="56"/>
      <c r="S32" s="56"/>
      <c r="T32" s="22">
        <f t="shared" si="5"/>
        <v>0</v>
      </c>
    </row>
    <row r="33" spans="1:20" ht="12.75" hidden="1">
      <c r="A33" s="706"/>
      <c r="B33" s="760"/>
      <c r="C33" s="71" t="str">
        <f>'Kapitálové výdavky'!D32</f>
        <v>Zábradlie Križný potok</v>
      </c>
      <c r="D33" s="29"/>
      <c r="E33" s="29"/>
      <c r="F33" s="29"/>
      <c r="G33" s="29"/>
      <c r="H33" s="65"/>
      <c r="I33" s="367"/>
      <c r="J33" s="368"/>
      <c r="K33" s="29"/>
      <c r="L33" s="56">
        <f>'Kapitálové výdavky'!O32</f>
        <v>0</v>
      </c>
      <c r="M33" s="56"/>
      <c r="N33" s="56"/>
      <c r="O33" s="56"/>
      <c r="P33" s="56"/>
      <c r="Q33" s="56"/>
      <c r="R33" s="56"/>
      <c r="S33" s="56"/>
      <c r="T33" s="22">
        <f t="shared" si="5"/>
        <v>0</v>
      </c>
    </row>
    <row r="34" spans="1:20" ht="12.75" hidden="1">
      <c r="A34" s="706"/>
      <c r="B34" s="760"/>
      <c r="C34" s="71" t="str">
        <f>'Kapitálové výdavky'!D33</f>
        <v>Parkovisko - Sadová ul.</v>
      </c>
      <c r="D34" s="29"/>
      <c r="E34" s="29"/>
      <c r="F34" s="29"/>
      <c r="G34" s="29"/>
      <c r="H34" s="65"/>
      <c r="I34" s="367"/>
      <c r="J34" s="368"/>
      <c r="K34" s="29"/>
      <c r="L34" s="56">
        <f>'Kapitálové výdavky'!O33</f>
        <v>0</v>
      </c>
      <c r="M34" s="56"/>
      <c r="N34" s="56"/>
      <c r="O34" s="56"/>
      <c r="P34" s="56"/>
      <c r="Q34" s="56"/>
      <c r="R34" s="56"/>
      <c r="S34" s="56"/>
      <c r="T34" s="22">
        <f t="shared" si="5"/>
        <v>0</v>
      </c>
    </row>
    <row r="35" spans="1:20" ht="12.75" hidden="1">
      <c r="A35" s="706"/>
      <c r="B35" s="760"/>
      <c r="C35" s="71" t="str">
        <f>'Kapitálové výdavky'!D34</f>
        <v>schody okružná</v>
      </c>
      <c r="D35" s="29"/>
      <c r="E35" s="29"/>
      <c r="F35" s="29"/>
      <c r="G35" s="29"/>
      <c r="H35" s="65"/>
      <c r="I35" s="367"/>
      <c r="J35" s="368"/>
      <c r="K35" s="29"/>
      <c r="L35" s="56">
        <f>'Kapitálové výdavky'!O34</f>
        <v>0</v>
      </c>
      <c r="M35" s="56"/>
      <c r="N35" s="56"/>
      <c r="O35" s="56"/>
      <c r="P35" s="56"/>
      <c r="Q35" s="56"/>
      <c r="R35" s="56"/>
      <c r="S35" s="56"/>
      <c r="T35" s="22">
        <f t="shared" si="5"/>
        <v>0</v>
      </c>
    </row>
    <row r="36" spans="1:20" ht="12.75" hidden="1">
      <c r="A36" s="706"/>
      <c r="B36" s="760"/>
      <c r="C36" s="71" t="str">
        <f>'Kapitálové výdavky'!D35</f>
        <v>chodník - Kláštorská</v>
      </c>
      <c r="D36" s="29"/>
      <c r="E36" s="29"/>
      <c r="F36" s="29"/>
      <c r="G36" s="29"/>
      <c r="H36" s="65"/>
      <c r="I36" s="367"/>
      <c r="J36" s="368"/>
      <c r="K36" s="29"/>
      <c r="L36" s="56">
        <f>'Kapitálové výdavky'!O35</f>
        <v>0</v>
      </c>
      <c r="M36" s="56"/>
      <c r="N36" s="56"/>
      <c r="O36" s="56"/>
      <c r="P36" s="56"/>
      <c r="Q36" s="56"/>
      <c r="R36" s="56"/>
      <c r="S36" s="56"/>
      <c r="T36" s="22">
        <f t="shared" si="5"/>
        <v>0</v>
      </c>
    </row>
    <row r="37" spans="1:20" ht="12.75" hidden="1">
      <c r="A37" s="706"/>
      <c r="B37" s="760"/>
      <c r="C37" s="71" t="str">
        <f>'Kapitálové výdavky'!D36</f>
        <v>výstavba parkoviska sídl, Západ II.</v>
      </c>
      <c r="D37" s="29"/>
      <c r="E37" s="29"/>
      <c r="F37" s="29"/>
      <c r="G37" s="29"/>
      <c r="H37" s="65"/>
      <c r="I37" s="367"/>
      <c r="J37" s="368"/>
      <c r="K37" s="29"/>
      <c r="L37" s="56">
        <f>'Kapitálové výdavky'!O36</f>
        <v>0</v>
      </c>
      <c r="M37" s="56"/>
      <c r="N37" s="56"/>
      <c r="O37" s="56"/>
      <c r="P37" s="56"/>
      <c r="Q37" s="56"/>
      <c r="R37" s="56"/>
      <c r="S37" s="56"/>
      <c r="T37" s="22">
        <f t="shared" si="5"/>
        <v>0</v>
      </c>
    </row>
    <row r="38" spans="1:20" ht="12.75">
      <c r="A38" s="706"/>
      <c r="B38" s="760"/>
      <c r="C38" s="46" t="s">
        <v>431</v>
      </c>
      <c r="D38" s="29"/>
      <c r="E38" s="29"/>
      <c r="F38" s="29"/>
      <c r="G38" s="29"/>
      <c r="H38" s="65"/>
      <c r="I38" s="367"/>
      <c r="J38" s="368"/>
      <c r="K38" s="29"/>
      <c r="L38" s="56">
        <v>5000</v>
      </c>
      <c r="M38" s="56">
        <v>5000</v>
      </c>
      <c r="N38" s="56"/>
      <c r="O38" s="56"/>
      <c r="P38" s="56"/>
      <c r="Q38" s="56"/>
      <c r="R38" s="56"/>
      <c r="S38" s="56"/>
      <c r="T38" s="22">
        <f t="shared" si="5"/>
        <v>5000</v>
      </c>
    </row>
    <row r="39" spans="1:20" ht="13.5" thickBot="1">
      <c r="A39" s="362"/>
      <c r="B39" s="364"/>
      <c r="C39" s="46"/>
      <c r="D39" s="29"/>
      <c r="E39" s="29"/>
      <c r="F39" s="29"/>
      <c r="G39" s="29"/>
      <c r="H39" s="65"/>
      <c r="I39" s="367"/>
      <c r="J39" s="368"/>
      <c r="K39" s="29"/>
      <c r="L39" s="56"/>
      <c r="M39" s="56"/>
      <c r="N39" s="56"/>
      <c r="O39" s="56"/>
      <c r="P39" s="56"/>
      <c r="Q39" s="56"/>
      <c r="R39" s="56"/>
      <c r="S39" s="56"/>
      <c r="T39" s="22">
        <f t="shared" si="5"/>
        <v>0</v>
      </c>
    </row>
    <row r="40" spans="1:20" ht="15.75" thickBot="1">
      <c r="A40" s="514" t="s">
        <v>158</v>
      </c>
      <c r="B40" s="830" t="str">
        <f>'Kapitálové výdavky'!C39</f>
        <v>Nákladanie s odpadmi</v>
      </c>
      <c r="C40" s="830"/>
      <c r="D40" s="370">
        <v>80894</v>
      </c>
      <c r="E40" s="235">
        <v>8298</v>
      </c>
      <c r="F40" s="235">
        <v>71666</v>
      </c>
      <c r="G40" s="235">
        <v>1330064</v>
      </c>
      <c r="H40" s="235">
        <v>2147096</v>
      </c>
      <c r="I40" s="138">
        <v>8121</v>
      </c>
      <c r="J40" s="235">
        <v>93729</v>
      </c>
      <c r="K40" s="66">
        <f>SUM(K41:K45)</f>
        <v>28919</v>
      </c>
      <c r="L40" s="502">
        <f>SUM(L41:L45)</f>
        <v>147000</v>
      </c>
      <c r="M40" s="502">
        <f aca="true" t="shared" si="6" ref="M40:T40">SUM(M41:M45)</f>
        <v>12000</v>
      </c>
      <c r="N40" s="502">
        <f t="shared" si="6"/>
        <v>0</v>
      </c>
      <c r="O40" s="502">
        <f t="shared" si="6"/>
        <v>0</v>
      </c>
      <c r="P40" s="502">
        <f t="shared" si="6"/>
        <v>0</v>
      </c>
      <c r="Q40" s="502">
        <f t="shared" si="6"/>
        <v>0</v>
      </c>
      <c r="R40" s="502">
        <f t="shared" si="6"/>
        <v>135000</v>
      </c>
      <c r="S40" s="502">
        <f t="shared" si="6"/>
        <v>0</v>
      </c>
      <c r="T40" s="517">
        <f t="shared" si="6"/>
        <v>147000</v>
      </c>
    </row>
    <row r="41" spans="1:20" ht="12.75">
      <c r="A41" s="705"/>
      <c r="B41" s="666"/>
      <c r="C41" s="71" t="str">
        <f>'Kapitálové výdavky'!D40</f>
        <v>Skládka TKO - korekcia</v>
      </c>
      <c r="D41" s="94"/>
      <c r="E41" s="94"/>
      <c r="F41" s="94"/>
      <c r="G41" s="94"/>
      <c r="H41" s="54"/>
      <c r="I41" s="371"/>
      <c r="J41" s="372"/>
      <c r="K41" s="94">
        <v>28919</v>
      </c>
      <c r="L41" s="56">
        <v>135000</v>
      </c>
      <c r="M41" s="56"/>
      <c r="N41" s="56"/>
      <c r="O41" s="56"/>
      <c r="P41" s="56"/>
      <c r="Q41" s="56"/>
      <c r="R41" s="56">
        <v>135000</v>
      </c>
      <c r="S41" s="56"/>
      <c r="T41" s="22">
        <f>SUM(M41:S41)</f>
        <v>135000</v>
      </c>
    </row>
    <row r="42" spans="1:20" ht="12.75">
      <c r="A42" s="706"/>
      <c r="B42" s="667"/>
      <c r="C42" s="71" t="str">
        <f>'Kapitálové výdavky'!D41</f>
        <v>Sanácia miest s nelegálnym odpadom</v>
      </c>
      <c r="D42" s="21"/>
      <c r="E42" s="21"/>
      <c r="F42" s="21"/>
      <c r="G42" s="21"/>
      <c r="H42" s="55"/>
      <c r="I42" s="373"/>
      <c r="J42" s="374"/>
      <c r="K42" s="21"/>
      <c r="L42" s="56">
        <f>'Kapitálové výdavky'!O41</f>
        <v>0</v>
      </c>
      <c r="M42" s="56"/>
      <c r="N42" s="56"/>
      <c r="O42" s="56"/>
      <c r="P42" s="56"/>
      <c r="Q42" s="56"/>
      <c r="R42" s="56"/>
      <c r="S42" s="56"/>
      <c r="T42" s="22">
        <f>SUM(M42:S42)</f>
        <v>0</v>
      </c>
    </row>
    <row r="43" spans="1:20" ht="13.5" customHeight="1" thickBot="1">
      <c r="A43" s="706"/>
      <c r="B43" s="841"/>
      <c r="C43" s="71" t="str">
        <f>'Kapitálové výdavky'!D42</f>
        <v>Príspevok pre TS</v>
      </c>
      <c r="D43" s="21"/>
      <c r="E43" s="21"/>
      <c r="F43" s="21"/>
      <c r="G43" s="21"/>
      <c r="H43" s="55"/>
      <c r="I43" s="373"/>
      <c r="J43" s="374"/>
      <c r="K43" s="21"/>
      <c r="L43" s="56">
        <v>12000</v>
      </c>
      <c r="M43" s="56">
        <v>12000</v>
      </c>
      <c r="N43" s="56"/>
      <c r="O43" s="56"/>
      <c r="P43" s="56"/>
      <c r="Q43" s="56"/>
      <c r="R43" s="56"/>
      <c r="S43" s="56"/>
      <c r="T43" s="22">
        <f>SUM(M43:S43)</f>
        <v>12000</v>
      </c>
    </row>
    <row r="44" spans="1:20" ht="13.5" customHeight="1" hidden="1">
      <c r="A44" s="362"/>
      <c r="B44" s="71"/>
      <c r="C44" s="71" t="str">
        <f>'Kapitálové výdavky'!D43</f>
        <v>kamerový systém </v>
      </c>
      <c r="D44" s="69"/>
      <c r="E44" s="69"/>
      <c r="F44" s="69"/>
      <c r="G44" s="69"/>
      <c r="H44" s="68"/>
      <c r="I44" s="375"/>
      <c r="J44" s="376"/>
      <c r="K44" s="25"/>
      <c r="L44" s="56"/>
      <c r="M44" s="56"/>
      <c r="N44" s="56"/>
      <c r="O44" s="56"/>
      <c r="P44" s="56"/>
      <c r="Q44" s="56"/>
      <c r="R44" s="56"/>
      <c r="S44" s="56"/>
      <c r="T44" s="22">
        <f>SUM(M44:S44)</f>
        <v>0</v>
      </c>
    </row>
    <row r="45" spans="1:20" ht="13.5" customHeight="1" hidden="1" thickBot="1">
      <c r="A45" s="377"/>
      <c r="B45" s="146"/>
      <c r="C45" s="146" t="str">
        <f>'Kapitálové výdavky'!D44</f>
        <v>Podvozok nosič nadstavby</v>
      </c>
      <c r="D45" s="29"/>
      <c r="E45" s="29"/>
      <c r="F45" s="29"/>
      <c r="G45" s="29"/>
      <c r="H45" s="65"/>
      <c r="I45" s="367"/>
      <c r="J45" s="368"/>
      <c r="K45" s="47"/>
      <c r="L45" s="243"/>
      <c r="M45" s="243"/>
      <c r="N45" s="243"/>
      <c r="O45" s="243"/>
      <c r="P45" s="243"/>
      <c r="Q45" s="243"/>
      <c r="R45" s="243"/>
      <c r="S45" s="243"/>
      <c r="T45" s="70">
        <f>SUM(M45:S45)</f>
        <v>0</v>
      </c>
    </row>
    <row r="46" spans="1:20" ht="15.75" thickBot="1">
      <c r="A46" s="512" t="s">
        <v>41</v>
      </c>
      <c r="B46" s="830" t="str">
        <f>'Kapitálové výdavky'!C45</f>
        <v>Rozvoj bývania</v>
      </c>
      <c r="C46" s="830"/>
      <c r="D46" s="380"/>
      <c r="E46" s="380"/>
      <c r="F46" s="380"/>
      <c r="G46" s="380"/>
      <c r="H46" s="381">
        <v>182399</v>
      </c>
      <c r="I46" s="381"/>
      <c r="J46" s="382"/>
      <c r="K46" s="108"/>
      <c r="L46" s="502">
        <f>L47</f>
        <v>0</v>
      </c>
      <c r="M46" s="502">
        <f aca="true" t="shared" si="7" ref="M46:T46">M47</f>
        <v>0</v>
      </c>
      <c r="N46" s="502">
        <f t="shared" si="7"/>
        <v>0</v>
      </c>
      <c r="O46" s="502">
        <f t="shared" si="7"/>
        <v>0</v>
      </c>
      <c r="P46" s="502">
        <f t="shared" si="7"/>
        <v>0</v>
      </c>
      <c r="Q46" s="502">
        <f t="shared" si="7"/>
        <v>0</v>
      </c>
      <c r="R46" s="502">
        <f t="shared" si="7"/>
        <v>0</v>
      </c>
      <c r="S46" s="502">
        <f t="shared" si="7"/>
        <v>0</v>
      </c>
      <c r="T46" s="517">
        <f t="shared" si="7"/>
        <v>0</v>
      </c>
    </row>
    <row r="47" spans="1:20" ht="13.5" thickBot="1">
      <c r="A47" s="362"/>
      <c r="B47" s="364"/>
      <c r="C47" s="68"/>
      <c r="D47" s="69"/>
      <c r="E47" s="69"/>
      <c r="F47" s="69"/>
      <c r="G47" s="69"/>
      <c r="H47" s="68"/>
      <c r="I47" s="375"/>
      <c r="J47" s="376"/>
      <c r="K47" s="69"/>
      <c r="L47" s="243">
        <f>'Kapitálové výdavky'!O46</f>
        <v>0</v>
      </c>
      <c r="M47" s="243"/>
      <c r="N47" s="243"/>
      <c r="O47" s="243"/>
      <c r="P47" s="243"/>
      <c r="Q47" s="243"/>
      <c r="R47" s="243"/>
      <c r="S47" s="243"/>
      <c r="T47" s="70">
        <f>SUM(M47:S47)</f>
        <v>0</v>
      </c>
    </row>
    <row r="48" spans="1:20" ht="15.75" thickBot="1">
      <c r="A48" s="513" t="s">
        <v>409</v>
      </c>
      <c r="B48" s="830" t="str">
        <f>'Kapitálové výdavky'!C47</f>
        <v>Rozvoj obcí</v>
      </c>
      <c r="C48" s="830"/>
      <c r="D48" s="214">
        <v>0</v>
      </c>
      <c r="E48" s="214">
        <v>0</v>
      </c>
      <c r="F48" s="214">
        <v>6639</v>
      </c>
      <c r="G48" s="214">
        <v>113606</v>
      </c>
      <c r="H48" s="214">
        <v>254005</v>
      </c>
      <c r="I48" s="281">
        <v>2699311</v>
      </c>
      <c r="J48" s="214">
        <v>3603230</v>
      </c>
      <c r="K48" s="66">
        <f>SUM(K54:K54)</f>
        <v>1781346</v>
      </c>
      <c r="L48" s="502">
        <f>SUM(L49:L54)</f>
        <v>54521</v>
      </c>
      <c r="M48" s="502">
        <f aca="true" t="shared" si="8" ref="M48:T48">SUM(M49:M54)</f>
        <v>0</v>
      </c>
      <c r="N48" s="502">
        <f t="shared" si="8"/>
        <v>49221</v>
      </c>
      <c r="O48" s="502">
        <f t="shared" si="8"/>
        <v>0</v>
      </c>
      <c r="P48" s="502">
        <f t="shared" si="8"/>
        <v>0</v>
      </c>
      <c r="Q48" s="502">
        <f t="shared" si="8"/>
        <v>0</v>
      </c>
      <c r="R48" s="502">
        <f t="shared" si="8"/>
        <v>5300</v>
      </c>
      <c r="S48" s="502">
        <f t="shared" si="8"/>
        <v>0</v>
      </c>
      <c r="T48" s="517">
        <f t="shared" si="8"/>
        <v>54521</v>
      </c>
    </row>
    <row r="49" spans="1:20" ht="15">
      <c r="A49" s="732"/>
      <c r="B49" s="763"/>
      <c r="C49" s="71" t="s">
        <v>420</v>
      </c>
      <c r="D49" s="384"/>
      <c r="E49" s="384"/>
      <c r="F49" s="384"/>
      <c r="G49" s="384"/>
      <c r="H49" s="383"/>
      <c r="I49" s="385"/>
      <c r="J49" s="386"/>
      <c r="K49" s="308"/>
      <c r="L49" s="471">
        <v>5300</v>
      </c>
      <c r="M49" s="471"/>
      <c r="N49" s="471"/>
      <c r="O49" s="471"/>
      <c r="P49" s="471"/>
      <c r="Q49" s="471"/>
      <c r="R49" s="87">
        <v>5300</v>
      </c>
      <c r="S49" s="471"/>
      <c r="T49" s="388">
        <f aca="true" t="shared" si="9" ref="T49:T57">SUM(M49:S49)</f>
        <v>5300</v>
      </c>
    </row>
    <row r="50" spans="1:20" ht="15">
      <c r="A50" s="733"/>
      <c r="B50" s="764"/>
      <c r="C50" s="42" t="s">
        <v>430</v>
      </c>
      <c r="D50" s="390"/>
      <c r="E50" s="390"/>
      <c r="F50" s="390"/>
      <c r="G50" s="390"/>
      <c r="H50" s="389"/>
      <c r="I50" s="391"/>
      <c r="J50" s="392"/>
      <c r="K50" s="310"/>
      <c r="L50" s="89">
        <v>45000</v>
      </c>
      <c r="M50" s="89"/>
      <c r="N50" s="89">
        <v>45000</v>
      </c>
      <c r="O50" s="89"/>
      <c r="P50" s="89"/>
      <c r="Q50" s="89"/>
      <c r="R50" s="89"/>
      <c r="S50" s="89"/>
      <c r="T50" s="434">
        <f t="shared" si="9"/>
        <v>45000</v>
      </c>
    </row>
    <row r="51" spans="1:20" ht="15.75" thickBot="1">
      <c r="A51" s="733"/>
      <c r="B51" s="764"/>
      <c r="C51" s="389" t="s">
        <v>449</v>
      </c>
      <c r="D51" s="390"/>
      <c r="E51" s="390"/>
      <c r="F51" s="390"/>
      <c r="G51" s="390"/>
      <c r="H51" s="389"/>
      <c r="I51" s="391"/>
      <c r="J51" s="392"/>
      <c r="K51" s="310"/>
      <c r="L51" s="89">
        <v>4221</v>
      </c>
      <c r="M51" s="89"/>
      <c r="N51" s="89">
        <v>4221</v>
      </c>
      <c r="O51" s="89"/>
      <c r="P51" s="89"/>
      <c r="Q51" s="89"/>
      <c r="R51" s="89"/>
      <c r="S51" s="89"/>
      <c r="T51" s="434">
        <f t="shared" si="9"/>
        <v>4221</v>
      </c>
    </row>
    <row r="52" spans="1:20" ht="15" hidden="1">
      <c r="A52" s="733"/>
      <c r="B52" s="764"/>
      <c r="C52" s="394" t="s">
        <v>118</v>
      </c>
      <c r="D52" s="395"/>
      <c r="E52" s="395"/>
      <c r="F52" s="395"/>
      <c r="G52" s="395"/>
      <c r="H52" s="394"/>
      <c r="I52" s="396"/>
      <c r="J52" s="397"/>
      <c r="K52" s="398"/>
      <c r="L52" s="91"/>
      <c r="M52" s="91"/>
      <c r="N52" s="91"/>
      <c r="O52" s="91"/>
      <c r="P52" s="91"/>
      <c r="Q52" s="91"/>
      <c r="R52" s="91"/>
      <c r="S52" s="91"/>
      <c r="T52" s="652">
        <f t="shared" si="9"/>
        <v>0</v>
      </c>
    </row>
    <row r="53" spans="1:20" ht="15" hidden="1">
      <c r="A53" s="733"/>
      <c r="B53" s="764"/>
      <c r="C53" s="394" t="s">
        <v>321</v>
      </c>
      <c r="D53" s="395"/>
      <c r="E53" s="395"/>
      <c r="F53" s="395"/>
      <c r="G53" s="395"/>
      <c r="H53" s="394"/>
      <c r="I53" s="396"/>
      <c r="J53" s="397"/>
      <c r="K53" s="398"/>
      <c r="L53" s="91"/>
      <c r="M53" s="91"/>
      <c r="N53" s="91"/>
      <c r="O53" s="91"/>
      <c r="P53" s="91"/>
      <c r="Q53" s="91"/>
      <c r="R53" s="91"/>
      <c r="S53" s="91"/>
      <c r="T53" s="652">
        <f t="shared" si="9"/>
        <v>0</v>
      </c>
    </row>
    <row r="54" spans="1:20" ht="13.5" hidden="1" thickBot="1">
      <c r="A54" s="734"/>
      <c r="B54" s="765"/>
      <c r="C54" s="45" t="s">
        <v>126</v>
      </c>
      <c r="D54" s="47"/>
      <c r="E54" s="47"/>
      <c r="F54" s="47"/>
      <c r="G54" s="47"/>
      <c r="H54" s="58"/>
      <c r="I54" s="399"/>
      <c r="J54" s="400"/>
      <c r="K54" s="47">
        <v>1781346</v>
      </c>
      <c r="L54" s="211"/>
      <c r="M54" s="211"/>
      <c r="N54" s="211"/>
      <c r="O54" s="211"/>
      <c r="P54" s="211"/>
      <c r="Q54" s="211"/>
      <c r="R54" s="211"/>
      <c r="S54" s="211"/>
      <c r="T54" s="77">
        <f t="shared" si="9"/>
        <v>0</v>
      </c>
    </row>
    <row r="55" spans="1:20" ht="15.75" thickBot="1">
      <c r="A55" s="512" t="s">
        <v>171</v>
      </c>
      <c r="B55" s="830" t="str">
        <f>'Kapitálové výdavky'!C54</f>
        <v>Verejné osvetlenie</v>
      </c>
      <c r="C55" s="830"/>
      <c r="D55" s="235">
        <v>38040</v>
      </c>
      <c r="E55" s="235">
        <v>144792</v>
      </c>
      <c r="F55" s="235">
        <v>36414</v>
      </c>
      <c r="G55" s="235">
        <v>3228</v>
      </c>
      <c r="H55" s="235">
        <v>15058</v>
      </c>
      <c r="I55" s="381"/>
      <c r="J55" s="382"/>
      <c r="K55" s="108">
        <f>SUM(K56:K57)</f>
        <v>5000</v>
      </c>
      <c r="L55" s="502">
        <f>SUM(L56:L57)</f>
        <v>10200</v>
      </c>
      <c r="M55" s="502">
        <f aca="true" t="shared" si="10" ref="M55:T55">SUM(M56:M57)</f>
        <v>10200</v>
      </c>
      <c r="N55" s="502">
        <f t="shared" si="10"/>
        <v>0</v>
      </c>
      <c r="O55" s="502">
        <f t="shared" si="10"/>
        <v>0</v>
      </c>
      <c r="P55" s="502">
        <f t="shared" si="10"/>
        <v>0</v>
      </c>
      <c r="Q55" s="502">
        <f t="shared" si="10"/>
        <v>0</v>
      </c>
      <c r="R55" s="502">
        <f t="shared" si="10"/>
        <v>0</v>
      </c>
      <c r="S55" s="502">
        <f t="shared" si="10"/>
        <v>0</v>
      </c>
      <c r="T55" s="517">
        <f t="shared" si="10"/>
        <v>10200</v>
      </c>
    </row>
    <row r="56" spans="1:20" ht="14.25">
      <c r="A56" s="732"/>
      <c r="B56" s="766"/>
      <c r="C56" s="71" t="s">
        <v>417</v>
      </c>
      <c r="D56" s="94"/>
      <c r="E56" s="94"/>
      <c r="F56" s="94"/>
      <c r="G56" s="94"/>
      <c r="H56" s="54"/>
      <c r="I56" s="371"/>
      <c r="J56" s="372"/>
      <c r="K56" s="402">
        <v>5000</v>
      </c>
      <c r="L56" s="472">
        <v>1200</v>
      </c>
      <c r="M56" s="472">
        <v>1200</v>
      </c>
      <c r="N56" s="472"/>
      <c r="O56" s="472"/>
      <c r="P56" s="472"/>
      <c r="Q56" s="472"/>
      <c r="R56" s="472"/>
      <c r="S56" s="472"/>
      <c r="T56" s="403">
        <f t="shared" si="9"/>
        <v>1200</v>
      </c>
    </row>
    <row r="57" spans="1:20" ht="13.5" thickBot="1">
      <c r="A57" s="734"/>
      <c r="B57" s="767"/>
      <c r="C57" s="146" t="s">
        <v>433</v>
      </c>
      <c r="D57" s="69"/>
      <c r="E57" s="69"/>
      <c r="F57" s="69"/>
      <c r="G57" s="69"/>
      <c r="H57" s="68"/>
      <c r="I57" s="375"/>
      <c r="J57" s="376"/>
      <c r="K57" s="69"/>
      <c r="L57" s="243">
        <v>9000</v>
      </c>
      <c r="M57" s="243">
        <v>9000</v>
      </c>
      <c r="N57" s="243"/>
      <c r="O57" s="243"/>
      <c r="P57" s="243"/>
      <c r="Q57" s="243"/>
      <c r="R57" s="243"/>
      <c r="S57" s="243"/>
      <c r="T57" s="70">
        <f t="shared" si="9"/>
        <v>9000</v>
      </c>
    </row>
    <row r="58" spans="1:20" ht="15.75" thickBot="1">
      <c r="A58" s="512" t="s">
        <v>148</v>
      </c>
      <c r="B58" s="830" t="str">
        <f>'Kapitálové výdavky'!C58</f>
        <v>Bývanie a občianska vybavenosť</v>
      </c>
      <c r="C58" s="830"/>
      <c r="D58" s="235">
        <v>326960</v>
      </c>
      <c r="E58" s="235">
        <v>144858</v>
      </c>
      <c r="F58" s="235">
        <v>123880</v>
      </c>
      <c r="G58" s="235">
        <v>20761</v>
      </c>
      <c r="H58" s="235">
        <v>158221</v>
      </c>
      <c r="I58" s="138">
        <v>92051</v>
      </c>
      <c r="J58" s="235">
        <v>68225</v>
      </c>
      <c r="K58" s="66">
        <f>SUM(K59:K78)</f>
        <v>16198</v>
      </c>
      <c r="L58" s="502">
        <f>SUM(L59:L78)</f>
        <v>41600</v>
      </c>
      <c r="M58" s="502">
        <f aca="true" t="shared" si="11" ref="M58:T58">SUM(M59:M78)</f>
        <v>6632</v>
      </c>
      <c r="N58" s="502">
        <f t="shared" si="11"/>
        <v>24300</v>
      </c>
      <c r="O58" s="502">
        <f t="shared" si="11"/>
        <v>0</v>
      </c>
      <c r="P58" s="502">
        <f t="shared" si="11"/>
        <v>0</v>
      </c>
      <c r="Q58" s="502">
        <f t="shared" si="11"/>
        <v>0</v>
      </c>
      <c r="R58" s="502">
        <f t="shared" si="11"/>
        <v>10668</v>
      </c>
      <c r="S58" s="502">
        <f t="shared" si="11"/>
        <v>0</v>
      </c>
      <c r="T58" s="517">
        <f t="shared" si="11"/>
        <v>41600</v>
      </c>
    </row>
    <row r="59" spans="1:20" ht="12.75" hidden="1">
      <c r="A59" s="705"/>
      <c r="B59" s="759"/>
      <c r="C59" s="71" t="str">
        <f>'Kapitálové výdavky'!D59</f>
        <v>Kaplnka Levočské Lúky, NN prípojka</v>
      </c>
      <c r="D59" s="405"/>
      <c r="E59" s="405"/>
      <c r="F59" s="405"/>
      <c r="G59" s="405"/>
      <c r="H59" s="406"/>
      <c r="I59" s="407"/>
      <c r="J59" s="408"/>
      <c r="K59" s="94"/>
      <c r="L59" s="43">
        <f>'Kapitálové výdavky'!O59</f>
        <v>0</v>
      </c>
      <c r="M59" s="43"/>
      <c r="N59" s="43"/>
      <c r="O59" s="43"/>
      <c r="P59" s="43"/>
      <c r="Q59" s="43"/>
      <c r="R59" s="43"/>
      <c r="S59" s="43"/>
      <c r="T59" s="26">
        <f aca="true" t="shared" si="12" ref="T59:T68">SUM(M59:S59)</f>
        <v>0</v>
      </c>
    </row>
    <row r="60" spans="1:20" ht="12.75" hidden="1">
      <c r="A60" s="706"/>
      <c r="B60" s="760"/>
      <c r="C60" s="71" t="str">
        <f>'Kapitálové výdavky'!D60</f>
        <v>Odvodnenie garáží sidl. Západ</v>
      </c>
      <c r="D60" s="409"/>
      <c r="E60" s="409"/>
      <c r="F60" s="409"/>
      <c r="G60" s="409"/>
      <c r="H60" s="410"/>
      <c r="I60" s="411"/>
      <c r="J60" s="290"/>
      <c r="K60" s="25"/>
      <c r="L60" s="43">
        <f>'Kapitálové výdavky'!O60</f>
        <v>0</v>
      </c>
      <c r="M60" s="43"/>
      <c r="N60" s="43"/>
      <c r="O60" s="43"/>
      <c r="P60" s="43"/>
      <c r="Q60" s="43"/>
      <c r="R60" s="43"/>
      <c r="S60" s="43"/>
      <c r="T60" s="26">
        <f t="shared" si="12"/>
        <v>0</v>
      </c>
    </row>
    <row r="61" spans="1:20" ht="12.75" hidden="1">
      <c r="A61" s="706"/>
      <c r="B61" s="760"/>
      <c r="C61" s="71" t="str">
        <f>'Kapitálové výdavky'!D61</f>
        <v>nákup objekt Pisarčiná</v>
      </c>
      <c r="D61" s="409"/>
      <c r="E61" s="409"/>
      <c r="F61" s="409"/>
      <c r="G61" s="409"/>
      <c r="H61" s="410"/>
      <c r="I61" s="411"/>
      <c r="J61" s="290"/>
      <c r="K61" s="25"/>
      <c r="L61" s="43">
        <f>'Kapitálové výdavky'!O61</f>
        <v>0</v>
      </c>
      <c r="M61" s="43"/>
      <c r="N61" s="43"/>
      <c r="O61" s="43"/>
      <c r="P61" s="43"/>
      <c r="Q61" s="43"/>
      <c r="R61" s="43"/>
      <c r="S61" s="43"/>
      <c r="T61" s="26">
        <f t="shared" si="12"/>
        <v>0</v>
      </c>
    </row>
    <row r="62" spans="1:20" ht="12.75" hidden="1">
      <c r="A62" s="706"/>
      <c r="B62" s="760"/>
      <c r="C62" s="71" t="str">
        <f>'Kapitálové výdavky'!D62</f>
        <v>MPV - ostatné</v>
      </c>
      <c r="D62" s="409"/>
      <c r="E62" s="409"/>
      <c r="F62" s="409"/>
      <c r="G62" s="409"/>
      <c r="H62" s="410"/>
      <c r="I62" s="411"/>
      <c r="J62" s="290"/>
      <c r="K62" s="25"/>
      <c r="L62" s="43">
        <f>'Kapitálové výdavky'!O62</f>
        <v>0</v>
      </c>
      <c r="M62" s="43"/>
      <c r="N62" s="43"/>
      <c r="O62" s="43"/>
      <c r="P62" s="43"/>
      <c r="Q62" s="43"/>
      <c r="R62" s="43"/>
      <c r="S62" s="43"/>
      <c r="T62" s="26">
        <f t="shared" si="12"/>
        <v>0</v>
      </c>
    </row>
    <row r="63" spans="1:20" ht="12.75" hidden="1">
      <c r="A63" s="706"/>
      <c r="B63" s="760"/>
      <c r="C63" s="71" t="str">
        <f>'Kapitálové výdavky'!D63</f>
        <v>MPV most LD</v>
      </c>
      <c r="D63" s="409"/>
      <c r="E63" s="409"/>
      <c r="F63" s="409"/>
      <c r="G63" s="409"/>
      <c r="H63" s="410"/>
      <c r="I63" s="411"/>
      <c r="J63" s="290"/>
      <c r="K63" s="25"/>
      <c r="L63" s="43">
        <f>'Kapitálové výdavky'!O63</f>
        <v>0</v>
      </c>
      <c r="M63" s="43"/>
      <c r="N63" s="43"/>
      <c r="O63" s="43"/>
      <c r="P63" s="43"/>
      <c r="Q63" s="43"/>
      <c r="R63" s="43"/>
      <c r="S63" s="43"/>
      <c r="T63" s="26">
        <f t="shared" si="12"/>
        <v>0</v>
      </c>
    </row>
    <row r="64" spans="1:20" ht="12.75" hidden="1">
      <c r="A64" s="706"/>
      <c r="B64" s="760"/>
      <c r="C64" s="71" t="str">
        <f>'Kapitálové výdavky'!D64</f>
        <v>MPV Ovocinárska</v>
      </c>
      <c r="D64" s="413"/>
      <c r="E64" s="413"/>
      <c r="F64" s="413"/>
      <c r="G64" s="413"/>
      <c r="H64" s="414"/>
      <c r="I64" s="415"/>
      <c r="J64" s="416"/>
      <c r="K64" s="29"/>
      <c r="L64" s="43">
        <f>'Kapitálové výdavky'!O64</f>
        <v>0</v>
      </c>
      <c r="M64" s="43"/>
      <c r="N64" s="43"/>
      <c r="O64" s="43"/>
      <c r="P64" s="43"/>
      <c r="Q64" s="43"/>
      <c r="R64" s="43"/>
      <c r="S64" s="43"/>
      <c r="T64" s="26">
        <f t="shared" si="12"/>
        <v>0</v>
      </c>
    </row>
    <row r="65" spans="1:20" ht="12.75" hidden="1">
      <c r="A65" s="706"/>
      <c r="B65" s="760"/>
      <c r="C65" s="71" t="str">
        <f>'Kapitálové výdavky'!D65</f>
        <v>Lev. Lúky - zádveria</v>
      </c>
      <c r="D65" s="418"/>
      <c r="E65" s="418"/>
      <c r="F65" s="418"/>
      <c r="G65" s="418"/>
      <c r="H65" s="419"/>
      <c r="I65" s="420"/>
      <c r="J65" s="421"/>
      <c r="K65" s="29"/>
      <c r="L65" s="43">
        <f>'Kapitálové výdavky'!O65</f>
        <v>0</v>
      </c>
      <c r="M65" s="43"/>
      <c r="N65" s="43"/>
      <c r="O65" s="43"/>
      <c r="P65" s="43"/>
      <c r="Q65" s="43"/>
      <c r="R65" s="43"/>
      <c r="S65" s="43"/>
      <c r="T65" s="26">
        <f t="shared" si="12"/>
        <v>0</v>
      </c>
    </row>
    <row r="66" spans="1:20" ht="12.75" hidden="1">
      <c r="A66" s="706"/>
      <c r="B66" s="760"/>
      <c r="C66" s="71" t="str">
        <f>'Kapitálové výdavky'!D66</f>
        <v>chata Kohlwald</v>
      </c>
      <c r="D66" s="418"/>
      <c r="E66" s="418"/>
      <c r="F66" s="418"/>
      <c r="G66" s="418"/>
      <c r="H66" s="419"/>
      <c r="I66" s="420"/>
      <c r="J66" s="421"/>
      <c r="K66" s="29"/>
      <c r="L66" s="43">
        <f>'Kapitálové výdavky'!O66</f>
        <v>0</v>
      </c>
      <c r="M66" s="43"/>
      <c r="N66" s="43"/>
      <c r="O66" s="43"/>
      <c r="P66" s="43"/>
      <c r="Q66" s="43"/>
      <c r="R66" s="43"/>
      <c r="S66" s="43"/>
      <c r="T66" s="26">
        <f t="shared" si="12"/>
        <v>0</v>
      </c>
    </row>
    <row r="67" spans="1:20" ht="12.75" hidden="1">
      <c r="A67" s="706"/>
      <c r="B67" s="760"/>
      <c r="C67" s="71" t="str">
        <f>'Kapitálové výdavky'!D67</f>
        <v>odvodnenie, sídl. Pri prameni</v>
      </c>
      <c r="D67" s="25"/>
      <c r="E67" s="25"/>
      <c r="F67" s="25"/>
      <c r="G67" s="25"/>
      <c r="H67" s="57"/>
      <c r="I67" s="365"/>
      <c r="J67" s="366"/>
      <c r="K67" s="25"/>
      <c r="L67" s="43">
        <f>'Kapitálové výdavky'!O67</f>
        <v>0</v>
      </c>
      <c r="M67" s="43"/>
      <c r="N67" s="43"/>
      <c r="O67" s="43"/>
      <c r="P67" s="43"/>
      <c r="Q67" s="43"/>
      <c r="R67" s="43"/>
      <c r="S67" s="43"/>
      <c r="T67" s="26">
        <f t="shared" si="12"/>
        <v>0</v>
      </c>
    </row>
    <row r="68" spans="1:20" ht="12.75" hidden="1">
      <c r="A68" s="706"/>
      <c r="B68" s="760"/>
      <c r="C68" s="71" t="str">
        <f>'Kapitálové výdavky'!D68</f>
        <v>Nám. Majstra Pavla 50,51 -PD (FRB)</v>
      </c>
      <c r="D68" s="25"/>
      <c r="E68" s="25"/>
      <c r="F68" s="25"/>
      <c r="G68" s="25"/>
      <c r="H68" s="57"/>
      <c r="I68" s="365"/>
      <c r="J68" s="366"/>
      <c r="K68" s="25">
        <v>7632</v>
      </c>
      <c r="L68" s="43">
        <f>'Kapitálové výdavky'!O68</f>
        <v>0</v>
      </c>
      <c r="M68" s="43"/>
      <c r="N68" s="43"/>
      <c r="O68" s="43"/>
      <c r="P68" s="43"/>
      <c r="Q68" s="43"/>
      <c r="R68" s="43"/>
      <c r="S68" s="43"/>
      <c r="T68" s="26">
        <f t="shared" si="12"/>
        <v>0</v>
      </c>
    </row>
    <row r="69" spans="1:20" ht="12.75">
      <c r="A69" s="706"/>
      <c r="B69" s="760"/>
      <c r="C69" s="71" t="str">
        <f>'Kapitálové výdavky'!D69</f>
        <v>auto</v>
      </c>
      <c r="D69" s="25"/>
      <c r="E69" s="25"/>
      <c r="F69" s="25"/>
      <c r="G69" s="25"/>
      <c r="H69" s="57"/>
      <c r="I69" s="365"/>
      <c r="J69" s="366"/>
      <c r="K69" s="25"/>
      <c r="L69" s="43">
        <f>'Kapitálové výdavky'!O69</f>
        <v>12000</v>
      </c>
      <c r="M69" s="43">
        <v>1332</v>
      </c>
      <c r="N69" s="43"/>
      <c r="O69" s="43"/>
      <c r="P69" s="43"/>
      <c r="Q69" s="43"/>
      <c r="R69" s="43">
        <v>10668</v>
      </c>
      <c r="S69" s="43"/>
      <c r="T69" s="26">
        <f>SUM(M69:S69)</f>
        <v>12000</v>
      </c>
    </row>
    <row r="70" spans="1:20" ht="12.75" hidden="1">
      <c r="A70" s="706"/>
      <c r="B70" s="760"/>
      <c r="C70" s="71" t="str">
        <f>'Kapitálové výdavky'!D70</f>
        <v>Nám. Š. Kluberta – pomer. mer. tepla (FRB)</v>
      </c>
      <c r="D70" s="25"/>
      <c r="E70" s="25"/>
      <c r="F70" s="25"/>
      <c r="G70" s="25"/>
      <c r="H70" s="57"/>
      <c r="I70" s="365"/>
      <c r="J70" s="366"/>
      <c r="K70" s="25">
        <v>0</v>
      </c>
      <c r="L70" s="43">
        <f>'Kapitálové výdavky'!O70</f>
        <v>0</v>
      </c>
      <c r="M70" s="43"/>
      <c r="N70" s="43"/>
      <c r="O70" s="43"/>
      <c r="P70" s="43"/>
      <c r="Q70" s="43"/>
      <c r="R70" s="43"/>
      <c r="S70" s="43"/>
      <c r="T70" s="26">
        <f aca="true" t="shared" si="13" ref="T70:T78">SUM(M70:S70)</f>
        <v>0</v>
      </c>
    </row>
    <row r="71" spans="1:20" ht="12.75" hidden="1">
      <c r="A71" s="706"/>
      <c r="B71" s="760"/>
      <c r="C71" s="71" t="str">
        <f>'Kapitálové výdavky'!D71</f>
        <v>Byty</v>
      </c>
      <c r="D71" s="25"/>
      <c r="E71" s="25"/>
      <c r="F71" s="25"/>
      <c r="G71" s="25"/>
      <c r="H71" s="57"/>
      <c r="I71" s="365"/>
      <c r="J71" s="366"/>
      <c r="K71" s="25">
        <v>0</v>
      </c>
      <c r="L71" s="43">
        <f>'Kapitálové výdavky'!O71</f>
        <v>0</v>
      </c>
      <c r="M71" s="43"/>
      <c r="N71" s="43"/>
      <c r="O71" s="43"/>
      <c r="P71" s="43"/>
      <c r="Q71" s="43"/>
      <c r="R71" s="43"/>
      <c r="S71" s="43"/>
      <c r="T71" s="26">
        <f t="shared" si="13"/>
        <v>0</v>
      </c>
    </row>
    <row r="72" spans="1:20" ht="12.75" hidden="1">
      <c r="A72" s="706"/>
      <c r="B72" s="760"/>
      <c r="C72" s="71" t="str">
        <f>'Kapitálové výdavky'!D72</f>
        <v>preložka VN</v>
      </c>
      <c r="D72" s="25"/>
      <c r="E72" s="25"/>
      <c r="F72" s="25"/>
      <c r="G72" s="25"/>
      <c r="H72" s="57"/>
      <c r="I72" s="365"/>
      <c r="J72" s="366"/>
      <c r="K72" s="25"/>
      <c r="L72" s="43">
        <f>'Kapitálové výdavky'!O72</f>
        <v>0</v>
      </c>
      <c r="M72" s="43"/>
      <c r="N72" s="43"/>
      <c r="O72" s="43"/>
      <c r="P72" s="43"/>
      <c r="Q72" s="43"/>
      <c r="R72" s="43"/>
      <c r="S72" s="43"/>
      <c r="T72" s="26">
        <f t="shared" si="13"/>
        <v>0</v>
      </c>
    </row>
    <row r="73" spans="1:20" ht="12.75" hidden="1">
      <c r="A73" s="706"/>
      <c r="B73" s="760"/>
      <c r="C73" s="71" t="str">
        <f>'Kapitálové výdavky'!D73</f>
        <v>MPV pozemkov pre most Lev. Dolina</v>
      </c>
      <c r="D73" s="25"/>
      <c r="E73" s="25"/>
      <c r="F73" s="25"/>
      <c r="G73" s="25"/>
      <c r="H73" s="57"/>
      <c r="I73" s="365"/>
      <c r="J73" s="366"/>
      <c r="K73" s="25"/>
      <c r="L73" s="43">
        <f>'Kapitálové výdavky'!O73</f>
        <v>0</v>
      </c>
      <c r="M73" s="43"/>
      <c r="N73" s="43"/>
      <c r="O73" s="43"/>
      <c r="P73" s="43"/>
      <c r="Q73" s="43"/>
      <c r="R73" s="43"/>
      <c r="S73" s="43"/>
      <c r="T73" s="26">
        <f t="shared" si="13"/>
        <v>0</v>
      </c>
    </row>
    <row r="74" spans="1:20" ht="12.75" hidden="1">
      <c r="A74" s="706"/>
      <c r="B74" s="760"/>
      <c r="C74" s="71" t="str">
        <f>'Kapitálové výdavky'!D74</f>
        <v>MPV pozemkov pre autobus. zastávku </v>
      </c>
      <c r="D74" s="25"/>
      <c r="E74" s="25"/>
      <c r="F74" s="25"/>
      <c r="G74" s="25"/>
      <c r="H74" s="57"/>
      <c r="I74" s="365"/>
      <c r="J74" s="366"/>
      <c r="K74" s="25"/>
      <c r="L74" s="43">
        <f>'Kapitálové výdavky'!O74</f>
        <v>0</v>
      </c>
      <c r="M74" s="43"/>
      <c r="N74" s="43"/>
      <c r="O74" s="43"/>
      <c r="P74" s="43"/>
      <c r="Q74" s="43"/>
      <c r="R74" s="43"/>
      <c r="S74" s="43"/>
      <c r="T74" s="26">
        <f t="shared" si="13"/>
        <v>0</v>
      </c>
    </row>
    <row r="75" spans="1:20" ht="12.75">
      <c r="A75" s="706"/>
      <c r="B75" s="760"/>
      <c r="C75" s="71" t="str">
        <f>'Kapitálové výdavky'!D75</f>
        <v>MPV cyklochodník</v>
      </c>
      <c r="D75" s="25"/>
      <c r="E75" s="25"/>
      <c r="F75" s="25"/>
      <c r="G75" s="25"/>
      <c r="H75" s="57"/>
      <c r="I75" s="365"/>
      <c r="J75" s="366"/>
      <c r="K75" s="25">
        <v>8090</v>
      </c>
      <c r="L75" s="43">
        <v>5300</v>
      </c>
      <c r="M75" s="43">
        <v>5300</v>
      </c>
      <c r="N75" s="43"/>
      <c r="O75" s="43"/>
      <c r="P75" s="43"/>
      <c r="Q75" s="43"/>
      <c r="R75" s="43"/>
      <c r="S75" s="43"/>
      <c r="T75" s="26">
        <f t="shared" si="13"/>
        <v>5300</v>
      </c>
    </row>
    <row r="76" spans="1:20" ht="13.5" thickBot="1">
      <c r="A76" s="706"/>
      <c r="B76" s="760"/>
      <c r="C76" s="71" t="str">
        <f>'Kapitálové výdavky'!D76</f>
        <v>Pozemky Menhardská brána</v>
      </c>
      <c r="D76" s="25"/>
      <c r="E76" s="25"/>
      <c r="F76" s="25"/>
      <c r="G76" s="25"/>
      <c r="H76" s="57"/>
      <c r="I76" s="365"/>
      <c r="J76" s="366"/>
      <c r="K76" s="25"/>
      <c r="L76" s="43">
        <v>24300</v>
      </c>
      <c r="M76" s="43"/>
      <c r="N76" s="43">
        <v>24300</v>
      </c>
      <c r="O76" s="43"/>
      <c r="P76" s="43"/>
      <c r="Q76" s="43"/>
      <c r="R76" s="43"/>
      <c r="S76" s="43"/>
      <c r="T76" s="26">
        <f t="shared" si="13"/>
        <v>24300</v>
      </c>
    </row>
    <row r="77" spans="1:20" ht="13.5" hidden="1" thickBot="1">
      <c r="A77" s="706"/>
      <c r="B77" s="760"/>
      <c r="C77" s="71" t="str">
        <f>'Kapitálové výdavky'!D77</f>
        <v>MPV Levočská Dolina</v>
      </c>
      <c r="D77" s="29"/>
      <c r="E77" s="29"/>
      <c r="F77" s="29"/>
      <c r="G77" s="29"/>
      <c r="H77" s="65"/>
      <c r="I77" s="367"/>
      <c r="J77" s="368"/>
      <c r="K77" s="29"/>
      <c r="L77" s="43">
        <f>'Kapitálové výdavky'!O77</f>
        <v>0</v>
      </c>
      <c r="M77" s="43"/>
      <c r="N77" s="43"/>
      <c r="O77" s="43"/>
      <c r="P77" s="43"/>
      <c r="Q77" s="43"/>
      <c r="R77" s="43"/>
      <c r="S77" s="43"/>
      <c r="T77" s="26">
        <f t="shared" si="13"/>
        <v>0</v>
      </c>
    </row>
    <row r="78" spans="1:20" ht="13.5" hidden="1" thickBot="1">
      <c r="A78" s="707"/>
      <c r="B78" s="762"/>
      <c r="C78" s="71" t="str">
        <f>'Kapitálové výdavky'!D78</f>
        <v>MPV - ostatné</v>
      </c>
      <c r="D78" s="47"/>
      <c r="E78" s="47"/>
      <c r="F78" s="47"/>
      <c r="G78" s="47"/>
      <c r="H78" s="58"/>
      <c r="I78" s="399"/>
      <c r="J78" s="400"/>
      <c r="K78" s="47">
        <v>476</v>
      </c>
      <c r="L78" s="73">
        <f>'Kapitálové výdavky'!O78</f>
        <v>0</v>
      </c>
      <c r="M78" s="73"/>
      <c r="N78" s="73"/>
      <c r="O78" s="73"/>
      <c r="P78" s="73"/>
      <c r="Q78" s="73"/>
      <c r="R78" s="73"/>
      <c r="S78" s="73"/>
      <c r="T78" s="30">
        <f t="shared" si="13"/>
        <v>0</v>
      </c>
    </row>
    <row r="79" spans="1:20" ht="15.75" hidden="1" thickBot="1">
      <c r="A79" s="294" t="s">
        <v>394</v>
      </c>
      <c r="B79" s="673" t="s">
        <v>323</v>
      </c>
      <c r="C79" s="674"/>
      <c r="D79" s="422"/>
      <c r="E79" s="422"/>
      <c r="F79" s="422"/>
      <c r="G79" s="422"/>
      <c r="H79" s="270"/>
      <c r="I79" s="423"/>
      <c r="J79" s="424"/>
      <c r="K79" s="401"/>
      <c r="L79" s="66"/>
      <c r="M79" s="66"/>
      <c r="N79" s="66"/>
      <c r="O79" s="66"/>
      <c r="P79" s="66"/>
      <c r="Q79" s="66"/>
      <c r="R79" s="66"/>
      <c r="S79" s="66"/>
      <c r="T79" s="67"/>
    </row>
    <row r="80" spans="1:20" ht="13.5" hidden="1" thickBot="1">
      <c r="A80" s="362"/>
      <c r="B80" s="364"/>
      <c r="C80" s="42" t="s">
        <v>395</v>
      </c>
      <c r="D80" s="25"/>
      <c r="E80" s="25"/>
      <c r="F80" s="25"/>
      <c r="G80" s="25"/>
      <c r="H80" s="57"/>
      <c r="I80" s="365"/>
      <c r="J80" s="366"/>
      <c r="K80" s="25"/>
      <c r="L80" s="43"/>
      <c r="M80" s="43"/>
      <c r="N80" s="43"/>
      <c r="O80" s="43"/>
      <c r="P80" s="43"/>
      <c r="Q80" s="43"/>
      <c r="R80" s="43"/>
      <c r="S80" s="43"/>
      <c r="T80" s="26"/>
    </row>
    <row r="81" spans="1:20" ht="13.5" hidden="1" thickBot="1">
      <c r="A81" s="362"/>
      <c r="B81" s="364"/>
      <c r="C81" s="42"/>
      <c r="D81" s="25"/>
      <c r="E81" s="25"/>
      <c r="F81" s="25"/>
      <c r="G81" s="25"/>
      <c r="H81" s="57"/>
      <c r="I81" s="365"/>
      <c r="J81" s="366"/>
      <c r="K81" s="25"/>
      <c r="L81" s="43"/>
      <c r="M81" s="43"/>
      <c r="N81" s="43"/>
      <c r="O81" s="43"/>
      <c r="P81" s="43"/>
      <c r="Q81" s="43"/>
      <c r="R81" s="43"/>
      <c r="S81" s="43"/>
      <c r="T81" s="26"/>
    </row>
    <row r="82" spans="1:20" ht="13.5" hidden="1" thickBot="1">
      <c r="A82" s="362"/>
      <c r="B82" s="364"/>
      <c r="C82" s="46"/>
      <c r="D82" s="29"/>
      <c r="E82" s="29"/>
      <c r="F82" s="29"/>
      <c r="G82" s="29"/>
      <c r="H82" s="65"/>
      <c r="I82" s="367"/>
      <c r="J82" s="368"/>
      <c r="K82" s="29"/>
      <c r="L82" s="73"/>
      <c r="M82" s="73"/>
      <c r="N82" s="73"/>
      <c r="O82" s="73"/>
      <c r="P82" s="73"/>
      <c r="Q82" s="73"/>
      <c r="R82" s="73"/>
      <c r="S82" s="73"/>
      <c r="T82" s="30"/>
    </row>
    <row r="83" spans="1:20" ht="15.75" thickBot="1">
      <c r="A83" s="512" t="s">
        <v>39</v>
      </c>
      <c r="B83" s="830" t="str">
        <f>'Kapitálové výdavky'!C83</f>
        <v>Rekreačné a športové služby</v>
      </c>
      <c r="C83" s="830"/>
      <c r="D83" s="235">
        <v>8298</v>
      </c>
      <c r="E83" s="235">
        <v>3983</v>
      </c>
      <c r="F83" s="235">
        <v>175065</v>
      </c>
      <c r="G83" s="235">
        <v>138049</v>
      </c>
      <c r="H83" s="235">
        <v>127764</v>
      </c>
      <c r="I83" s="138">
        <v>149292</v>
      </c>
      <c r="J83" s="235">
        <v>3000</v>
      </c>
      <c r="K83" s="66">
        <f>SUM(K89:K91)</f>
        <v>6455</v>
      </c>
      <c r="L83" s="502">
        <f>L84+L91+L85</f>
        <v>13400</v>
      </c>
      <c r="M83" s="502">
        <f aca="true" t="shared" si="14" ref="M83:S83">SUM(M84:M91)</f>
        <v>3400</v>
      </c>
      <c r="N83" s="502">
        <f t="shared" si="14"/>
        <v>0</v>
      </c>
      <c r="O83" s="502">
        <f t="shared" si="14"/>
        <v>0</v>
      </c>
      <c r="P83" s="502">
        <f t="shared" si="14"/>
        <v>0</v>
      </c>
      <c r="Q83" s="502">
        <f t="shared" si="14"/>
        <v>0</v>
      </c>
      <c r="R83" s="502">
        <f t="shared" si="14"/>
        <v>0</v>
      </c>
      <c r="S83" s="502">
        <f t="shared" si="14"/>
        <v>10000</v>
      </c>
      <c r="T83" s="517">
        <f>SUM(T84:T91)</f>
        <v>13400</v>
      </c>
    </row>
    <row r="84" spans="1:20" ht="12.75">
      <c r="A84" s="732"/>
      <c r="B84" s="763"/>
      <c r="C84" s="71" t="str">
        <f>'Kapitálové výdavky'!D84</f>
        <v>Tréningová hala</v>
      </c>
      <c r="D84" s="425"/>
      <c r="E84" s="425"/>
      <c r="F84" s="425"/>
      <c r="G84" s="425"/>
      <c r="H84" s="426"/>
      <c r="I84" s="427"/>
      <c r="J84" s="428"/>
      <c r="K84" s="144"/>
      <c r="L84" s="87">
        <v>8000</v>
      </c>
      <c r="M84" s="87"/>
      <c r="N84" s="87"/>
      <c r="O84" s="87"/>
      <c r="P84" s="87"/>
      <c r="Q84" s="87"/>
      <c r="R84" s="87"/>
      <c r="S84" s="87">
        <v>8000</v>
      </c>
      <c r="T84" s="429">
        <f aca="true" t="shared" si="15" ref="T84:T91">SUM(M84:S84)</f>
        <v>8000</v>
      </c>
    </row>
    <row r="85" spans="1:20" ht="12.75">
      <c r="A85" s="733"/>
      <c r="B85" s="764"/>
      <c r="C85" s="71" t="str">
        <f>'Kapitálové výdavky'!D85</f>
        <v>Transfer pre TS</v>
      </c>
      <c r="D85" s="430"/>
      <c r="E85" s="430"/>
      <c r="F85" s="430"/>
      <c r="G85" s="430"/>
      <c r="H85" s="431"/>
      <c r="I85" s="432"/>
      <c r="J85" s="433"/>
      <c r="K85" s="20"/>
      <c r="L85" s="89">
        <f>'Kapitálové výdavky'!O85</f>
        <v>3400</v>
      </c>
      <c r="M85" s="89">
        <v>3400</v>
      </c>
      <c r="N85" s="89"/>
      <c r="O85" s="89"/>
      <c r="P85" s="89"/>
      <c r="Q85" s="89"/>
      <c r="R85" s="89"/>
      <c r="S85" s="89"/>
      <c r="T85" s="434">
        <f t="shared" si="15"/>
        <v>3400</v>
      </c>
    </row>
    <row r="86" spans="1:20" ht="12.75" hidden="1">
      <c r="A86" s="733"/>
      <c r="B86" s="764"/>
      <c r="C86" s="71" t="str">
        <f>'Kapitálové výdavky'!D86</f>
        <v>Plynová a kanalizačná prípojka</v>
      </c>
      <c r="D86" s="430"/>
      <c r="E86" s="430"/>
      <c r="F86" s="430"/>
      <c r="G86" s="430"/>
      <c r="H86" s="431"/>
      <c r="I86" s="432"/>
      <c r="J86" s="433"/>
      <c r="K86" s="20"/>
      <c r="L86" s="89">
        <f>'Kapitálové výdavky'!O86</f>
        <v>0</v>
      </c>
      <c r="M86" s="89"/>
      <c r="N86" s="89"/>
      <c r="O86" s="89"/>
      <c r="P86" s="89"/>
      <c r="Q86" s="89"/>
      <c r="R86" s="89"/>
      <c r="S86" s="89"/>
      <c r="T86" s="434">
        <f t="shared" si="15"/>
        <v>0</v>
      </c>
    </row>
    <row r="87" spans="1:20" ht="12.75" hidden="1">
      <c r="A87" s="733"/>
      <c r="B87" s="764"/>
      <c r="C87" s="71" t="str">
        <f>'Kapitálové výdavky'!D87</f>
        <v>Budova kocky </v>
      </c>
      <c r="D87" s="430"/>
      <c r="E87" s="430"/>
      <c r="F87" s="430"/>
      <c r="G87" s="430"/>
      <c r="H87" s="431"/>
      <c r="I87" s="432"/>
      <c r="J87" s="433"/>
      <c r="K87" s="20"/>
      <c r="L87" s="89">
        <f>'Kapitálové výdavky'!O87</f>
        <v>0</v>
      </c>
      <c r="M87" s="89"/>
      <c r="N87" s="89"/>
      <c r="O87" s="89"/>
      <c r="P87" s="89"/>
      <c r="Q87" s="89"/>
      <c r="R87" s="89"/>
      <c r="S87" s="89"/>
      <c r="T87" s="434">
        <f t="shared" si="15"/>
        <v>0</v>
      </c>
    </row>
    <row r="88" spans="1:20" ht="12.75" hidden="1">
      <c r="A88" s="733"/>
      <c r="B88" s="764"/>
      <c r="C88" s="71" t="str">
        <f>'Kapitálové výdavky'!D88</f>
        <v>Rolba </v>
      </c>
      <c r="D88" s="430"/>
      <c r="E88" s="430"/>
      <c r="F88" s="430"/>
      <c r="G88" s="430"/>
      <c r="H88" s="431"/>
      <c r="I88" s="432"/>
      <c r="J88" s="433"/>
      <c r="K88" s="20"/>
      <c r="L88" s="89">
        <f>'Kapitálové výdavky'!O88</f>
        <v>0</v>
      </c>
      <c r="M88" s="89"/>
      <c r="N88" s="89"/>
      <c r="O88" s="89"/>
      <c r="P88" s="89"/>
      <c r="Q88" s="89"/>
      <c r="R88" s="89"/>
      <c r="S88" s="89"/>
      <c r="T88" s="434">
        <f t="shared" si="15"/>
        <v>0</v>
      </c>
    </row>
    <row r="89" spans="1:20" ht="12.75" hidden="1">
      <c r="A89" s="733"/>
      <c r="B89" s="764"/>
      <c r="C89" s="71" t="str">
        <f>'Kapitálové výdavky'!D89</f>
        <v>kocka - strecha</v>
      </c>
      <c r="D89" s="21"/>
      <c r="E89" s="21"/>
      <c r="F89" s="21"/>
      <c r="G89" s="21"/>
      <c r="H89" s="55"/>
      <c r="I89" s="373"/>
      <c r="J89" s="374"/>
      <c r="K89" s="21">
        <v>6455</v>
      </c>
      <c r="L89" s="56">
        <f>'Kapitálové výdavky'!O89</f>
        <v>0</v>
      </c>
      <c r="M89" s="56"/>
      <c r="N89" s="56"/>
      <c r="O89" s="56"/>
      <c r="P89" s="56"/>
      <c r="Q89" s="56"/>
      <c r="R89" s="56"/>
      <c r="S89" s="56"/>
      <c r="T89" s="22">
        <f t="shared" si="15"/>
        <v>0</v>
      </c>
    </row>
    <row r="90" spans="1:20" ht="12.75" hidden="1">
      <c r="A90" s="733"/>
      <c r="B90" s="764"/>
      <c r="C90" s="71" t="str">
        <f>'Kapitálové výdavky'!D90</f>
        <v>Vodná nádrž Levoča</v>
      </c>
      <c r="D90" s="69"/>
      <c r="E90" s="69"/>
      <c r="F90" s="69"/>
      <c r="G90" s="69"/>
      <c r="H90" s="68"/>
      <c r="I90" s="375"/>
      <c r="J90" s="376"/>
      <c r="K90" s="69"/>
      <c r="L90" s="56">
        <f>'Kapitálové výdavky'!O90</f>
        <v>0</v>
      </c>
      <c r="M90" s="56"/>
      <c r="N90" s="56"/>
      <c r="O90" s="56"/>
      <c r="P90" s="56"/>
      <c r="Q90" s="56"/>
      <c r="R90" s="56"/>
      <c r="S90" s="56"/>
      <c r="T90" s="22">
        <f t="shared" si="15"/>
        <v>0</v>
      </c>
    </row>
    <row r="91" spans="1:20" ht="13.5" thickBot="1">
      <c r="A91" s="734"/>
      <c r="B91" s="764"/>
      <c r="C91" s="146" t="str">
        <f>'Kapitálové výdavky'!D91</f>
        <v>Ihrisko WORK OUT</v>
      </c>
      <c r="D91" s="47"/>
      <c r="E91" s="47"/>
      <c r="F91" s="47"/>
      <c r="G91" s="47"/>
      <c r="H91" s="58"/>
      <c r="I91" s="399"/>
      <c r="J91" s="400"/>
      <c r="K91" s="47"/>
      <c r="L91" s="211">
        <f>'Kapitálové výdavky'!O91</f>
        <v>2000</v>
      </c>
      <c r="M91" s="211"/>
      <c r="N91" s="211"/>
      <c r="O91" s="211"/>
      <c r="P91" s="211"/>
      <c r="Q91" s="211"/>
      <c r="R91" s="211"/>
      <c r="S91" s="211">
        <v>2000</v>
      </c>
      <c r="T91" s="77">
        <f t="shared" si="15"/>
        <v>2000</v>
      </c>
    </row>
    <row r="92" spans="1:20" ht="15.75" thickBot="1">
      <c r="A92" s="512" t="s">
        <v>146</v>
      </c>
      <c r="B92" s="837" t="s">
        <v>184</v>
      </c>
      <c r="C92" s="838"/>
      <c r="D92" s="235"/>
      <c r="E92" s="235">
        <v>22472</v>
      </c>
      <c r="F92" s="235">
        <v>20713</v>
      </c>
      <c r="G92" s="235">
        <v>11074</v>
      </c>
      <c r="H92" s="235">
        <v>15914</v>
      </c>
      <c r="I92" s="138">
        <v>116842</v>
      </c>
      <c r="J92" s="235">
        <v>38905</v>
      </c>
      <c r="K92" s="66">
        <f>SUM(K93:K95)</f>
        <v>15848</v>
      </c>
      <c r="L92" s="502">
        <f>SUM(L93:L95)</f>
        <v>65000</v>
      </c>
      <c r="M92" s="502">
        <f aca="true" t="shared" si="16" ref="M92:T92">SUM(M93:M95)</f>
        <v>0</v>
      </c>
      <c r="N92" s="502">
        <f t="shared" si="16"/>
        <v>0</v>
      </c>
      <c r="O92" s="502">
        <f t="shared" si="16"/>
        <v>0</v>
      </c>
      <c r="P92" s="502">
        <f t="shared" si="16"/>
        <v>0</v>
      </c>
      <c r="Q92" s="502">
        <f t="shared" si="16"/>
        <v>0</v>
      </c>
      <c r="R92" s="502">
        <f t="shared" si="16"/>
        <v>65000</v>
      </c>
      <c r="S92" s="502">
        <f t="shared" si="16"/>
        <v>0</v>
      </c>
      <c r="T92" s="517">
        <f t="shared" si="16"/>
        <v>65000</v>
      </c>
    </row>
    <row r="93" spans="1:20" ht="12.75">
      <c r="A93" s="705"/>
      <c r="B93" s="759"/>
      <c r="C93" s="71" t="str">
        <f>'Kapitálové výdavky'!D93</f>
        <v>Príspevok pre MKS</v>
      </c>
      <c r="D93" s="94"/>
      <c r="E93" s="94"/>
      <c r="F93" s="94"/>
      <c r="G93" s="94"/>
      <c r="H93" s="54"/>
      <c r="I93" s="371"/>
      <c r="J93" s="372"/>
      <c r="K93" s="94">
        <v>7000</v>
      </c>
      <c r="L93" s="56">
        <f>'Kapitálové výdavky'!O93</f>
        <v>0</v>
      </c>
      <c r="M93" s="56"/>
      <c r="N93" s="56"/>
      <c r="O93" s="56"/>
      <c r="P93" s="56"/>
      <c r="Q93" s="56"/>
      <c r="R93" s="56"/>
      <c r="S93" s="56"/>
      <c r="T93" s="22">
        <f>SUM(M93:S93)</f>
        <v>0</v>
      </c>
    </row>
    <row r="94" spans="1:20" ht="12.75">
      <c r="A94" s="706"/>
      <c r="B94" s="760"/>
      <c r="C94" s="71" t="str">
        <f>'Kapitálové výdavky'!D94</f>
        <v>Kultúra- puto spájajúce obyvateľov vidieka </v>
      </c>
      <c r="D94" s="69"/>
      <c r="E94" s="69"/>
      <c r="F94" s="69"/>
      <c r="G94" s="69"/>
      <c r="H94" s="68"/>
      <c r="I94" s="375"/>
      <c r="J94" s="376"/>
      <c r="K94" s="69"/>
      <c r="L94" s="89">
        <f>'Kapitálové výdavky'!O94</f>
        <v>0</v>
      </c>
      <c r="M94" s="89"/>
      <c r="N94" s="89"/>
      <c r="O94" s="89"/>
      <c r="P94" s="89"/>
      <c r="Q94" s="89"/>
      <c r="R94" s="89"/>
      <c r="S94" s="89"/>
      <c r="T94" s="434">
        <f>SUM(M94:S94)</f>
        <v>0</v>
      </c>
    </row>
    <row r="95" spans="1:20" ht="13.5" thickBot="1">
      <c r="A95" s="707"/>
      <c r="B95" s="760"/>
      <c r="C95" s="146" t="str">
        <f>'Kapitálové výdavky'!D95</f>
        <v>NMP č. 54 - divadlo, kotolňa</v>
      </c>
      <c r="D95" s="47"/>
      <c r="E95" s="47"/>
      <c r="F95" s="47"/>
      <c r="G95" s="47"/>
      <c r="H95" s="58"/>
      <c r="I95" s="399"/>
      <c r="J95" s="400"/>
      <c r="K95" s="47">
        <v>8848</v>
      </c>
      <c r="L95" s="59">
        <v>65000</v>
      </c>
      <c r="M95" s="59"/>
      <c r="N95" s="59"/>
      <c r="O95" s="59"/>
      <c r="P95" s="59"/>
      <c r="Q95" s="59"/>
      <c r="R95" s="59">
        <v>65000</v>
      </c>
      <c r="S95" s="59"/>
      <c r="T95" s="48">
        <f>SUM(M95:S95)</f>
        <v>65000</v>
      </c>
    </row>
    <row r="96" spans="1:20" ht="15.75" hidden="1" thickBot="1">
      <c r="A96" s="504" t="s">
        <v>403</v>
      </c>
      <c r="B96" s="830" t="e">
        <f>'Kapitálové výdavky'!C96:D96</f>
        <v>#VALUE!</v>
      </c>
      <c r="C96" s="830"/>
      <c r="D96" s="505"/>
      <c r="E96" s="505"/>
      <c r="F96" s="505"/>
      <c r="G96" s="505"/>
      <c r="H96" s="506"/>
      <c r="I96" s="507"/>
      <c r="J96" s="508"/>
      <c r="K96" s="509">
        <v>5500</v>
      </c>
      <c r="L96" s="510">
        <f>L97</f>
        <v>0</v>
      </c>
      <c r="M96" s="510">
        <f aca="true" t="shared" si="17" ref="M96:S96">M97</f>
        <v>0</v>
      </c>
      <c r="N96" s="510">
        <f t="shared" si="17"/>
        <v>0</v>
      </c>
      <c r="O96" s="510">
        <f t="shared" si="17"/>
        <v>0</v>
      </c>
      <c r="P96" s="510">
        <f t="shared" si="17"/>
        <v>0</v>
      </c>
      <c r="Q96" s="510">
        <f t="shared" si="17"/>
        <v>0</v>
      </c>
      <c r="R96" s="510">
        <f t="shared" si="17"/>
        <v>0</v>
      </c>
      <c r="S96" s="510">
        <f t="shared" si="17"/>
        <v>0</v>
      </c>
      <c r="T96" s="518">
        <f>SUM(M96:S96)</f>
        <v>0</v>
      </c>
    </row>
    <row r="97" spans="1:20" ht="13.5" hidden="1" thickBot="1">
      <c r="A97" s="362"/>
      <c r="B97" s="364"/>
      <c r="C97" s="146" t="str">
        <f>'Kapitálové výdavky'!D97</f>
        <v>Príspevok pre TS</v>
      </c>
      <c r="D97" s="69"/>
      <c r="E97" s="69"/>
      <c r="F97" s="69"/>
      <c r="G97" s="69"/>
      <c r="H97" s="68"/>
      <c r="I97" s="375"/>
      <c r="J97" s="376"/>
      <c r="K97" s="69">
        <v>5500</v>
      </c>
      <c r="L97" s="43">
        <f>'Kapitálové výdavky'!O97</f>
        <v>0</v>
      </c>
      <c r="M97" s="43"/>
      <c r="N97" s="43"/>
      <c r="O97" s="43"/>
      <c r="P97" s="43"/>
      <c r="Q97" s="43"/>
      <c r="R97" s="43"/>
      <c r="S97" s="43"/>
      <c r="T97" s="26">
        <f>SUM(M97:S97)</f>
        <v>0</v>
      </c>
    </row>
    <row r="98" spans="1:20" ht="15.75" thickBot="1">
      <c r="A98" s="511" t="s">
        <v>329</v>
      </c>
      <c r="B98" s="830" t="str">
        <f>'Kapitálové výdavky'!C98</f>
        <v>Školstvo</v>
      </c>
      <c r="C98" s="830"/>
      <c r="D98" s="235">
        <v>666567</v>
      </c>
      <c r="E98" s="235">
        <v>223164</v>
      </c>
      <c r="F98" s="235">
        <v>527019</v>
      </c>
      <c r="G98" s="235">
        <v>279677</v>
      </c>
      <c r="H98" s="235">
        <v>1160065</v>
      </c>
      <c r="I98" s="436">
        <v>2097438</v>
      </c>
      <c r="J98" s="235">
        <v>344577</v>
      </c>
      <c r="K98" s="66">
        <f>SUM(K99:K106)</f>
        <v>11076</v>
      </c>
      <c r="L98" s="502">
        <f>SUM(L99:L106)</f>
        <v>66580</v>
      </c>
      <c r="M98" s="502">
        <f aca="true" t="shared" si="18" ref="M98:T98">SUM(M99:M106)</f>
        <v>25129</v>
      </c>
      <c r="N98" s="502">
        <f>SUM(N99:N106)</f>
        <v>26451</v>
      </c>
      <c r="O98" s="502">
        <f>SUM(O99:O106)</f>
        <v>0</v>
      </c>
      <c r="P98" s="502">
        <f t="shared" si="18"/>
        <v>15000</v>
      </c>
      <c r="Q98" s="502">
        <f t="shared" si="18"/>
        <v>0</v>
      </c>
      <c r="R98" s="502">
        <f t="shared" si="18"/>
        <v>0</v>
      </c>
      <c r="S98" s="502">
        <f t="shared" si="18"/>
        <v>0</v>
      </c>
      <c r="T98" s="517">
        <f t="shared" si="18"/>
        <v>66580</v>
      </c>
    </row>
    <row r="99" spans="1:20" ht="12.75" hidden="1">
      <c r="A99" s="705"/>
      <c r="B99" s="759"/>
      <c r="C99" s="42" t="s">
        <v>404</v>
      </c>
      <c r="D99" s="57"/>
      <c r="E99" s="57"/>
      <c r="F99" s="57"/>
      <c r="G99" s="57"/>
      <c r="H99" s="57"/>
      <c r="I99" s="365"/>
      <c r="J99" s="366"/>
      <c r="K99" s="25">
        <v>11076</v>
      </c>
      <c r="L99" s="56"/>
      <c r="M99" s="56"/>
      <c r="N99" s="56"/>
      <c r="O99" s="56"/>
      <c r="P99" s="56"/>
      <c r="Q99" s="56"/>
      <c r="R99" s="56"/>
      <c r="S99" s="56"/>
      <c r="T99" s="22"/>
    </row>
    <row r="100" spans="1:20" ht="12.75" hidden="1">
      <c r="A100" s="706"/>
      <c r="B100" s="760"/>
      <c r="C100" s="42" t="s">
        <v>405</v>
      </c>
      <c r="D100" s="57"/>
      <c r="E100" s="57"/>
      <c r="F100" s="57"/>
      <c r="G100" s="57"/>
      <c r="H100" s="57"/>
      <c r="I100" s="365"/>
      <c r="J100" s="366"/>
      <c r="K100" s="25"/>
      <c r="L100" s="56"/>
      <c r="M100" s="56"/>
      <c r="N100" s="56"/>
      <c r="O100" s="56"/>
      <c r="P100" s="56"/>
      <c r="Q100" s="56"/>
      <c r="R100" s="56"/>
      <c r="S100" s="56"/>
      <c r="T100" s="22"/>
    </row>
    <row r="101" spans="1:20" ht="12.75">
      <c r="A101" s="706"/>
      <c r="B101" s="760"/>
      <c r="C101" s="71" t="str">
        <f>'Kapitálové výdavky'!D102</f>
        <v>ZŠ Francisciho - vybavenie ŠJ</v>
      </c>
      <c r="D101" s="57"/>
      <c r="E101" s="57"/>
      <c r="F101" s="57"/>
      <c r="G101" s="57"/>
      <c r="H101" s="57"/>
      <c r="I101" s="365"/>
      <c r="J101" s="366"/>
      <c r="K101" s="25"/>
      <c r="L101" s="56">
        <f>'Kapitálové výdavky'!O102</f>
        <v>0</v>
      </c>
      <c r="M101" s="56"/>
      <c r="N101" s="56"/>
      <c r="O101" s="56"/>
      <c r="P101" s="56"/>
      <c r="Q101" s="56"/>
      <c r="R101" s="56"/>
      <c r="S101" s="56"/>
      <c r="T101" s="22">
        <f aca="true" t="shared" si="19" ref="T101:T106">SUM(M101:S101)</f>
        <v>0</v>
      </c>
    </row>
    <row r="102" spans="1:20" ht="12.75">
      <c r="A102" s="706"/>
      <c r="B102" s="760"/>
      <c r="C102" s="71" t="s">
        <v>448</v>
      </c>
      <c r="D102" s="57"/>
      <c r="E102" s="57"/>
      <c r="F102" s="57"/>
      <c r="G102" s="57"/>
      <c r="H102" s="57"/>
      <c r="I102" s="365"/>
      <c r="J102" s="366"/>
      <c r="K102" s="25"/>
      <c r="L102" s="56">
        <v>3480</v>
      </c>
      <c r="M102" s="56">
        <v>3480</v>
      </c>
      <c r="N102" s="56"/>
      <c r="O102" s="56"/>
      <c r="P102" s="56"/>
      <c r="Q102" s="56"/>
      <c r="R102" s="56"/>
      <c r="S102" s="56"/>
      <c r="T102" s="22">
        <f t="shared" si="19"/>
        <v>3480</v>
      </c>
    </row>
    <row r="103" spans="1:20" ht="12.75">
      <c r="A103" s="706"/>
      <c r="B103" s="760"/>
      <c r="C103" s="71" t="s">
        <v>443</v>
      </c>
      <c r="D103" s="57"/>
      <c r="E103" s="57"/>
      <c r="F103" s="57"/>
      <c r="G103" s="57"/>
      <c r="H103" s="57"/>
      <c r="I103" s="365"/>
      <c r="J103" s="366"/>
      <c r="K103" s="25"/>
      <c r="L103" s="56">
        <v>11500</v>
      </c>
      <c r="M103" s="56">
        <v>11500</v>
      </c>
      <c r="N103" s="56"/>
      <c r="O103" s="56"/>
      <c r="P103" s="56"/>
      <c r="Q103" s="56"/>
      <c r="R103" s="56"/>
      <c r="S103" s="56"/>
      <c r="T103" s="22">
        <f t="shared" si="19"/>
        <v>11500</v>
      </c>
    </row>
    <row r="104" spans="1:20" ht="12.75">
      <c r="A104" s="706"/>
      <c r="B104" s="760"/>
      <c r="C104" s="71" t="s">
        <v>423</v>
      </c>
      <c r="D104" s="57"/>
      <c r="E104" s="57"/>
      <c r="F104" s="57"/>
      <c r="G104" s="57"/>
      <c r="H104" s="57"/>
      <c r="I104" s="365"/>
      <c r="J104" s="366"/>
      <c r="K104" s="25"/>
      <c r="L104" s="56">
        <v>19000</v>
      </c>
      <c r="M104" s="56"/>
      <c r="N104" s="56">
        <v>4000</v>
      </c>
      <c r="O104" s="56"/>
      <c r="P104" s="56">
        <v>15000</v>
      </c>
      <c r="Q104" s="56"/>
      <c r="R104" s="56"/>
      <c r="S104" s="56"/>
      <c r="T104" s="22">
        <f t="shared" si="19"/>
        <v>19000</v>
      </c>
    </row>
    <row r="105" spans="1:20" ht="15.75" customHeight="1">
      <c r="A105" s="706"/>
      <c r="B105" s="760"/>
      <c r="C105" s="71" t="str">
        <f>'Kapitálové výdavky'!D105</f>
        <v>ZUŠ</v>
      </c>
      <c r="D105" s="65"/>
      <c r="E105" s="65"/>
      <c r="F105" s="65"/>
      <c r="G105" s="65"/>
      <c r="H105" s="65"/>
      <c r="I105" s="367"/>
      <c r="J105" s="368"/>
      <c r="K105" s="29"/>
      <c r="L105" s="56">
        <f>'Kapitálové výdavky'!O105</f>
        <v>5000</v>
      </c>
      <c r="M105" s="56"/>
      <c r="N105" s="56">
        <v>5000</v>
      </c>
      <c r="O105" s="56"/>
      <c r="P105" s="56"/>
      <c r="Q105" s="56"/>
      <c r="R105" s="56"/>
      <c r="S105" s="56"/>
      <c r="T105" s="22">
        <f t="shared" si="19"/>
        <v>5000</v>
      </c>
    </row>
    <row r="106" spans="1:20" ht="13.5" thickBot="1">
      <c r="A106" s="707"/>
      <c r="B106" s="762"/>
      <c r="C106" s="71" t="str">
        <f>'Kapitálové výdavky'!D106</f>
        <v>MŠ Haina - PD</v>
      </c>
      <c r="D106" s="65"/>
      <c r="E106" s="65"/>
      <c r="F106" s="65"/>
      <c r="G106" s="65"/>
      <c r="H106" s="65"/>
      <c r="I106" s="367"/>
      <c r="J106" s="368"/>
      <c r="K106" s="29"/>
      <c r="L106" s="43">
        <v>27600</v>
      </c>
      <c r="M106" s="43">
        <v>10149</v>
      </c>
      <c r="N106" s="43">
        <v>17451</v>
      </c>
      <c r="O106" s="43"/>
      <c r="P106" s="43"/>
      <c r="Q106" s="43"/>
      <c r="R106" s="43"/>
      <c r="S106" s="43"/>
      <c r="T106" s="26">
        <f t="shared" si="19"/>
        <v>27600</v>
      </c>
    </row>
    <row r="107" spans="1:20" ht="15.75" hidden="1" thickBot="1">
      <c r="A107" s="213" t="s">
        <v>342</v>
      </c>
      <c r="B107" s="669" t="s">
        <v>343</v>
      </c>
      <c r="C107" s="686"/>
      <c r="D107" s="5"/>
      <c r="E107" s="5"/>
      <c r="F107" s="5"/>
      <c r="G107" s="5"/>
      <c r="H107" s="5"/>
      <c r="I107" s="281">
        <v>104542</v>
      </c>
      <c r="J107" s="214">
        <v>66000</v>
      </c>
      <c r="K107" s="66">
        <f>K108+K109</f>
        <v>0</v>
      </c>
      <c r="L107" s="66"/>
      <c r="M107" s="66"/>
      <c r="N107" s="66"/>
      <c r="O107" s="66"/>
      <c r="P107" s="66"/>
      <c r="Q107" s="66"/>
      <c r="R107" s="66"/>
      <c r="S107" s="66"/>
      <c r="T107" s="67"/>
    </row>
    <row r="108" spans="1:20" ht="13.5" hidden="1" thickBot="1">
      <c r="A108" s="437"/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133"/>
      <c r="M108" s="133"/>
      <c r="N108" s="133"/>
      <c r="O108" s="133"/>
      <c r="P108" s="133"/>
      <c r="Q108" s="133"/>
      <c r="R108" s="133"/>
      <c r="S108" s="133"/>
      <c r="T108" s="440"/>
    </row>
    <row r="109" spans="1:20" ht="13.5" hidden="1" thickBot="1">
      <c r="A109" s="362"/>
      <c r="B109" s="364"/>
      <c r="C109" s="146" t="s">
        <v>406</v>
      </c>
      <c r="D109" s="68"/>
      <c r="E109" s="68"/>
      <c r="F109" s="68"/>
      <c r="G109" s="68"/>
      <c r="H109" s="68"/>
      <c r="I109" s="68"/>
      <c r="J109" s="68"/>
      <c r="K109" s="69"/>
      <c r="L109" s="243"/>
      <c r="M109" s="243"/>
      <c r="N109" s="243"/>
      <c r="O109" s="243"/>
      <c r="P109" s="243"/>
      <c r="Q109" s="243"/>
      <c r="R109" s="243"/>
      <c r="S109" s="243"/>
      <c r="T109" s="70"/>
    </row>
    <row r="110" spans="1:20" ht="15.75" hidden="1" thickBot="1">
      <c r="A110" s="520" t="s">
        <v>407</v>
      </c>
      <c r="B110" s="830" t="e">
        <f>'Kapitálové výdavky'!C110:D110</f>
        <v>#VALUE!</v>
      </c>
      <c r="C110" s="830"/>
      <c r="D110" s="442"/>
      <c r="E110" s="442"/>
      <c r="F110" s="442"/>
      <c r="G110" s="442"/>
      <c r="H110" s="442"/>
      <c r="I110" s="130">
        <f>I111</f>
        <v>0</v>
      </c>
      <c r="J110" s="130">
        <f>J111</f>
        <v>0</v>
      </c>
      <c r="K110" s="130">
        <f>K111</f>
        <v>0</v>
      </c>
      <c r="L110" s="503">
        <f>L111</f>
        <v>0</v>
      </c>
      <c r="M110" s="503">
        <f aca="true" t="shared" si="20" ref="M110:T110">M111</f>
        <v>0</v>
      </c>
      <c r="N110" s="503">
        <f t="shared" si="20"/>
        <v>0</v>
      </c>
      <c r="O110" s="503">
        <f t="shared" si="20"/>
        <v>0</v>
      </c>
      <c r="P110" s="503">
        <f t="shared" si="20"/>
        <v>0</v>
      </c>
      <c r="Q110" s="503">
        <f t="shared" si="20"/>
        <v>0</v>
      </c>
      <c r="R110" s="503">
        <f t="shared" si="20"/>
        <v>0</v>
      </c>
      <c r="S110" s="503">
        <f t="shared" si="20"/>
        <v>0</v>
      </c>
      <c r="T110" s="519">
        <f t="shared" si="20"/>
        <v>0</v>
      </c>
    </row>
    <row r="111" spans="1:20" ht="13.5" hidden="1" thickBot="1">
      <c r="A111" s="362"/>
      <c r="B111" s="364"/>
      <c r="C111" s="71" t="str">
        <f>'Kapitálové výdavky'!D111</f>
        <v>komunitné centrum</v>
      </c>
      <c r="D111" s="438"/>
      <c r="E111" s="438"/>
      <c r="F111" s="438"/>
      <c r="G111" s="438"/>
      <c r="H111" s="438"/>
      <c r="I111" s="68"/>
      <c r="J111" s="68"/>
      <c r="K111" s="69"/>
      <c r="L111" s="243">
        <f>'Kapitálové výdavky'!O111</f>
        <v>0</v>
      </c>
      <c r="M111" s="243"/>
      <c r="N111" s="243"/>
      <c r="O111" s="243"/>
      <c r="P111" s="243"/>
      <c r="Q111" s="243"/>
      <c r="R111" s="243"/>
      <c r="S111" s="243"/>
      <c r="T111" s="70">
        <f>SUM(M111:S111)</f>
        <v>0</v>
      </c>
    </row>
    <row r="112" spans="1:20" ht="17.25" thickBot="1" thickTop="1">
      <c r="A112" s="834" t="s">
        <v>138</v>
      </c>
      <c r="B112" s="835"/>
      <c r="C112" s="835"/>
      <c r="D112" s="521">
        <v>2988050</v>
      </c>
      <c r="E112" s="521">
        <v>1793069</v>
      </c>
      <c r="F112" s="521">
        <v>2942409</v>
      </c>
      <c r="G112" s="521">
        <v>4880528</v>
      </c>
      <c r="H112" s="521">
        <f aca="true" t="shared" si="21" ref="H112:M112">H98+H83+H92+H79+H58+H55+H48+H46+H40+H26+H11+H8+H5+H96+H107+H110</f>
        <v>5977301</v>
      </c>
      <c r="I112" s="521">
        <f t="shared" si="21"/>
        <v>5818483</v>
      </c>
      <c r="J112" s="521">
        <f t="shared" si="21"/>
        <v>4719096</v>
      </c>
      <c r="K112" s="521">
        <f t="shared" si="21"/>
        <v>3939694</v>
      </c>
      <c r="L112" s="521">
        <f>L98+L83+L92+L79+L58+L55+L48+L46+L40+L26+L11+L8+L5+L96+L107+L110</f>
        <v>1692827</v>
      </c>
      <c r="M112" s="521">
        <f t="shared" si="21"/>
        <v>110337</v>
      </c>
      <c r="N112" s="521">
        <f aca="true" t="shared" si="22" ref="N112:S112">N98+N83+N92+N79+N58+N55+N48+N46+N40+N26+N11+N8+N5+N96+N107+N110</f>
        <v>127622</v>
      </c>
      <c r="O112" s="521">
        <f t="shared" si="22"/>
        <v>0</v>
      </c>
      <c r="P112" s="521">
        <f t="shared" si="22"/>
        <v>359000</v>
      </c>
      <c r="Q112" s="521">
        <f t="shared" si="22"/>
        <v>681900</v>
      </c>
      <c r="R112" s="521">
        <f t="shared" si="22"/>
        <v>330968</v>
      </c>
      <c r="S112" s="521">
        <f t="shared" si="22"/>
        <v>83000</v>
      </c>
      <c r="T112" s="522">
        <f>T98+T83+T92+T79+T58+T55+T48+T46+T40+T26+T11+T8+T5+T96+T107+T110</f>
        <v>1692827</v>
      </c>
    </row>
    <row r="113" ht="13.5" thickTop="1"/>
    <row r="115" ht="12.75">
      <c r="T115" s="1"/>
    </row>
    <row r="116" spans="13:19" ht="12.75">
      <c r="M116" s="1"/>
      <c r="S116" s="1"/>
    </row>
    <row r="118" spans="13:20" ht="12.75">
      <c r="M118" s="1"/>
      <c r="N118" s="1"/>
      <c r="T118" s="1"/>
    </row>
    <row r="121" ht="12.75">
      <c r="M121" s="1"/>
    </row>
  </sheetData>
  <sheetProtection/>
  <mergeCells count="54">
    <mergeCell ref="A1:T1"/>
    <mergeCell ref="H3:H4"/>
    <mergeCell ref="A6:A7"/>
    <mergeCell ref="B6:B7"/>
    <mergeCell ref="L3:L4"/>
    <mergeCell ref="B49:B54"/>
    <mergeCell ref="B40:C40"/>
    <mergeCell ref="B48:C48"/>
    <mergeCell ref="C3:C4"/>
    <mergeCell ref="D3:D4"/>
    <mergeCell ref="E3:E4"/>
    <mergeCell ref="F3:F4"/>
    <mergeCell ref="G3:G4"/>
    <mergeCell ref="K3:K4"/>
    <mergeCell ref="B55:C55"/>
    <mergeCell ref="A49:A54"/>
    <mergeCell ref="A12:A25"/>
    <mergeCell ref="B12:B25"/>
    <mergeCell ref="I3:I4"/>
    <mergeCell ref="J3:J4"/>
    <mergeCell ref="B3:B4"/>
    <mergeCell ref="B56:B57"/>
    <mergeCell ref="B83:C83"/>
    <mergeCell ref="A56:A57"/>
    <mergeCell ref="B11:C11"/>
    <mergeCell ref="A41:A43"/>
    <mergeCell ref="B41:B43"/>
    <mergeCell ref="A93:A95"/>
    <mergeCell ref="B93:B95"/>
    <mergeCell ref="A84:A91"/>
    <mergeCell ref="B84:B91"/>
    <mergeCell ref="B58:C58"/>
    <mergeCell ref="A59:A78"/>
    <mergeCell ref="B59:B78"/>
    <mergeCell ref="B107:C107"/>
    <mergeCell ref="B110:C110"/>
    <mergeCell ref="A112:C112"/>
    <mergeCell ref="M3:S3"/>
    <mergeCell ref="A99:A106"/>
    <mergeCell ref="B96:C96"/>
    <mergeCell ref="B98:C98"/>
    <mergeCell ref="B92:C92"/>
    <mergeCell ref="B99:B106"/>
    <mergeCell ref="B79:C79"/>
    <mergeCell ref="T3:T4"/>
    <mergeCell ref="B46:C46"/>
    <mergeCell ref="A27:A38"/>
    <mergeCell ref="B27:B38"/>
    <mergeCell ref="A9:A10"/>
    <mergeCell ref="B8:C8"/>
    <mergeCell ref="B9:B10"/>
    <mergeCell ref="B5:C5"/>
    <mergeCell ref="A3:A4"/>
    <mergeCell ref="B26:C26"/>
  </mergeCells>
  <printOptions/>
  <pageMargins left="0.35433070866141736" right="0.15748031496062992" top="0.5118110236220472" bottom="0.984251968503937" header="0.5118110236220472" footer="0.5118110236220472"/>
  <pageSetup fitToHeight="1" fitToWidth="1" horizontalDpi="600" verticalDpi="600" orientation="landscape" paperSize="9" scale="57" r:id="rId1"/>
  <ignoredErrors>
    <ignoredError sqref="A8 A11 A26 A40 A103:A110 A46:A101" twoDigitTextYear="1"/>
    <ignoredError sqref="T13:T14 T15:T23 T12 T10 T7 T9" formulaRange="1"/>
    <ignoredError sqref="T59:T68 T70:T82 T47:T48 T27:T28 T26 T32:T37 T39" formula="1"/>
    <ignoredError sqref="T103:T112 T11 T8 T40:T46 T49:T58 T29:T31 T38 T84:T10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2016-10-31T07:39:54Z</cp:lastPrinted>
  <dcterms:created xsi:type="dcterms:W3CDTF">2009-12-28T11:25:53Z</dcterms:created>
  <dcterms:modified xsi:type="dcterms:W3CDTF">2017-01-11T07:07:35Z</dcterms:modified>
  <cp:category/>
  <cp:version/>
  <cp:contentType/>
  <cp:contentStatus/>
</cp:coreProperties>
</file>