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598" firstSheet="2" activeTab="5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</sheets>
  <definedNames>
    <definedName name="_xlnm.Print_Area" localSheetId="3">'KAPITÁLVÉ VÝDAVKY'!$A$1:$L$91</definedName>
  </definedNames>
  <calcPr fullCalcOnLoad="1"/>
</workbook>
</file>

<file path=xl/sharedStrings.xml><?xml version="1.0" encoding="utf-8"?>
<sst xmlns="http://schemas.openxmlformats.org/spreadsheetml/2006/main" count="564" uniqueCount="396">
  <si>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</si>
  <si>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</si>
  <si>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</si>
  <si>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</si>
  <si>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</si>
  <si>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</si>
  <si>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</si>
  <si>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</si>
  <si>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</si>
  <si>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</si>
  <si>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</si>
  <si>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</si>
  <si>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</si>
  <si>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</si>
  <si>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</si>
  <si>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</si>
  <si>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</si>
  <si>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</si>
  <si>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</si>
  <si>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</si>
  <si>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</si>
  <si>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</si>
  <si>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</si>
  <si>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</si>
  <si>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</si>
  <si>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</si>
  <si>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</si>
  <si>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</si>
  <si>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</si>
  <si>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</si>
  <si>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</si>
  <si>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</si>
  <si>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</si>
  <si>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</si>
  <si>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</si>
  <si>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</si>
  <si>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</si>
  <si>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</si>
  <si>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</si>
  <si>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</si>
  <si>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08.4</t>
  </si>
  <si>
    <t>Náboženské a iné spoločenské služby</t>
  </si>
  <si>
    <t>Školstvo</t>
  </si>
  <si>
    <t>Školský úrad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</si>
  <si>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</si>
  <si>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</si>
  <si>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</si>
  <si>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</si>
  <si>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</si>
  <si>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</si>
  <si>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</si>
  <si>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</si>
  <si>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</si>
  <si>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</si>
  <si>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</si>
  <si>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</si>
  <si>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</si>
  <si>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</si>
  <si>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</si>
  <si>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</si>
  <si>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</si>
  <si>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</si>
  <si>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</si>
  <si>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</si>
  <si>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</si>
  <si>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</si>
  <si>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</si>
  <si>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</si>
  <si>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</si>
  <si>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</si>
  <si>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</si>
  <si>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</si>
  <si>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</si>
  <si>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</si>
  <si>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</si>
  <si>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</si>
  <si>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</si>
  <si>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</si>
  <si>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</si>
  <si>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</si>
  <si>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</si>
  <si>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</si>
  <si>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</si>
  <si>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</si>
  <si>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</si>
  <si>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</si>
  <si>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</si>
  <si>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</si>
  <si>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</si>
  <si>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</si>
  <si>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</si>
  <si>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</si>
  <si>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</si>
  <si>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</si>
  <si>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</si>
  <si>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</si>
  <si>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</si>
  <si>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</si>
  <si>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</si>
  <si>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</si>
  <si>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</si>
  <si>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</si>
  <si>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</si>
  <si>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</si>
  <si>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</si>
  <si>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</si>
  <si>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</si>
  <si>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</si>
  <si>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</si>
  <si>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</si>
  <si>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</si>
  <si>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</si>
  <si>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</si>
  <si>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</si>
  <si>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</si>
  <si>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</si>
  <si>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</si>
  <si>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</si>
  <si>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</si>
  <si>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</si>
  <si>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</si>
  <si>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</si>
  <si>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</si>
  <si>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</si>
  <si>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</si>
  <si>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</si>
  <si>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t xml:space="preserve">     z predaja hnuteľného majetku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</si>
  <si>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</si>
  <si>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</si>
  <si>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</si>
  <si>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</si>
  <si>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</si>
  <si>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</si>
  <si>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</si>
  <si>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</si>
  <si>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</si>
  <si>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</si>
  <si>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</si>
  <si>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</si>
  <si>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</si>
  <si>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</si>
  <si>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</si>
  <si>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</si>
  <si>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</si>
  <si>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</si>
  <si>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</si>
  <si>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</si>
  <si>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</si>
  <si>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</si>
  <si>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</si>
  <si>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</si>
  <si>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</si>
  <si>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</si>
  <si>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</si>
  <si>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</si>
  <si>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</si>
  <si>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</si>
  <si>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</si>
  <si>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</si>
  <si>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</si>
  <si>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</si>
  <si>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</si>
  <si>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</si>
  <si>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</si>
  <si>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</si>
  <si>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</si>
  <si>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</si>
  <si>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</si>
  <si>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</si>
  <si>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</si>
  <si>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</si>
  <si>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</si>
  <si>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</si>
  <si>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</si>
  <si>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</si>
  <si>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</si>
  <si>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</si>
  <si>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</si>
  <si>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</si>
  <si>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</si>
  <si>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Splácanie bankových úverov dlhodobých</t>
  </si>
  <si>
    <t>Chránená dielňa 1</t>
  </si>
  <si>
    <t>Chránená dielňa 2</t>
  </si>
  <si>
    <t>Chránená dielňa 3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</si>
  <si>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</si>
  <si>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</si>
  <si>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</si>
  <si>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</si>
  <si>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</si>
  <si>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</si>
  <si>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</si>
  <si>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</si>
  <si>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</si>
  <si>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</si>
  <si>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</si>
  <si>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</si>
  <si>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</si>
  <si>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>01.6</t>
  </si>
  <si>
    <t xml:space="preserve">REKAPITULÁCIA  PRÍJMOV  A  VÝDAVKOV </t>
  </si>
  <si>
    <t>Transfer REGOB</t>
  </si>
  <si>
    <t>Iné všeobecné služby-matrika</t>
  </si>
  <si>
    <t>Ochrana životného prostredia</t>
  </si>
  <si>
    <t>Partnerské mestá</t>
  </si>
  <si>
    <t>leasing</t>
  </si>
  <si>
    <t>REGOB</t>
  </si>
  <si>
    <t>finančný prenájom</t>
  </si>
  <si>
    <t>Káblová televízia - štúdia</t>
  </si>
  <si>
    <t>Transfer KÚCD a PK</t>
  </si>
  <si>
    <t>Príspevok pre MKS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</si>
  <si>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</si>
  <si>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</si>
  <si>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</si>
  <si>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</si>
  <si>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</si>
  <si>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MPV - ostatné</t>
  </si>
  <si>
    <t>kamerový systém</t>
  </si>
  <si>
    <t>Ostatné  - obce zmluva TKO</t>
  </si>
  <si>
    <t xml:space="preserve">Za záber VP </t>
  </si>
  <si>
    <t xml:space="preserve">MAS LEV- členské </t>
  </si>
  <si>
    <t xml:space="preserve">     z prenájmu bytov a nebyt. priestorov</t>
  </si>
  <si>
    <t>Príspevok pre TS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</si>
  <si>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</si>
  <si>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</si>
  <si>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</si>
  <si>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</si>
  <si>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</si>
  <si>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</si>
  <si>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Tranfer na Technické služby</t>
  </si>
  <si>
    <t>ZŠ Francisciho - školská infraštruk.</t>
  </si>
  <si>
    <t>Technické služby-cint. služby</t>
  </si>
  <si>
    <t>Karpatské klim. mestečká</t>
  </si>
  <si>
    <t>Voda - Lev.Lúky</t>
  </si>
  <si>
    <t>Odvod z výťažku 5%</t>
  </si>
  <si>
    <t>Objekt VNsP</t>
  </si>
  <si>
    <t>Splácanie bankových úverov ŠFRB</t>
  </si>
  <si>
    <t>Územný plán mesta</t>
  </si>
  <si>
    <t xml:space="preserve">Prestavba NMP I. etapa </t>
  </si>
  <si>
    <t>630</t>
  </si>
  <si>
    <t>Uzat.a rek.skládky KO D.Stráže</t>
  </si>
  <si>
    <t>ZŠ Francisciho 11 škol. infra.</t>
  </si>
  <si>
    <t>Hnedý priemyselný park</t>
  </si>
  <si>
    <t>Bytové priestory</t>
  </si>
  <si>
    <t>Nebytové priestory</t>
  </si>
  <si>
    <t xml:space="preserve">Dar "Dni Majstra Pavla" </t>
  </si>
  <si>
    <t>Splácanie bankových úverov krátkodobých</t>
  </si>
  <si>
    <t>MPV most LD</t>
  </si>
  <si>
    <t>08.4.0.</t>
  </si>
  <si>
    <t>Kostol sv. Jakuba</t>
  </si>
  <si>
    <t>Rekapitulácia</t>
  </si>
  <si>
    <t>08.2.0.</t>
  </si>
  <si>
    <t>MŠ Žel. riadok - škol. Infra.</t>
  </si>
  <si>
    <t>Komuntná sociálna práca</t>
  </si>
  <si>
    <t>Dni Majstra Pavla</t>
  </si>
  <si>
    <t>ZUŠ - hudobné nástroje</t>
  </si>
  <si>
    <t>Vojnové hroby</t>
  </si>
  <si>
    <t>Chránené dielne</t>
  </si>
  <si>
    <t>Povodňová aktivita</t>
  </si>
  <si>
    <t>Protipovodňové aktivity</t>
  </si>
  <si>
    <t>PD - DSS</t>
  </si>
  <si>
    <t>Dopravné značenie</t>
  </si>
  <si>
    <t>Obnova hradobného múru</t>
  </si>
  <si>
    <t>nákup objekt Pisarčiná</t>
  </si>
  <si>
    <t>Ostatné transfery na  kultúru</t>
  </si>
  <si>
    <t>Cestná doprava / transfer SAD /</t>
  </si>
  <si>
    <t>Transfer pre TS (SÚZ)</t>
  </si>
  <si>
    <t>Potravinová pomoc</t>
  </si>
  <si>
    <t>Medzinárodný zraz turistov</t>
  </si>
  <si>
    <t>Značenie Levočské vrchy</t>
  </si>
  <si>
    <t>MPV Ovocinárska</t>
  </si>
  <si>
    <t>Lev. Lúky - zádveria</t>
  </si>
  <si>
    <t>chata Kohlwald</t>
  </si>
  <si>
    <t>Časť 1.1 Bežný rozpočet</t>
  </si>
  <si>
    <t xml:space="preserve">NMP č. 54 - divadlo, výmena okien II. etapa </t>
  </si>
  <si>
    <t>Spevnenie svahu sidl. Západ</t>
  </si>
  <si>
    <t>Odkanalizovanie ul. Štúrová</t>
  </si>
  <si>
    <t xml:space="preserve">Prestavba N.M.P. I. etapa </t>
  </si>
  <si>
    <t>Projektová dokumentácia</t>
  </si>
  <si>
    <t>Podvozok nosič nadstavby</t>
  </si>
  <si>
    <t xml:space="preserve">kamerový systém </t>
  </si>
  <si>
    <t>Daň z príjmu</t>
  </si>
  <si>
    <t>Radnica a zvonica NMP č.2</t>
  </si>
  <si>
    <t>MK Radnica a zvonica NMP č.2</t>
  </si>
  <si>
    <t>Oprava parkanového múru</t>
  </si>
  <si>
    <t>MK Oprava parkanového múru</t>
  </si>
  <si>
    <t>ZŠ G. Haina - hromozvody, technológia ŠJ</t>
  </si>
  <si>
    <t>odvodnenie, sídl. Pri prameni</t>
  </si>
  <si>
    <t>výstavba parkoviska sídl, Západ II.</t>
  </si>
  <si>
    <t>prejazdová váha - stavebné práce</t>
  </si>
  <si>
    <t>bežné transfery</t>
  </si>
  <si>
    <t>voľby</t>
  </si>
  <si>
    <t>Prevod na fond nevyčerpaných dotácií</t>
  </si>
  <si>
    <t>Za propagáciu</t>
  </si>
  <si>
    <t>Prestavba NMP I. etapa</t>
  </si>
  <si>
    <t>Basket. ihrisko sídl. Pri prameni</t>
  </si>
  <si>
    <t xml:space="preserve">Rekonštr. a moder. rekr.+ oddych. zón </t>
  </si>
  <si>
    <t>L. Lúky - sklady palív a úprava vstupov</t>
  </si>
  <si>
    <t>Levočská Dolina (Suchý)</t>
  </si>
  <si>
    <t>ul. V. Greschika – garáže</t>
  </si>
  <si>
    <t>Levočské Lúky majetkoprávne vysp.</t>
  </si>
  <si>
    <t>z pozemkov</t>
  </si>
  <si>
    <t>Nám. Majstra Pavla 50,51 -PD (FRB)</t>
  </si>
  <si>
    <t>MPV pozemkov pre most Lev. Dolina</t>
  </si>
  <si>
    <t xml:space="preserve">MPV pozemkov pre autobus. zastávku LL, LD </t>
  </si>
  <si>
    <t>MPV stavba Strelnica</t>
  </si>
  <si>
    <t>Prestavba NMP - I.etapa - Exter. manaž.</t>
  </si>
  <si>
    <t xml:space="preserve">Osobitný príjemca </t>
  </si>
  <si>
    <t>Nám. Š. Kluberta – pomer. mer. tepla (FRB)</t>
  </si>
  <si>
    <t>Separovvaný zber - spolufin. Projektu</t>
  </si>
  <si>
    <t>10.7.</t>
  </si>
  <si>
    <t>05.2.0</t>
  </si>
  <si>
    <t>Nakladanie s odpadovými vodami</t>
  </si>
  <si>
    <t>ČOV, parkoviská - stočné</t>
  </si>
  <si>
    <t>refundácia projektov</t>
  </si>
  <si>
    <t>MŠ Žel. riadok - jedáleň</t>
  </si>
  <si>
    <t>VO Bottova, Kasárenska ul.</t>
  </si>
  <si>
    <t>Oplotenie zimného štadióna</t>
  </si>
  <si>
    <t>ZŠ Haina - technológia ŠJ</t>
  </si>
  <si>
    <t>CVČ - vybavenie PC technikou</t>
  </si>
  <si>
    <t xml:space="preserve">Karpatské klim. mestečká </t>
  </si>
  <si>
    <t>príspevok pre TS</t>
  </si>
  <si>
    <t>Dotácia cesty</t>
  </si>
  <si>
    <t>fond nevyčerpaných dotácií</t>
  </si>
  <si>
    <t>Abulancia poliklinika</t>
  </si>
  <si>
    <t>Nákup dodávkového auta</t>
  </si>
  <si>
    <t>Projekt - rozvoj turizmu v regióne</t>
  </si>
  <si>
    <t>Neštátne školstvo</t>
  </si>
  <si>
    <t>Dotácia ŠR - školstvo</t>
  </si>
  <si>
    <t>Nakladanie s odpadmi</t>
  </si>
  <si>
    <t xml:space="preserve">Znalecký posudok </t>
  </si>
  <si>
    <t>Poistné</t>
  </si>
  <si>
    <t>Rekultivácia skládky - Dlhé Stráže (02..)</t>
  </si>
  <si>
    <t>ostatné</t>
  </si>
  <si>
    <t>dot. na  obnovu kult. pamiatok</t>
  </si>
  <si>
    <t xml:space="preserve">     právne zastupovanie</t>
  </si>
  <si>
    <t xml:space="preserve">     z prenájmu nehnuteľností HPZ</t>
  </si>
  <si>
    <t>komunitné centrum</t>
  </si>
  <si>
    <t>Basketbalové ihrisko</t>
  </si>
  <si>
    <t xml:space="preserve">vzdelávanie seniorov </t>
  </si>
  <si>
    <t>modernizácia autobusových zastávok</t>
  </si>
  <si>
    <t xml:space="preserve">Kultúra- puto spájajúce obyvateľov vidieka </t>
  </si>
  <si>
    <t>Byty</t>
  </si>
  <si>
    <t xml:space="preserve">kino </t>
  </si>
  <si>
    <t>digitlizácia kina</t>
  </si>
  <si>
    <r>
      <t xml:space="preserve">    </t>
    </r>
    <r>
      <rPr>
        <sz val="10"/>
        <rFont val="Arial CE"/>
        <family val="2"/>
      </rPr>
      <t xml:space="preserve"> z predaja budov</t>
    </r>
  </si>
  <si>
    <t>MŠ ul. Predmestie 26-rekonštrukcia I.etapa</t>
  </si>
  <si>
    <t>Cykloturistický chodník</t>
  </si>
  <si>
    <t>Lyžiarske trate</t>
  </si>
  <si>
    <t>Osobitný príjemca - mesto</t>
  </si>
  <si>
    <t xml:space="preserve">     pokuty, penále a sankcie</t>
  </si>
  <si>
    <t>Rozpočet 2014</t>
  </si>
  <si>
    <t>a</t>
  </si>
  <si>
    <t>b</t>
  </si>
  <si>
    <t>c</t>
  </si>
  <si>
    <t>PD Byty Lev. Lúky</t>
  </si>
  <si>
    <t>ostatné príjmy</t>
  </si>
  <si>
    <t xml:space="preserve">Prestavba N.M.P. II. etapa </t>
  </si>
  <si>
    <t>obnova oddychovej zóny Schiessplatz</t>
  </si>
  <si>
    <t>Voľnočasové aktivity</t>
  </si>
  <si>
    <t>Galéria</t>
  </si>
  <si>
    <t>Upravený rozpočet 2014</t>
  </si>
  <si>
    <t>Voľnočasové aktivity CVČ</t>
  </si>
  <si>
    <t>d</t>
  </si>
  <si>
    <t>Tréningová hala</t>
  </si>
  <si>
    <t>Skutočnosť 2013</t>
  </si>
  <si>
    <t>Skutočnosť 2011</t>
  </si>
  <si>
    <t>Skutočnosť 2012</t>
  </si>
  <si>
    <t>HPZ</t>
  </si>
  <si>
    <t>prevencia kriminality</t>
  </si>
  <si>
    <t>Dom meštiansky - galéria</t>
  </si>
  <si>
    <t>Parkovacie plochy</t>
  </si>
  <si>
    <t>Premostenie Lev. Potoka</t>
  </si>
  <si>
    <t>Pódium</t>
  </si>
  <si>
    <t>ZŠ G. Haina</t>
  </si>
  <si>
    <t>Vodná nádrž</t>
  </si>
  <si>
    <t>MK Kostol sv. Jakuba</t>
  </si>
  <si>
    <t>ZŠ G. Haina 37 škol. infra.</t>
  </si>
  <si>
    <t>obce TKO</t>
  </si>
  <si>
    <t xml:space="preserve">Kultúra- puto spájajúca obyvateľov vidieka </t>
  </si>
  <si>
    <t>ZUŠ - chránené dielne</t>
  </si>
  <si>
    <t>Za predaj tovarov a služieb</t>
  </si>
  <si>
    <t>modernizácia verejných priestranstiev</t>
  </si>
  <si>
    <t>úprava verejných priestranstiev</t>
  </si>
  <si>
    <t>oddychové zóny</t>
  </si>
  <si>
    <t>Parkovacie plochy - etapa 3.2</t>
  </si>
  <si>
    <t xml:space="preserve">VO garáže, sídl. Západ </t>
  </si>
  <si>
    <t>oddychová zóna</t>
  </si>
  <si>
    <t>zmena č.3</t>
  </si>
  <si>
    <t>zmena č.3 rozpočtové opatrenie</t>
  </si>
  <si>
    <t>Prestavba NMP II. etapa</t>
  </si>
  <si>
    <t xml:space="preserve">Schody sídl. Rozvoj </t>
  </si>
  <si>
    <t>otočisko sídl. Západ</t>
  </si>
  <si>
    <t>Odvodnenie sídl, Západ</t>
  </si>
  <si>
    <t xml:space="preserve">Hradobný múr </t>
  </si>
  <si>
    <t>Ing. Miroslav Vilkovský</t>
  </si>
  <si>
    <t>primátor mesta</t>
  </si>
  <si>
    <t>Schválené na 59. zasadnutí MZ dňa 26.6.2014 uznesením č. 59/27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</si>
</sst>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\ _S_k"/>
    <numFmt numFmtId="174" formatCode="0.0"/>
    <numFmt numFmtId="175" formatCode="[$-41B]d\.\ mmmm\ yyyy"/>
    <numFmt numFmtId="176" formatCode="#,##0.000"/>
    <numFmt numFmtId="177" formatCode="#,##0.0000"/>
    <numFmt numFmtId="178" formatCode="#,##0.00000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</numFmts>
  <fonts count="36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medium"/>
      <top style="double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hair"/>
      <bottom style="hair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 style="hair"/>
    </border>
    <border>
      <left style="medium"/>
      <right style="double"/>
      <top style="hair"/>
      <bottom style="medium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medium"/>
      <top style="double"/>
      <bottom style="hair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 style="double"/>
    </border>
    <border>
      <left style="medium"/>
      <right style="double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6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23" xfId="0" applyFont="1" applyBorder="1" applyAlignment="1">
      <alignment/>
    </xf>
    <xf numFmtId="0" fontId="7" fillId="0" borderId="0" xfId="0" applyFont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26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12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22" xfId="0" applyFont="1" applyBorder="1" applyAlignment="1">
      <alignment/>
    </xf>
    <xf numFmtId="3" fontId="6" fillId="19" borderId="10" xfId="0" applyNumberFormat="1" applyFont="1" applyFill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49" fontId="6" fillId="19" borderId="3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4" fontId="6" fillId="19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49" fontId="6" fillId="19" borderId="33" xfId="0" applyNumberFormat="1" applyFont="1" applyFill="1" applyBorder="1" applyAlignment="1">
      <alignment/>
    </xf>
    <xf numFmtId="0" fontId="9" fillId="16" borderId="34" xfId="0" applyFont="1" applyFill="1" applyBorder="1" applyAlignment="1">
      <alignment/>
    </xf>
    <xf numFmtId="3" fontId="9" fillId="16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36" xfId="0" applyFont="1" applyBorder="1" applyAlignment="1">
      <alignment/>
    </xf>
    <xf numFmtId="0" fontId="0" fillId="0" borderId="0" xfId="0" applyAlignment="1">
      <alignment horizontal="center"/>
    </xf>
    <xf numFmtId="49" fontId="6" fillId="19" borderId="33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9" fillId="16" borderId="37" xfId="0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6" fillId="19" borderId="30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49" fontId="1" fillId="0" borderId="33" xfId="0" applyNumberFormat="1" applyFont="1" applyBorder="1" applyAlignment="1">
      <alignment/>
    </xf>
    <xf numFmtId="49" fontId="6" fillId="19" borderId="39" xfId="0" applyNumberFormat="1" applyFont="1" applyFill="1" applyBorder="1" applyAlignment="1">
      <alignment vertical="center" wrapText="1"/>
    </xf>
    <xf numFmtId="3" fontId="6" fillId="19" borderId="40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3" fontId="9" fillId="16" borderId="29" xfId="0" applyNumberFormat="1" applyFont="1" applyFill="1" applyBorder="1" applyAlignment="1">
      <alignment/>
    </xf>
    <xf numFmtId="3" fontId="6" fillId="19" borderId="29" xfId="0" applyNumberFormat="1" applyFont="1" applyFill="1" applyBorder="1" applyAlignment="1">
      <alignment/>
    </xf>
    <xf numFmtId="3" fontId="6" fillId="19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9" fillId="16" borderId="30" xfId="0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19" borderId="41" xfId="0" applyFont="1" applyFill="1" applyBorder="1" applyAlignment="1">
      <alignment horizontal="center"/>
    </xf>
    <xf numFmtId="0" fontId="6" fillId="19" borderId="30" xfId="0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/>
    </xf>
    <xf numFmtId="0" fontId="9" fillId="16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3" fontId="9" fillId="16" borderId="12" xfId="0" applyNumberFormat="1" applyFont="1" applyFill="1" applyBorder="1" applyAlignment="1">
      <alignment horizontal="right"/>
    </xf>
    <xf numFmtId="49" fontId="6" fillId="19" borderId="33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Alignment="1">
      <alignment/>
    </xf>
    <xf numFmtId="0" fontId="0" fillId="0" borderId="16" xfId="0" applyFont="1" applyBorder="1" applyAlignment="1">
      <alignment/>
    </xf>
    <xf numFmtId="49" fontId="1" fillId="0" borderId="42" xfId="0" applyNumberFormat="1" applyFont="1" applyBorder="1" applyAlignment="1">
      <alignment/>
    </xf>
    <xf numFmtId="3" fontId="1" fillId="16" borderId="3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31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49" fontId="3" fillId="0" borderId="18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12" xfId="0" applyFont="1" applyBorder="1" applyAlignment="1">
      <alignment/>
    </xf>
    <xf numFmtId="49" fontId="6" fillId="19" borderId="30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19" borderId="46" xfId="0" applyFont="1" applyFill="1" applyBorder="1" applyAlignment="1">
      <alignment/>
    </xf>
    <xf numFmtId="3" fontId="12" fillId="19" borderId="34" xfId="0" applyNumberFormat="1" applyFont="1" applyFill="1" applyBorder="1" applyAlignment="1">
      <alignment/>
    </xf>
    <xf numFmtId="3" fontId="12" fillId="19" borderId="47" xfId="0" applyNumberFormat="1" applyFont="1" applyFill="1" applyBorder="1" applyAlignment="1">
      <alignment/>
    </xf>
    <xf numFmtId="3" fontId="8" fillId="0" borderId="48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4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52" xfId="0" applyFont="1" applyBorder="1" applyAlignment="1">
      <alignment/>
    </xf>
    <xf numFmtId="0" fontId="3" fillId="0" borderId="53" xfId="0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19" borderId="30" xfId="0" applyFont="1" applyFill="1" applyBorder="1" applyAlignment="1">
      <alignment vertical="center" wrapText="1"/>
    </xf>
    <xf numFmtId="3" fontId="8" fillId="19" borderId="10" xfId="0" applyNumberFormat="1" applyFont="1" applyFill="1" applyBorder="1" applyAlignment="1">
      <alignment vertical="center" wrapText="1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6" fillId="19" borderId="23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6" fillId="19" borderId="54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9" fillId="16" borderId="55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17" fillId="0" borderId="26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0" fontId="3" fillId="0" borderId="20" xfId="0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3" fillId="0" borderId="49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4" fontId="1" fillId="0" borderId="56" xfId="0" applyNumberFormat="1" applyFont="1" applyBorder="1" applyAlignment="1">
      <alignment/>
    </xf>
    <xf numFmtId="4" fontId="3" fillId="0" borderId="57" xfId="0" applyNumberFormat="1" applyFont="1" applyFill="1" applyBorder="1" applyAlignment="1">
      <alignment/>
    </xf>
    <xf numFmtId="4" fontId="3" fillId="0" borderId="58" xfId="0" applyNumberFormat="1" applyFont="1" applyBorder="1" applyAlignment="1">
      <alignment/>
    </xf>
    <xf numFmtId="0" fontId="0" fillId="0" borderId="0" xfId="0" applyAlignment="1">
      <alignment/>
    </xf>
    <xf numFmtId="3" fontId="0" fillId="0" borderId="15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60" xfId="0" applyFont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8" fillId="19" borderId="30" xfId="0" applyFont="1" applyFill="1" applyBorder="1" applyAlignment="1">
      <alignment/>
    </xf>
    <xf numFmtId="3" fontId="9" fillId="16" borderId="61" xfId="0" applyNumberFormat="1" applyFont="1" applyFill="1" applyBorder="1" applyAlignment="1">
      <alignment/>
    </xf>
    <xf numFmtId="3" fontId="6" fillId="19" borderId="57" xfId="0" applyNumberFormat="1" applyFont="1" applyFill="1" applyBorder="1" applyAlignment="1">
      <alignment/>
    </xf>
    <xf numFmtId="3" fontId="6" fillId="19" borderId="56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6" fillId="19" borderId="56" xfId="0" applyNumberFormat="1" applyFont="1" applyFill="1" applyBorder="1" applyAlignment="1">
      <alignment/>
    </xf>
    <xf numFmtId="3" fontId="3" fillId="0" borderId="63" xfId="0" applyNumberFormat="1" applyFont="1" applyBorder="1" applyAlignment="1">
      <alignment/>
    </xf>
    <xf numFmtId="3" fontId="6" fillId="19" borderId="61" xfId="0" applyNumberFormat="1" applyFont="1" applyFill="1" applyBorder="1" applyAlignment="1">
      <alignment/>
    </xf>
    <xf numFmtId="3" fontId="9" fillId="16" borderId="47" xfId="0" applyNumberFormat="1" applyFont="1" applyFill="1" applyBorder="1" applyAlignment="1">
      <alignment/>
    </xf>
    <xf numFmtId="16" fontId="6" fillId="19" borderId="33" xfId="0" applyNumberFormat="1" applyFont="1" applyFill="1" applyBorder="1" applyAlignment="1">
      <alignment/>
    </xf>
    <xf numFmtId="3" fontId="6" fillId="19" borderId="64" xfId="0" applyNumberFormat="1" applyFont="1" applyFill="1" applyBorder="1" applyAlignment="1">
      <alignment vertical="center" wrapText="1"/>
    </xf>
    <xf numFmtId="3" fontId="3" fillId="0" borderId="65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6" fillId="19" borderId="62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 vertical="center" wrapText="1"/>
    </xf>
    <xf numFmtId="3" fontId="3" fillId="0" borderId="63" xfId="0" applyNumberFormat="1" applyFont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1" fillId="0" borderId="7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9" fillId="16" borderId="62" xfId="0" applyNumberFormat="1" applyFont="1" applyFill="1" applyBorder="1" applyAlignment="1">
      <alignment horizontal="right"/>
    </xf>
    <xf numFmtId="3" fontId="9" fillId="16" borderId="56" xfId="0" applyNumberFormat="1" applyFont="1" applyFill="1" applyBorder="1" applyAlignment="1">
      <alignment/>
    </xf>
    <xf numFmtId="3" fontId="6" fillId="19" borderId="71" xfId="0" applyNumberFormat="1" applyFont="1" applyFill="1" applyBorder="1" applyAlignment="1">
      <alignment/>
    </xf>
    <xf numFmtId="3" fontId="6" fillId="19" borderId="55" xfId="0" applyNumberFormat="1" applyFont="1" applyFill="1" applyBorder="1" applyAlignment="1">
      <alignment/>
    </xf>
    <xf numFmtId="49" fontId="6" fillId="19" borderId="72" xfId="0" applyNumberFormat="1" applyFont="1" applyFill="1" applyBorder="1" applyAlignment="1">
      <alignment/>
    </xf>
    <xf numFmtId="0" fontId="3" fillId="0" borderId="73" xfId="0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49" fontId="1" fillId="19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" fontId="1" fillId="0" borderId="0" xfId="0" applyNumberFormat="1" applyFont="1" applyFill="1" applyBorder="1" applyAlignment="1">
      <alignment horizontal="left"/>
    </xf>
    <xf numFmtId="3" fontId="3" fillId="0" borderId="43" xfId="0" applyNumberFormat="1" applyFont="1" applyFill="1" applyBorder="1" applyAlignment="1">
      <alignment/>
    </xf>
    <xf numFmtId="3" fontId="1" fillId="19" borderId="12" xfId="0" applyNumberFormat="1" applyFont="1" applyFill="1" applyBorder="1" applyAlignment="1">
      <alignment/>
    </xf>
    <xf numFmtId="3" fontId="9" fillId="16" borderId="23" xfId="0" applyNumberFormat="1" applyFont="1" applyFill="1" applyBorder="1" applyAlignment="1">
      <alignment/>
    </xf>
    <xf numFmtId="3" fontId="6" fillId="19" borderId="36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16" fontId="1" fillId="0" borderId="0" xfId="0" applyNumberFormat="1" applyFont="1" applyBorder="1" applyAlignment="1">
      <alignment horizontal="left"/>
    </xf>
    <xf numFmtId="3" fontId="3" fillId="0" borderId="54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0" fontId="8" fillId="0" borderId="78" xfId="0" applyFont="1" applyBorder="1" applyAlignment="1">
      <alignment vertical="center"/>
    </xf>
    <xf numFmtId="0" fontId="8" fillId="0" borderId="78" xfId="0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19" borderId="56" xfId="0" applyNumberFormat="1" applyFont="1" applyFill="1" applyBorder="1" applyAlignment="1">
      <alignment vertical="center" wrapText="1"/>
    </xf>
    <xf numFmtId="0" fontId="3" fillId="0" borderId="79" xfId="0" applyFont="1" applyBorder="1" applyAlignment="1">
      <alignment/>
    </xf>
    <xf numFmtId="3" fontId="3" fillId="0" borderId="80" xfId="0" applyNumberFormat="1" applyFont="1" applyBorder="1" applyAlignment="1">
      <alignment/>
    </xf>
    <xf numFmtId="0" fontId="9" fillId="16" borderId="72" xfId="0" applyFont="1" applyFill="1" applyBorder="1" applyAlignment="1">
      <alignment horizontal="center"/>
    </xf>
    <xf numFmtId="3" fontId="9" fillId="16" borderId="55" xfId="0" applyNumberFormat="1" applyFont="1" applyFill="1" applyBorder="1" applyAlignment="1">
      <alignment/>
    </xf>
    <xf numFmtId="3" fontId="9" fillId="16" borderId="61" xfId="0" applyNumberFormat="1" applyFont="1" applyFill="1" applyBorder="1" applyAlignment="1">
      <alignment/>
    </xf>
    <xf numFmtId="0" fontId="3" fillId="0" borderId="81" xfId="0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49" fontId="1" fillId="0" borderId="8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8" fillId="19" borderId="33" xfId="0" applyFont="1" applyFill="1" applyBorder="1" applyAlignment="1">
      <alignment horizontal="center"/>
    </xf>
    <xf numFmtId="0" fontId="8" fillId="19" borderId="72" xfId="0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vertical="center" wrapText="1"/>
    </xf>
    <xf numFmtId="3" fontId="3" fillId="0" borderId="2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3" fontId="3" fillId="0" borderId="76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0" fillId="0" borderId="28" xfId="0" applyNumberFormat="1" applyFont="1" applyBorder="1" applyAlignment="1">
      <alignment/>
    </xf>
    <xf numFmtId="0" fontId="6" fillId="19" borderId="10" xfId="0" applyFont="1" applyFill="1" applyBorder="1" applyAlignment="1">
      <alignment horizontal="right"/>
    </xf>
    <xf numFmtId="3" fontId="1" fillId="19" borderId="23" xfId="0" applyNumberFormat="1" applyFont="1" applyFill="1" applyBorder="1" applyAlignment="1">
      <alignment/>
    </xf>
    <xf numFmtId="4" fontId="1" fillId="19" borderId="5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6" fillId="19" borderId="54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3" fontId="0" fillId="0" borderId="88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8" fillId="0" borderId="89" xfId="0" applyNumberFormat="1" applyFont="1" applyBorder="1" applyAlignment="1">
      <alignment vertical="center"/>
    </xf>
    <xf numFmtId="3" fontId="8" fillId="0" borderId="89" xfId="0" applyNumberFormat="1" applyFont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3" fontId="1" fillId="19" borderId="62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3" fillId="0" borderId="90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3" fontId="1" fillId="0" borderId="6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vertical="center" wrapText="1"/>
    </xf>
    <xf numFmtId="3" fontId="0" fillId="0" borderId="65" xfId="0" applyNumberFormat="1" applyFont="1" applyFill="1" applyBorder="1" applyAlignment="1">
      <alignment vertical="center" wrapText="1"/>
    </xf>
    <xf numFmtId="3" fontId="9" fillId="16" borderId="71" xfId="0" applyNumberFormat="1" applyFont="1" applyFill="1" applyBorder="1" applyAlignment="1">
      <alignment/>
    </xf>
    <xf numFmtId="3" fontId="6" fillId="19" borderId="71" xfId="0" applyNumberFormat="1" applyFont="1" applyFill="1" applyBorder="1" applyAlignment="1">
      <alignment/>
    </xf>
    <xf numFmtId="3" fontId="6" fillId="19" borderId="6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56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49" fontId="1" fillId="0" borderId="91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1" fillId="16" borderId="47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" fillId="16" borderId="85" xfId="0" applyFont="1" applyFill="1" applyBorder="1" applyAlignment="1">
      <alignment horizontal="center" vertical="center" wrapText="1"/>
    </xf>
    <xf numFmtId="0" fontId="1" fillId="16" borderId="73" xfId="0" applyFont="1" applyFill="1" applyBorder="1" applyAlignment="1">
      <alignment vertical="center" wrapText="1"/>
    </xf>
    <xf numFmtId="0" fontId="1" fillId="16" borderId="74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49" fontId="6" fillId="19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61" xfId="0" applyNumberForma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3" xfId="0" applyNumberFormat="1" applyFont="1" applyBorder="1" applyAlignment="1">
      <alignment horizontal="right"/>
    </xf>
    <xf numFmtId="3" fontId="0" fillId="0" borderId="63" xfId="0" applyNumberFormat="1" applyBorder="1" applyAlignment="1">
      <alignment/>
    </xf>
    <xf numFmtId="0" fontId="6" fillId="19" borderId="23" xfId="0" applyFont="1" applyFill="1" applyBorder="1" applyAlignment="1">
      <alignment horizontal="left"/>
    </xf>
    <xf numFmtId="0" fontId="6" fillId="19" borderId="86" xfId="0" applyFont="1" applyFill="1" applyBorder="1" applyAlignment="1">
      <alignment horizontal="left"/>
    </xf>
    <xf numFmtId="0" fontId="6" fillId="19" borderId="92" xfId="0" applyFont="1" applyFill="1" applyBorder="1" applyAlignment="1">
      <alignment horizontal="left"/>
    </xf>
    <xf numFmtId="49" fontId="6" fillId="19" borderId="50" xfId="0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4" xfId="0" applyFont="1" applyBorder="1" applyAlignment="1">
      <alignment/>
    </xf>
    <xf numFmtId="0" fontId="1" fillId="0" borderId="54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93" xfId="0" applyFont="1" applyFill="1" applyBorder="1" applyAlignment="1">
      <alignment/>
    </xf>
    <xf numFmtId="0" fontId="3" fillId="0" borderId="9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95" xfId="0" applyFont="1" applyFill="1" applyBorder="1" applyAlignment="1">
      <alignment horizontal="left"/>
    </xf>
    <xf numFmtId="0" fontId="3" fillId="0" borderId="92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49" fontId="3" fillId="0" borderId="95" xfId="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3" fillId="0" borderId="87" xfId="0" applyFont="1" applyFill="1" applyBorder="1" applyAlignment="1">
      <alignment/>
    </xf>
    <xf numFmtId="0" fontId="3" fillId="0" borderId="95" xfId="0" applyFont="1" applyFill="1" applyBorder="1" applyAlignment="1">
      <alignment/>
    </xf>
    <xf numFmtId="0" fontId="3" fillId="0" borderId="9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87" xfId="0" applyFont="1" applyFill="1" applyBorder="1" applyAlignment="1">
      <alignment horizontal="right"/>
    </xf>
    <xf numFmtId="0" fontId="3" fillId="0" borderId="95" xfId="0" applyFont="1" applyFill="1" applyBorder="1" applyAlignment="1">
      <alignment horizontal="right"/>
    </xf>
    <xf numFmtId="0" fontId="6" fillId="19" borderId="50" xfId="0" applyNumberFormat="1" applyFont="1" applyFill="1" applyBorder="1" applyAlignment="1">
      <alignment horizontal="right"/>
    </xf>
    <xf numFmtId="0" fontId="3" fillId="0" borderId="94" xfId="0" applyNumberFormat="1" applyFont="1" applyFill="1" applyBorder="1" applyAlignment="1">
      <alignment horizontal="right"/>
    </xf>
    <xf numFmtId="0" fontId="3" fillId="0" borderId="91" xfId="0" applyNumberFormat="1" applyFont="1" applyFill="1" applyBorder="1" applyAlignment="1">
      <alignment/>
    </xf>
    <xf numFmtId="0" fontId="1" fillId="0" borderId="5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0" fontId="3" fillId="0" borderId="82" xfId="0" applyFont="1" applyFill="1" applyBorder="1" applyAlignment="1">
      <alignment/>
    </xf>
    <xf numFmtId="3" fontId="0" fillId="0" borderId="49" xfId="0" applyNumberFormat="1" applyFont="1" applyFill="1" applyBorder="1" applyAlignment="1">
      <alignment vertical="center" wrapText="1"/>
    </xf>
    <xf numFmtId="3" fontId="0" fillId="0" borderId="57" xfId="0" applyNumberFormat="1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vertical="center" wrapText="1"/>
    </xf>
    <xf numFmtId="3" fontId="0" fillId="0" borderId="66" xfId="0" applyNumberFormat="1" applyFont="1" applyFill="1" applyBorder="1" applyAlignment="1">
      <alignment vertical="center" wrapText="1"/>
    </xf>
    <xf numFmtId="3" fontId="3" fillId="0" borderId="91" xfId="0" applyNumberFormat="1" applyFont="1" applyFill="1" applyBorder="1" applyAlignment="1">
      <alignment/>
    </xf>
    <xf numFmtId="3" fontId="3" fillId="0" borderId="95" xfId="0" applyNumberFormat="1" applyFont="1" applyFill="1" applyBorder="1" applyAlignment="1">
      <alignment/>
    </xf>
    <xf numFmtId="3" fontId="3" fillId="0" borderId="94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49" xfId="0" applyFont="1" applyBorder="1" applyAlignment="1">
      <alignment/>
    </xf>
    <xf numFmtId="0" fontId="3" fillId="0" borderId="96" xfId="0" applyFont="1" applyBorder="1" applyAlignment="1">
      <alignment/>
    </xf>
    <xf numFmtId="0" fontId="3" fillId="0" borderId="95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19" borderId="24" xfId="0" applyNumberFormat="1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97" xfId="0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49" xfId="0" applyFont="1" applyBorder="1" applyAlignment="1">
      <alignment/>
    </xf>
    <xf numFmtId="3" fontId="10" fillId="0" borderId="0" xfId="0" applyNumberFormat="1" applyFont="1" applyAlignment="1">
      <alignment/>
    </xf>
    <xf numFmtId="3" fontId="3" fillId="0" borderId="16" xfId="0" applyNumberFormat="1" applyFont="1" applyBorder="1" applyAlignment="1">
      <alignment/>
    </xf>
    <xf numFmtId="0" fontId="0" fillId="0" borderId="25" xfId="0" applyFont="1" applyBorder="1" applyAlignment="1">
      <alignment/>
    </xf>
    <xf numFmtId="49" fontId="1" fillId="19" borderId="10" xfId="0" applyNumberFormat="1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6" fillId="19" borderId="92" xfId="0" applyFont="1" applyFill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9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9" fontId="6" fillId="19" borderId="50" xfId="0" applyNumberFormat="1" applyFont="1" applyFill="1" applyBorder="1" applyAlignment="1">
      <alignment horizontal="right"/>
    </xf>
    <xf numFmtId="49" fontId="3" fillId="0" borderId="95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3" fillId="0" borderId="94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/>
    </xf>
    <xf numFmtId="49" fontId="3" fillId="0" borderId="27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right"/>
    </xf>
    <xf numFmtId="0" fontId="9" fillId="16" borderId="41" xfId="0" applyFont="1" applyFill="1" applyBorder="1" applyAlignment="1">
      <alignment/>
    </xf>
    <xf numFmtId="0" fontId="6" fillId="19" borderId="37" xfId="0" applyFont="1" applyFill="1" applyBorder="1" applyAlignment="1">
      <alignment/>
    </xf>
    <xf numFmtId="0" fontId="6" fillId="0" borderId="38" xfId="0" applyFont="1" applyBorder="1" applyAlignment="1">
      <alignment horizontal="center"/>
    </xf>
    <xf numFmtId="0" fontId="9" fillId="16" borderId="98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6" fillId="19" borderId="56" xfId="0" applyFont="1" applyFill="1" applyBorder="1" applyAlignment="1">
      <alignment horizontal="right"/>
    </xf>
    <xf numFmtId="0" fontId="9" fillId="16" borderId="98" xfId="0" applyFont="1" applyFill="1" applyBorder="1" applyAlignment="1">
      <alignment horizontal="center"/>
    </xf>
    <xf numFmtId="0" fontId="9" fillId="16" borderId="24" xfId="0" applyFont="1" applyFill="1" applyBorder="1" applyAlignment="1">
      <alignment horizontal="left"/>
    </xf>
    <xf numFmtId="0" fontId="1" fillId="0" borderId="9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16" borderId="98" xfId="0" applyFont="1" applyFill="1" applyBorder="1" applyAlignment="1">
      <alignment horizontal="left"/>
    </xf>
    <xf numFmtId="0" fontId="9" fillId="16" borderId="100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16" borderId="23" xfId="0" applyFont="1" applyFill="1" applyBorder="1" applyAlignment="1">
      <alignment horizontal="left"/>
    </xf>
    <xf numFmtId="0" fontId="9" fillId="16" borderId="54" xfId="0" applyFont="1" applyFill="1" applyBorder="1" applyAlignment="1">
      <alignment horizontal="left"/>
    </xf>
    <xf numFmtId="0" fontId="9" fillId="16" borderId="50" xfId="0" applyFont="1" applyFill="1" applyBorder="1" applyAlignment="1">
      <alignment horizontal="left"/>
    </xf>
    <xf numFmtId="0" fontId="6" fillId="19" borderId="86" xfId="0" applyFont="1" applyFill="1" applyBorder="1" applyAlignment="1">
      <alignment horizontal="left"/>
    </xf>
    <xf numFmtId="0" fontId="6" fillId="19" borderId="54" xfId="0" applyFont="1" applyFill="1" applyBorder="1" applyAlignment="1">
      <alignment horizontal="left"/>
    </xf>
    <xf numFmtId="0" fontId="6" fillId="19" borderId="50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6" fillId="19" borderId="23" xfId="0" applyFont="1" applyFill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16" borderId="40" xfId="0" applyFont="1" applyFill="1" applyBorder="1" applyAlignment="1">
      <alignment horizontal="center" vertical="center" wrapText="1"/>
    </xf>
    <xf numFmtId="0" fontId="1" fillId="16" borderId="73" xfId="0" applyFont="1" applyFill="1" applyBorder="1" applyAlignment="1">
      <alignment horizontal="center" vertical="center" wrapText="1"/>
    </xf>
    <xf numFmtId="0" fontId="1" fillId="0" borderId="9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6" fillId="19" borderId="23" xfId="0" applyFont="1" applyFill="1" applyBorder="1" applyAlignment="1">
      <alignment horizontal="left"/>
    </xf>
    <xf numFmtId="0" fontId="6" fillId="19" borderId="86" xfId="0" applyFont="1" applyFill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19" borderId="24" xfId="0" applyFont="1" applyFill="1" applyBorder="1" applyAlignment="1">
      <alignment horizontal="left"/>
    </xf>
    <xf numFmtId="0" fontId="9" fillId="16" borderId="101" xfId="0" applyFont="1" applyFill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9" fillId="16" borderId="102" xfId="0" applyFont="1" applyFill="1" applyBorder="1" applyAlignment="1">
      <alignment horizontal="left"/>
    </xf>
    <xf numFmtId="0" fontId="9" fillId="16" borderId="103" xfId="0" applyFont="1" applyFill="1" applyBorder="1" applyAlignment="1">
      <alignment horizontal="left"/>
    </xf>
    <xf numFmtId="0" fontId="1" fillId="0" borderId="73" xfId="0" applyFont="1" applyBorder="1" applyAlignment="1">
      <alignment horizontal="center"/>
    </xf>
    <xf numFmtId="0" fontId="1" fillId="16" borderId="64" xfId="0" applyFont="1" applyFill="1" applyBorder="1" applyAlignment="1">
      <alignment horizontal="center" vertical="center" wrapText="1"/>
    </xf>
    <xf numFmtId="0" fontId="1" fillId="16" borderId="9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04" xfId="0" applyFont="1" applyBorder="1" applyAlignment="1">
      <alignment horizontal="left"/>
    </xf>
    <xf numFmtId="0" fontId="11" fillId="16" borderId="39" xfId="0" applyFont="1" applyFill="1" applyBorder="1" applyAlignment="1">
      <alignment horizontal="center" vertical="center" wrapText="1"/>
    </xf>
    <xf numFmtId="0" fontId="11" fillId="16" borderId="99" xfId="0" applyFont="1" applyFill="1" applyBorder="1" applyAlignment="1">
      <alignment horizontal="center" vertical="center" wrapText="1"/>
    </xf>
    <xf numFmtId="0" fontId="11" fillId="16" borderId="40" xfId="0" applyFont="1" applyFill="1" applyBorder="1" applyAlignment="1">
      <alignment horizontal="center" vertical="center" wrapText="1"/>
    </xf>
    <xf numFmtId="0" fontId="11" fillId="16" borderId="73" xfId="0" applyFont="1" applyFill="1" applyBorder="1" applyAlignment="1">
      <alignment horizontal="center" vertical="center" wrapText="1"/>
    </xf>
    <xf numFmtId="0" fontId="1" fillId="16" borderId="102" xfId="0" applyFont="1" applyFill="1" applyBorder="1" applyAlignment="1">
      <alignment horizontal="center" vertical="center" wrapText="1"/>
    </xf>
    <xf numFmtId="0" fontId="1" fillId="16" borderId="10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19" borderId="92" xfId="0" applyFont="1" applyFill="1" applyBorder="1" applyAlignment="1">
      <alignment horizontal="left" vertical="center" wrapText="1"/>
    </xf>
    <xf numFmtId="0" fontId="6" fillId="19" borderId="5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86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6" fillId="19" borderId="105" xfId="0" applyFont="1" applyFill="1" applyBorder="1" applyAlignment="1">
      <alignment horizontal="left"/>
    </xf>
    <xf numFmtId="0" fontId="6" fillId="19" borderId="10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86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6" fillId="19" borderId="9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86" xfId="0" applyFont="1" applyFill="1" applyBorder="1" applyAlignment="1">
      <alignment horizontal="left"/>
    </xf>
    <xf numFmtId="16" fontId="6" fillId="0" borderId="42" xfId="0" applyNumberFormat="1" applyFont="1" applyFill="1" applyBorder="1" applyAlignment="1">
      <alignment horizontal="center"/>
    </xf>
    <xf numFmtId="16" fontId="6" fillId="0" borderId="31" xfId="0" applyNumberFormat="1" applyFont="1" applyFill="1" applyBorder="1" applyAlignment="1">
      <alignment horizontal="center"/>
    </xf>
    <xf numFmtId="16" fontId="6" fillId="0" borderId="33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19" borderId="92" xfId="0" applyNumberFormat="1" applyFont="1" applyFill="1" applyBorder="1" applyAlignment="1">
      <alignment horizontal="left"/>
    </xf>
    <xf numFmtId="49" fontId="6" fillId="19" borderId="50" xfId="0" applyNumberFormat="1" applyFont="1" applyFill="1" applyBorder="1" applyAlignment="1">
      <alignment horizontal="left"/>
    </xf>
    <xf numFmtId="49" fontId="6" fillId="19" borderId="105" xfId="0" applyNumberFormat="1" applyFont="1" applyFill="1" applyBorder="1" applyAlignment="1">
      <alignment horizontal="left"/>
    </xf>
    <xf numFmtId="49" fontId="6" fillId="19" borderId="103" xfId="0" applyNumberFormat="1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" fillId="19" borderId="24" xfId="0" applyNumberFormat="1" applyFont="1" applyFill="1" applyBorder="1" applyAlignment="1">
      <alignment horizontal="left"/>
    </xf>
    <xf numFmtId="0" fontId="1" fillId="19" borderId="86" xfId="0" applyNumberFormat="1" applyFont="1" applyFill="1" applyBorder="1" applyAlignment="1">
      <alignment horizontal="left"/>
    </xf>
    <xf numFmtId="49" fontId="1" fillId="0" borderId="99" xfId="0" applyNumberFormat="1" applyFont="1" applyFill="1" applyBorder="1" applyAlignment="1">
      <alignment horizontal="center"/>
    </xf>
    <xf numFmtId="49" fontId="6" fillId="0" borderId="99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86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16" fontId="1" fillId="0" borderId="104" xfId="0" applyNumberFormat="1" applyFont="1" applyFill="1" applyBorder="1" applyAlignment="1">
      <alignment horizontal="left"/>
    </xf>
    <xf numFmtId="49" fontId="5" fillId="16" borderId="39" xfId="0" applyNumberFormat="1" applyFont="1" applyFill="1" applyBorder="1" applyAlignment="1">
      <alignment horizontal="center" vertical="center" wrapText="1"/>
    </xf>
    <xf numFmtId="49" fontId="5" fillId="16" borderId="99" xfId="0" applyNumberFormat="1" applyFont="1" applyFill="1" applyBorder="1" applyAlignment="1">
      <alignment horizontal="center" vertical="center" wrapText="1"/>
    </xf>
    <xf numFmtId="16" fontId="1" fillId="16" borderId="106" xfId="0" applyNumberFormat="1" applyFont="1" applyFill="1" applyBorder="1" applyAlignment="1">
      <alignment horizontal="center" vertical="center" wrapText="1"/>
    </xf>
    <xf numFmtId="16" fontId="1" fillId="16" borderId="85" xfId="0" applyNumberFormat="1" applyFont="1" applyFill="1" applyBorder="1" applyAlignment="1">
      <alignment horizontal="center" vertical="center" wrapText="1"/>
    </xf>
    <xf numFmtId="0" fontId="1" fillId="16" borderId="40" xfId="0" applyFont="1" applyFill="1" applyBorder="1" applyAlignment="1">
      <alignment horizontal="center" vertical="center"/>
    </xf>
    <xf numFmtId="0" fontId="1" fillId="16" borderId="73" xfId="0" applyFont="1" applyFill="1" applyBorder="1" applyAlignment="1">
      <alignment horizontal="center" vertical="center"/>
    </xf>
    <xf numFmtId="0" fontId="6" fillId="19" borderId="105" xfId="0" applyFont="1" applyFill="1" applyBorder="1" applyAlignment="1">
      <alignment horizontal="left" vertical="center" wrapText="1"/>
    </xf>
    <xf numFmtId="0" fontId="6" fillId="19" borderId="103" xfId="0" applyFont="1" applyFill="1" applyBorder="1" applyAlignment="1">
      <alignment horizontal="left" vertical="center" wrapText="1"/>
    </xf>
    <xf numFmtId="0" fontId="1" fillId="16" borderId="105" xfId="0" applyFont="1" applyFill="1" applyBorder="1" applyAlignment="1">
      <alignment horizontal="center" vertical="center" wrapText="1"/>
    </xf>
    <xf numFmtId="0" fontId="9" fillId="16" borderId="37" xfId="0" applyFont="1" applyFill="1" applyBorder="1" applyAlignment="1">
      <alignment horizontal="left"/>
    </xf>
    <xf numFmtId="0" fontId="9" fillId="16" borderId="86" xfId="0" applyFont="1" applyFill="1" applyBorder="1" applyAlignment="1">
      <alignment horizontal="left"/>
    </xf>
    <xf numFmtId="0" fontId="6" fillId="19" borderId="37" xfId="0" applyFont="1" applyFill="1" applyBorder="1" applyAlignment="1">
      <alignment horizontal="left"/>
    </xf>
    <xf numFmtId="0" fontId="9" fillId="16" borderId="41" xfId="0" applyFont="1" applyFill="1" applyBorder="1" applyAlignment="1">
      <alignment horizontal="left"/>
    </xf>
    <xf numFmtId="0" fontId="3" fillId="0" borderId="9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16" borderId="107" xfId="0" applyFont="1" applyFill="1" applyBorder="1" applyAlignment="1">
      <alignment horizontal="center" vertical="center" wrapText="1"/>
    </xf>
    <xf numFmtId="0" fontId="11" fillId="16" borderId="108" xfId="0" applyFont="1" applyFill="1" applyBorder="1" applyAlignment="1">
      <alignment horizontal="center" vertical="center" wrapText="1"/>
    </xf>
    <xf numFmtId="0" fontId="9" fillId="16" borderId="46" xfId="0" applyFont="1" applyFill="1" applyBorder="1" applyAlignment="1">
      <alignment horizontal="left"/>
    </xf>
    <xf numFmtId="0" fontId="9" fillId="16" borderId="34" xfId="0" applyFont="1" applyFill="1" applyBorder="1" applyAlignment="1">
      <alignment horizontal="left"/>
    </xf>
    <xf numFmtId="0" fontId="6" fillId="19" borderId="10" xfId="0" applyFont="1" applyFill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19" borderId="23" xfId="0" applyNumberFormat="1" applyFont="1" applyFill="1" applyBorder="1" applyAlignment="1">
      <alignment horizontal="left"/>
    </xf>
    <xf numFmtId="49" fontId="1" fillId="19" borderId="86" xfId="0" applyNumberFormat="1" applyFont="1" applyFill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6" fillId="19" borderId="10" xfId="0" applyNumberFormat="1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19" borderId="12" xfId="0" applyFont="1" applyFill="1" applyBorder="1" applyAlignment="1">
      <alignment horizontal="left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6" fontId="1" fillId="0" borderId="104" xfId="0" applyNumberFormat="1" applyFont="1" applyBorder="1" applyAlignment="1">
      <alignment horizontal="left"/>
    </xf>
    <xf numFmtId="16" fontId="1" fillId="16" borderId="40" xfId="0" applyNumberFormat="1" applyFont="1" applyFill="1" applyBorder="1" applyAlignment="1">
      <alignment horizontal="center" vertical="center" wrapText="1"/>
    </xf>
    <xf numFmtId="16" fontId="1" fillId="16" borderId="73" xfId="0" applyNumberFormat="1" applyFont="1" applyFill="1" applyBorder="1" applyAlignment="1">
      <alignment horizontal="center" vertical="center" wrapText="1"/>
    </xf>
    <xf numFmtId="3" fontId="0" fillId="0" borderId="102" xfId="0" applyNumberFormat="1" applyBorder="1" applyAlignment="1">
      <alignment horizontal="center"/>
    </xf>
    <xf numFmtId="3" fontId="0" fillId="0" borderId="103" xfId="0" applyNumberForma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1" fillId="16" borderId="74" xfId="0" applyFont="1" applyFill="1" applyBorder="1" applyAlignment="1">
      <alignment horizontal="center" vertical="center" wrapText="1"/>
    </xf>
    <xf numFmtId="0" fontId="1" fillId="16" borderId="85" xfId="0" applyFont="1" applyFill="1" applyBorder="1" applyAlignment="1">
      <alignment horizontal="center" vertical="center" wrapText="1"/>
    </xf>
    <xf numFmtId="0" fontId="0" fillId="0" borderId="109" xfId="0" applyBorder="1" applyAlignment="1">
      <alignment horizontal="center"/>
    </xf>
    <xf numFmtId="0" fontId="1" fillId="16" borderId="98" xfId="0" applyFont="1" applyFill="1" applyBorder="1" applyAlignment="1">
      <alignment horizontal="left"/>
    </xf>
    <xf numFmtId="0" fontId="1" fillId="16" borderId="100" xfId="0" applyFont="1" applyFill="1" applyBorder="1" applyAlignment="1">
      <alignment horizontal="left"/>
    </xf>
    <xf numFmtId="0" fontId="1" fillId="16" borderId="101" xfId="0" applyFont="1" applyFill="1" applyBorder="1" applyAlignment="1">
      <alignment horizontal="left"/>
    </xf>
    <xf numFmtId="3" fontId="1" fillId="16" borderId="110" xfId="0" applyNumberFormat="1" applyFont="1" applyFill="1" applyBorder="1" applyAlignment="1">
      <alignment horizontal="center"/>
    </xf>
    <xf numFmtId="3" fontId="1" fillId="16" borderId="100" xfId="0" applyNumberFormat="1" applyFont="1" applyFill="1" applyBorder="1" applyAlignment="1">
      <alignment horizontal="center"/>
    </xf>
    <xf numFmtId="3" fontId="1" fillId="16" borderId="101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99" xfId="0" applyBorder="1" applyAlignment="1">
      <alignment horizontal="center"/>
    </xf>
    <xf numFmtId="49" fontId="11" fillId="16" borderId="39" xfId="0" applyNumberFormat="1" applyFont="1" applyFill="1" applyBorder="1" applyAlignment="1">
      <alignment horizontal="center" vertical="center" wrapText="1"/>
    </xf>
    <xf numFmtId="49" fontId="11" fillId="16" borderId="99" xfId="0" applyNumberFormat="1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16" borderId="104" xfId="0" applyFont="1" applyFill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/>
    </xf>
    <xf numFmtId="3" fontId="3" fillId="0" borderId="95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1" fillId="0" borderId="102" xfId="0" applyNumberFormat="1" applyFont="1" applyBorder="1" applyAlignment="1">
      <alignment horizontal="center"/>
    </xf>
    <xf numFmtId="3" fontId="1" fillId="0" borderId="105" xfId="0" applyNumberFormat="1" applyFont="1" applyBorder="1" applyAlignment="1">
      <alignment horizontal="center"/>
    </xf>
    <xf numFmtId="3" fontId="1" fillId="0" borderId="103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8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86" xfId="0" applyFont="1" applyBorder="1" applyAlignment="1">
      <alignment horizontal="left"/>
    </xf>
    <xf numFmtId="3" fontId="3" fillId="0" borderId="25" xfId="0" applyNumberFormat="1" applyFont="1" applyBorder="1" applyAlignment="1">
      <alignment horizontal="center"/>
    </xf>
    <xf numFmtId="3" fontId="3" fillId="0" borderId="94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91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86" xfId="0" applyNumberFormat="1" applyFont="1" applyBorder="1" applyAlignment="1">
      <alignment horizontal="center"/>
    </xf>
    <xf numFmtId="3" fontId="8" fillId="0" borderId="111" xfId="0" applyNumberFormat="1" applyFont="1" applyBorder="1" applyAlignment="1">
      <alignment horizontal="center" vertical="center"/>
    </xf>
    <xf numFmtId="3" fontId="8" fillId="0" borderId="112" xfId="0" applyNumberFormat="1" applyFont="1" applyBorder="1" applyAlignment="1">
      <alignment horizontal="center" vertical="center"/>
    </xf>
    <xf numFmtId="3" fontId="8" fillId="0" borderId="113" xfId="0" applyNumberFormat="1" applyFont="1" applyBorder="1" applyAlignment="1">
      <alignment horizontal="center" vertical="center"/>
    </xf>
    <xf numFmtId="3" fontId="12" fillId="19" borderId="110" xfId="0" applyNumberFormat="1" applyFont="1" applyFill="1" applyBorder="1" applyAlignment="1">
      <alignment horizontal="center"/>
    </xf>
    <xf numFmtId="3" fontId="12" fillId="19" borderId="100" xfId="0" applyNumberFormat="1" applyFont="1" applyFill="1" applyBorder="1" applyAlignment="1">
      <alignment horizontal="center"/>
    </xf>
    <xf numFmtId="3" fontId="12" fillId="19" borderId="101" xfId="0" applyNumberFormat="1" applyFont="1" applyFill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14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3" fontId="1" fillId="19" borderId="82" xfId="0" applyNumberFormat="1" applyFont="1" applyFill="1" applyBorder="1" applyAlignment="1">
      <alignment horizontal="center" vertical="center" wrapText="1"/>
    </xf>
    <xf numFmtId="0" fontId="2" fillId="19" borderId="82" xfId="0" applyFont="1" applyFill="1" applyBorder="1" applyAlignment="1">
      <alignment horizontal="center" vertical="center" wrapText="1"/>
    </xf>
    <xf numFmtId="3" fontId="1" fillId="19" borderId="115" xfId="0" applyNumberFormat="1" applyFont="1" applyFill="1" applyBorder="1" applyAlignment="1">
      <alignment horizontal="center" vertical="center" wrapText="1"/>
    </xf>
    <xf numFmtId="3" fontId="1" fillId="19" borderId="116" xfId="0" applyNumberFormat="1" applyFont="1" applyFill="1" applyBorder="1" applyAlignment="1">
      <alignment horizontal="center" vertical="center" wrapText="1"/>
    </xf>
    <xf numFmtId="3" fontId="1" fillId="19" borderId="117" xfId="0" applyNumberFormat="1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3" fontId="1" fillId="16" borderId="118" xfId="0" applyNumberFormat="1" applyFont="1" applyFill="1" applyBorder="1" applyAlignment="1">
      <alignment horizontal="center" vertical="center" wrapText="1"/>
    </xf>
    <xf numFmtId="3" fontId="1" fillId="16" borderId="119" xfId="0" applyNumberFormat="1" applyFont="1" applyFill="1" applyBorder="1" applyAlignment="1">
      <alignment horizontal="center" vertical="center" wrapText="1"/>
    </xf>
    <xf numFmtId="3" fontId="1" fillId="16" borderId="120" xfId="0" applyNumberFormat="1" applyFont="1" applyFill="1" applyBorder="1" applyAlignment="1">
      <alignment horizontal="center" vertical="center" wrapText="1"/>
    </xf>
    <xf numFmtId="0" fontId="1" fillId="16" borderId="5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1" xfId="0" applyBorder="1" applyAlignment="1">
      <alignment horizontal="center"/>
    </xf>
    <xf numFmtId="3" fontId="0" fillId="0" borderId="122" xfId="0" applyNumberFormat="1" applyBorder="1" applyAlignment="1">
      <alignment horizontal="center"/>
    </xf>
    <xf numFmtId="3" fontId="0" fillId="0" borderId="123" xfId="0" applyNumberFormat="1" applyBorder="1" applyAlignment="1">
      <alignment horizontal="center"/>
    </xf>
    <xf numFmtId="3" fontId="0" fillId="0" borderId="124" xfId="0" applyNumberFormat="1" applyBorder="1" applyAlignment="1">
      <alignment horizontal="center"/>
    </xf>
    <xf numFmtId="0" fontId="1" fillId="16" borderId="39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107" xfId="0" applyFont="1" applyBorder="1" applyAlignment="1">
      <alignment horizontal="left" vertical="center"/>
    </xf>
    <xf numFmtId="0" fontId="12" fillId="0" borderId="109" xfId="0" applyFont="1" applyBorder="1" applyAlignment="1">
      <alignment horizontal="left" vertical="center"/>
    </xf>
    <xf numFmtId="0" fontId="12" fillId="0" borderId="125" xfId="0" applyFont="1" applyBorder="1" applyAlignment="1">
      <alignment horizontal="left" vertical="center"/>
    </xf>
    <xf numFmtId="0" fontId="12" fillId="0" borderId="108" xfId="0" applyFont="1" applyBorder="1" applyAlignment="1">
      <alignment horizontal="left" vertical="center"/>
    </xf>
    <xf numFmtId="0" fontId="12" fillId="0" borderId="104" xfId="0" applyFont="1" applyBorder="1" applyAlignment="1">
      <alignment horizontal="left" vertical="center"/>
    </xf>
    <xf numFmtId="0" fontId="12" fillId="0" borderId="114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O159"/>
  <sheetViews>
    <sheetView showGridLines="0" zoomScalePageLayoutView="0" workbookViewId="0" topLeftCell="A30">
      <selection activeCell="H40" sqref="H40"/>
    </sheetView>
  </sheetViews>
  <sheetFormatPr defaultColWidth="9.140625" defaultRowHeight="12.75"/>
  <cols>
    <col min="1" max="1" width="1.7109375" style="366" customWidth="1"/>
    <col min="2" max="2" width="8.28125" style="372" customWidth="1"/>
    <col min="3" max="3" width="7.140625" style="366" customWidth="1"/>
    <col min="4" max="4" width="37.140625" style="366" customWidth="1"/>
    <col min="5" max="5" width="14.8515625" style="366" customWidth="1"/>
    <col min="6" max="6" width="14.28125" style="366" customWidth="1"/>
    <col min="7" max="7" width="12.57421875" style="366" customWidth="1"/>
    <col min="8" max="9" width="11.421875" style="48" customWidth="1"/>
    <col min="10" max="10" width="11.421875" style="48" hidden="1" customWidth="1"/>
    <col min="11" max="11" width="11.421875" style="366" customWidth="1"/>
    <col min="12" max="12" width="9.28125" style="366" bestFit="1" customWidth="1"/>
    <col min="13" max="14" width="12.7109375" style="366" bestFit="1" customWidth="1"/>
    <col min="15" max="16384" width="9.140625" style="366" customWidth="1"/>
  </cols>
  <sheetData>
    <row r="1" spans="2:10" ht="12.75">
      <c r="B1" s="519" t="s">
        <v>271</v>
      </c>
      <c r="C1" s="519"/>
      <c r="D1" s="519"/>
      <c r="E1" s="256"/>
      <c r="F1" s="256"/>
      <c r="G1" s="256"/>
      <c r="H1" s="256"/>
      <c r="I1" s="256"/>
      <c r="J1" s="256"/>
    </row>
    <row r="2" spans="2:10" ht="13.5" thickBot="1">
      <c r="B2" s="520" t="s">
        <v>75</v>
      </c>
      <c r="C2" s="520"/>
      <c r="D2" s="520"/>
      <c r="E2" s="256"/>
      <c r="F2" s="256"/>
      <c r="G2" s="256"/>
      <c r="H2" s="256"/>
      <c r="I2" s="256"/>
      <c r="J2" s="256"/>
    </row>
    <row r="3" spans="2:14" ht="16.5" customHeight="1" thickBot="1" thickTop="1">
      <c r="B3" s="521" t="s">
        <v>109</v>
      </c>
      <c r="C3" s="523" t="s">
        <v>59</v>
      </c>
      <c r="D3" s="498" t="s">
        <v>124</v>
      </c>
      <c r="E3" s="498" t="s">
        <v>364</v>
      </c>
      <c r="F3" s="498" t="s">
        <v>365</v>
      </c>
      <c r="G3" s="498" t="s">
        <v>363</v>
      </c>
      <c r="H3" s="498" t="s">
        <v>349</v>
      </c>
      <c r="I3" s="525" t="s">
        <v>386</v>
      </c>
      <c r="J3" s="526"/>
      <c r="K3" s="517" t="s">
        <v>359</v>
      </c>
      <c r="M3" s="388"/>
      <c r="N3" s="388"/>
    </row>
    <row r="4" spans="2:14" ht="22.5" customHeight="1" thickBot="1">
      <c r="B4" s="522"/>
      <c r="C4" s="524"/>
      <c r="D4" s="499"/>
      <c r="E4" s="499"/>
      <c r="F4" s="499"/>
      <c r="G4" s="499"/>
      <c r="H4" s="499"/>
      <c r="I4" s="383" t="s">
        <v>351</v>
      </c>
      <c r="J4" s="384"/>
      <c r="K4" s="518"/>
      <c r="M4" s="388"/>
      <c r="N4" s="388"/>
    </row>
    <row r="5" spans="2:11" s="47" customFormat="1" ht="17.25" thickBot="1" thickTop="1">
      <c r="B5" s="110">
        <v>100</v>
      </c>
      <c r="C5" s="489" t="s">
        <v>76</v>
      </c>
      <c r="D5" s="490"/>
      <c r="E5" s="175">
        <f aca="true" t="shared" si="0" ref="E5:J5">E6+E8+E13</f>
        <v>4854565</v>
      </c>
      <c r="F5" s="175">
        <f t="shared" si="0"/>
        <v>5209041</v>
      </c>
      <c r="G5" s="175">
        <f t="shared" si="0"/>
        <v>4997011</v>
      </c>
      <c r="H5" s="175">
        <f t="shared" si="0"/>
        <v>5169513</v>
      </c>
      <c r="I5" s="175">
        <f t="shared" si="0"/>
        <v>0</v>
      </c>
      <c r="J5" s="175">
        <f t="shared" si="0"/>
        <v>0</v>
      </c>
      <c r="K5" s="215">
        <f>H5+I5+J5</f>
        <v>5169513</v>
      </c>
    </row>
    <row r="6" spans="2:11" s="46" customFormat="1" ht="15.75" thickBot="1">
      <c r="B6" s="105">
        <v>110</v>
      </c>
      <c r="C6" s="503" t="s">
        <v>77</v>
      </c>
      <c r="D6" s="504"/>
      <c r="E6" s="99">
        <f aca="true" t="shared" si="1" ref="E6:J6">E7</f>
        <v>4195159</v>
      </c>
      <c r="F6" s="99">
        <f t="shared" si="1"/>
        <v>4432132</v>
      </c>
      <c r="G6" s="99">
        <f t="shared" si="1"/>
        <v>4175784</v>
      </c>
      <c r="H6" s="99">
        <f t="shared" si="1"/>
        <v>4377843</v>
      </c>
      <c r="I6" s="99">
        <f t="shared" si="1"/>
        <v>0</v>
      </c>
      <c r="J6" s="99">
        <f t="shared" si="1"/>
        <v>0</v>
      </c>
      <c r="K6" s="216">
        <f>H6+I6+J6</f>
        <v>4377843</v>
      </c>
    </row>
    <row r="7" spans="2:14" s="40" customFormat="1" ht="13.5" thickBot="1">
      <c r="B7" s="106"/>
      <c r="C7" s="39"/>
      <c r="D7" s="147" t="s">
        <v>110</v>
      </c>
      <c r="E7" s="147">
        <v>4195159</v>
      </c>
      <c r="F7" s="449">
        <v>4432132</v>
      </c>
      <c r="G7" s="449">
        <v>4175784</v>
      </c>
      <c r="H7" s="329">
        <v>4377843</v>
      </c>
      <c r="I7" s="329"/>
      <c r="J7" s="329"/>
      <c r="K7" s="367">
        <f>H7+I7+J7</f>
        <v>4377843</v>
      </c>
      <c r="L7" s="48"/>
      <c r="M7" s="48"/>
      <c r="N7" s="48"/>
    </row>
    <row r="8" spans="2:11" s="46" customFormat="1" ht="15.75" thickBot="1">
      <c r="B8" s="107">
        <v>120</v>
      </c>
      <c r="C8" s="495" t="s">
        <v>114</v>
      </c>
      <c r="D8" s="491"/>
      <c r="E8" s="59">
        <f aca="true" t="shared" si="2" ref="E8:J8">E9</f>
        <v>360438</v>
      </c>
      <c r="F8" s="59">
        <f t="shared" si="2"/>
        <v>460690</v>
      </c>
      <c r="G8" s="59">
        <f t="shared" si="2"/>
        <v>388905</v>
      </c>
      <c r="H8" s="59">
        <f t="shared" si="2"/>
        <v>392770</v>
      </c>
      <c r="I8" s="59">
        <f t="shared" si="2"/>
        <v>0</v>
      </c>
      <c r="J8" s="59">
        <f t="shared" si="2"/>
        <v>0</v>
      </c>
      <c r="K8" s="217">
        <f aca="true" t="shared" si="3" ref="K8:K72">H8+I8+J8</f>
        <v>392770</v>
      </c>
    </row>
    <row r="9" spans="2:14" s="368" customFormat="1" ht="13.5" thickBot="1">
      <c r="B9" s="500"/>
      <c r="C9" s="39">
        <v>121</v>
      </c>
      <c r="D9" s="148" t="s">
        <v>78</v>
      </c>
      <c r="E9" s="127">
        <f aca="true" t="shared" si="4" ref="E9:J9">SUM(E10:E12)</f>
        <v>360438</v>
      </c>
      <c r="F9" s="127">
        <f t="shared" si="4"/>
        <v>460690</v>
      </c>
      <c r="G9" s="127">
        <f t="shared" si="4"/>
        <v>388905</v>
      </c>
      <c r="H9" s="127">
        <f t="shared" si="4"/>
        <v>392770</v>
      </c>
      <c r="I9" s="127">
        <f t="shared" si="4"/>
        <v>0</v>
      </c>
      <c r="J9" s="127">
        <f t="shared" si="4"/>
        <v>0</v>
      </c>
      <c r="K9" s="218">
        <f t="shared" si="3"/>
        <v>392770</v>
      </c>
      <c r="N9" s="369"/>
    </row>
    <row r="10" spans="2:15" ht="12.75">
      <c r="B10" s="501"/>
      <c r="C10" s="485"/>
      <c r="D10" s="149" t="s">
        <v>111</v>
      </c>
      <c r="E10" s="57">
        <v>67186</v>
      </c>
      <c r="F10" s="158">
        <v>460690</v>
      </c>
      <c r="G10" s="158">
        <v>388905</v>
      </c>
      <c r="H10" s="155">
        <v>86400</v>
      </c>
      <c r="I10" s="155"/>
      <c r="J10" s="155"/>
      <c r="K10" s="265">
        <f t="shared" si="3"/>
        <v>86400</v>
      </c>
      <c r="N10" s="370"/>
      <c r="O10" s="370"/>
    </row>
    <row r="11" spans="2:14" ht="12.75">
      <c r="B11" s="501"/>
      <c r="C11" s="486"/>
      <c r="D11" s="150" t="s">
        <v>112</v>
      </c>
      <c r="E11" s="38">
        <v>264067</v>
      </c>
      <c r="F11" s="163"/>
      <c r="G11" s="163"/>
      <c r="H11" s="177">
        <v>279570</v>
      </c>
      <c r="I11" s="177"/>
      <c r="J11" s="177"/>
      <c r="K11" s="242">
        <f t="shared" si="3"/>
        <v>279570</v>
      </c>
      <c r="N11" s="370"/>
    </row>
    <row r="12" spans="2:14" ht="13.5" thickBot="1">
      <c r="B12" s="502"/>
      <c r="C12" s="487"/>
      <c r="D12" s="151" t="s">
        <v>113</v>
      </c>
      <c r="E12" s="399">
        <v>29185</v>
      </c>
      <c r="F12" s="450"/>
      <c r="G12" s="450"/>
      <c r="H12" s="178">
        <v>26800</v>
      </c>
      <c r="I12" s="178"/>
      <c r="J12" s="178"/>
      <c r="K12" s="273">
        <f t="shared" si="3"/>
        <v>26800</v>
      </c>
      <c r="N12" s="371"/>
    </row>
    <row r="13" spans="2:11" s="46" customFormat="1" ht="15.75" thickBot="1">
      <c r="B13" s="108">
        <v>130</v>
      </c>
      <c r="C13" s="495" t="s">
        <v>115</v>
      </c>
      <c r="D13" s="491"/>
      <c r="E13" s="59">
        <f aca="true" t="shared" si="5" ref="E13:J13">E14</f>
        <v>298968</v>
      </c>
      <c r="F13" s="59">
        <f t="shared" si="5"/>
        <v>316219</v>
      </c>
      <c r="G13" s="59">
        <f t="shared" si="5"/>
        <v>432322</v>
      </c>
      <c r="H13" s="59">
        <f t="shared" si="5"/>
        <v>398900</v>
      </c>
      <c r="I13" s="59">
        <f t="shared" si="5"/>
        <v>0</v>
      </c>
      <c r="J13" s="59">
        <f t="shared" si="5"/>
        <v>0</v>
      </c>
      <c r="K13" s="217">
        <f t="shared" si="3"/>
        <v>398900</v>
      </c>
    </row>
    <row r="14" spans="2:11" s="368" customFormat="1" ht="13.5" thickBot="1">
      <c r="B14" s="505"/>
      <c r="C14" s="49">
        <v>133</v>
      </c>
      <c r="D14" s="152" t="s">
        <v>79</v>
      </c>
      <c r="E14" s="51">
        <f aca="true" t="shared" si="6" ref="E14:J14">SUM(E15:E21)</f>
        <v>298968</v>
      </c>
      <c r="F14" s="51">
        <f t="shared" si="6"/>
        <v>316219</v>
      </c>
      <c r="G14" s="51">
        <f t="shared" si="6"/>
        <v>432322</v>
      </c>
      <c r="H14" s="51">
        <f t="shared" si="6"/>
        <v>398900</v>
      </c>
      <c r="I14" s="51">
        <f t="shared" si="6"/>
        <v>0</v>
      </c>
      <c r="J14" s="51">
        <f t="shared" si="6"/>
        <v>0</v>
      </c>
      <c r="K14" s="219">
        <f t="shared" si="3"/>
        <v>398900</v>
      </c>
    </row>
    <row r="15" spans="2:11" ht="12.75">
      <c r="B15" s="508"/>
      <c r="C15" s="496"/>
      <c r="D15" s="52" t="s">
        <v>80</v>
      </c>
      <c r="E15" s="188">
        <v>7713</v>
      </c>
      <c r="F15" s="155">
        <v>7990</v>
      </c>
      <c r="G15" s="155">
        <v>9276</v>
      </c>
      <c r="H15" s="155">
        <v>8200</v>
      </c>
      <c r="I15" s="155"/>
      <c r="J15" s="155"/>
      <c r="K15" s="265">
        <f t="shared" si="3"/>
        <v>8200</v>
      </c>
    </row>
    <row r="16" spans="2:11" ht="12.75">
      <c r="B16" s="508"/>
      <c r="C16" s="497"/>
      <c r="D16" s="53" t="s">
        <v>81</v>
      </c>
      <c r="E16" s="43">
        <v>732</v>
      </c>
      <c r="F16" s="177">
        <v>732</v>
      </c>
      <c r="G16" s="177">
        <v>749</v>
      </c>
      <c r="H16" s="177">
        <v>600</v>
      </c>
      <c r="I16" s="177"/>
      <c r="J16" s="177"/>
      <c r="K16" s="242">
        <f t="shared" si="3"/>
        <v>600</v>
      </c>
    </row>
    <row r="17" spans="2:11" ht="12.75">
      <c r="B17" s="508"/>
      <c r="C17" s="497"/>
      <c r="D17" s="53" t="s">
        <v>82</v>
      </c>
      <c r="E17" s="43">
        <v>750</v>
      </c>
      <c r="F17" s="177">
        <v>750</v>
      </c>
      <c r="G17" s="177">
        <v>725</v>
      </c>
      <c r="H17" s="177">
        <v>700</v>
      </c>
      <c r="I17" s="177"/>
      <c r="J17" s="177"/>
      <c r="K17" s="242">
        <f t="shared" si="3"/>
        <v>700</v>
      </c>
    </row>
    <row r="18" spans="2:11" ht="12.75">
      <c r="B18" s="508"/>
      <c r="C18" s="497"/>
      <c r="D18" s="53" t="s">
        <v>83</v>
      </c>
      <c r="E18" s="43">
        <v>12101</v>
      </c>
      <c r="F18" s="177">
        <v>14430</v>
      </c>
      <c r="G18" s="177">
        <v>12793</v>
      </c>
      <c r="H18" s="177">
        <v>11500</v>
      </c>
      <c r="I18" s="177"/>
      <c r="J18" s="177"/>
      <c r="K18" s="242">
        <f t="shared" si="3"/>
        <v>11500</v>
      </c>
    </row>
    <row r="19" spans="2:11" ht="12.75">
      <c r="B19" s="508"/>
      <c r="C19" s="497"/>
      <c r="D19" s="53" t="s">
        <v>217</v>
      </c>
      <c r="E19" s="43">
        <v>29878</v>
      </c>
      <c r="F19" s="177">
        <v>31474</v>
      </c>
      <c r="G19" s="177">
        <v>37978</v>
      </c>
      <c r="H19" s="177">
        <v>31000</v>
      </c>
      <c r="I19" s="177"/>
      <c r="J19" s="177"/>
      <c r="K19" s="242">
        <f t="shared" si="3"/>
        <v>31000</v>
      </c>
    </row>
    <row r="20" spans="2:14" ht="12.75">
      <c r="B20" s="508"/>
      <c r="C20" s="497"/>
      <c r="D20" s="53" t="s">
        <v>84</v>
      </c>
      <c r="E20" s="43">
        <v>161773</v>
      </c>
      <c r="F20" s="177">
        <v>174176</v>
      </c>
      <c r="G20" s="177">
        <f>265321+3376</f>
        <v>268697</v>
      </c>
      <c r="H20" s="177">
        <v>239000</v>
      </c>
      <c r="I20" s="177"/>
      <c r="J20" s="177"/>
      <c r="K20" s="242">
        <f t="shared" si="3"/>
        <v>239000</v>
      </c>
      <c r="N20" s="371"/>
    </row>
    <row r="21" spans="2:11" ht="13.5" thickBot="1">
      <c r="B21" s="509"/>
      <c r="C21" s="494"/>
      <c r="D21" s="54" t="s">
        <v>85</v>
      </c>
      <c r="E21" s="45">
        <v>86021</v>
      </c>
      <c r="F21" s="156">
        <v>86667</v>
      </c>
      <c r="G21" s="156">
        <v>102104</v>
      </c>
      <c r="H21" s="156">
        <v>107900</v>
      </c>
      <c r="I21" s="156"/>
      <c r="J21" s="156"/>
      <c r="K21" s="271">
        <f t="shared" si="3"/>
        <v>107900</v>
      </c>
    </row>
    <row r="22" spans="2:13" s="47" customFormat="1" ht="16.5" thickBot="1">
      <c r="B22" s="104">
        <v>200</v>
      </c>
      <c r="C22" s="488" t="s">
        <v>116</v>
      </c>
      <c r="D22" s="480"/>
      <c r="E22" s="100">
        <f aca="true" t="shared" si="7" ref="E22:J22">E23+E34+E52+E54</f>
        <v>1492638</v>
      </c>
      <c r="F22" s="100">
        <f t="shared" si="7"/>
        <v>1090799</v>
      </c>
      <c r="G22" s="100">
        <f t="shared" si="7"/>
        <v>1258962</v>
      </c>
      <c r="H22" s="100">
        <f t="shared" si="7"/>
        <v>845712</v>
      </c>
      <c r="I22" s="100">
        <f t="shared" si="7"/>
        <v>0</v>
      </c>
      <c r="J22" s="100">
        <f t="shared" si="7"/>
        <v>0</v>
      </c>
      <c r="K22" s="363">
        <f t="shared" si="3"/>
        <v>845712</v>
      </c>
      <c r="M22" s="452"/>
    </row>
    <row r="23" spans="2:11" s="36" customFormat="1" ht="15.75" thickBot="1">
      <c r="B23" s="109">
        <v>210</v>
      </c>
      <c r="C23" s="503" t="s">
        <v>117</v>
      </c>
      <c r="D23" s="510"/>
      <c r="E23" s="101">
        <f aca="true" t="shared" si="8" ref="E23:J23">E24+E28</f>
        <v>741364</v>
      </c>
      <c r="F23" s="101">
        <f t="shared" si="8"/>
        <v>560834</v>
      </c>
      <c r="G23" s="101">
        <f t="shared" si="8"/>
        <v>650004</v>
      </c>
      <c r="H23" s="101">
        <f t="shared" si="8"/>
        <v>435774</v>
      </c>
      <c r="I23" s="101">
        <f t="shared" si="8"/>
        <v>0</v>
      </c>
      <c r="J23" s="101">
        <f t="shared" si="8"/>
        <v>0</v>
      </c>
      <c r="K23" s="364">
        <f t="shared" si="3"/>
        <v>435774</v>
      </c>
    </row>
    <row r="24" spans="2:11" s="40" customFormat="1" ht="13.5" thickBot="1">
      <c r="B24" s="505" t="s">
        <v>86</v>
      </c>
      <c r="C24" s="39">
        <v>211</v>
      </c>
      <c r="D24" s="37" t="s">
        <v>117</v>
      </c>
      <c r="E24" s="51">
        <f aca="true" t="shared" si="9" ref="E24:J24">SUM(E25:E27)</f>
        <v>29084</v>
      </c>
      <c r="F24" s="51">
        <f t="shared" si="9"/>
        <v>47000</v>
      </c>
      <c r="G24" s="51">
        <f t="shared" si="9"/>
        <v>58181</v>
      </c>
      <c r="H24" s="51">
        <f t="shared" si="9"/>
        <v>29084</v>
      </c>
      <c r="I24" s="51">
        <f t="shared" si="9"/>
        <v>0</v>
      </c>
      <c r="J24" s="51">
        <f t="shared" si="9"/>
        <v>0</v>
      </c>
      <c r="K24" s="219">
        <f t="shared" si="3"/>
        <v>29084</v>
      </c>
    </row>
    <row r="25" spans="2:11" ht="12.75" customHeight="1" hidden="1">
      <c r="B25" s="508"/>
      <c r="C25" s="485"/>
      <c r="D25" s="41" t="s">
        <v>87</v>
      </c>
      <c r="E25" s="188"/>
      <c r="F25" s="155"/>
      <c r="G25" s="155"/>
      <c r="H25" s="155"/>
      <c r="I25" s="155"/>
      <c r="J25" s="155"/>
      <c r="K25" s="265">
        <f t="shared" si="3"/>
        <v>0</v>
      </c>
    </row>
    <row r="26" spans="2:11" ht="12.75" hidden="1">
      <c r="B26" s="508"/>
      <c r="C26" s="486"/>
      <c r="D26" s="43" t="s">
        <v>226</v>
      </c>
      <c r="E26" s="43"/>
      <c r="F26" s="177"/>
      <c r="G26" s="177"/>
      <c r="H26" s="177"/>
      <c r="I26" s="177"/>
      <c r="J26" s="177"/>
      <c r="K26" s="242">
        <f t="shared" si="3"/>
        <v>0</v>
      </c>
    </row>
    <row r="27" spans="2:11" ht="13.5" thickBot="1">
      <c r="B27" s="508"/>
      <c r="C27" s="487"/>
      <c r="D27" s="45" t="s">
        <v>88</v>
      </c>
      <c r="E27" s="134">
        <v>29084</v>
      </c>
      <c r="F27" s="178">
        <v>47000</v>
      </c>
      <c r="G27" s="178">
        <v>58181</v>
      </c>
      <c r="H27" s="178">
        <v>29084</v>
      </c>
      <c r="I27" s="178"/>
      <c r="J27" s="178"/>
      <c r="K27" s="273">
        <f t="shared" si="3"/>
        <v>29084</v>
      </c>
    </row>
    <row r="28" spans="2:11" ht="13.5" thickBot="1">
      <c r="B28" s="508"/>
      <c r="C28" s="1">
        <v>212</v>
      </c>
      <c r="D28" s="35" t="s">
        <v>89</v>
      </c>
      <c r="E28" s="2">
        <f aca="true" t="shared" si="10" ref="E28:J28">SUM(E29:E33)</f>
        <v>712280</v>
      </c>
      <c r="F28" s="2">
        <f t="shared" si="10"/>
        <v>513834</v>
      </c>
      <c r="G28" s="2">
        <f t="shared" si="10"/>
        <v>591823</v>
      </c>
      <c r="H28" s="2">
        <f t="shared" si="10"/>
        <v>406690</v>
      </c>
      <c r="I28" s="2">
        <f t="shared" si="10"/>
        <v>0</v>
      </c>
      <c r="J28" s="2">
        <f t="shared" si="10"/>
        <v>0</v>
      </c>
      <c r="K28" s="220">
        <f t="shared" si="3"/>
        <v>406690</v>
      </c>
    </row>
    <row r="29" spans="2:11" ht="12.75">
      <c r="B29" s="508"/>
      <c r="C29" s="496"/>
      <c r="D29" s="41" t="s">
        <v>90</v>
      </c>
      <c r="E29" s="188">
        <v>510884</v>
      </c>
      <c r="F29" s="155">
        <v>324320</v>
      </c>
      <c r="G29" s="188">
        <v>401050</v>
      </c>
      <c r="H29" s="155">
        <v>127000</v>
      </c>
      <c r="I29" s="155"/>
      <c r="J29" s="155"/>
      <c r="K29" s="265">
        <f t="shared" si="3"/>
        <v>127000</v>
      </c>
    </row>
    <row r="30" spans="2:11" ht="12.75">
      <c r="B30" s="508"/>
      <c r="C30" s="497"/>
      <c r="D30" s="43" t="s">
        <v>91</v>
      </c>
      <c r="E30" s="43">
        <v>6012</v>
      </c>
      <c r="F30" s="177">
        <v>5150</v>
      </c>
      <c r="G30" s="43">
        <v>5043</v>
      </c>
      <c r="H30" s="177">
        <v>4300</v>
      </c>
      <c r="I30" s="177"/>
      <c r="J30" s="177"/>
      <c r="K30" s="242">
        <f t="shared" si="3"/>
        <v>4300</v>
      </c>
    </row>
    <row r="31" spans="2:11" ht="12.75">
      <c r="B31" s="508"/>
      <c r="C31" s="497"/>
      <c r="D31" s="134" t="s">
        <v>334</v>
      </c>
      <c r="E31" s="134"/>
      <c r="F31" s="178"/>
      <c r="G31" s="134">
        <v>0</v>
      </c>
      <c r="H31" s="178">
        <v>32030</v>
      </c>
      <c r="I31" s="178"/>
      <c r="J31" s="178"/>
      <c r="K31" s="273">
        <f t="shared" si="3"/>
        <v>32030</v>
      </c>
    </row>
    <row r="32" spans="2:13" ht="12.75">
      <c r="B32" s="508"/>
      <c r="C32" s="497"/>
      <c r="D32" s="134" t="s">
        <v>219</v>
      </c>
      <c r="E32" s="134">
        <v>100909</v>
      </c>
      <c r="F32" s="178">
        <v>83511</v>
      </c>
      <c r="G32" s="134">
        <f>77287+178+128</f>
        <v>77593</v>
      </c>
      <c r="H32" s="178">
        <v>149680</v>
      </c>
      <c r="I32" s="178"/>
      <c r="J32" s="178"/>
      <c r="K32" s="273">
        <f t="shared" si="3"/>
        <v>149680</v>
      </c>
      <c r="M32" s="371"/>
    </row>
    <row r="33" spans="2:11" ht="13.5" thickBot="1">
      <c r="B33" s="509"/>
      <c r="C33" s="494"/>
      <c r="D33" s="45" t="s">
        <v>92</v>
      </c>
      <c r="E33" s="134">
        <v>94475</v>
      </c>
      <c r="F33" s="178">
        <v>100853</v>
      </c>
      <c r="G33" s="134">
        <v>108137</v>
      </c>
      <c r="H33" s="178">
        <v>93680</v>
      </c>
      <c r="I33" s="178"/>
      <c r="J33" s="178"/>
      <c r="K33" s="273">
        <f t="shared" si="3"/>
        <v>93680</v>
      </c>
    </row>
    <row r="34" spans="2:11" s="36" customFormat="1" ht="15.75" thickBot="1">
      <c r="B34" s="108">
        <v>220</v>
      </c>
      <c r="C34" s="503" t="s">
        <v>93</v>
      </c>
      <c r="D34" s="510"/>
      <c r="E34" s="33">
        <f aca="true" t="shared" si="11" ref="E34:J34">E35+E39+E50</f>
        <v>581281</v>
      </c>
      <c r="F34" s="33">
        <f t="shared" si="11"/>
        <v>471458</v>
      </c>
      <c r="G34" s="33">
        <f t="shared" si="11"/>
        <v>514547</v>
      </c>
      <c r="H34" s="33">
        <f t="shared" si="11"/>
        <v>380738</v>
      </c>
      <c r="I34" s="33">
        <f t="shared" si="11"/>
        <v>0</v>
      </c>
      <c r="J34" s="33">
        <f t="shared" si="11"/>
        <v>0</v>
      </c>
      <c r="K34" s="221">
        <f t="shared" si="3"/>
        <v>380738</v>
      </c>
    </row>
    <row r="35" spans="2:11" s="40" customFormat="1" ht="13.5" customHeight="1" thickBot="1">
      <c r="B35" s="505"/>
      <c r="C35" s="1">
        <v>221</v>
      </c>
      <c r="D35" s="35" t="s">
        <v>118</v>
      </c>
      <c r="E35" s="2">
        <f aca="true" t="shared" si="12" ref="E35:J35">SUM(E36:E38)</f>
        <v>93914</v>
      </c>
      <c r="F35" s="2">
        <f t="shared" si="12"/>
        <v>69092</v>
      </c>
      <c r="G35" s="2">
        <f t="shared" si="12"/>
        <v>77127</v>
      </c>
      <c r="H35" s="2">
        <f t="shared" si="12"/>
        <v>53441</v>
      </c>
      <c r="I35" s="2">
        <f t="shared" si="12"/>
        <v>0</v>
      </c>
      <c r="J35" s="2">
        <f t="shared" si="12"/>
        <v>0</v>
      </c>
      <c r="K35" s="220">
        <f t="shared" si="3"/>
        <v>53441</v>
      </c>
    </row>
    <row r="36" spans="2:11" ht="12.75" customHeight="1">
      <c r="B36" s="506"/>
      <c r="C36" s="496"/>
      <c r="D36" s="52" t="s">
        <v>94</v>
      </c>
      <c r="E36" s="188">
        <v>69567</v>
      </c>
      <c r="F36" s="155">
        <v>48641</v>
      </c>
      <c r="G36" s="188">
        <v>58713</v>
      </c>
      <c r="H36" s="155">
        <v>48641</v>
      </c>
      <c r="I36" s="155"/>
      <c r="J36" s="155"/>
      <c r="K36" s="265">
        <f t="shared" si="3"/>
        <v>48641</v>
      </c>
    </row>
    <row r="37" spans="2:11" ht="12.75" customHeight="1">
      <c r="B37" s="506"/>
      <c r="C37" s="497"/>
      <c r="D37" s="188" t="s">
        <v>333</v>
      </c>
      <c r="E37" s="146"/>
      <c r="F37" s="157"/>
      <c r="G37" s="146"/>
      <c r="H37" s="157">
        <v>1500</v>
      </c>
      <c r="I37" s="157"/>
      <c r="J37" s="157"/>
      <c r="K37" s="269">
        <f t="shared" si="3"/>
        <v>1500</v>
      </c>
    </row>
    <row r="38" spans="2:11" ht="13.5" customHeight="1" thickBot="1">
      <c r="B38" s="506"/>
      <c r="C38" s="494"/>
      <c r="D38" s="45" t="s">
        <v>348</v>
      </c>
      <c r="E38" s="134">
        <v>24347</v>
      </c>
      <c r="F38" s="178">
        <v>20451</v>
      </c>
      <c r="G38" s="134">
        <v>18414</v>
      </c>
      <c r="H38" s="178">
        <v>3300</v>
      </c>
      <c r="I38" s="178"/>
      <c r="J38" s="178"/>
      <c r="K38" s="273">
        <f t="shared" si="3"/>
        <v>3300</v>
      </c>
    </row>
    <row r="39" spans="2:11" ht="13.5" customHeight="1" thickBot="1">
      <c r="B39" s="506"/>
      <c r="C39" s="1">
        <v>223</v>
      </c>
      <c r="D39" s="1" t="s">
        <v>95</v>
      </c>
      <c r="E39" s="2">
        <f aca="true" t="shared" si="13" ref="E39:J39">SUM(E40:E49)</f>
        <v>484992</v>
      </c>
      <c r="F39" s="2">
        <f t="shared" si="13"/>
        <v>400298</v>
      </c>
      <c r="G39" s="2">
        <f t="shared" si="13"/>
        <v>434944</v>
      </c>
      <c r="H39" s="2">
        <f t="shared" si="13"/>
        <v>325497</v>
      </c>
      <c r="I39" s="2">
        <f t="shared" si="13"/>
        <v>0</v>
      </c>
      <c r="J39" s="2">
        <f t="shared" si="13"/>
        <v>0</v>
      </c>
      <c r="K39" s="220">
        <f t="shared" si="3"/>
        <v>325497</v>
      </c>
    </row>
    <row r="40" spans="2:11" ht="12.75" customHeight="1">
      <c r="B40" s="506"/>
      <c r="C40" s="496"/>
      <c r="D40" s="41" t="s">
        <v>96</v>
      </c>
      <c r="E40" s="188">
        <v>19602</v>
      </c>
      <c r="F40" s="155">
        <v>19573</v>
      </c>
      <c r="G40" s="188">
        <v>20641</v>
      </c>
      <c r="H40" s="155">
        <v>15000</v>
      </c>
      <c r="I40" s="155"/>
      <c r="J40" s="155"/>
      <c r="K40" s="265">
        <f t="shared" si="3"/>
        <v>15000</v>
      </c>
    </row>
    <row r="41" spans="2:11" ht="12.75" customHeight="1">
      <c r="B41" s="506"/>
      <c r="C41" s="497"/>
      <c r="D41" s="188" t="s">
        <v>291</v>
      </c>
      <c r="E41" s="188">
        <v>20170</v>
      </c>
      <c r="F41" s="155">
        <v>3900</v>
      </c>
      <c r="G41" s="188">
        <v>5000</v>
      </c>
      <c r="H41" s="155"/>
      <c r="I41" s="155"/>
      <c r="J41" s="155"/>
      <c r="K41" s="265">
        <f t="shared" si="3"/>
        <v>0</v>
      </c>
    </row>
    <row r="42" spans="2:11" ht="12.75" customHeight="1">
      <c r="B42" s="506"/>
      <c r="C42" s="497"/>
      <c r="D42" s="188" t="s">
        <v>376</v>
      </c>
      <c r="E42" s="188">
        <v>1309</v>
      </c>
      <c r="F42" s="155"/>
      <c r="G42" s="188"/>
      <c r="H42" s="155"/>
      <c r="I42" s="155"/>
      <c r="J42" s="155"/>
      <c r="K42" s="265"/>
    </row>
    <row r="43" spans="2:11" ht="12.75" customHeight="1">
      <c r="B43" s="506"/>
      <c r="C43" s="497"/>
      <c r="D43" s="43" t="s">
        <v>97</v>
      </c>
      <c r="E43" s="43">
        <v>23291</v>
      </c>
      <c r="F43" s="177">
        <v>27058</v>
      </c>
      <c r="G43" s="43">
        <f>18432+1749</f>
        <v>20181</v>
      </c>
      <c r="H43" s="177">
        <v>19000</v>
      </c>
      <c r="I43" s="177"/>
      <c r="J43" s="177"/>
      <c r="K43" s="242">
        <f t="shared" si="3"/>
        <v>19000</v>
      </c>
    </row>
    <row r="44" spans="2:11" ht="12.75" customHeight="1">
      <c r="B44" s="506"/>
      <c r="C44" s="497"/>
      <c r="D44" s="43" t="s">
        <v>98</v>
      </c>
      <c r="E44" s="43">
        <v>24506</v>
      </c>
      <c r="F44" s="177">
        <v>29035</v>
      </c>
      <c r="G44" s="43">
        <v>28418</v>
      </c>
      <c r="H44" s="177">
        <v>20000</v>
      </c>
      <c r="I44" s="177"/>
      <c r="J44" s="177"/>
      <c r="K44" s="242">
        <f t="shared" si="3"/>
        <v>20000</v>
      </c>
    </row>
    <row r="45" spans="2:11" ht="12.75" customHeight="1">
      <c r="B45" s="506"/>
      <c r="C45" s="497"/>
      <c r="D45" s="43" t="s">
        <v>99</v>
      </c>
      <c r="E45" s="43">
        <v>19621</v>
      </c>
      <c r="F45" s="177">
        <v>15462</v>
      </c>
      <c r="G45" s="43">
        <v>15205</v>
      </c>
      <c r="H45" s="177">
        <v>16930</v>
      </c>
      <c r="I45" s="177"/>
      <c r="J45" s="177"/>
      <c r="K45" s="242">
        <f t="shared" si="3"/>
        <v>16930</v>
      </c>
    </row>
    <row r="46" spans="2:11" ht="12.75" customHeight="1">
      <c r="B46" s="506"/>
      <c r="C46" s="497"/>
      <c r="D46" s="134" t="s">
        <v>241</v>
      </c>
      <c r="E46" s="134">
        <v>136368</v>
      </c>
      <c r="F46" s="178">
        <v>127040</v>
      </c>
      <c r="G46" s="134">
        <f>149434+40</f>
        <v>149474</v>
      </c>
      <c r="H46" s="178">
        <v>98000</v>
      </c>
      <c r="I46" s="178"/>
      <c r="J46" s="178"/>
      <c r="K46" s="273">
        <f t="shared" si="3"/>
        <v>98000</v>
      </c>
    </row>
    <row r="47" spans="2:11" ht="12.75" customHeight="1">
      <c r="B47" s="506"/>
      <c r="C47" s="497"/>
      <c r="D47" s="134" t="s">
        <v>242</v>
      </c>
      <c r="E47" s="134">
        <v>60412</v>
      </c>
      <c r="F47" s="178">
        <v>44729</v>
      </c>
      <c r="G47" s="134">
        <v>51770</v>
      </c>
      <c r="H47" s="178">
        <v>84000</v>
      </c>
      <c r="I47" s="178"/>
      <c r="J47" s="178"/>
      <c r="K47" s="273">
        <f t="shared" si="3"/>
        <v>84000</v>
      </c>
    </row>
    <row r="48" spans="2:11" ht="12.75" customHeight="1">
      <c r="B48" s="506"/>
      <c r="C48" s="497"/>
      <c r="D48" s="134" t="s">
        <v>379</v>
      </c>
      <c r="E48" s="134"/>
      <c r="F48" s="178"/>
      <c r="G48" s="134">
        <f>3286+114</f>
        <v>3400</v>
      </c>
      <c r="H48" s="178"/>
      <c r="I48" s="178"/>
      <c r="J48" s="178"/>
      <c r="K48" s="273"/>
    </row>
    <row r="49" spans="2:11" ht="13.5" customHeight="1" thickBot="1">
      <c r="B49" s="506"/>
      <c r="C49" s="497"/>
      <c r="D49" s="134" t="s">
        <v>100</v>
      </c>
      <c r="E49" s="134">
        <v>179713</v>
      </c>
      <c r="F49" s="178">
        <v>133501</v>
      </c>
      <c r="G49" s="134">
        <f>60+137299+3496</f>
        <v>140855</v>
      </c>
      <c r="H49" s="178">
        <v>72567</v>
      </c>
      <c r="I49" s="178"/>
      <c r="J49" s="178"/>
      <c r="K49" s="273">
        <f t="shared" si="3"/>
        <v>72567</v>
      </c>
    </row>
    <row r="50" spans="2:11" ht="13.5" customHeight="1" thickBot="1">
      <c r="B50" s="506"/>
      <c r="C50" s="1">
        <v>229</v>
      </c>
      <c r="D50" s="1" t="s">
        <v>101</v>
      </c>
      <c r="E50" s="2">
        <f>E51</f>
        <v>2375</v>
      </c>
      <c r="F50" s="2">
        <f>F51</f>
        <v>2068</v>
      </c>
      <c r="G50" s="2">
        <f>G51</f>
        <v>2476</v>
      </c>
      <c r="H50" s="2">
        <f>H51</f>
        <v>1800</v>
      </c>
      <c r="I50" s="2"/>
      <c r="J50" s="2">
        <f>J51</f>
        <v>0</v>
      </c>
      <c r="K50" s="220">
        <f t="shared" si="3"/>
        <v>1800</v>
      </c>
    </row>
    <row r="51" spans="2:11" ht="13.5" customHeight="1" thickBot="1">
      <c r="B51" s="507"/>
      <c r="C51" s="324"/>
      <c r="D51" s="324" t="s">
        <v>102</v>
      </c>
      <c r="E51" s="400">
        <v>2375</v>
      </c>
      <c r="F51" s="268">
        <v>2068</v>
      </c>
      <c r="G51" s="400">
        <v>2476</v>
      </c>
      <c r="H51" s="268">
        <v>1800</v>
      </c>
      <c r="I51" s="268"/>
      <c r="J51" s="268"/>
      <c r="K51" s="270">
        <f t="shared" si="3"/>
        <v>1800</v>
      </c>
    </row>
    <row r="52" spans="2:11" s="36" customFormat="1" ht="16.5" customHeight="1" thickBot="1">
      <c r="B52" s="107">
        <v>240</v>
      </c>
      <c r="C52" s="492" t="s">
        <v>103</v>
      </c>
      <c r="D52" s="493"/>
      <c r="E52" s="64">
        <f aca="true" t="shared" si="14" ref="E52:J52">SUM(E53:E53)</f>
        <v>3943</v>
      </c>
      <c r="F52" s="64">
        <f t="shared" si="14"/>
        <v>3352</v>
      </c>
      <c r="G52" s="64">
        <f t="shared" si="14"/>
        <v>1988</v>
      </c>
      <c r="H52" s="64">
        <f t="shared" si="14"/>
        <v>1000</v>
      </c>
      <c r="I52" s="64">
        <f t="shared" si="14"/>
        <v>0</v>
      </c>
      <c r="J52" s="64">
        <f t="shared" si="14"/>
        <v>0</v>
      </c>
      <c r="K52" s="235">
        <f t="shared" si="3"/>
        <v>1000</v>
      </c>
    </row>
    <row r="53" spans="2:11" ht="13.5" customHeight="1" thickBot="1">
      <c r="B53" s="132"/>
      <c r="C53" s="133"/>
      <c r="D53" s="125" t="s">
        <v>104</v>
      </c>
      <c r="E53" s="401">
        <v>3943</v>
      </c>
      <c r="F53" s="331">
        <v>3352</v>
      </c>
      <c r="G53" s="401">
        <v>1988</v>
      </c>
      <c r="H53" s="331">
        <v>1000</v>
      </c>
      <c r="I53" s="331"/>
      <c r="J53" s="331"/>
      <c r="K53" s="325">
        <f t="shared" si="3"/>
        <v>1000</v>
      </c>
    </row>
    <row r="54" spans="2:11" s="46" customFormat="1" ht="15.75" thickBot="1">
      <c r="B54" s="107">
        <v>290</v>
      </c>
      <c r="C54" s="495" t="s">
        <v>105</v>
      </c>
      <c r="D54" s="491"/>
      <c r="E54" s="102">
        <f aca="true" t="shared" si="15" ref="E54:J54">E55</f>
        <v>166050</v>
      </c>
      <c r="F54" s="102">
        <f t="shared" si="15"/>
        <v>55155</v>
      </c>
      <c r="G54" s="102">
        <f t="shared" si="15"/>
        <v>92423</v>
      </c>
      <c r="H54" s="102">
        <f t="shared" si="15"/>
        <v>28200</v>
      </c>
      <c r="I54" s="102">
        <f t="shared" si="15"/>
        <v>0</v>
      </c>
      <c r="J54" s="102">
        <f t="shared" si="15"/>
        <v>0</v>
      </c>
      <c r="K54" s="365">
        <f t="shared" si="3"/>
        <v>28200</v>
      </c>
    </row>
    <row r="55" spans="2:11" ht="13.5" thickBot="1">
      <c r="B55" s="505"/>
      <c r="C55" s="35">
        <v>292</v>
      </c>
      <c r="D55" s="35" t="s">
        <v>105</v>
      </c>
      <c r="E55" s="2">
        <f aca="true" t="shared" si="16" ref="E55:J55">SUM(E56:E60)</f>
        <v>166050</v>
      </c>
      <c r="F55" s="2">
        <f t="shared" si="16"/>
        <v>55155</v>
      </c>
      <c r="G55" s="2">
        <f t="shared" si="16"/>
        <v>92423</v>
      </c>
      <c r="H55" s="2">
        <f t="shared" si="16"/>
        <v>28200</v>
      </c>
      <c r="I55" s="2">
        <f t="shared" si="16"/>
        <v>0</v>
      </c>
      <c r="J55" s="2">
        <f t="shared" si="16"/>
        <v>0</v>
      </c>
      <c r="K55" s="220">
        <f t="shared" si="3"/>
        <v>28200</v>
      </c>
    </row>
    <row r="56" spans="2:11" ht="12.75">
      <c r="B56" s="508"/>
      <c r="C56" s="485"/>
      <c r="D56" s="55" t="s">
        <v>232</v>
      </c>
      <c r="E56" s="57">
        <v>19700</v>
      </c>
      <c r="F56" s="158">
        <v>19300</v>
      </c>
      <c r="G56" s="57">
        <v>29700</v>
      </c>
      <c r="H56" s="155">
        <v>19000</v>
      </c>
      <c r="I56" s="155"/>
      <c r="J56" s="155"/>
      <c r="K56" s="265">
        <f t="shared" si="3"/>
        <v>19000</v>
      </c>
    </row>
    <row r="57" spans="2:11" ht="12.75">
      <c r="B57" s="508"/>
      <c r="C57" s="486"/>
      <c r="D57" s="57" t="s">
        <v>329</v>
      </c>
      <c r="E57" s="57">
        <v>37534</v>
      </c>
      <c r="F57" s="158">
        <v>14000</v>
      </c>
      <c r="G57" s="57">
        <v>2888</v>
      </c>
      <c r="H57" s="155"/>
      <c r="I57" s="155"/>
      <c r="J57" s="155"/>
      <c r="K57" s="265">
        <f t="shared" si="3"/>
        <v>0</v>
      </c>
    </row>
    <row r="58" spans="2:11" ht="12.75">
      <c r="B58" s="508"/>
      <c r="C58" s="486"/>
      <c r="D58" s="57" t="s">
        <v>105</v>
      </c>
      <c r="E58" s="57">
        <v>106407</v>
      </c>
      <c r="F58" s="158">
        <v>19147</v>
      </c>
      <c r="G58" s="57">
        <f>16091+34106+2444+185+641+2733+114-32+43+286+668</f>
        <v>57279</v>
      </c>
      <c r="H58" s="155">
        <v>7000</v>
      </c>
      <c r="I58" s="155"/>
      <c r="J58" s="155"/>
      <c r="K58" s="265">
        <f t="shared" si="3"/>
        <v>7000</v>
      </c>
    </row>
    <row r="59" spans="2:11" ht="13.5" thickBot="1">
      <c r="B59" s="508"/>
      <c r="C59" s="486"/>
      <c r="D59" s="38" t="s">
        <v>106</v>
      </c>
      <c r="E59" s="38">
        <v>2409</v>
      </c>
      <c r="F59" s="163">
        <v>2708</v>
      </c>
      <c r="G59" s="38">
        <v>2556</v>
      </c>
      <c r="H59" s="163">
        <v>2200</v>
      </c>
      <c r="I59" s="163"/>
      <c r="J59" s="163"/>
      <c r="K59" s="222">
        <f t="shared" si="3"/>
        <v>2200</v>
      </c>
    </row>
    <row r="60" spans="2:11" ht="13.5" hidden="1" thickBot="1">
      <c r="B60" s="481"/>
      <c r="C60" s="516"/>
      <c r="D60" s="283" t="s">
        <v>216</v>
      </c>
      <c r="E60" s="283"/>
      <c r="F60" s="283"/>
      <c r="G60" s="283"/>
      <c r="H60" s="332"/>
      <c r="I60" s="332"/>
      <c r="J60" s="332"/>
      <c r="K60" s="284">
        <f t="shared" si="3"/>
        <v>0</v>
      </c>
    </row>
    <row r="61" spans="2:13" s="56" customFormat="1" ht="17.25" thickBot="1" thickTop="1">
      <c r="B61" s="285">
        <v>300</v>
      </c>
      <c r="C61" s="514" t="s">
        <v>119</v>
      </c>
      <c r="D61" s="515"/>
      <c r="E61" s="286">
        <f aca="true" t="shared" si="17" ref="E61:J61">E62+E98</f>
        <v>2749519</v>
      </c>
      <c r="F61" s="286">
        <f t="shared" si="17"/>
        <v>2901991</v>
      </c>
      <c r="G61" s="286">
        <f t="shared" si="17"/>
        <v>3457133</v>
      </c>
      <c r="H61" s="286">
        <f t="shared" si="17"/>
        <v>2670200</v>
      </c>
      <c r="I61" s="286">
        <f t="shared" si="17"/>
        <v>184100</v>
      </c>
      <c r="J61" s="286">
        <f t="shared" si="17"/>
        <v>0</v>
      </c>
      <c r="K61" s="287">
        <f t="shared" si="3"/>
        <v>2854300</v>
      </c>
      <c r="M61" s="345"/>
    </row>
    <row r="62" spans="2:11" ht="15.75" thickBot="1">
      <c r="B62" s="108">
        <v>310</v>
      </c>
      <c r="C62" s="503" t="s">
        <v>120</v>
      </c>
      <c r="D62" s="504"/>
      <c r="E62" s="33">
        <f aca="true" t="shared" si="18" ref="E62:J62">E63+E65</f>
        <v>2721164</v>
      </c>
      <c r="F62" s="33">
        <f t="shared" si="18"/>
        <v>2862933</v>
      </c>
      <c r="G62" s="33">
        <f t="shared" si="18"/>
        <v>3457133</v>
      </c>
      <c r="H62" s="33">
        <f t="shared" si="18"/>
        <v>2670200</v>
      </c>
      <c r="I62" s="33">
        <f t="shared" si="18"/>
        <v>184100</v>
      </c>
      <c r="J62" s="33">
        <f t="shared" si="18"/>
        <v>0</v>
      </c>
      <c r="K62" s="221">
        <f t="shared" si="3"/>
        <v>2854300</v>
      </c>
    </row>
    <row r="63" spans="2:11" ht="13.5" thickBot="1">
      <c r="B63" s="505"/>
      <c r="C63" s="4">
        <v>311</v>
      </c>
      <c r="D63" s="1" t="s">
        <v>121</v>
      </c>
      <c r="E63" s="402">
        <f>E64</f>
        <v>11396</v>
      </c>
      <c r="F63" s="330">
        <f>F64</f>
        <v>19287</v>
      </c>
      <c r="G63" s="402">
        <f>G64</f>
        <v>18260</v>
      </c>
      <c r="H63" s="330"/>
      <c r="I63" s="330"/>
      <c r="J63" s="330"/>
      <c r="K63" s="218">
        <f t="shared" si="3"/>
        <v>0</v>
      </c>
    </row>
    <row r="64" spans="2:11" ht="13.5" thickBot="1">
      <c r="B64" s="508"/>
      <c r="C64" s="75"/>
      <c r="D64" s="52" t="s">
        <v>243</v>
      </c>
      <c r="E64" s="188">
        <v>11396</v>
      </c>
      <c r="F64" s="155">
        <v>19287</v>
      </c>
      <c r="G64" s="188">
        <v>18260</v>
      </c>
      <c r="H64" s="155"/>
      <c r="I64" s="155"/>
      <c r="J64" s="155"/>
      <c r="K64" s="265">
        <f t="shared" si="3"/>
        <v>0</v>
      </c>
    </row>
    <row r="65" spans="2:11" ht="13.5" thickBot="1">
      <c r="B65" s="508"/>
      <c r="C65" s="39">
        <v>312</v>
      </c>
      <c r="D65" s="39" t="s">
        <v>122</v>
      </c>
      <c r="E65" s="51">
        <f aca="true" t="shared" si="19" ref="E65:J65">SUM(E66:E97)</f>
        <v>2709768</v>
      </c>
      <c r="F65" s="51">
        <f t="shared" si="19"/>
        <v>2843646</v>
      </c>
      <c r="G65" s="51">
        <f>SUM(G66:G97)</f>
        <v>3438873</v>
      </c>
      <c r="H65" s="51">
        <f t="shared" si="19"/>
        <v>2670200</v>
      </c>
      <c r="I65" s="51">
        <f t="shared" si="19"/>
        <v>184100</v>
      </c>
      <c r="J65" s="51">
        <f t="shared" si="19"/>
        <v>0</v>
      </c>
      <c r="K65" s="219">
        <f t="shared" si="3"/>
        <v>2854300</v>
      </c>
    </row>
    <row r="66" spans="2:11" ht="12.75">
      <c r="B66" s="508"/>
      <c r="C66" s="512"/>
      <c r="D66" s="52" t="s">
        <v>172</v>
      </c>
      <c r="E66" s="52">
        <v>23695</v>
      </c>
      <c r="F66" s="42">
        <v>17245</v>
      </c>
      <c r="G66" s="52">
        <v>10901</v>
      </c>
      <c r="H66" s="42">
        <v>17244</v>
      </c>
      <c r="I66" s="42"/>
      <c r="J66" s="42"/>
      <c r="K66" s="272">
        <f t="shared" si="3"/>
        <v>17244</v>
      </c>
    </row>
    <row r="67" spans="2:11" ht="12.75">
      <c r="B67" s="508"/>
      <c r="C67" s="513"/>
      <c r="D67" s="53" t="s">
        <v>173</v>
      </c>
      <c r="E67" s="53">
        <v>2039732</v>
      </c>
      <c r="F67" s="44">
        <v>2219230</v>
      </c>
      <c r="G67" s="53">
        <v>2305975</v>
      </c>
      <c r="H67" s="44">
        <v>2100000</v>
      </c>
      <c r="I67" s="44"/>
      <c r="J67" s="44"/>
      <c r="K67" s="242">
        <f t="shared" si="3"/>
        <v>2100000</v>
      </c>
    </row>
    <row r="68" spans="2:11" ht="12.75">
      <c r="B68" s="508"/>
      <c r="C68" s="513"/>
      <c r="D68" s="53" t="s">
        <v>174</v>
      </c>
      <c r="E68" s="53">
        <v>18027</v>
      </c>
      <c r="F68" s="44">
        <v>18084</v>
      </c>
      <c r="G68" s="53">
        <v>17994</v>
      </c>
      <c r="H68" s="44">
        <v>18083</v>
      </c>
      <c r="I68" s="44"/>
      <c r="J68" s="44"/>
      <c r="K68" s="242">
        <f t="shared" si="3"/>
        <v>18083</v>
      </c>
    </row>
    <row r="69" spans="2:13" ht="12.75">
      <c r="B69" s="508"/>
      <c r="C69" s="513"/>
      <c r="D69" s="53" t="s">
        <v>175</v>
      </c>
      <c r="E69" s="53">
        <v>24577</v>
      </c>
      <c r="F69" s="44">
        <v>25124</v>
      </c>
      <c r="G69" s="53">
        <v>25564</v>
      </c>
      <c r="H69" s="44">
        <v>24000</v>
      </c>
      <c r="I69" s="44"/>
      <c r="J69" s="44"/>
      <c r="K69" s="242">
        <f t="shared" si="3"/>
        <v>24000</v>
      </c>
      <c r="M69" s="371"/>
    </row>
    <row r="70" spans="2:11" ht="12.75">
      <c r="B70" s="508"/>
      <c r="C70" s="513"/>
      <c r="D70" s="53" t="s">
        <v>176</v>
      </c>
      <c r="E70" s="53">
        <v>7039</v>
      </c>
      <c r="F70" s="44">
        <v>7075</v>
      </c>
      <c r="G70" s="53">
        <v>7128</v>
      </c>
      <c r="H70" s="44">
        <v>7075</v>
      </c>
      <c r="I70" s="44"/>
      <c r="J70" s="44"/>
      <c r="K70" s="242">
        <f t="shared" si="3"/>
        <v>7075</v>
      </c>
    </row>
    <row r="71" spans="2:13" ht="12.75">
      <c r="B71" s="508"/>
      <c r="C71" s="513"/>
      <c r="D71" s="53" t="s">
        <v>177</v>
      </c>
      <c r="E71" s="53">
        <v>10058</v>
      </c>
      <c r="F71" s="44">
        <v>10551</v>
      </c>
      <c r="G71" s="53">
        <v>6336</v>
      </c>
      <c r="H71" s="44">
        <v>7000</v>
      </c>
      <c r="I71" s="44"/>
      <c r="J71" s="44"/>
      <c r="K71" s="242">
        <f t="shared" si="3"/>
        <v>7000</v>
      </c>
      <c r="M71" s="371"/>
    </row>
    <row r="72" spans="2:11" ht="12.75">
      <c r="B72" s="508"/>
      <c r="C72" s="513"/>
      <c r="D72" s="53" t="s">
        <v>178</v>
      </c>
      <c r="E72" s="53">
        <v>83191</v>
      </c>
      <c r="F72" s="44">
        <v>97555</v>
      </c>
      <c r="G72" s="53">
        <v>85709</v>
      </c>
      <c r="H72" s="44">
        <v>55224</v>
      </c>
      <c r="I72" s="44"/>
      <c r="J72" s="44"/>
      <c r="K72" s="242">
        <f t="shared" si="3"/>
        <v>55224</v>
      </c>
    </row>
    <row r="73" spans="2:11" s="40" customFormat="1" ht="12.75">
      <c r="B73" s="508"/>
      <c r="C73" s="513"/>
      <c r="D73" s="53" t="s">
        <v>179</v>
      </c>
      <c r="E73" s="53">
        <v>25474</v>
      </c>
      <c r="F73" s="44">
        <v>22043</v>
      </c>
      <c r="G73" s="53">
        <f>1699+18018</f>
        <v>19717</v>
      </c>
      <c r="H73" s="44">
        <v>56442</v>
      </c>
      <c r="I73" s="44"/>
      <c r="J73" s="44"/>
      <c r="K73" s="242">
        <f aca="true" t="shared" si="20" ref="K73:K101">H73+I73+J73</f>
        <v>56442</v>
      </c>
    </row>
    <row r="74" spans="2:11" ht="12.75">
      <c r="B74" s="508"/>
      <c r="C74" s="513"/>
      <c r="D74" s="53" t="s">
        <v>207</v>
      </c>
      <c r="E74" s="53">
        <v>1008</v>
      </c>
      <c r="F74" s="44">
        <v>1008</v>
      </c>
      <c r="G74" s="53">
        <v>995</v>
      </c>
      <c r="H74" s="44">
        <v>1007</v>
      </c>
      <c r="I74" s="44"/>
      <c r="J74" s="44"/>
      <c r="K74" s="242">
        <f t="shared" si="20"/>
        <v>1007</v>
      </c>
    </row>
    <row r="75" spans="2:13" ht="12.75">
      <c r="B75" s="508"/>
      <c r="C75" s="513"/>
      <c r="D75" s="53" t="s">
        <v>201</v>
      </c>
      <c r="E75" s="53">
        <v>1487</v>
      </c>
      <c r="F75" s="44">
        <v>1415</v>
      </c>
      <c r="G75" s="53">
        <v>1362</v>
      </c>
      <c r="H75" s="44">
        <v>1612</v>
      </c>
      <c r="I75" s="44"/>
      <c r="J75" s="44"/>
      <c r="K75" s="242">
        <f t="shared" si="20"/>
        <v>1612</v>
      </c>
      <c r="M75" s="371"/>
    </row>
    <row r="76" spans="2:13" ht="12.75">
      <c r="B76" s="508"/>
      <c r="C76" s="513"/>
      <c r="D76" s="53" t="s">
        <v>251</v>
      </c>
      <c r="E76" s="53">
        <v>46640</v>
      </c>
      <c r="F76" s="44">
        <v>26998</v>
      </c>
      <c r="G76" s="53">
        <v>72974</v>
      </c>
      <c r="H76" s="44">
        <v>80900</v>
      </c>
      <c r="I76" s="44"/>
      <c r="J76" s="44"/>
      <c r="K76" s="242">
        <f t="shared" si="20"/>
        <v>80900</v>
      </c>
      <c r="M76" s="371"/>
    </row>
    <row r="77" spans="2:11" ht="12.75">
      <c r="B77" s="508"/>
      <c r="C77" s="513"/>
      <c r="D77" s="53" t="s">
        <v>199</v>
      </c>
      <c r="E77" s="53">
        <v>4903</v>
      </c>
      <c r="F77" s="44">
        <v>4921</v>
      </c>
      <c r="G77" s="53">
        <v>4883</v>
      </c>
      <c r="H77" s="44">
        <v>4921</v>
      </c>
      <c r="I77" s="44"/>
      <c r="J77" s="44"/>
      <c r="K77" s="242">
        <f t="shared" si="20"/>
        <v>4921</v>
      </c>
    </row>
    <row r="78" spans="2:11" ht="12.75">
      <c r="B78" s="508"/>
      <c r="C78" s="513"/>
      <c r="D78" s="53" t="s">
        <v>254</v>
      </c>
      <c r="E78" s="53">
        <v>4172</v>
      </c>
      <c r="F78" s="44">
        <v>4305</v>
      </c>
      <c r="G78" s="53">
        <v>4445</v>
      </c>
      <c r="H78" s="44">
        <v>4445</v>
      </c>
      <c r="I78" s="44"/>
      <c r="J78" s="44"/>
      <c r="K78" s="242">
        <f t="shared" si="20"/>
        <v>4445</v>
      </c>
    </row>
    <row r="79" spans="2:11" ht="12.75">
      <c r="B79" s="508"/>
      <c r="C79" s="513"/>
      <c r="D79" s="53" t="s">
        <v>255</v>
      </c>
      <c r="E79" s="53">
        <v>13965</v>
      </c>
      <c r="F79" s="44">
        <v>20215</v>
      </c>
      <c r="G79" s="53">
        <f>2614+9370+2952+12392</f>
        <v>27328</v>
      </c>
      <c r="H79" s="44">
        <v>21257</v>
      </c>
      <c r="I79" s="44"/>
      <c r="J79" s="44"/>
      <c r="K79" s="242">
        <f t="shared" si="20"/>
        <v>21257</v>
      </c>
    </row>
    <row r="80" spans="2:11" ht="12.75">
      <c r="B80" s="508"/>
      <c r="C80" s="513"/>
      <c r="D80" s="53" t="s">
        <v>357</v>
      </c>
      <c r="E80" s="43"/>
      <c r="F80" s="177"/>
      <c r="G80" s="43"/>
      <c r="H80" s="177">
        <v>3983</v>
      </c>
      <c r="I80" s="177"/>
      <c r="J80" s="177"/>
      <c r="K80" s="242">
        <f t="shared" si="20"/>
        <v>3983</v>
      </c>
    </row>
    <row r="81" spans="2:11" ht="12.75">
      <c r="B81" s="508"/>
      <c r="C81" s="513"/>
      <c r="D81" s="43" t="s">
        <v>320</v>
      </c>
      <c r="E81" s="43"/>
      <c r="F81" s="177"/>
      <c r="G81" s="43">
        <v>11061</v>
      </c>
      <c r="H81" s="177"/>
      <c r="I81" s="177"/>
      <c r="J81" s="177"/>
      <c r="K81" s="242">
        <f t="shared" si="20"/>
        <v>0</v>
      </c>
    </row>
    <row r="82" spans="2:11" ht="12.75">
      <c r="B82" s="508"/>
      <c r="C82" s="513"/>
      <c r="D82" s="53" t="s">
        <v>256</v>
      </c>
      <c r="E82" s="43">
        <v>119232</v>
      </c>
      <c r="F82" s="177">
        <v>60031</v>
      </c>
      <c r="G82" s="43"/>
      <c r="H82" s="177"/>
      <c r="I82" s="177"/>
      <c r="J82" s="177"/>
      <c r="K82" s="242">
        <f t="shared" si="20"/>
        <v>0</v>
      </c>
    </row>
    <row r="83" spans="2:11" ht="12.75">
      <c r="B83" s="508"/>
      <c r="C83" s="513"/>
      <c r="D83" s="53" t="s">
        <v>283</v>
      </c>
      <c r="E83" s="43"/>
      <c r="F83" s="177">
        <v>40000</v>
      </c>
      <c r="G83" s="43"/>
      <c r="H83" s="177"/>
      <c r="I83" s="177"/>
      <c r="J83" s="177"/>
      <c r="K83" s="242">
        <f t="shared" si="20"/>
        <v>0</v>
      </c>
    </row>
    <row r="84" spans="2:11" ht="12.75">
      <c r="B84" s="508"/>
      <c r="C84" s="513"/>
      <c r="D84" s="53" t="s">
        <v>305</v>
      </c>
      <c r="E84" s="53"/>
      <c r="F84" s="44">
        <v>85385</v>
      </c>
      <c r="G84" s="53">
        <v>389162</v>
      </c>
      <c r="H84" s="44">
        <v>192900</v>
      </c>
      <c r="I84" s="44"/>
      <c r="J84" s="44"/>
      <c r="K84" s="242">
        <f t="shared" si="20"/>
        <v>192900</v>
      </c>
    </row>
    <row r="85" spans="2:11" ht="12.75">
      <c r="B85" s="508"/>
      <c r="C85" s="513"/>
      <c r="D85" s="53" t="s">
        <v>347</v>
      </c>
      <c r="E85" s="43"/>
      <c r="F85" s="177"/>
      <c r="G85" s="43">
        <v>6226</v>
      </c>
      <c r="H85" s="177">
        <v>7000</v>
      </c>
      <c r="I85" s="177"/>
      <c r="J85" s="177"/>
      <c r="K85" s="242">
        <f t="shared" si="20"/>
        <v>7000</v>
      </c>
    </row>
    <row r="86" spans="2:11" ht="12.75">
      <c r="B86" s="508"/>
      <c r="C86" s="513"/>
      <c r="D86" s="53" t="s">
        <v>318</v>
      </c>
      <c r="E86" s="43">
        <v>3534</v>
      </c>
      <c r="F86" s="177">
        <v>4595</v>
      </c>
      <c r="G86" s="43">
        <v>1120</v>
      </c>
      <c r="H86" s="177"/>
      <c r="I86" s="177"/>
      <c r="J86" s="177"/>
      <c r="K86" s="242">
        <f t="shared" si="20"/>
        <v>0</v>
      </c>
    </row>
    <row r="87" spans="2:11" ht="12.75">
      <c r="B87" s="508"/>
      <c r="C87" s="513"/>
      <c r="D87" s="53" t="s">
        <v>326</v>
      </c>
      <c r="E87" s="43"/>
      <c r="F87" s="177"/>
      <c r="G87" s="43">
        <v>73802</v>
      </c>
      <c r="H87" s="177"/>
      <c r="I87" s="177"/>
      <c r="J87" s="177"/>
      <c r="K87" s="242">
        <f t="shared" si="20"/>
        <v>0</v>
      </c>
    </row>
    <row r="88" spans="2:11" ht="12.75">
      <c r="B88" s="508"/>
      <c r="C88" s="513"/>
      <c r="D88" s="53" t="s">
        <v>281</v>
      </c>
      <c r="E88" s="43"/>
      <c r="F88" s="177">
        <v>18000</v>
      </c>
      <c r="G88" s="43"/>
      <c r="H88" s="177"/>
      <c r="I88" s="177"/>
      <c r="J88" s="177"/>
      <c r="K88" s="242">
        <f t="shared" si="20"/>
        <v>0</v>
      </c>
    </row>
    <row r="89" spans="2:11" ht="12.75">
      <c r="B89" s="508"/>
      <c r="C89" s="513"/>
      <c r="D89" s="15" t="s">
        <v>337</v>
      </c>
      <c r="E89" s="15"/>
      <c r="F89" s="16"/>
      <c r="G89" s="15">
        <v>38668</v>
      </c>
      <c r="H89" s="211">
        <v>67107</v>
      </c>
      <c r="I89" s="211"/>
      <c r="J89" s="211"/>
      <c r="K89" s="358">
        <f t="shared" si="20"/>
        <v>67107</v>
      </c>
    </row>
    <row r="90" spans="2:11" ht="12.75">
      <c r="B90" s="508"/>
      <c r="C90" s="513"/>
      <c r="D90" s="15" t="s">
        <v>377</v>
      </c>
      <c r="E90" s="403"/>
      <c r="F90" s="167"/>
      <c r="G90" s="403"/>
      <c r="H90" s="343">
        <v>0</v>
      </c>
      <c r="I90" s="343"/>
      <c r="J90" s="343"/>
      <c r="K90" s="358">
        <f t="shared" si="20"/>
        <v>0</v>
      </c>
    </row>
    <row r="91" spans="2:11" ht="12.75">
      <c r="B91" s="508"/>
      <c r="C91" s="513"/>
      <c r="D91" s="53" t="s">
        <v>304</v>
      </c>
      <c r="E91" s="43"/>
      <c r="F91" s="177"/>
      <c r="G91" s="43">
        <v>303277</v>
      </c>
      <c r="H91" s="177"/>
      <c r="I91" s="177"/>
      <c r="J91" s="177"/>
      <c r="K91" s="242">
        <f t="shared" si="20"/>
        <v>0</v>
      </c>
    </row>
    <row r="92" spans="2:11" ht="12.75">
      <c r="B92" s="508"/>
      <c r="C92" s="513"/>
      <c r="D92" s="53" t="s">
        <v>374</v>
      </c>
      <c r="E92" s="43"/>
      <c r="F92" s="177">
        <v>100000</v>
      </c>
      <c r="G92" s="43"/>
      <c r="H92" s="177"/>
      <c r="I92" s="177"/>
      <c r="J92" s="177"/>
      <c r="K92" s="242">
        <f t="shared" si="20"/>
        <v>0</v>
      </c>
    </row>
    <row r="93" spans="2:11" ht="12.75">
      <c r="B93" s="508"/>
      <c r="C93" s="513"/>
      <c r="D93" s="53" t="s">
        <v>392</v>
      </c>
      <c r="E93" s="43"/>
      <c r="F93" s="177"/>
      <c r="G93" s="43"/>
      <c r="H93" s="177"/>
      <c r="I93" s="177">
        <v>35000</v>
      </c>
      <c r="J93" s="177"/>
      <c r="K93" s="242">
        <f t="shared" si="20"/>
        <v>35000</v>
      </c>
    </row>
    <row r="94" spans="2:11" ht="12.75">
      <c r="B94" s="508"/>
      <c r="C94" s="513"/>
      <c r="D94" s="53" t="s">
        <v>247</v>
      </c>
      <c r="E94" s="43"/>
      <c r="F94" s="177"/>
      <c r="G94" s="43"/>
      <c r="H94" s="177"/>
      <c r="I94" s="177">
        <v>149100</v>
      </c>
      <c r="J94" s="177"/>
      <c r="K94" s="242">
        <f t="shared" si="20"/>
        <v>149100</v>
      </c>
    </row>
    <row r="95" spans="2:14" ht="12.75">
      <c r="B95" s="508"/>
      <c r="C95" s="513"/>
      <c r="D95" s="53" t="s">
        <v>378</v>
      </c>
      <c r="E95" s="43"/>
      <c r="F95" s="177"/>
      <c r="G95" s="43">
        <v>18145</v>
      </c>
      <c r="H95" s="177"/>
      <c r="I95" s="177"/>
      <c r="J95" s="177"/>
      <c r="K95" s="242">
        <f t="shared" si="20"/>
        <v>0</v>
      </c>
      <c r="N95" s="371"/>
    </row>
    <row r="96" spans="2:14" ht="12.75">
      <c r="B96" s="508"/>
      <c r="C96" s="513"/>
      <c r="D96" s="63" t="s">
        <v>330</v>
      </c>
      <c r="E96" s="134">
        <v>165906</v>
      </c>
      <c r="F96" s="178"/>
      <c r="G96" s="134"/>
      <c r="H96" s="177"/>
      <c r="I96" s="177"/>
      <c r="J96" s="177"/>
      <c r="K96" s="242">
        <f t="shared" si="20"/>
        <v>0</v>
      </c>
      <c r="N96" s="371"/>
    </row>
    <row r="97" spans="2:11" ht="13.5" thickBot="1">
      <c r="B97" s="508"/>
      <c r="C97" s="513"/>
      <c r="D97" s="54" t="s">
        <v>331</v>
      </c>
      <c r="E97" s="134">
        <v>117128</v>
      </c>
      <c r="F97" s="178">
        <v>59866</v>
      </c>
      <c r="G97" s="134">
        <v>6101</v>
      </c>
      <c r="H97" s="177"/>
      <c r="I97" s="177"/>
      <c r="J97" s="177"/>
      <c r="K97" s="242">
        <f t="shared" si="20"/>
        <v>0</v>
      </c>
    </row>
    <row r="98" spans="2:11" s="46" customFormat="1" ht="15.75" thickBot="1">
      <c r="B98" s="108">
        <v>330</v>
      </c>
      <c r="C98" s="503" t="s">
        <v>107</v>
      </c>
      <c r="D98" s="504"/>
      <c r="E98" s="33">
        <f aca="true" t="shared" si="21" ref="E98:J98">E99</f>
        <v>28355</v>
      </c>
      <c r="F98" s="33">
        <f t="shared" si="21"/>
        <v>39058</v>
      </c>
      <c r="G98" s="33">
        <f t="shared" si="21"/>
        <v>0</v>
      </c>
      <c r="H98" s="33">
        <f t="shared" si="21"/>
        <v>0</v>
      </c>
      <c r="I98" s="33">
        <f t="shared" si="21"/>
        <v>0</v>
      </c>
      <c r="J98" s="33">
        <f t="shared" si="21"/>
        <v>0</v>
      </c>
      <c r="K98" s="221">
        <f t="shared" si="20"/>
        <v>0</v>
      </c>
    </row>
    <row r="99" spans="2:11" s="368" customFormat="1" ht="13.5" thickBot="1">
      <c r="B99" s="505"/>
      <c r="C99" s="1">
        <v>331</v>
      </c>
      <c r="D99" s="35" t="s">
        <v>123</v>
      </c>
      <c r="E99" s="35">
        <f>E100</f>
        <v>28355</v>
      </c>
      <c r="F99" s="154">
        <f>F100</f>
        <v>39058</v>
      </c>
      <c r="G99" s="35"/>
      <c r="H99" s="154"/>
      <c r="I99" s="154"/>
      <c r="J99" s="154"/>
      <c r="K99" s="220">
        <f t="shared" si="20"/>
        <v>0</v>
      </c>
    </row>
    <row r="100" spans="2:11" ht="13.5" thickBot="1">
      <c r="B100" s="508"/>
      <c r="C100" s="75"/>
      <c r="D100" s="79" t="s">
        <v>318</v>
      </c>
      <c r="E100" s="146">
        <v>28355</v>
      </c>
      <c r="F100" s="157">
        <v>39058</v>
      </c>
      <c r="G100" s="146"/>
      <c r="H100" s="157"/>
      <c r="I100" s="157"/>
      <c r="J100" s="157"/>
      <c r="K100" s="269">
        <f t="shared" si="20"/>
        <v>0</v>
      </c>
    </row>
    <row r="101" spans="2:11" s="47" customFormat="1" ht="17.25" thickBot="1" thickTop="1">
      <c r="B101" s="483" t="s">
        <v>108</v>
      </c>
      <c r="C101" s="484"/>
      <c r="D101" s="511"/>
      <c r="E101" s="73">
        <f aca="true" t="shared" si="22" ref="E101:J101">E5+E22+E61</f>
        <v>9096722</v>
      </c>
      <c r="F101" s="73">
        <f t="shared" si="22"/>
        <v>9201831</v>
      </c>
      <c r="G101" s="73">
        <f t="shared" si="22"/>
        <v>9713106</v>
      </c>
      <c r="H101" s="73">
        <f t="shared" si="22"/>
        <v>8685425</v>
      </c>
      <c r="I101" s="73">
        <f t="shared" si="22"/>
        <v>184100</v>
      </c>
      <c r="J101" s="73">
        <f t="shared" si="22"/>
        <v>0</v>
      </c>
      <c r="K101" s="224">
        <f t="shared" si="20"/>
        <v>8869525</v>
      </c>
    </row>
    <row r="102" ht="13.5" thickTop="1"/>
    <row r="103" spans="2:7" ht="12.75">
      <c r="B103" s="482"/>
      <c r="C103" s="482"/>
      <c r="D103" s="482"/>
      <c r="E103" s="372"/>
      <c r="F103" s="372"/>
      <c r="G103" s="372"/>
    </row>
    <row r="104" spans="3:7" ht="12.75">
      <c r="C104" s="372"/>
      <c r="D104" s="372"/>
      <c r="E104" s="461"/>
      <c r="F104" s="461"/>
      <c r="G104" s="372"/>
    </row>
    <row r="105" spans="3:7" ht="12.75">
      <c r="C105" s="372"/>
      <c r="D105" s="372"/>
      <c r="E105" s="372"/>
      <c r="F105" s="372"/>
      <c r="G105" s="372"/>
    </row>
    <row r="106" spans="3:7" ht="12.75">
      <c r="C106" s="372"/>
      <c r="D106" s="372"/>
      <c r="E106" s="372"/>
      <c r="F106" s="372"/>
      <c r="G106" s="372"/>
    </row>
    <row r="107" spans="3:7" ht="12.75">
      <c r="C107" s="372"/>
      <c r="D107" s="372"/>
      <c r="E107" s="372"/>
      <c r="F107" s="372"/>
      <c r="G107" s="372"/>
    </row>
    <row r="108" spans="3:7" ht="12.75">
      <c r="C108" s="372"/>
      <c r="D108" s="372"/>
      <c r="E108" s="372"/>
      <c r="F108" s="372"/>
      <c r="G108" s="372"/>
    </row>
    <row r="109" spans="3:7" ht="12.75">
      <c r="C109" s="372"/>
      <c r="D109" s="372"/>
      <c r="E109" s="372"/>
      <c r="F109" s="372"/>
      <c r="G109" s="372"/>
    </row>
    <row r="110" spans="3:7" ht="12.75">
      <c r="C110" s="372"/>
      <c r="D110" s="372"/>
      <c r="E110" s="372"/>
      <c r="F110" s="372"/>
      <c r="G110" s="372"/>
    </row>
    <row r="111" spans="3:7" ht="12.75">
      <c r="C111" s="372"/>
      <c r="D111" s="372"/>
      <c r="E111" s="372"/>
      <c r="F111" s="372"/>
      <c r="G111" s="372"/>
    </row>
    <row r="112" spans="3:7" ht="12.75">
      <c r="C112" s="372"/>
      <c r="D112" s="372"/>
      <c r="E112" s="372"/>
      <c r="F112" s="372"/>
      <c r="G112" s="372"/>
    </row>
    <row r="113" spans="3:7" ht="12.75">
      <c r="C113" s="372"/>
      <c r="D113" s="372"/>
      <c r="E113" s="372"/>
      <c r="F113" s="372"/>
      <c r="G113" s="372"/>
    </row>
    <row r="114" spans="3:7" ht="12.75">
      <c r="C114" s="372"/>
      <c r="D114" s="372"/>
      <c r="E114" s="372"/>
      <c r="F114" s="372"/>
      <c r="G114" s="372"/>
    </row>
    <row r="115" spans="3:7" ht="12.75">
      <c r="C115" s="372"/>
      <c r="D115" s="372"/>
      <c r="E115" s="372"/>
      <c r="F115" s="372"/>
      <c r="G115" s="372"/>
    </row>
    <row r="116" spans="3:7" ht="12.75">
      <c r="C116" s="372"/>
      <c r="D116" s="372"/>
      <c r="E116" s="372"/>
      <c r="F116" s="372"/>
      <c r="G116" s="372"/>
    </row>
    <row r="117" spans="3:7" ht="12.75">
      <c r="C117" s="372"/>
      <c r="D117" s="372"/>
      <c r="E117" s="372"/>
      <c r="F117" s="372"/>
      <c r="G117" s="372"/>
    </row>
    <row r="118" spans="3:7" ht="12.75">
      <c r="C118" s="372"/>
      <c r="D118" s="372"/>
      <c r="E118" s="372"/>
      <c r="F118" s="372"/>
      <c r="G118" s="372"/>
    </row>
    <row r="119" spans="3:7" ht="12.75">
      <c r="C119" s="372"/>
      <c r="D119" s="372"/>
      <c r="E119" s="372"/>
      <c r="F119" s="372"/>
      <c r="G119" s="372"/>
    </row>
    <row r="120" spans="3:7" ht="12.75">
      <c r="C120" s="372"/>
      <c r="D120" s="372"/>
      <c r="E120" s="372"/>
      <c r="F120" s="372"/>
      <c r="G120" s="372"/>
    </row>
    <row r="121" spans="3:7" ht="12.75">
      <c r="C121" s="372"/>
      <c r="D121" s="372"/>
      <c r="E121" s="372"/>
      <c r="F121" s="372"/>
      <c r="G121" s="372"/>
    </row>
    <row r="122" spans="3:7" ht="12.75">
      <c r="C122" s="372"/>
      <c r="D122" s="372"/>
      <c r="E122" s="372"/>
      <c r="F122" s="372"/>
      <c r="G122" s="372"/>
    </row>
    <row r="123" spans="3:7" ht="12.75">
      <c r="C123" s="372"/>
      <c r="D123" s="372"/>
      <c r="E123" s="372"/>
      <c r="F123" s="372"/>
      <c r="G123" s="372"/>
    </row>
    <row r="124" spans="3:7" ht="12.75">
      <c r="C124" s="372"/>
      <c r="D124" s="372"/>
      <c r="E124" s="372"/>
      <c r="F124" s="372"/>
      <c r="G124" s="372"/>
    </row>
    <row r="125" spans="3:7" ht="12.75">
      <c r="C125" s="372"/>
      <c r="D125" s="372"/>
      <c r="E125" s="372"/>
      <c r="F125" s="372"/>
      <c r="G125" s="372"/>
    </row>
    <row r="126" spans="3:7" ht="12.75">
      <c r="C126" s="372"/>
      <c r="D126" s="372"/>
      <c r="E126" s="372"/>
      <c r="F126" s="372"/>
      <c r="G126" s="372"/>
    </row>
    <row r="127" spans="3:7" ht="12.75">
      <c r="C127" s="372"/>
      <c r="D127" s="372"/>
      <c r="E127" s="372"/>
      <c r="F127" s="372"/>
      <c r="G127" s="372"/>
    </row>
    <row r="128" spans="3:7" ht="12.75">
      <c r="C128" s="372"/>
      <c r="D128" s="372"/>
      <c r="E128" s="372"/>
      <c r="F128" s="372"/>
      <c r="G128" s="372"/>
    </row>
    <row r="129" spans="3:7" ht="12.75">
      <c r="C129" s="372"/>
      <c r="D129" s="372"/>
      <c r="E129" s="372"/>
      <c r="F129" s="372"/>
      <c r="G129" s="372"/>
    </row>
    <row r="130" spans="3:7" ht="12.75">
      <c r="C130" s="372"/>
      <c r="D130" s="372"/>
      <c r="E130" s="372"/>
      <c r="F130" s="372"/>
      <c r="G130" s="372"/>
    </row>
    <row r="131" spans="3:7" ht="12.75">
      <c r="C131" s="372"/>
      <c r="D131" s="372"/>
      <c r="E131" s="372"/>
      <c r="F131" s="372"/>
      <c r="G131" s="372"/>
    </row>
    <row r="132" spans="3:7" ht="12.75">
      <c r="C132" s="372"/>
      <c r="D132" s="372"/>
      <c r="E132" s="372"/>
      <c r="F132" s="372"/>
      <c r="G132" s="372"/>
    </row>
    <row r="133" spans="3:7" ht="12.75">
      <c r="C133" s="372"/>
      <c r="D133" s="372"/>
      <c r="E133" s="372"/>
      <c r="F133" s="372"/>
      <c r="G133" s="372"/>
    </row>
    <row r="134" spans="3:7" ht="12.75">
      <c r="C134" s="372"/>
      <c r="D134" s="372"/>
      <c r="E134" s="372"/>
      <c r="F134" s="372"/>
      <c r="G134" s="372"/>
    </row>
    <row r="135" spans="3:7" ht="12.75">
      <c r="C135" s="372"/>
      <c r="D135" s="372"/>
      <c r="E135" s="372"/>
      <c r="F135" s="372"/>
      <c r="G135" s="372"/>
    </row>
    <row r="136" spans="3:7" ht="12.75">
      <c r="C136" s="372"/>
      <c r="D136" s="372"/>
      <c r="E136" s="372"/>
      <c r="F136" s="372"/>
      <c r="G136" s="372"/>
    </row>
    <row r="137" spans="3:7" ht="12.75">
      <c r="C137" s="372"/>
      <c r="D137" s="372"/>
      <c r="E137" s="372"/>
      <c r="F137" s="372"/>
      <c r="G137" s="372"/>
    </row>
    <row r="140" spans="8:10" ht="12.75">
      <c r="H140" s="207"/>
      <c r="I140" s="207"/>
      <c r="J140" s="207"/>
    </row>
    <row r="159" spans="2:10" ht="12.75">
      <c r="B159" s="373"/>
      <c r="C159" s="374"/>
      <c r="D159" s="374"/>
      <c r="E159" s="374"/>
      <c r="F159" s="374"/>
      <c r="G159" s="374"/>
      <c r="H159" s="208"/>
      <c r="I159" s="208"/>
      <c r="J159" s="208"/>
    </row>
  </sheetData>
  <sheetProtection/>
  <mergeCells count="40">
    <mergeCell ref="K3:K4"/>
    <mergeCell ref="B1:D1"/>
    <mergeCell ref="B2:D2"/>
    <mergeCell ref="B3:B4"/>
    <mergeCell ref="H3:H4"/>
    <mergeCell ref="C3:C4"/>
    <mergeCell ref="D3:D4"/>
    <mergeCell ref="I3:J3"/>
    <mergeCell ref="G3:G4"/>
    <mergeCell ref="E3:E4"/>
    <mergeCell ref="B55:B60"/>
    <mergeCell ref="B103:D103"/>
    <mergeCell ref="C62:D62"/>
    <mergeCell ref="B101:D101"/>
    <mergeCell ref="B99:B100"/>
    <mergeCell ref="C66:C97"/>
    <mergeCell ref="B63:B97"/>
    <mergeCell ref="C98:D98"/>
    <mergeCell ref="C61:D61"/>
    <mergeCell ref="C56:C60"/>
    <mergeCell ref="C54:D54"/>
    <mergeCell ref="C52:D52"/>
    <mergeCell ref="C40:C49"/>
    <mergeCell ref="C5:D5"/>
    <mergeCell ref="C10:C12"/>
    <mergeCell ref="C8:D8"/>
    <mergeCell ref="C13:D13"/>
    <mergeCell ref="C15:C21"/>
    <mergeCell ref="C25:C27"/>
    <mergeCell ref="C22:D22"/>
    <mergeCell ref="F3:F4"/>
    <mergeCell ref="B9:B12"/>
    <mergeCell ref="C6:D6"/>
    <mergeCell ref="B35:B51"/>
    <mergeCell ref="B14:B21"/>
    <mergeCell ref="C23:D23"/>
    <mergeCell ref="B24:B33"/>
    <mergeCell ref="C34:D34"/>
    <mergeCell ref="C29:C33"/>
    <mergeCell ref="C36:C38"/>
  </mergeCells>
  <printOptions/>
  <pageMargins left="0.15748031496062992" right="0.11811023622047245" top="0.2362204724409449" bottom="0.15748031496062992" header="0.15748031496062992" footer="0.15748031496062992"/>
  <pageSetup horizontalDpi="300" verticalDpi="300" orientation="portrait" paperSize="9" scale="75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189"/>
  <sheetViews>
    <sheetView showGridLines="0" workbookViewId="0" topLeftCell="A51">
      <selection activeCell="G51" sqref="G51:G63"/>
    </sheetView>
  </sheetViews>
  <sheetFormatPr defaultColWidth="9.140625" defaultRowHeight="12.75"/>
  <cols>
    <col min="1" max="1" width="1.57421875" style="116" customWidth="1"/>
    <col min="2" max="2" width="10.140625" style="116" customWidth="1"/>
    <col min="3" max="3" width="8.7109375" style="212" customWidth="1"/>
    <col min="4" max="4" width="27.421875" style="116" customWidth="1"/>
    <col min="5" max="7" width="13.57421875" style="116" customWidth="1"/>
    <col min="8" max="8" width="12.7109375" style="209" customWidth="1"/>
    <col min="9" max="10" width="12.140625" style="209" customWidth="1"/>
    <col min="11" max="11" width="12.7109375" style="209" hidden="1" customWidth="1"/>
    <col min="12" max="12" width="12.57421875" style="116" customWidth="1"/>
    <col min="13" max="16384" width="9.140625" style="116" customWidth="1"/>
  </cols>
  <sheetData>
    <row r="1" spans="2:11" ht="13.5" thickBot="1">
      <c r="B1" s="571" t="s">
        <v>0</v>
      </c>
      <c r="C1" s="571"/>
      <c r="D1" s="571"/>
      <c r="E1" s="259"/>
      <c r="F1" s="259"/>
      <c r="G1" s="259"/>
      <c r="H1" s="259"/>
      <c r="I1" s="259"/>
      <c r="J1" s="259"/>
      <c r="K1" s="259"/>
    </row>
    <row r="2" spans="2:12" ht="13.5" customHeight="1" thickBot="1" thickTop="1">
      <c r="B2" s="572" t="s">
        <v>58</v>
      </c>
      <c r="C2" s="574" t="s">
        <v>59</v>
      </c>
      <c r="D2" s="576" t="s">
        <v>60</v>
      </c>
      <c r="E2" s="498" t="s">
        <v>364</v>
      </c>
      <c r="F2" s="498" t="s">
        <v>365</v>
      </c>
      <c r="G2" s="498" t="s">
        <v>363</v>
      </c>
      <c r="H2" s="498" t="s">
        <v>349</v>
      </c>
      <c r="I2" s="525" t="s">
        <v>386</v>
      </c>
      <c r="J2" s="580"/>
      <c r="K2" s="526"/>
      <c r="L2" s="517" t="s">
        <v>359</v>
      </c>
    </row>
    <row r="3" spans="2:12" ht="31.5" customHeight="1" thickBot="1">
      <c r="B3" s="573"/>
      <c r="C3" s="575"/>
      <c r="D3" s="577"/>
      <c r="E3" s="499"/>
      <c r="F3" s="499"/>
      <c r="G3" s="499"/>
      <c r="H3" s="499"/>
      <c r="I3" s="383" t="s">
        <v>350</v>
      </c>
      <c r="J3" s="383" t="s">
        <v>352</v>
      </c>
      <c r="K3" s="383"/>
      <c r="L3" s="518"/>
    </row>
    <row r="4" spans="2:12" ht="15.75" customHeight="1" thickBot="1" thickTop="1">
      <c r="B4" s="96" t="s">
        <v>62</v>
      </c>
      <c r="C4" s="578" t="s">
        <v>1</v>
      </c>
      <c r="D4" s="579"/>
      <c r="E4" s="97">
        <f aca="true" t="shared" si="0" ref="E4:K4">SUM(E5:E8)</f>
        <v>985015</v>
      </c>
      <c r="F4" s="97">
        <f t="shared" si="0"/>
        <v>971730</v>
      </c>
      <c r="G4" s="97">
        <f t="shared" si="0"/>
        <v>883614</v>
      </c>
      <c r="H4" s="97">
        <f t="shared" si="0"/>
        <v>841512</v>
      </c>
      <c r="I4" s="97">
        <f t="shared" si="0"/>
        <v>0</v>
      </c>
      <c r="J4" s="97">
        <f t="shared" si="0"/>
        <v>0</v>
      </c>
      <c r="K4" s="97">
        <f t="shared" si="0"/>
        <v>0</v>
      </c>
      <c r="L4" s="226">
        <f>H4+I4+J4+K4</f>
        <v>841512</v>
      </c>
    </row>
    <row r="5" spans="2:12" ht="12.75">
      <c r="B5" s="570"/>
      <c r="C5" s="290">
        <v>610</v>
      </c>
      <c r="D5" s="13" t="s">
        <v>2</v>
      </c>
      <c r="E5" s="13">
        <v>504967</v>
      </c>
      <c r="F5" s="13">
        <v>465252</v>
      </c>
      <c r="G5" s="13">
        <v>431649</v>
      </c>
      <c r="H5" s="14">
        <f>441065+5904</f>
        <v>446969</v>
      </c>
      <c r="I5" s="14"/>
      <c r="J5" s="14"/>
      <c r="K5" s="14"/>
      <c r="L5" s="227">
        <f aca="true" t="shared" si="1" ref="L5:L70">H5+I5+J5+K5</f>
        <v>446969</v>
      </c>
    </row>
    <row r="6" spans="2:12" ht="12.75">
      <c r="B6" s="562"/>
      <c r="C6" s="291">
        <v>620</v>
      </c>
      <c r="D6" s="15" t="s">
        <v>3</v>
      </c>
      <c r="E6" s="15">
        <v>189093</v>
      </c>
      <c r="F6" s="15">
        <v>179953</v>
      </c>
      <c r="G6" s="15">
        <v>175243</v>
      </c>
      <c r="H6" s="16">
        <f>163821+2063</f>
        <v>165884</v>
      </c>
      <c r="I6" s="16"/>
      <c r="J6" s="16"/>
      <c r="K6" s="16"/>
      <c r="L6" s="228">
        <f t="shared" si="1"/>
        <v>165884</v>
      </c>
    </row>
    <row r="7" spans="2:12" ht="12.75">
      <c r="B7" s="562"/>
      <c r="C7" s="291">
        <v>630</v>
      </c>
      <c r="D7" s="15" t="s">
        <v>61</v>
      </c>
      <c r="E7" s="15">
        <v>272860</v>
      </c>
      <c r="F7" s="15">
        <v>302729</v>
      </c>
      <c r="G7" s="15">
        <v>273797</v>
      </c>
      <c r="H7" s="16">
        <f>280264-5605-46000</f>
        <v>228659</v>
      </c>
      <c r="I7" s="16"/>
      <c r="J7" s="16"/>
      <c r="K7" s="16"/>
      <c r="L7" s="228">
        <f t="shared" si="1"/>
        <v>228659</v>
      </c>
    </row>
    <row r="8" spans="2:12" ht="13.5" thickBot="1">
      <c r="B8" s="563"/>
      <c r="C8" s="292">
        <v>640</v>
      </c>
      <c r="D8" s="153" t="s">
        <v>288</v>
      </c>
      <c r="E8" s="153">
        <v>18095</v>
      </c>
      <c r="F8" s="153">
        <v>23796</v>
      </c>
      <c r="G8" s="153">
        <v>2925</v>
      </c>
      <c r="H8" s="18"/>
      <c r="I8" s="18"/>
      <c r="J8" s="18"/>
      <c r="K8" s="18"/>
      <c r="L8" s="236">
        <f t="shared" si="1"/>
        <v>0</v>
      </c>
    </row>
    <row r="9" spans="2:12" ht="15.75" thickBot="1">
      <c r="B9" s="65" t="s">
        <v>4</v>
      </c>
      <c r="C9" s="510" t="s">
        <v>5</v>
      </c>
      <c r="D9" s="504"/>
      <c r="E9" s="33">
        <f aca="true" t="shared" si="2" ref="E9:K9">SUM(E10:E12)</f>
        <v>14051</v>
      </c>
      <c r="F9" s="33">
        <f t="shared" si="2"/>
        <v>82274</v>
      </c>
      <c r="G9" s="33">
        <f t="shared" si="2"/>
        <v>22548</v>
      </c>
      <c r="H9" s="33">
        <f t="shared" si="2"/>
        <v>16320</v>
      </c>
      <c r="I9" s="33">
        <f t="shared" si="2"/>
        <v>0</v>
      </c>
      <c r="J9" s="33">
        <f t="shared" si="2"/>
        <v>0</v>
      </c>
      <c r="K9" s="33">
        <f t="shared" si="2"/>
        <v>0</v>
      </c>
      <c r="L9" s="221">
        <f t="shared" si="1"/>
        <v>16320</v>
      </c>
    </row>
    <row r="10" spans="2:12" ht="12.75">
      <c r="B10" s="552"/>
      <c r="C10" s="293">
        <v>630</v>
      </c>
      <c r="D10" s="19" t="s">
        <v>63</v>
      </c>
      <c r="E10" s="19">
        <v>2324</v>
      </c>
      <c r="F10" s="19">
        <v>1162</v>
      </c>
      <c r="G10" s="19">
        <v>2324</v>
      </c>
      <c r="H10" s="20">
        <v>3320</v>
      </c>
      <c r="I10" s="20"/>
      <c r="J10" s="20"/>
      <c r="K10" s="20"/>
      <c r="L10" s="229">
        <f t="shared" si="1"/>
        <v>3320</v>
      </c>
    </row>
    <row r="11" spans="2:12" ht="12.75">
      <c r="B11" s="553"/>
      <c r="C11" s="294">
        <v>630</v>
      </c>
      <c r="D11" s="21" t="s">
        <v>64</v>
      </c>
      <c r="E11" s="21">
        <v>11727</v>
      </c>
      <c r="F11" s="21">
        <v>13096</v>
      </c>
      <c r="G11" s="21">
        <v>9612</v>
      </c>
      <c r="H11" s="22">
        <v>13000</v>
      </c>
      <c r="I11" s="22"/>
      <c r="J11" s="22"/>
      <c r="K11" s="22"/>
      <c r="L11" s="230">
        <f t="shared" si="1"/>
        <v>13000</v>
      </c>
    </row>
    <row r="12" spans="2:12" ht="13.5" thickBot="1">
      <c r="B12" s="554"/>
      <c r="C12" s="295">
        <v>630</v>
      </c>
      <c r="D12" s="183" t="s">
        <v>279</v>
      </c>
      <c r="E12" s="21"/>
      <c r="F12" s="21">
        <v>68016</v>
      </c>
      <c r="G12" s="404">
        <v>10612</v>
      </c>
      <c r="H12" s="260"/>
      <c r="I12" s="260"/>
      <c r="J12" s="260"/>
      <c r="K12" s="260"/>
      <c r="L12" s="352">
        <f t="shared" si="1"/>
        <v>0</v>
      </c>
    </row>
    <row r="13" spans="2:12" s="28" customFormat="1" ht="15.75" thickBot="1">
      <c r="B13" s="65" t="s">
        <v>65</v>
      </c>
      <c r="C13" s="510" t="s">
        <v>200</v>
      </c>
      <c r="D13" s="504"/>
      <c r="E13" s="33">
        <f>SUM(E14:E17)</f>
        <v>28936</v>
      </c>
      <c r="F13" s="33">
        <f>SUM(F14:F17)</f>
        <v>27963</v>
      </c>
      <c r="G13" s="33">
        <f>SUM(G14:G17)</f>
        <v>24050</v>
      </c>
      <c r="H13" s="33">
        <f>SUM(H14:H16)</f>
        <v>27674</v>
      </c>
      <c r="I13" s="33">
        <f>SUM(I14:I16)</f>
        <v>0</v>
      </c>
      <c r="J13" s="33">
        <f>SUM(J14:J16)</f>
        <v>0</v>
      </c>
      <c r="K13" s="33">
        <f>SUM(K14:K16)</f>
        <v>0</v>
      </c>
      <c r="L13" s="221">
        <f t="shared" si="1"/>
        <v>27674</v>
      </c>
    </row>
    <row r="14" spans="2:12" ht="12.75">
      <c r="B14" s="552"/>
      <c r="C14" s="290">
        <v>610</v>
      </c>
      <c r="D14" s="13" t="s">
        <v>2</v>
      </c>
      <c r="E14" s="13">
        <v>17943</v>
      </c>
      <c r="F14" s="13">
        <v>18167</v>
      </c>
      <c r="G14" s="14">
        <v>15592</v>
      </c>
      <c r="H14" s="14">
        <v>17727</v>
      </c>
      <c r="I14" s="166"/>
      <c r="J14" s="166"/>
      <c r="K14" s="166"/>
      <c r="L14" s="227">
        <f t="shared" si="1"/>
        <v>17727</v>
      </c>
    </row>
    <row r="15" spans="2:12" ht="12.75">
      <c r="B15" s="553"/>
      <c r="C15" s="291">
        <v>620</v>
      </c>
      <c r="D15" s="15" t="s">
        <v>3</v>
      </c>
      <c r="E15" s="15">
        <v>6464</v>
      </c>
      <c r="F15" s="15">
        <v>6580</v>
      </c>
      <c r="G15" s="16">
        <v>5691</v>
      </c>
      <c r="H15" s="16">
        <v>6370</v>
      </c>
      <c r="I15" s="167"/>
      <c r="J15" s="167"/>
      <c r="K15" s="167"/>
      <c r="L15" s="228">
        <f t="shared" si="1"/>
        <v>6370</v>
      </c>
    </row>
    <row r="16" spans="2:12" ht="12.75">
      <c r="B16" s="553"/>
      <c r="C16" s="291">
        <v>630</v>
      </c>
      <c r="D16" s="15" t="s">
        <v>61</v>
      </c>
      <c r="E16" s="403">
        <v>4529</v>
      </c>
      <c r="F16" s="15">
        <v>3216</v>
      </c>
      <c r="G16" s="167">
        <v>2533</v>
      </c>
      <c r="H16" s="167">
        <v>3577</v>
      </c>
      <c r="I16" s="167"/>
      <c r="J16" s="167"/>
      <c r="K16" s="167"/>
      <c r="L16" s="228">
        <f t="shared" si="1"/>
        <v>3577</v>
      </c>
    </row>
    <row r="17" spans="2:12" ht="13.5" thickBot="1">
      <c r="B17" s="554"/>
      <c r="C17" s="292">
        <v>640</v>
      </c>
      <c r="D17" s="153" t="s">
        <v>288</v>
      </c>
      <c r="E17" s="406"/>
      <c r="F17" s="15"/>
      <c r="G17" s="386">
        <v>234</v>
      </c>
      <c r="H17" s="192"/>
      <c r="I17" s="192"/>
      <c r="J17" s="192"/>
      <c r="K17" s="192"/>
      <c r="L17" s="335"/>
    </row>
    <row r="18" spans="2:12" ht="15.75" thickBot="1">
      <c r="B18" s="65" t="s">
        <v>197</v>
      </c>
      <c r="C18" s="510" t="s">
        <v>204</v>
      </c>
      <c r="D18" s="504"/>
      <c r="E18" s="33">
        <f>E21+E19+E20+E22+E23</f>
        <v>31963</v>
      </c>
      <c r="F18" s="33">
        <f aca="true" t="shared" si="3" ref="F18:K18">F21+F19+F20+F22+F23</f>
        <v>33449</v>
      </c>
      <c r="G18" s="33">
        <f>G21+G19+G20+G22+G23</f>
        <v>18092</v>
      </c>
      <c r="H18" s="33">
        <f t="shared" si="3"/>
        <v>10980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221">
        <f t="shared" si="1"/>
        <v>10980</v>
      </c>
    </row>
    <row r="19" spans="2:12" ht="14.25" customHeight="1">
      <c r="B19" s="555"/>
      <c r="C19" s="290">
        <v>610</v>
      </c>
      <c r="D19" s="23" t="s">
        <v>2</v>
      </c>
      <c r="E19" s="23">
        <v>7692</v>
      </c>
      <c r="F19" s="23">
        <v>7969</v>
      </c>
      <c r="G19" s="23"/>
      <c r="H19" s="14">
        <v>7632</v>
      </c>
      <c r="I19" s="166"/>
      <c r="J19" s="166"/>
      <c r="K19" s="166"/>
      <c r="L19" s="227">
        <f t="shared" si="1"/>
        <v>7632</v>
      </c>
    </row>
    <row r="20" spans="2:12" ht="14.25" customHeight="1">
      <c r="B20" s="556"/>
      <c r="C20" s="291">
        <v>620</v>
      </c>
      <c r="D20" s="24" t="s">
        <v>3</v>
      </c>
      <c r="E20" s="24">
        <v>2683</v>
      </c>
      <c r="F20" s="24">
        <v>3469</v>
      </c>
      <c r="G20" s="24"/>
      <c r="H20" s="16">
        <v>2120</v>
      </c>
      <c r="I20" s="167"/>
      <c r="J20" s="167"/>
      <c r="K20" s="167"/>
      <c r="L20" s="228">
        <f t="shared" si="1"/>
        <v>2120</v>
      </c>
    </row>
    <row r="21" spans="2:12" ht="14.25" customHeight="1">
      <c r="B21" s="556"/>
      <c r="C21" s="291">
        <v>630</v>
      </c>
      <c r="D21" s="24" t="s">
        <v>61</v>
      </c>
      <c r="E21" s="24">
        <v>989</v>
      </c>
      <c r="F21" s="24">
        <v>1227</v>
      </c>
      <c r="G21" s="435">
        <v>18092</v>
      </c>
      <c r="H21" s="167">
        <v>1228</v>
      </c>
      <c r="I21" s="167"/>
      <c r="J21" s="167"/>
      <c r="K21" s="167"/>
      <c r="L21" s="228">
        <f t="shared" si="1"/>
        <v>1228</v>
      </c>
    </row>
    <row r="22" spans="2:12" ht="14.25" customHeight="1">
      <c r="B22" s="556"/>
      <c r="C22" s="291">
        <v>640</v>
      </c>
      <c r="D22" s="15" t="s">
        <v>288</v>
      </c>
      <c r="E22" s="24"/>
      <c r="F22" s="24">
        <v>3100</v>
      </c>
      <c r="G22" s="403"/>
      <c r="H22" s="167"/>
      <c r="I22" s="167"/>
      <c r="J22" s="167"/>
      <c r="K22" s="167"/>
      <c r="L22" s="228">
        <f t="shared" si="1"/>
        <v>0</v>
      </c>
    </row>
    <row r="23" spans="2:12" ht="14.25" customHeight="1" thickBot="1">
      <c r="B23" s="557"/>
      <c r="C23" s="296">
        <v>600</v>
      </c>
      <c r="D23" s="153" t="s">
        <v>289</v>
      </c>
      <c r="E23" s="24">
        <v>20599</v>
      </c>
      <c r="F23" s="24">
        <v>17684</v>
      </c>
      <c r="G23" s="406"/>
      <c r="H23" s="192"/>
      <c r="I23" s="192"/>
      <c r="J23" s="192"/>
      <c r="K23" s="192"/>
      <c r="L23" s="335">
        <f t="shared" si="1"/>
        <v>0</v>
      </c>
    </row>
    <row r="24" spans="2:12" s="28" customFormat="1" ht="15.75" thickBot="1">
      <c r="B24" s="65" t="s">
        <v>6</v>
      </c>
      <c r="C24" s="510" t="s">
        <v>7</v>
      </c>
      <c r="D24" s="504"/>
      <c r="E24" s="33">
        <f aca="true" t="shared" si="4" ref="E24:K24">E25</f>
        <v>84841</v>
      </c>
      <c r="F24" s="33">
        <f t="shared" si="4"/>
        <v>92558</v>
      </c>
      <c r="G24" s="33">
        <f t="shared" si="4"/>
        <v>89614</v>
      </c>
      <c r="H24" s="33">
        <f t="shared" si="4"/>
        <v>99500</v>
      </c>
      <c r="I24" s="33">
        <f t="shared" si="4"/>
        <v>0</v>
      </c>
      <c r="J24" s="33">
        <f t="shared" si="4"/>
        <v>0</v>
      </c>
      <c r="K24" s="33">
        <f t="shared" si="4"/>
        <v>0</v>
      </c>
      <c r="L24" s="221">
        <f t="shared" si="1"/>
        <v>99500</v>
      </c>
    </row>
    <row r="25" spans="2:12" ht="13.5" thickBot="1">
      <c r="B25" s="66"/>
      <c r="C25" s="297">
        <v>630</v>
      </c>
      <c r="D25" s="5" t="s">
        <v>8</v>
      </c>
      <c r="E25" s="407">
        <v>84841</v>
      </c>
      <c r="F25" s="407">
        <v>92558</v>
      </c>
      <c r="G25" s="192">
        <f>85367+4247</f>
        <v>89614</v>
      </c>
      <c r="H25" s="192">
        <v>99500</v>
      </c>
      <c r="I25" s="192"/>
      <c r="J25" s="192"/>
      <c r="K25" s="192"/>
      <c r="L25" s="335">
        <f t="shared" si="1"/>
        <v>99500</v>
      </c>
    </row>
    <row r="26" spans="2:12" s="28" customFormat="1" ht="15.75" thickBot="1">
      <c r="B26" s="65" t="s">
        <v>9</v>
      </c>
      <c r="C26" s="510" t="s">
        <v>10</v>
      </c>
      <c r="D26" s="504"/>
      <c r="E26" s="33">
        <f aca="true" t="shared" si="5" ref="E26:K26">E27</f>
        <v>366</v>
      </c>
      <c r="F26" s="33">
        <f t="shared" si="5"/>
        <v>274</v>
      </c>
      <c r="G26" s="33">
        <f t="shared" si="5"/>
        <v>464</v>
      </c>
      <c r="H26" s="33">
        <f t="shared" si="5"/>
        <v>500</v>
      </c>
      <c r="I26" s="33">
        <f t="shared" si="5"/>
        <v>0</v>
      </c>
      <c r="J26" s="33">
        <f t="shared" si="5"/>
        <v>0</v>
      </c>
      <c r="K26" s="33">
        <f t="shared" si="5"/>
        <v>0</v>
      </c>
      <c r="L26" s="221">
        <f t="shared" si="1"/>
        <v>500</v>
      </c>
    </row>
    <row r="27" spans="2:12" ht="13.5" thickBot="1">
      <c r="B27" s="67"/>
      <c r="C27" s="298"/>
      <c r="D27" s="5" t="s">
        <v>11</v>
      </c>
      <c r="E27" s="407">
        <v>366</v>
      </c>
      <c r="F27" s="407">
        <v>274</v>
      </c>
      <c r="G27" s="192">
        <v>464</v>
      </c>
      <c r="H27" s="192">
        <v>500</v>
      </c>
      <c r="I27" s="192"/>
      <c r="J27" s="192"/>
      <c r="K27" s="192"/>
      <c r="L27" s="335">
        <f t="shared" si="1"/>
        <v>500</v>
      </c>
    </row>
    <row r="28" spans="2:12" s="28" customFormat="1" ht="15.75" thickBot="1">
      <c r="B28" s="65" t="s">
        <v>12</v>
      </c>
      <c r="C28" s="510" t="s">
        <v>67</v>
      </c>
      <c r="D28" s="504"/>
      <c r="E28" s="33">
        <f aca="true" t="shared" si="6" ref="E28:K28">SUM(E29:E31)</f>
        <v>141454</v>
      </c>
      <c r="F28" s="33">
        <f t="shared" si="6"/>
        <v>150296</v>
      </c>
      <c r="G28" s="33">
        <f t="shared" si="6"/>
        <v>153336</v>
      </c>
      <c r="H28" s="33">
        <f t="shared" si="6"/>
        <v>145373</v>
      </c>
      <c r="I28" s="33">
        <f t="shared" si="6"/>
        <v>0</v>
      </c>
      <c r="J28" s="33">
        <f t="shared" si="6"/>
        <v>0</v>
      </c>
      <c r="K28" s="33">
        <f t="shared" si="6"/>
        <v>0</v>
      </c>
      <c r="L28" s="221">
        <f t="shared" si="1"/>
        <v>145373</v>
      </c>
    </row>
    <row r="29" spans="2:12" ht="12.75">
      <c r="B29" s="570"/>
      <c r="C29" s="290">
        <v>610</v>
      </c>
      <c r="D29" s="13" t="s">
        <v>2</v>
      </c>
      <c r="E29" s="13">
        <v>89012</v>
      </c>
      <c r="F29" s="13">
        <v>92984</v>
      </c>
      <c r="G29" s="14">
        <v>93001</v>
      </c>
      <c r="H29" s="14">
        <v>91727</v>
      </c>
      <c r="I29" s="166"/>
      <c r="J29" s="166"/>
      <c r="K29" s="166"/>
      <c r="L29" s="227">
        <f t="shared" si="1"/>
        <v>91727</v>
      </c>
    </row>
    <row r="30" spans="2:12" ht="12.75">
      <c r="B30" s="562"/>
      <c r="C30" s="291">
        <v>620</v>
      </c>
      <c r="D30" s="15" t="s">
        <v>3</v>
      </c>
      <c r="E30" s="15">
        <v>32877</v>
      </c>
      <c r="F30" s="15">
        <v>34488</v>
      </c>
      <c r="G30" s="16">
        <v>34548</v>
      </c>
      <c r="H30" s="16">
        <v>34046</v>
      </c>
      <c r="I30" s="167"/>
      <c r="J30" s="167"/>
      <c r="K30" s="167"/>
      <c r="L30" s="228">
        <f t="shared" si="1"/>
        <v>34046</v>
      </c>
    </row>
    <row r="31" spans="2:12" ht="13.5" thickBot="1">
      <c r="B31" s="562"/>
      <c r="C31" s="291">
        <v>630</v>
      </c>
      <c r="D31" s="15" t="s">
        <v>61</v>
      </c>
      <c r="E31" s="403">
        <v>19565</v>
      </c>
      <c r="F31" s="403">
        <v>22824</v>
      </c>
      <c r="G31" s="167">
        <f>25687+100</f>
        <v>25787</v>
      </c>
      <c r="H31" s="167">
        <v>19600</v>
      </c>
      <c r="I31" s="167"/>
      <c r="J31" s="167"/>
      <c r="K31" s="167"/>
      <c r="L31" s="228">
        <f t="shared" si="1"/>
        <v>19600</v>
      </c>
    </row>
    <row r="32" spans="2:12" ht="13.5" hidden="1" thickBot="1">
      <c r="B32" s="186"/>
      <c r="C32" s="291">
        <v>650</v>
      </c>
      <c r="D32" s="15" t="s">
        <v>203</v>
      </c>
      <c r="E32" s="407"/>
      <c r="F32" s="407"/>
      <c r="G32" s="407"/>
      <c r="H32" s="192"/>
      <c r="I32" s="192"/>
      <c r="J32" s="192"/>
      <c r="K32" s="192"/>
      <c r="L32" s="195">
        <f t="shared" si="1"/>
        <v>0</v>
      </c>
    </row>
    <row r="33" spans="2:12" s="28" customFormat="1" ht="15.75" thickBot="1">
      <c r="B33" s="65" t="s">
        <v>14</v>
      </c>
      <c r="C33" s="510" t="s">
        <v>15</v>
      </c>
      <c r="D33" s="504"/>
      <c r="E33" s="33">
        <f aca="true" t="shared" si="7" ref="E33:K33">E34</f>
        <v>600</v>
      </c>
      <c r="F33" s="33">
        <f t="shared" si="7"/>
        <v>1028</v>
      </c>
      <c r="G33" s="33">
        <f t="shared" si="7"/>
        <v>1230</v>
      </c>
      <c r="H33" s="33">
        <f t="shared" si="7"/>
        <v>1500</v>
      </c>
      <c r="I33" s="33">
        <f t="shared" si="7"/>
        <v>0</v>
      </c>
      <c r="J33" s="33">
        <f t="shared" si="7"/>
        <v>0</v>
      </c>
      <c r="K33" s="33">
        <f t="shared" si="7"/>
        <v>0</v>
      </c>
      <c r="L33" s="221">
        <f t="shared" si="1"/>
        <v>1500</v>
      </c>
    </row>
    <row r="34" spans="2:12" ht="13.5" thickBot="1">
      <c r="B34" s="67"/>
      <c r="C34" s="299"/>
      <c r="D34" s="10" t="s">
        <v>16</v>
      </c>
      <c r="E34" s="111">
        <v>600</v>
      </c>
      <c r="F34" s="111">
        <v>1028</v>
      </c>
      <c r="G34" s="111">
        <v>1230</v>
      </c>
      <c r="H34" s="9">
        <v>1500</v>
      </c>
      <c r="I34" s="9"/>
      <c r="J34" s="9"/>
      <c r="K34" s="9"/>
      <c r="L34" s="231">
        <f t="shared" si="1"/>
        <v>1500</v>
      </c>
    </row>
    <row r="35" spans="2:12" s="375" customFormat="1" ht="15.75" thickBot="1">
      <c r="B35" s="68" t="s">
        <v>55</v>
      </c>
      <c r="C35" s="510" t="s">
        <v>56</v>
      </c>
      <c r="D35" s="504"/>
      <c r="E35" s="59">
        <f>SUM(E36:E39)</f>
        <v>42993</v>
      </c>
      <c r="F35" s="59">
        <f>SUM(F36:F39)</f>
        <v>45897</v>
      </c>
      <c r="G35" s="59">
        <f>SUM(G36:G39)</f>
        <v>45604</v>
      </c>
      <c r="H35" s="59">
        <f>SUM(H36:H38)</f>
        <v>56442</v>
      </c>
      <c r="I35" s="59">
        <f>SUM(I36:I38)</f>
        <v>0</v>
      </c>
      <c r="J35" s="59">
        <f>SUM(J36:J38)</f>
        <v>0</v>
      </c>
      <c r="K35" s="59">
        <f>SUM(K36:K38)</f>
        <v>0</v>
      </c>
      <c r="L35" s="217">
        <f t="shared" si="1"/>
        <v>56442</v>
      </c>
    </row>
    <row r="36" spans="2:12" ht="12.75">
      <c r="B36" s="570"/>
      <c r="C36" s="290">
        <v>610</v>
      </c>
      <c r="D36" s="13" t="s">
        <v>2</v>
      </c>
      <c r="E36" s="408">
        <v>20165</v>
      </c>
      <c r="F36" s="408">
        <v>21683</v>
      </c>
      <c r="G36" s="408">
        <v>23558</v>
      </c>
      <c r="H36" s="166">
        <v>25482</v>
      </c>
      <c r="I36" s="166"/>
      <c r="J36" s="166"/>
      <c r="K36" s="166"/>
      <c r="L36" s="227">
        <f t="shared" si="1"/>
        <v>25482</v>
      </c>
    </row>
    <row r="37" spans="2:12" ht="12.75">
      <c r="B37" s="562"/>
      <c r="C37" s="291">
        <v>620</v>
      </c>
      <c r="D37" s="15" t="s">
        <v>3</v>
      </c>
      <c r="E37" s="403">
        <v>7285</v>
      </c>
      <c r="F37" s="403">
        <v>7713</v>
      </c>
      <c r="G37" s="403">
        <v>8188</v>
      </c>
      <c r="H37" s="167">
        <v>9410</v>
      </c>
      <c r="I37" s="167"/>
      <c r="J37" s="167"/>
      <c r="K37" s="167"/>
      <c r="L37" s="228">
        <f t="shared" si="1"/>
        <v>9410</v>
      </c>
    </row>
    <row r="38" spans="2:12" ht="12.75">
      <c r="B38" s="562"/>
      <c r="C38" s="291">
        <v>630</v>
      </c>
      <c r="D38" s="15" t="s">
        <v>61</v>
      </c>
      <c r="E38" s="403">
        <v>15543</v>
      </c>
      <c r="F38" s="403">
        <v>16501</v>
      </c>
      <c r="G38" s="403">
        <v>13727</v>
      </c>
      <c r="H38" s="167">
        <v>21550</v>
      </c>
      <c r="I38" s="167"/>
      <c r="J38" s="167"/>
      <c r="K38" s="167"/>
      <c r="L38" s="228">
        <f t="shared" si="1"/>
        <v>21550</v>
      </c>
    </row>
    <row r="39" spans="2:12" ht="13.5" thickBot="1">
      <c r="B39" s="563"/>
      <c r="C39" s="292">
        <v>640</v>
      </c>
      <c r="D39" s="153" t="s">
        <v>288</v>
      </c>
      <c r="E39" s="407"/>
      <c r="F39" s="407"/>
      <c r="G39" s="407">
        <v>131</v>
      </c>
      <c r="H39" s="192"/>
      <c r="I39" s="192"/>
      <c r="J39" s="192"/>
      <c r="K39" s="192"/>
      <c r="L39" s="335"/>
    </row>
    <row r="40" spans="2:12" s="28" customFormat="1" ht="15.75" thickBot="1">
      <c r="B40" s="65" t="s">
        <v>17</v>
      </c>
      <c r="C40" s="510" t="s">
        <v>18</v>
      </c>
      <c r="D40" s="504"/>
      <c r="E40" s="33">
        <f aca="true" t="shared" si="8" ref="E40:K40">E41</f>
        <v>269</v>
      </c>
      <c r="F40" s="33">
        <f t="shared" si="8"/>
        <v>182</v>
      </c>
      <c r="G40" s="33">
        <f t="shared" si="8"/>
        <v>104</v>
      </c>
      <c r="H40" s="33">
        <f t="shared" si="8"/>
        <v>200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221">
        <f t="shared" si="1"/>
        <v>200</v>
      </c>
    </row>
    <row r="41" spans="2:12" ht="13.5" thickBot="1">
      <c r="B41" s="69"/>
      <c r="C41" s="300">
        <v>640</v>
      </c>
      <c r="D41" s="11" t="s">
        <v>221</v>
      </c>
      <c r="E41" s="11">
        <v>269</v>
      </c>
      <c r="F41" s="11">
        <v>182</v>
      </c>
      <c r="G41" s="11">
        <v>104</v>
      </c>
      <c r="H41" s="9">
        <v>200</v>
      </c>
      <c r="I41" s="9"/>
      <c r="J41" s="9"/>
      <c r="K41" s="9"/>
      <c r="L41" s="231">
        <f t="shared" si="1"/>
        <v>200</v>
      </c>
    </row>
    <row r="42" spans="2:12" ht="15.75" thickBot="1">
      <c r="B42" s="65" t="s">
        <v>136</v>
      </c>
      <c r="C42" s="510" t="s">
        <v>30</v>
      </c>
      <c r="D42" s="504"/>
      <c r="E42" s="59">
        <f aca="true" t="shared" si="9" ref="E42:K42">SUM(E43:E45)</f>
        <v>30251</v>
      </c>
      <c r="F42" s="59">
        <f t="shared" si="9"/>
        <v>29902</v>
      </c>
      <c r="G42" s="59">
        <f t="shared" si="9"/>
        <v>27922</v>
      </c>
      <c r="H42" s="59">
        <f t="shared" si="9"/>
        <v>28226</v>
      </c>
      <c r="I42" s="59">
        <f t="shared" si="9"/>
        <v>0</v>
      </c>
      <c r="J42" s="59">
        <f t="shared" si="9"/>
        <v>0</v>
      </c>
      <c r="K42" s="59">
        <f t="shared" si="9"/>
        <v>0</v>
      </c>
      <c r="L42" s="217">
        <f t="shared" si="1"/>
        <v>28226</v>
      </c>
    </row>
    <row r="43" spans="2:12" ht="12.75">
      <c r="B43" s="570"/>
      <c r="C43" s="290">
        <v>610</v>
      </c>
      <c r="D43" s="13" t="s">
        <v>2</v>
      </c>
      <c r="E43" s="13">
        <v>19430</v>
      </c>
      <c r="F43" s="13">
        <v>19249</v>
      </c>
      <c r="G43" s="13">
        <v>18860</v>
      </c>
      <c r="H43" s="14">
        <v>18628</v>
      </c>
      <c r="I43" s="14"/>
      <c r="J43" s="14"/>
      <c r="K43" s="14"/>
      <c r="L43" s="227">
        <f t="shared" si="1"/>
        <v>18628</v>
      </c>
    </row>
    <row r="44" spans="2:12" ht="12.75">
      <c r="B44" s="562"/>
      <c r="C44" s="291">
        <v>620</v>
      </c>
      <c r="D44" s="15" t="s">
        <v>3</v>
      </c>
      <c r="E44" s="15">
        <v>6793</v>
      </c>
      <c r="F44" s="15">
        <v>6741</v>
      </c>
      <c r="G44" s="15">
        <v>6528</v>
      </c>
      <c r="H44" s="16">
        <v>6533</v>
      </c>
      <c r="I44" s="16"/>
      <c r="J44" s="16"/>
      <c r="K44" s="16"/>
      <c r="L44" s="228">
        <f t="shared" si="1"/>
        <v>6533</v>
      </c>
    </row>
    <row r="45" spans="2:12" ht="13.5" thickBot="1">
      <c r="B45" s="563"/>
      <c r="C45" s="301">
        <v>630</v>
      </c>
      <c r="D45" s="26" t="s">
        <v>61</v>
      </c>
      <c r="E45" s="26">
        <v>4028</v>
      </c>
      <c r="F45" s="26">
        <v>3912</v>
      </c>
      <c r="G45" s="26">
        <f>27588-25054</f>
        <v>2534</v>
      </c>
      <c r="H45" s="16">
        <v>3065</v>
      </c>
      <c r="I45" s="16"/>
      <c r="J45" s="16"/>
      <c r="K45" s="16"/>
      <c r="L45" s="228">
        <f t="shared" si="1"/>
        <v>3065</v>
      </c>
    </row>
    <row r="46" spans="2:12" s="28" customFormat="1" ht="15.75" thickBot="1">
      <c r="B46" s="65" t="s">
        <v>138</v>
      </c>
      <c r="C46" s="510" t="s">
        <v>19</v>
      </c>
      <c r="D46" s="504"/>
      <c r="E46" s="33">
        <f aca="true" t="shared" si="10" ref="E46:K46">SUM(E47:E50)</f>
        <v>294633</v>
      </c>
      <c r="F46" s="33">
        <f t="shared" si="10"/>
        <v>216960</v>
      </c>
      <c r="G46" s="33">
        <f t="shared" si="10"/>
        <v>236599</v>
      </c>
      <c r="H46" s="33">
        <f t="shared" si="10"/>
        <v>210344</v>
      </c>
      <c r="I46" s="33">
        <f t="shared" si="10"/>
        <v>0</v>
      </c>
      <c r="J46" s="33">
        <f t="shared" si="10"/>
        <v>0</v>
      </c>
      <c r="K46" s="33">
        <f t="shared" si="10"/>
        <v>0</v>
      </c>
      <c r="L46" s="221">
        <f t="shared" si="1"/>
        <v>210344</v>
      </c>
    </row>
    <row r="47" spans="2:12" s="28" customFormat="1" ht="13.5" customHeight="1">
      <c r="B47" s="555"/>
      <c r="C47" s="302">
        <v>640</v>
      </c>
      <c r="D47" s="78" t="s">
        <v>156</v>
      </c>
      <c r="E47" s="421">
        <v>234550</v>
      </c>
      <c r="F47" s="462">
        <v>150070</v>
      </c>
      <c r="G47" s="421">
        <v>167336</v>
      </c>
      <c r="H47" s="164">
        <v>148104</v>
      </c>
      <c r="I47" s="164"/>
      <c r="J47" s="164"/>
      <c r="K47" s="164"/>
      <c r="L47" s="229">
        <f t="shared" si="1"/>
        <v>148104</v>
      </c>
    </row>
    <row r="48" spans="2:12" s="28" customFormat="1" ht="13.5" customHeight="1">
      <c r="B48" s="556"/>
      <c r="C48" s="303">
        <v>630</v>
      </c>
      <c r="D48" s="145" t="s">
        <v>259</v>
      </c>
      <c r="E48" s="422">
        <v>3094</v>
      </c>
      <c r="F48" s="463">
        <v>2060</v>
      </c>
      <c r="G48" s="422">
        <v>1011</v>
      </c>
      <c r="H48" s="170">
        <v>4000</v>
      </c>
      <c r="I48" s="170"/>
      <c r="J48" s="170"/>
      <c r="K48" s="170"/>
      <c r="L48" s="232">
        <f t="shared" si="1"/>
        <v>4000</v>
      </c>
    </row>
    <row r="49" spans="2:12" s="28" customFormat="1" ht="13.5" customHeight="1" hidden="1">
      <c r="B49" s="556"/>
      <c r="C49" s="303">
        <v>630</v>
      </c>
      <c r="D49" s="145" t="s">
        <v>203</v>
      </c>
      <c r="E49" s="422"/>
      <c r="F49" s="463"/>
      <c r="G49" s="409"/>
      <c r="H49" s="170"/>
      <c r="I49" s="170"/>
      <c r="J49" s="170"/>
      <c r="K49" s="170"/>
      <c r="L49" s="232">
        <f t="shared" si="1"/>
        <v>0</v>
      </c>
    </row>
    <row r="50" spans="2:12" ht="13.5" thickBot="1">
      <c r="B50" s="557"/>
      <c r="C50" s="296">
        <v>640</v>
      </c>
      <c r="D50" s="193" t="s">
        <v>263</v>
      </c>
      <c r="E50" s="464">
        <v>56989</v>
      </c>
      <c r="F50" s="465">
        <v>64830</v>
      </c>
      <c r="G50" s="410">
        <v>68252</v>
      </c>
      <c r="H50" s="322">
        <v>58240</v>
      </c>
      <c r="I50" s="322"/>
      <c r="J50" s="322"/>
      <c r="K50" s="322"/>
      <c r="L50" s="353">
        <f t="shared" si="1"/>
        <v>58240</v>
      </c>
    </row>
    <row r="51" spans="2:14" s="28" customFormat="1" ht="15.75" thickBot="1">
      <c r="B51" s="71" t="s">
        <v>20</v>
      </c>
      <c r="C51" s="542" t="s">
        <v>21</v>
      </c>
      <c r="D51" s="493"/>
      <c r="E51" s="64">
        <f aca="true" t="shared" si="11" ref="E51:K51">SUM(E56:E64)+E52</f>
        <v>59613</v>
      </c>
      <c r="F51" s="64">
        <f t="shared" si="11"/>
        <v>58168</v>
      </c>
      <c r="G51" s="64">
        <f t="shared" si="11"/>
        <v>57293</v>
      </c>
      <c r="H51" s="64">
        <f t="shared" si="11"/>
        <v>48835</v>
      </c>
      <c r="I51" s="64">
        <f t="shared" si="11"/>
        <v>0</v>
      </c>
      <c r="J51" s="64">
        <f t="shared" si="11"/>
        <v>0</v>
      </c>
      <c r="K51" s="64">
        <f t="shared" si="11"/>
        <v>0</v>
      </c>
      <c r="L51" s="235">
        <f t="shared" si="1"/>
        <v>48835</v>
      </c>
      <c r="N51" s="427"/>
    </row>
    <row r="52" spans="2:12" ht="13.5" thickBot="1">
      <c r="B52" s="552"/>
      <c r="C52" s="568" t="s">
        <v>209</v>
      </c>
      <c r="D52" s="569"/>
      <c r="E52" s="247">
        <f>SUM(E53:E55)</f>
        <v>25388</v>
      </c>
      <c r="F52" s="247">
        <f aca="true" t="shared" si="12" ref="F52:K52">SUM(F53:F55)</f>
        <v>23577</v>
      </c>
      <c r="G52" s="247">
        <f t="shared" si="12"/>
        <v>25508</v>
      </c>
      <c r="H52" s="247">
        <f t="shared" si="12"/>
        <v>24175</v>
      </c>
      <c r="I52" s="247">
        <f t="shared" si="12"/>
        <v>0</v>
      </c>
      <c r="J52" s="247">
        <f t="shared" si="12"/>
        <v>0</v>
      </c>
      <c r="K52" s="247">
        <f t="shared" si="12"/>
        <v>0</v>
      </c>
      <c r="L52" s="233">
        <f t="shared" si="1"/>
        <v>24175</v>
      </c>
    </row>
    <row r="53" spans="2:12" ht="12.75">
      <c r="B53" s="553"/>
      <c r="C53" s="305">
        <v>610</v>
      </c>
      <c r="D53" s="76" t="s">
        <v>2</v>
      </c>
      <c r="E53" s="76">
        <v>17260</v>
      </c>
      <c r="F53" s="76">
        <v>15432</v>
      </c>
      <c r="G53" s="76">
        <v>15427</v>
      </c>
      <c r="H53" s="77">
        <v>16035</v>
      </c>
      <c r="I53" s="170"/>
      <c r="J53" s="170"/>
      <c r="K53" s="170"/>
      <c r="L53" s="232">
        <f t="shared" si="1"/>
        <v>16035</v>
      </c>
    </row>
    <row r="54" spans="2:12" ht="12.75">
      <c r="B54" s="553"/>
      <c r="C54" s="305">
        <v>620</v>
      </c>
      <c r="D54" s="76" t="s">
        <v>3</v>
      </c>
      <c r="E54" s="76">
        <v>6225</v>
      </c>
      <c r="F54" s="76">
        <v>5547</v>
      </c>
      <c r="G54" s="76">
        <v>5746</v>
      </c>
      <c r="H54" s="77">
        <v>6070</v>
      </c>
      <c r="I54" s="170"/>
      <c r="J54" s="170"/>
      <c r="K54" s="170"/>
      <c r="L54" s="232">
        <f t="shared" si="1"/>
        <v>6070</v>
      </c>
    </row>
    <row r="55" spans="2:12" ht="13.5" thickBot="1">
      <c r="B55" s="553"/>
      <c r="C55" s="306">
        <v>630</v>
      </c>
      <c r="D55" s="7" t="s">
        <v>61</v>
      </c>
      <c r="E55" s="411">
        <v>1903</v>
      </c>
      <c r="F55" s="411">
        <v>2598</v>
      </c>
      <c r="G55" s="411">
        <v>4335</v>
      </c>
      <c r="H55" s="322">
        <v>2070</v>
      </c>
      <c r="I55" s="322"/>
      <c r="J55" s="322"/>
      <c r="K55" s="322"/>
      <c r="L55" s="234">
        <f t="shared" si="1"/>
        <v>2070</v>
      </c>
    </row>
    <row r="56" spans="2:12" ht="12.75">
      <c r="B56" s="553"/>
      <c r="C56" s="305">
        <v>600</v>
      </c>
      <c r="D56" s="76" t="s">
        <v>22</v>
      </c>
      <c r="E56" s="76">
        <v>9190</v>
      </c>
      <c r="F56" s="76">
        <v>6912</v>
      </c>
      <c r="G56" s="76">
        <v>9446</v>
      </c>
      <c r="H56" s="20">
        <v>7000</v>
      </c>
      <c r="I56" s="20"/>
      <c r="J56" s="20"/>
      <c r="K56" s="20"/>
      <c r="L56" s="333">
        <f t="shared" si="1"/>
        <v>7000</v>
      </c>
    </row>
    <row r="57" spans="2:12" ht="12.75">
      <c r="B57" s="553"/>
      <c r="C57" s="305">
        <v>600</v>
      </c>
      <c r="D57" s="76" t="s">
        <v>324</v>
      </c>
      <c r="E57" s="76">
        <v>2000</v>
      </c>
      <c r="F57" s="76"/>
      <c r="G57" s="76"/>
      <c r="H57" s="77"/>
      <c r="I57" s="77"/>
      <c r="J57" s="77"/>
      <c r="K57" s="77"/>
      <c r="L57" s="334">
        <f t="shared" si="1"/>
        <v>0</v>
      </c>
    </row>
    <row r="58" spans="2:12" ht="12.75">
      <c r="B58" s="553"/>
      <c r="C58" s="305">
        <v>600</v>
      </c>
      <c r="D58" s="21" t="s">
        <v>23</v>
      </c>
      <c r="E58" s="21">
        <v>10000</v>
      </c>
      <c r="F58" s="21">
        <v>1500</v>
      </c>
      <c r="G58" s="21">
        <v>370</v>
      </c>
      <c r="H58" s="22">
        <v>1000</v>
      </c>
      <c r="I58" s="22"/>
      <c r="J58" s="22"/>
      <c r="K58" s="22"/>
      <c r="L58" s="334">
        <f t="shared" si="1"/>
        <v>1000</v>
      </c>
    </row>
    <row r="59" spans="2:12" ht="12.75">
      <c r="B59" s="553"/>
      <c r="C59" s="305">
        <v>600</v>
      </c>
      <c r="D59" s="21" t="s">
        <v>202</v>
      </c>
      <c r="E59" s="21">
        <v>1871</v>
      </c>
      <c r="F59" s="21">
        <v>2416</v>
      </c>
      <c r="G59" s="21">
        <v>4274</v>
      </c>
      <c r="H59" s="22">
        <v>2000</v>
      </c>
      <c r="I59" s="22"/>
      <c r="J59" s="22"/>
      <c r="K59" s="22"/>
      <c r="L59" s="334">
        <f t="shared" si="1"/>
        <v>2000</v>
      </c>
    </row>
    <row r="60" spans="2:12" ht="12.75">
      <c r="B60" s="553"/>
      <c r="C60" s="305">
        <v>600</v>
      </c>
      <c r="D60" s="21" t="s">
        <v>24</v>
      </c>
      <c r="E60" s="21">
        <v>3240</v>
      </c>
      <c r="F60" s="21">
        <v>832</v>
      </c>
      <c r="G60" s="21">
        <v>1493</v>
      </c>
      <c r="H60" s="22">
        <v>2000</v>
      </c>
      <c r="I60" s="22"/>
      <c r="J60" s="22"/>
      <c r="K60" s="22"/>
      <c r="L60" s="334">
        <f t="shared" si="1"/>
        <v>2000</v>
      </c>
    </row>
    <row r="61" spans="2:12" ht="13.5" customHeight="1">
      <c r="B61" s="553"/>
      <c r="C61" s="305">
        <v>600</v>
      </c>
      <c r="D61" s="21" t="s">
        <v>218</v>
      </c>
      <c r="E61" s="21">
        <v>7924</v>
      </c>
      <c r="F61" s="21">
        <v>11969</v>
      </c>
      <c r="G61" s="21">
        <v>11202</v>
      </c>
      <c r="H61" s="22">
        <v>7660</v>
      </c>
      <c r="I61" s="22"/>
      <c r="J61" s="22"/>
      <c r="K61" s="22"/>
      <c r="L61" s="334">
        <f t="shared" si="1"/>
        <v>7660</v>
      </c>
    </row>
    <row r="62" spans="2:12" ht="13.5" customHeight="1">
      <c r="B62" s="553"/>
      <c r="C62" s="305">
        <v>600</v>
      </c>
      <c r="D62" s="21" t="s">
        <v>266</v>
      </c>
      <c r="E62" s="21"/>
      <c r="F62" s="21"/>
      <c r="G62" s="21">
        <v>5000</v>
      </c>
      <c r="H62" s="22"/>
      <c r="I62" s="22"/>
      <c r="J62" s="22"/>
      <c r="K62" s="159"/>
      <c r="L62" s="243">
        <f t="shared" si="1"/>
        <v>0</v>
      </c>
    </row>
    <row r="63" spans="2:12" ht="12.75">
      <c r="B63" s="553"/>
      <c r="C63" s="305">
        <v>600</v>
      </c>
      <c r="D63" s="160" t="s">
        <v>267</v>
      </c>
      <c r="E63" s="21"/>
      <c r="F63" s="21">
        <v>4512</v>
      </c>
      <c r="G63" s="21"/>
      <c r="H63" s="77"/>
      <c r="I63" s="77"/>
      <c r="J63" s="77"/>
      <c r="K63" s="22"/>
      <c r="L63" s="243">
        <f t="shared" si="1"/>
        <v>0</v>
      </c>
    </row>
    <row r="64" spans="2:12" ht="13.5" thickBot="1">
      <c r="B64" s="554"/>
      <c r="C64" s="307">
        <v>600</v>
      </c>
      <c r="D64" s="17" t="s">
        <v>346</v>
      </c>
      <c r="E64" s="111"/>
      <c r="F64" s="111">
        <v>6450</v>
      </c>
      <c r="G64" s="111"/>
      <c r="H64" s="103">
        <v>5000</v>
      </c>
      <c r="I64" s="103"/>
      <c r="J64" s="103"/>
      <c r="K64" s="103"/>
      <c r="L64" s="244">
        <f t="shared" si="1"/>
        <v>5000</v>
      </c>
    </row>
    <row r="65" spans="2:12" s="28" customFormat="1" ht="15.75" thickBot="1">
      <c r="B65" s="65" t="s">
        <v>25</v>
      </c>
      <c r="C65" s="510" t="s">
        <v>26</v>
      </c>
      <c r="D65" s="504"/>
      <c r="E65" s="466">
        <v>22296</v>
      </c>
      <c r="F65" s="466">
        <v>33352</v>
      </c>
      <c r="G65" s="423">
        <v>37492</v>
      </c>
      <c r="H65" s="165">
        <v>23680</v>
      </c>
      <c r="I65" s="165"/>
      <c r="J65" s="165"/>
      <c r="K65" s="165"/>
      <c r="L65" s="221">
        <f t="shared" si="1"/>
        <v>23680</v>
      </c>
    </row>
    <row r="66" spans="2:12" ht="15.75" hidden="1" thickBot="1">
      <c r="B66" s="552"/>
      <c r="C66" s="308" t="s">
        <v>68</v>
      </c>
      <c r="D66" s="19" t="s">
        <v>181</v>
      </c>
      <c r="E66" s="397"/>
      <c r="F66" s="397"/>
      <c r="G66" s="397"/>
      <c r="H66" s="170"/>
      <c r="I66" s="170"/>
      <c r="J66" s="170"/>
      <c r="K66" s="170"/>
      <c r="L66" s="232">
        <f t="shared" si="1"/>
        <v>0</v>
      </c>
    </row>
    <row r="67" spans="2:12" ht="15.75" hidden="1" thickBot="1">
      <c r="B67" s="553"/>
      <c r="C67" s="309" t="s">
        <v>68</v>
      </c>
      <c r="D67" s="21" t="s">
        <v>182</v>
      </c>
      <c r="E67" s="397"/>
      <c r="F67" s="397"/>
      <c r="G67" s="397"/>
      <c r="H67" s="171"/>
      <c r="I67" s="171"/>
      <c r="J67" s="171"/>
      <c r="K67" s="171"/>
      <c r="L67" s="230">
        <f t="shared" si="1"/>
        <v>0</v>
      </c>
    </row>
    <row r="68" spans="1:12" ht="15.75" hidden="1" thickBot="1">
      <c r="A68" s="375"/>
      <c r="B68" s="554"/>
      <c r="C68" s="292">
        <v>600</v>
      </c>
      <c r="D68" s="17" t="s">
        <v>183</v>
      </c>
      <c r="E68" s="397"/>
      <c r="F68" s="397"/>
      <c r="G68" s="397"/>
      <c r="H68" s="169"/>
      <c r="I68" s="169"/>
      <c r="J68" s="169"/>
      <c r="K68" s="169"/>
      <c r="L68" s="240">
        <f t="shared" si="1"/>
        <v>0</v>
      </c>
    </row>
    <row r="69" spans="1:12" s="28" customFormat="1" ht="18" customHeight="1" thickBot="1">
      <c r="A69" s="116"/>
      <c r="B69" s="71" t="s">
        <v>27</v>
      </c>
      <c r="C69" s="558" t="s">
        <v>327</v>
      </c>
      <c r="D69" s="559"/>
      <c r="E69" s="64">
        <f aca="true" t="shared" si="13" ref="E69:K69">SUM(E70:E72)</f>
        <v>428961</v>
      </c>
      <c r="F69" s="64">
        <f t="shared" si="13"/>
        <v>454364</v>
      </c>
      <c r="G69" s="64">
        <f t="shared" si="13"/>
        <v>445324</v>
      </c>
      <c r="H69" s="64">
        <f t="shared" si="13"/>
        <v>435330</v>
      </c>
      <c r="I69" s="64">
        <f t="shared" si="13"/>
        <v>0</v>
      </c>
      <c r="J69" s="64">
        <f t="shared" si="13"/>
        <v>0</v>
      </c>
      <c r="K69" s="64">
        <f t="shared" si="13"/>
        <v>0</v>
      </c>
      <c r="L69" s="235">
        <f t="shared" si="1"/>
        <v>435330</v>
      </c>
    </row>
    <row r="70" spans="1:12" s="28" customFormat="1" ht="15" customHeight="1">
      <c r="A70" s="116"/>
      <c r="B70" s="555"/>
      <c r="C70" s="293">
        <v>650</v>
      </c>
      <c r="D70" s="129" t="s">
        <v>203</v>
      </c>
      <c r="E70" s="467">
        <v>1644</v>
      </c>
      <c r="F70" s="468"/>
      <c r="G70" s="413"/>
      <c r="H70" s="170"/>
      <c r="I70" s="170"/>
      <c r="J70" s="170"/>
      <c r="K70" s="170"/>
      <c r="L70" s="232">
        <f t="shared" si="1"/>
        <v>0</v>
      </c>
    </row>
    <row r="71" spans="2:12" ht="15" customHeight="1">
      <c r="B71" s="556"/>
      <c r="C71" s="309" t="s">
        <v>237</v>
      </c>
      <c r="D71" s="130" t="s">
        <v>238</v>
      </c>
      <c r="E71" s="469">
        <v>5301</v>
      </c>
      <c r="F71" s="470">
        <v>3974</v>
      </c>
      <c r="G71" s="424">
        <v>3974</v>
      </c>
      <c r="H71" s="171">
        <v>3980</v>
      </c>
      <c r="I71" s="171"/>
      <c r="J71" s="171"/>
      <c r="K71" s="171"/>
      <c r="L71" s="230">
        <f aca="true" t="shared" si="14" ref="L71:L137">H71+I71+J71+K71</f>
        <v>3980</v>
      </c>
    </row>
    <row r="72" spans="2:12" ht="15.75" customHeight="1" thickBot="1">
      <c r="B72" s="557"/>
      <c r="C72" s="295">
        <v>640</v>
      </c>
      <c r="D72" s="131" t="s">
        <v>227</v>
      </c>
      <c r="E72" s="471">
        <v>422016</v>
      </c>
      <c r="F72" s="472">
        <v>450390</v>
      </c>
      <c r="G72" s="425">
        <v>441350</v>
      </c>
      <c r="H72" s="326">
        <v>431350</v>
      </c>
      <c r="I72" s="326"/>
      <c r="J72" s="326"/>
      <c r="K72" s="326"/>
      <c r="L72" s="234">
        <f t="shared" si="14"/>
        <v>431350</v>
      </c>
    </row>
    <row r="73" spans="2:12" ht="15.75" customHeight="1" thickBot="1">
      <c r="B73" s="81" t="s">
        <v>309</v>
      </c>
      <c r="C73" s="564" t="s">
        <v>310</v>
      </c>
      <c r="D73" s="565"/>
      <c r="E73" s="261">
        <f aca="true" t="shared" si="15" ref="E73:K73">E74</f>
        <v>0</v>
      </c>
      <c r="F73" s="261">
        <f t="shared" si="15"/>
        <v>0</v>
      </c>
      <c r="G73" s="261">
        <f t="shared" si="15"/>
        <v>0</v>
      </c>
      <c r="H73" s="261">
        <f t="shared" si="15"/>
        <v>0</v>
      </c>
      <c r="I73" s="261">
        <f t="shared" si="15"/>
        <v>0</v>
      </c>
      <c r="J73" s="261">
        <f t="shared" si="15"/>
        <v>0</v>
      </c>
      <c r="K73" s="261">
        <f t="shared" si="15"/>
        <v>0</v>
      </c>
      <c r="L73" s="354">
        <f t="shared" si="14"/>
        <v>0</v>
      </c>
    </row>
    <row r="74" spans="2:12" ht="15.75" customHeight="1" thickBot="1">
      <c r="B74" s="203"/>
      <c r="C74" s="306">
        <v>630</v>
      </c>
      <c r="D74" s="204" t="s">
        <v>311</v>
      </c>
      <c r="E74" s="426"/>
      <c r="F74" s="426"/>
      <c r="G74" s="426"/>
      <c r="H74" s="322"/>
      <c r="I74" s="322"/>
      <c r="J74" s="322"/>
      <c r="K74" s="322"/>
      <c r="L74" s="353">
        <f t="shared" si="14"/>
        <v>0</v>
      </c>
    </row>
    <row r="75" spans="2:12" ht="15.75" thickBot="1">
      <c r="B75" s="71" t="s">
        <v>29</v>
      </c>
      <c r="C75" s="558" t="s">
        <v>31</v>
      </c>
      <c r="D75" s="559"/>
      <c r="E75" s="64">
        <f aca="true" t="shared" si="16" ref="E75:K75">SUM(E76:E79)</f>
        <v>159820</v>
      </c>
      <c r="F75" s="64">
        <f t="shared" si="16"/>
        <v>64721</v>
      </c>
      <c r="G75" s="64">
        <f t="shared" si="16"/>
        <v>10450</v>
      </c>
      <c r="H75" s="64">
        <f t="shared" si="16"/>
        <v>10917</v>
      </c>
      <c r="I75" s="64">
        <f t="shared" si="16"/>
        <v>0</v>
      </c>
      <c r="J75" s="64">
        <f t="shared" si="16"/>
        <v>0</v>
      </c>
      <c r="K75" s="64">
        <f t="shared" si="16"/>
        <v>0</v>
      </c>
      <c r="L75" s="235">
        <f t="shared" si="14"/>
        <v>10917</v>
      </c>
    </row>
    <row r="76" spans="2:12" ht="12.75">
      <c r="B76" s="552"/>
      <c r="C76" s="290">
        <v>610</v>
      </c>
      <c r="D76" s="13" t="s">
        <v>2</v>
      </c>
      <c r="E76" s="13">
        <v>7158</v>
      </c>
      <c r="F76" s="13">
        <v>7062</v>
      </c>
      <c r="G76" s="13">
        <v>6902</v>
      </c>
      <c r="H76" s="14">
        <v>6906</v>
      </c>
      <c r="I76" s="14"/>
      <c r="J76" s="14"/>
      <c r="K76" s="14"/>
      <c r="L76" s="227">
        <f t="shared" si="14"/>
        <v>6906</v>
      </c>
    </row>
    <row r="77" spans="2:12" ht="12.75">
      <c r="B77" s="553"/>
      <c r="C77" s="291">
        <v>620</v>
      </c>
      <c r="D77" s="15" t="s">
        <v>3</v>
      </c>
      <c r="E77" s="15">
        <v>2874</v>
      </c>
      <c r="F77" s="15">
        <v>2706</v>
      </c>
      <c r="G77" s="15">
        <v>2594</v>
      </c>
      <c r="H77" s="16">
        <v>2630</v>
      </c>
      <c r="I77" s="16"/>
      <c r="J77" s="16"/>
      <c r="K77" s="16"/>
      <c r="L77" s="228">
        <f t="shared" si="14"/>
        <v>2630</v>
      </c>
    </row>
    <row r="78" spans="2:12" ht="12.75">
      <c r="B78" s="553"/>
      <c r="C78" s="291">
        <v>630</v>
      </c>
      <c r="D78" s="15" t="s">
        <v>61</v>
      </c>
      <c r="E78" s="15">
        <v>1204</v>
      </c>
      <c r="F78" s="15">
        <v>1574</v>
      </c>
      <c r="G78" s="15">
        <v>954</v>
      </c>
      <c r="H78" s="16">
        <v>1381</v>
      </c>
      <c r="I78" s="16"/>
      <c r="J78" s="16"/>
      <c r="K78" s="16"/>
      <c r="L78" s="228">
        <f t="shared" si="14"/>
        <v>1381</v>
      </c>
    </row>
    <row r="79" spans="2:12" ht="13.5" thickBot="1">
      <c r="B79" s="566"/>
      <c r="C79" s="310">
        <v>600</v>
      </c>
      <c r="D79" s="288" t="s">
        <v>257</v>
      </c>
      <c r="E79" s="288">
        <v>148584</v>
      </c>
      <c r="F79" s="288">
        <v>53379</v>
      </c>
      <c r="G79" s="288"/>
      <c r="H79" s="289"/>
      <c r="I79" s="289"/>
      <c r="J79" s="289"/>
      <c r="K79" s="289"/>
      <c r="L79" s="355">
        <f t="shared" si="14"/>
        <v>0</v>
      </c>
    </row>
    <row r="80" spans="2:12" ht="16.5" thickBot="1" thickTop="1">
      <c r="B80" s="252" t="s">
        <v>32</v>
      </c>
      <c r="C80" s="560" t="s">
        <v>33</v>
      </c>
      <c r="D80" s="561"/>
      <c r="E80" s="251">
        <f aca="true" t="shared" si="17" ref="E80:K80">SUM(E81:E83)</f>
        <v>14580</v>
      </c>
      <c r="F80" s="251">
        <f t="shared" si="17"/>
        <v>13755</v>
      </c>
      <c r="G80" s="251">
        <f t="shared" si="17"/>
        <v>12987</v>
      </c>
      <c r="H80" s="251">
        <f t="shared" si="17"/>
        <v>13017</v>
      </c>
      <c r="I80" s="251">
        <f t="shared" si="17"/>
        <v>0</v>
      </c>
      <c r="J80" s="251">
        <f t="shared" si="17"/>
        <v>0</v>
      </c>
      <c r="K80" s="251">
        <f t="shared" si="17"/>
        <v>0</v>
      </c>
      <c r="L80" s="223">
        <f t="shared" si="14"/>
        <v>13017</v>
      </c>
    </row>
    <row r="81" spans="2:12" ht="12.75">
      <c r="B81" s="552"/>
      <c r="C81" s="290">
        <v>610</v>
      </c>
      <c r="D81" s="13" t="s">
        <v>2</v>
      </c>
      <c r="E81" s="13">
        <v>9523</v>
      </c>
      <c r="F81" s="13">
        <v>8900</v>
      </c>
      <c r="G81" s="13">
        <v>8730</v>
      </c>
      <c r="H81" s="14">
        <v>8730</v>
      </c>
      <c r="I81" s="166"/>
      <c r="J81" s="166"/>
      <c r="K81" s="166"/>
      <c r="L81" s="227">
        <f t="shared" si="14"/>
        <v>8730</v>
      </c>
    </row>
    <row r="82" spans="2:12" ht="12.75">
      <c r="B82" s="553"/>
      <c r="C82" s="291">
        <v>620</v>
      </c>
      <c r="D82" s="15" t="s">
        <v>3</v>
      </c>
      <c r="E82" s="15">
        <v>3617</v>
      </c>
      <c r="F82" s="15">
        <v>3393</v>
      </c>
      <c r="G82" s="15">
        <v>3330</v>
      </c>
      <c r="H82" s="16">
        <v>3303</v>
      </c>
      <c r="I82" s="167"/>
      <c r="J82" s="167"/>
      <c r="K82" s="167"/>
      <c r="L82" s="228">
        <f t="shared" si="14"/>
        <v>3303</v>
      </c>
    </row>
    <row r="83" spans="2:12" ht="13.5" thickBot="1">
      <c r="B83" s="554"/>
      <c r="C83" s="292">
        <v>630</v>
      </c>
      <c r="D83" s="17" t="s">
        <v>61</v>
      </c>
      <c r="E83" s="26">
        <v>1440</v>
      </c>
      <c r="F83" s="26">
        <v>1462</v>
      </c>
      <c r="G83" s="26">
        <v>927</v>
      </c>
      <c r="H83" s="27">
        <v>984</v>
      </c>
      <c r="I83" s="27"/>
      <c r="J83" s="27"/>
      <c r="K83" s="27"/>
      <c r="L83" s="240">
        <f t="shared" si="14"/>
        <v>984</v>
      </c>
    </row>
    <row r="84" spans="2:12" ht="15.75" thickBot="1">
      <c r="B84" s="71" t="s">
        <v>157</v>
      </c>
      <c r="C84" s="542" t="s">
        <v>158</v>
      </c>
      <c r="D84" s="493"/>
      <c r="E84" s="33">
        <f aca="true" t="shared" si="18" ref="E84:K84">SUM(E85:E95)</f>
        <v>207228</v>
      </c>
      <c r="F84" s="33">
        <f t="shared" si="18"/>
        <v>355838</v>
      </c>
      <c r="G84" s="33">
        <f t="shared" si="18"/>
        <v>219663</v>
      </c>
      <c r="H84" s="33">
        <f t="shared" si="18"/>
        <v>184564</v>
      </c>
      <c r="I84" s="33">
        <f t="shared" si="18"/>
        <v>184100</v>
      </c>
      <c r="J84" s="33">
        <f t="shared" si="18"/>
        <v>22577</v>
      </c>
      <c r="K84" s="33">
        <f t="shared" si="18"/>
        <v>0</v>
      </c>
      <c r="L84" s="221">
        <f t="shared" si="14"/>
        <v>391241</v>
      </c>
    </row>
    <row r="85" spans="2:13" ht="12.75">
      <c r="B85" s="562"/>
      <c r="C85" s="291">
        <v>630</v>
      </c>
      <c r="D85" s="15" t="s">
        <v>247</v>
      </c>
      <c r="E85" s="414">
        <v>50567</v>
      </c>
      <c r="F85" s="414">
        <v>116166</v>
      </c>
      <c r="G85" s="174"/>
      <c r="H85" s="174"/>
      <c r="I85" s="177">
        <v>149100</v>
      </c>
      <c r="J85" s="174">
        <v>15729</v>
      </c>
      <c r="K85" s="174"/>
      <c r="L85" s="238">
        <f t="shared" si="14"/>
        <v>164829</v>
      </c>
      <c r="M85" s="209"/>
    </row>
    <row r="86" spans="2:12" ht="12.75">
      <c r="B86" s="562"/>
      <c r="C86" s="301"/>
      <c r="D86" s="63" t="s">
        <v>280</v>
      </c>
      <c r="E86" s="134"/>
      <c r="F86" s="134">
        <v>19980</v>
      </c>
      <c r="G86" s="178"/>
      <c r="H86" s="167"/>
      <c r="I86" s="167"/>
      <c r="J86" s="167"/>
      <c r="K86" s="167"/>
      <c r="L86" s="228">
        <f t="shared" si="14"/>
        <v>0</v>
      </c>
    </row>
    <row r="87" spans="2:14" ht="12.75">
      <c r="B87" s="562"/>
      <c r="C87" s="301"/>
      <c r="D87" s="53" t="s">
        <v>392</v>
      </c>
      <c r="E87" s="134"/>
      <c r="F87" s="134"/>
      <c r="G87" s="178"/>
      <c r="H87" s="167"/>
      <c r="I87" s="167">
        <v>35000</v>
      </c>
      <c r="J87" s="167">
        <v>6848</v>
      </c>
      <c r="K87" s="167"/>
      <c r="L87" s="228">
        <f t="shared" si="14"/>
        <v>41848</v>
      </c>
      <c r="N87" s="209"/>
    </row>
    <row r="88" spans="2:12" ht="12.75">
      <c r="B88" s="562"/>
      <c r="C88" s="301">
        <v>630</v>
      </c>
      <c r="D88" s="15" t="s">
        <v>282</v>
      </c>
      <c r="E88" s="403">
        <v>4496</v>
      </c>
      <c r="F88" s="403">
        <v>46200</v>
      </c>
      <c r="G88" s="167"/>
      <c r="H88" s="167"/>
      <c r="I88" s="167"/>
      <c r="J88" s="167"/>
      <c r="K88" s="167"/>
      <c r="L88" s="228">
        <f t="shared" si="14"/>
        <v>0</v>
      </c>
    </row>
    <row r="89" spans="2:12" ht="12.75" customHeight="1">
      <c r="B89" s="562"/>
      <c r="C89" s="301">
        <v>630</v>
      </c>
      <c r="D89" s="15" t="s">
        <v>260</v>
      </c>
      <c r="E89" s="403">
        <v>800</v>
      </c>
      <c r="F89" s="403"/>
      <c r="G89" s="167"/>
      <c r="H89" s="167"/>
      <c r="I89" s="167"/>
      <c r="J89" s="167"/>
      <c r="K89" s="167"/>
      <c r="L89" s="228">
        <f t="shared" si="14"/>
        <v>0</v>
      </c>
    </row>
    <row r="90" spans="2:12" ht="12.75">
      <c r="B90" s="562"/>
      <c r="C90" s="301">
        <v>630</v>
      </c>
      <c r="D90" s="15" t="s">
        <v>236</v>
      </c>
      <c r="E90" s="403">
        <v>2124</v>
      </c>
      <c r="F90" s="403">
        <v>1200</v>
      </c>
      <c r="G90" s="167">
        <f>25728+5970+25054</f>
        <v>56752</v>
      </c>
      <c r="H90" s="167"/>
      <c r="I90" s="167"/>
      <c r="J90" s="167"/>
      <c r="K90" s="167"/>
      <c r="L90" s="228">
        <f t="shared" si="14"/>
        <v>0</v>
      </c>
    </row>
    <row r="91" spans="2:12" ht="12.75">
      <c r="B91" s="562"/>
      <c r="C91" s="301">
        <v>630</v>
      </c>
      <c r="D91" s="15" t="s">
        <v>328</v>
      </c>
      <c r="E91" s="403"/>
      <c r="F91" s="403">
        <v>22691</v>
      </c>
      <c r="G91" s="167">
        <v>859</v>
      </c>
      <c r="H91" s="167"/>
      <c r="I91" s="167"/>
      <c r="J91" s="167"/>
      <c r="K91" s="167"/>
      <c r="L91" s="228">
        <f t="shared" si="14"/>
        <v>0</v>
      </c>
    </row>
    <row r="92" spans="2:12" ht="13.5" customHeight="1">
      <c r="B92" s="562"/>
      <c r="C92" s="301">
        <v>630</v>
      </c>
      <c r="D92" s="15" t="s">
        <v>235</v>
      </c>
      <c r="E92" s="403">
        <v>4435</v>
      </c>
      <c r="F92" s="403"/>
      <c r="G92" s="167"/>
      <c r="H92" s="167">
        <v>8000</v>
      </c>
      <c r="I92" s="167"/>
      <c r="J92" s="167"/>
      <c r="K92" s="167"/>
      <c r="L92" s="228">
        <f t="shared" si="14"/>
        <v>8000</v>
      </c>
    </row>
    <row r="93" spans="2:12" ht="13.5" customHeight="1">
      <c r="B93" s="562"/>
      <c r="C93" s="301">
        <v>630</v>
      </c>
      <c r="D93" s="26" t="s">
        <v>315</v>
      </c>
      <c r="E93" s="26">
        <v>931</v>
      </c>
      <c r="F93" s="26">
        <v>0</v>
      </c>
      <c r="G93" s="27"/>
      <c r="H93" s="27"/>
      <c r="I93" s="27"/>
      <c r="J93" s="27"/>
      <c r="K93" s="27"/>
      <c r="L93" s="240">
        <f t="shared" si="14"/>
        <v>0</v>
      </c>
    </row>
    <row r="94" spans="2:12" ht="12.75">
      <c r="B94" s="562"/>
      <c r="C94" s="301">
        <v>630</v>
      </c>
      <c r="D94" s="26" t="s">
        <v>240</v>
      </c>
      <c r="E94" s="412">
        <v>10805</v>
      </c>
      <c r="F94" s="412">
        <v>3148</v>
      </c>
      <c r="G94" s="27">
        <f>2890+1395+2974+8613+1646</f>
        <v>17518</v>
      </c>
      <c r="H94" s="169">
        <v>32030</v>
      </c>
      <c r="I94" s="169"/>
      <c r="J94" s="169"/>
      <c r="K94" s="169"/>
      <c r="L94" s="240">
        <f t="shared" si="14"/>
        <v>32030</v>
      </c>
    </row>
    <row r="95" spans="2:12" ht="13.5" thickBot="1">
      <c r="B95" s="563"/>
      <c r="C95" s="292">
        <v>640</v>
      </c>
      <c r="D95" s="17" t="s">
        <v>159</v>
      </c>
      <c r="E95" s="17">
        <v>133070</v>
      </c>
      <c r="F95" s="17">
        <v>146453</v>
      </c>
      <c r="G95" s="18">
        <v>144534</v>
      </c>
      <c r="H95" s="27">
        <v>144534</v>
      </c>
      <c r="I95" s="27"/>
      <c r="J95" s="27"/>
      <c r="K95" s="27"/>
      <c r="L95" s="240">
        <f t="shared" si="14"/>
        <v>144534</v>
      </c>
    </row>
    <row r="96" spans="2:12" ht="15.75" thickBot="1">
      <c r="B96" s="71" t="s">
        <v>34</v>
      </c>
      <c r="C96" s="542" t="s">
        <v>35</v>
      </c>
      <c r="D96" s="493"/>
      <c r="E96" s="33">
        <f aca="true" t="shared" si="19" ref="E96:K96">E97</f>
        <v>5041</v>
      </c>
      <c r="F96" s="33">
        <f t="shared" si="19"/>
        <v>5609</v>
      </c>
      <c r="G96" s="33">
        <f t="shared" si="19"/>
        <v>6003</v>
      </c>
      <c r="H96" s="33">
        <f t="shared" si="19"/>
        <v>6000</v>
      </c>
      <c r="I96" s="33">
        <f t="shared" si="19"/>
        <v>0</v>
      </c>
      <c r="J96" s="33">
        <f t="shared" si="19"/>
        <v>0</v>
      </c>
      <c r="K96" s="33">
        <f t="shared" si="19"/>
        <v>0</v>
      </c>
      <c r="L96" s="221">
        <f t="shared" si="14"/>
        <v>6000</v>
      </c>
    </row>
    <row r="97" spans="2:12" ht="13.5" thickBot="1">
      <c r="B97" s="70"/>
      <c r="C97" s="311"/>
      <c r="D97" s="8" t="s">
        <v>231</v>
      </c>
      <c r="E97" s="415">
        <v>5041</v>
      </c>
      <c r="F97" s="415">
        <v>5609</v>
      </c>
      <c r="G97" s="415">
        <v>6003</v>
      </c>
      <c r="H97" s="168">
        <v>6000</v>
      </c>
      <c r="I97" s="168"/>
      <c r="J97" s="168"/>
      <c r="K97" s="168"/>
      <c r="L97" s="231">
        <f t="shared" si="14"/>
        <v>6000</v>
      </c>
    </row>
    <row r="98" spans="2:12" ht="15.75" thickBot="1">
      <c r="B98" s="71" t="s">
        <v>142</v>
      </c>
      <c r="C98" s="542" t="s">
        <v>143</v>
      </c>
      <c r="D98" s="493"/>
      <c r="E98" s="64">
        <f aca="true" t="shared" si="20" ref="E98:K98">E99</f>
        <v>173560</v>
      </c>
      <c r="F98" s="64">
        <f t="shared" si="20"/>
        <v>168880</v>
      </c>
      <c r="G98" s="64">
        <f t="shared" si="20"/>
        <v>168880</v>
      </c>
      <c r="H98" s="64">
        <f t="shared" si="20"/>
        <v>166668</v>
      </c>
      <c r="I98" s="64">
        <f t="shared" si="20"/>
        <v>0</v>
      </c>
      <c r="J98" s="64">
        <f t="shared" si="20"/>
        <v>0</v>
      </c>
      <c r="K98" s="64">
        <f t="shared" si="20"/>
        <v>0</v>
      </c>
      <c r="L98" s="235">
        <f t="shared" si="14"/>
        <v>166668</v>
      </c>
    </row>
    <row r="99" spans="2:12" ht="13.5" thickBot="1">
      <c r="B99" s="70"/>
      <c r="C99" s="311">
        <v>640</v>
      </c>
      <c r="D99" s="8" t="s">
        <v>160</v>
      </c>
      <c r="E99" s="415">
        <v>173560</v>
      </c>
      <c r="F99" s="415">
        <v>168880</v>
      </c>
      <c r="G99" s="415">
        <v>168880</v>
      </c>
      <c r="H99" s="168">
        <v>166668</v>
      </c>
      <c r="I99" s="168"/>
      <c r="J99" s="168"/>
      <c r="K99" s="168"/>
      <c r="L99" s="231">
        <f t="shared" si="14"/>
        <v>166668</v>
      </c>
    </row>
    <row r="100" spans="2:14" ht="15.75" thickBot="1">
      <c r="B100" s="71" t="s">
        <v>144</v>
      </c>
      <c r="C100" s="542" t="s">
        <v>145</v>
      </c>
      <c r="D100" s="493"/>
      <c r="E100" s="64">
        <f aca="true" t="shared" si="21" ref="E100:K100">SUM(E101:E105)</f>
        <v>283963</v>
      </c>
      <c r="F100" s="64">
        <f t="shared" si="21"/>
        <v>347786</v>
      </c>
      <c r="G100" s="64">
        <f t="shared" si="21"/>
        <v>268221</v>
      </c>
      <c r="H100" s="64">
        <f t="shared" si="21"/>
        <v>304829</v>
      </c>
      <c r="I100" s="64">
        <f t="shared" si="21"/>
        <v>0</v>
      </c>
      <c r="J100" s="64">
        <f t="shared" si="21"/>
        <v>0</v>
      </c>
      <c r="K100" s="64">
        <f t="shared" si="21"/>
        <v>0</v>
      </c>
      <c r="L100" s="235">
        <f t="shared" si="14"/>
        <v>304829</v>
      </c>
      <c r="N100" s="209"/>
    </row>
    <row r="101" spans="2:12" ht="12.75">
      <c r="B101" s="555"/>
      <c r="C101" s="290">
        <v>610</v>
      </c>
      <c r="D101" s="13" t="s">
        <v>2</v>
      </c>
      <c r="E101" s="13">
        <v>264635</v>
      </c>
      <c r="F101" s="13">
        <v>24997</v>
      </c>
      <c r="G101" s="13">
        <v>24062</v>
      </c>
      <c r="H101" s="20">
        <v>24120</v>
      </c>
      <c r="I101" s="164"/>
      <c r="J101" s="164"/>
      <c r="K101" s="164"/>
      <c r="L101" s="229">
        <f t="shared" si="14"/>
        <v>24120</v>
      </c>
    </row>
    <row r="102" spans="2:12" ht="12.75">
      <c r="B102" s="556"/>
      <c r="C102" s="291">
        <v>620</v>
      </c>
      <c r="D102" s="15" t="s">
        <v>3</v>
      </c>
      <c r="E102" s="15"/>
      <c r="F102" s="15">
        <v>9316</v>
      </c>
      <c r="G102" s="15">
        <v>8959</v>
      </c>
      <c r="H102" s="22">
        <v>8860</v>
      </c>
      <c r="I102" s="171"/>
      <c r="J102" s="171"/>
      <c r="K102" s="171"/>
      <c r="L102" s="230">
        <f t="shared" si="14"/>
        <v>8860</v>
      </c>
    </row>
    <row r="103" spans="2:12" ht="12.75">
      <c r="B103" s="556"/>
      <c r="C103" s="291">
        <v>630</v>
      </c>
      <c r="D103" s="15" t="s">
        <v>61</v>
      </c>
      <c r="E103" s="15"/>
      <c r="F103" s="15"/>
      <c r="G103" s="15">
        <f>212898</f>
        <v>212898</v>
      </c>
      <c r="H103" s="22">
        <v>249705</v>
      </c>
      <c r="I103" s="171"/>
      <c r="J103" s="171"/>
      <c r="K103" s="171"/>
      <c r="L103" s="230">
        <f t="shared" si="14"/>
        <v>249705</v>
      </c>
    </row>
    <row r="104" spans="2:12" ht="12.75">
      <c r="B104" s="556"/>
      <c r="C104" s="336">
        <v>640</v>
      </c>
      <c r="D104" s="24" t="s">
        <v>288</v>
      </c>
      <c r="E104" s="403"/>
      <c r="F104" s="403">
        <v>291329</v>
      </c>
      <c r="G104" s="403">
        <v>158</v>
      </c>
      <c r="H104" s="171"/>
      <c r="I104" s="171"/>
      <c r="J104" s="171"/>
      <c r="K104" s="171"/>
      <c r="L104" s="230"/>
    </row>
    <row r="105" spans="2:12" ht="13.5" thickBot="1">
      <c r="B105" s="567"/>
      <c r="C105" s="304">
        <v>640</v>
      </c>
      <c r="D105" s="253" t="s">
        <v>160</v>
      </c>
      <c r="E105" s="416">
        <v>19328</v>
      </c>
      <c r="F105" s="416">
        <v>22144</v>
      </c>
      <c r="G105" s="416">
        <v>22144</v>
      </c>
      <c r="H105" s="254">
        <v>22144</v>
      </c>
      <c r="I105" s="254"/>
      <c r="J105" s="254"/>
      <c r="K105" s="254"/>
      <c r="L105" s="356">
        <f t="shared" si="14"/>
        <v>22144</v>
      </c>
    </row>
    <row r="106" spans="2:14" ht="16.5" thickBot="1" thickTop="1">
      <c r="B106" s="252" t="s">
        <v>36</v>
      </c>
      <c r="C106" s="535" t="s">
        <v>213</v>
      </c>
      <c r="D106" s="536"/>
      <c r="E106" s="251">
        <f aca="true" t="shared" si="22" ref="E106:K106">SUM(E107:E108)</f>
        <v>262675</v>
      </c>
      <c r="F106" s="251">
        <f t="shared" si="22"/>
        <v>162661</v>
      </c>
      <c r="G106" s="251">
        <f t="shared" si="22"/>
        <v>165913</v>
      </c>
      <c r="H106" s="251">
        <f t="shared" si="22"/>
        <v>166713</v>
      </c>
      <c r="I106" s="251">
        <f t="shared" si="22"/>
        <v>0</v>
      </c>
      <c r="J106" s="251">
        <f t="shared" si="22"/>
        <v>0</v>
      </c>
      <c r="K106" s="251">
        <f t="shared" si="22"/>
        <v>0</v>
      </c>
      <c r="L106" s="223">
        <f t="shared" si="14"/>
        <v>166713</v>
      </c>
      <c r="N106" s="209"/>
    </row>
    <row r="107" spans="2:12" ht="12.75">
      <c r="B107" s="552"/>
      <c r="C107" s="312"/>
      <c r="D107" s="13" t="s">
        <v>264</v>
      </c>
      <c r="E107" s="414">
        <v>202225</v>
      </c>
      <c r="F107" s="414">
        <v>118262</v>
      </c>
      <c r="G107" s="414">
        <v>116713</v>
      </c>
      <c r="H107" s="174">
        <v>116713</v>
      </c>
      <c r="I107" s="174"/>
      <c r="J107" s="174"/>
      <c r="K107" s="174"/>
      <c r="L107" s="238">
        <f t="shared" si="14"/>
        <v>116713</v>
      </c>
    </row>
    <row r="108" spans="2:12" ht="13.5" thickBot="1">
      <c r="B108" s="554"/>
      <c r="C108" s="376"/>
      <c r="D108" s="17" t="s">
        <v>222</v>
      </c>
      <c r="E108" s="412">
        <v>60450</v>
      </c>
      <c r="F108" s="412">
        <v>44399</v>
      </c>
      <c r="G108" s="412">
        <v>49200</v>
      </c>
      <c r="H108" s="169">
        <v>50000</v>
      </c>
      <c r="I108" s="169"/>
      <c r="J108" s="169"/>
      <c r="K108" s="169"/>
      <c r="L108" s="240">
        <f t="shared" si="14"/>
        <v>50000</v>
      </c>
    </row>
    <row r="109" spans="2:12" ht="15.75" thickBot="1">
      <c r="B109" s="65" t="s">
        <v>37</v>
      </c>
      <c r="C109" s="510" t="s">
        <v>38</v>
      </c>
      <c r="D109" s="504"/>
      <c r="E109" s="33">
        <f aca="true" t="shared" si="23" ref="E109:K109">SUM(E110:E118)</f>
        <v>399432</v>
      </c>
      <c r="F109" s="33">
        <f t="shared" si="23"/>
        <v>332348</v>
      </c>
      <c r="G109" s="33">
        <f t="shared" si="23"/>
        <v>315787</v>
      </c>
      <c r="H109" s="33">
        <f t="shared" si="23"/>
        <v>319760</v>
      </c>
      <c r="I109" s="33">
        <f t="shared" si="23"/>
        <v>0</v>
      </c>
      <c r="J109" s="33">
        <f t="shared" si="23"/>
        <v>4152</v>
      </c>
      <c r="K109" s="33">
        <f t="shared" si="23"/>
        <v>0</v>
      </c>
      <c r="L109" s="221">
        <f t="shared" si="14"/>
        <v>323912</v>
      </c>
    </row>
    <row r="110" spans="2:12" ht="12.75">
      <c r="B110" s="552"/>
      <c r="C110" s="313"/>
      <c r="D110" s="23" t="s">
        <v>39</v>
      </c>
      <c r="E110" s="24">
        <v>6756</v>
      </c>
      <c r="F110" s="24">
        <v>7114</v>
      </c>
      <c r="G110" s="417">
        <f>1355+1143+4615</f>
        <v>7113</v>
      </c>
      <c r="H110" s="166">
        <v>7000</v>
      </c>
      <c r="I110" s="166"/>
      <c r="J110" s="166"/>
      <c r="K110" s="166"/>
      <c r="L110" s="227">
        <f t="shared" si="14"/>
        <v>7000</v>
      </c>
    </row>
    <row r="111" spans="2:12" ht="12.75">
      <c r="B111" s="553"/>
      <c r="C111" s="314"/>
      <c r="D111" s="24" t="s">
        <v>230</v>
      </c>
      <c r="E111" s="24">
        <v>48971</v>
      </c>
      <c r="F111" s="24"/>
      <c r="G111" s="418"/>
      <c r="H111" s="174">
        <v>0</v>
      </c>
      <c r="I111" s="174"/>
      <c r="J111" s="174"/>
      <c r="K111" s="174"/>
      <c r="L111" s="238">
        <f t="shared" si="14"/>
        <v>0</v>
      </c>
    </row>
    <row r="112" spans="2:12" ht="12.75">
      <c r="B112" s="553"/>
      <c r="C112" s="314"/>
      <c r="D112" s="24" t="s">
        <v>252</v>
      </c>
      <c r="E112" s="24">
        <v>24304</v>
      </c>
      <c r="F112" s="24">
        <v>10566</v>
      </c>
      <c r="G112" s="418">
        <v>3350</v>
      </c>
      <c r="H112" s="174"/>
      <c r="I112" s="174"/>
      <c r="J112" s="174"/>
      <c r="K112" s="174"/>
      <c r="L112" s="238">
        <f t="shared" si="14"/>
        <v>0</v>
      </c>
    </row>
    <row r="113" spans="2:12" ht="12.75">
      <c r="B113" s="553"/>
      <c r="C113" s="314"/>
      <c r="D113" s="24" t="s">
        <v>339</v>
      </c>
      <c r="E113" s="24"/>
      <c r="F113" s="24"/>
      <c r="G113" s="418"/>
      <c r="H113" s="174">
        <v>0</v>
      </c>
      <c r="I113" s="174"/>
      <c r="J113" s="174"/>
      <c r="K113" s="174"/>
      <c r="L113" s="238">
        <f t="shared" si="14"/>
        <v>0</v>
      </c>
    </row>
    <row r="114" spans="2:12" ht="12.75">
      <c r="B114" s="553"/>
      <c r="C114" s="315"/>
      <c r="D114" s="24" t="s">
        <v>262</v>
      </c>
      <c r="E114" s="24">
        <v>13552</v>
      </c>
      <c r="F114" s="24">
        <v>11060</v>
      </c>
      <c r="G114" s="405">
        <v>9650</v>
      </c>
      <c r="H114" s="167">
        <v>10000</v>
      </c>
      <c r="I114" s="167"/>
      <c r="J114" s="167"/>
      <c r="K114" s="167"/>
      <c r="L114" s="228">
        <f t="shared" si="14"/>
        <v>10000</v>
      </c>
    </row>
    <row r="115" spans="2:12" ht="12.75">
      <c r="B115" s="553"/>
      <c r="C115" s="315"/>
      <c r="D115" s="24" t="s">
        <v>210</v>
      </c>
      <c r="E115" s="24">
        <v>152242</v>
      </c>
      <c r="F115" s="24">
        <v>162681</v>
      </c>
      <c r="G115" s="24">
        <v>150333</v>
      </c>
      <c r="H115" s="16">
        <v>134218</v>
      </c>
      <c r="I115" s="167"/>
      <c r="J115" s="167"/>
      <c r="K115" s="167"/>
      <c r="L115" s="228">
        <f t="shared" si="14"/>
        <v>134218</v>
      </c>
    </row>
    <row r="116" spans="2:12" ht="12.75">
      <c r="B116" s="553"/>
      <c r="C116" s="315"/>
      <c r="D116" s="24" t="s">
        <v>211</v>
      </c>
      <c r="E116" s="24">
        <v>86643</v>
      </c>
      <c r="F116" s="24">
        <v>82311</v>
      </c>
      <c r="G116" s="24">
        <v>93232</v>
      </c>
      <c r="H116" s="16">
        <v>109100</v>
      </c>
      <c r="I116" s="167"/>
      <c r="J116" s="167"/>
      <c r="K116" s="167"/>
      <c r="L116" s="228">
        <f t="shared" si="14"/>
        <v>109100</v>
      </c>
    </row>
    <row r="117" spans="2:12" ht="12.75">
      <c r="B117" s="553"/>
      <c r="C117" s="346"/>
      <c r="D117" s="15" t="s">
        <v>212</v>
      </c>
      <c r="E117" s="15">
        <v>66964</v>
      </c>
      <c r="F117" s="15">
        <v>58616</v>
      </c>
      <c r="G117" s="15">
        <v>52109</v>
      </c>
      <c r="H117" s="16">
        <v>49442</v>
      </c>
      <c r="I117" s="16"/>
      <c r="J117" s="16"/>
      <c r="K117" s="16"/>
      <c r="L117" s="228">
        <f t="shared" si="14"/>
        <v>49442</v>
      </c>
    </row>
    <row r="118" spans="2:12" ht="13.5" thickBot="1">
      <c r="B118" s="554"/>
      <c r="C118" s="347"/>
      <c r="D118" s="17" t="s">
        <v>358</v>
      </c>
      <c r="E118" s="17"/>
      <c r="F118" s="17"/>
      <c r="G118" s="17"/>
      <c r="H118" s="18">
        <v>10000</v>
      </c>
      <c r="I118" s="18"/>
      <c r="J118" s="18">
        <f>5000-848</f>
        <v>4152</v>
      </c>
      <c r="K118" s="18"/>
      <c r="L118" s="236">
        <f t="shared" si="14"/>
        <v>14152</v>
      </c>
    </row>
    <row r="119" spans="2:12" s="29" customFormat="1" ht="15.75" thickBot="1">
      <c r="B119" s="81" t="s">
        <v>150</v>
      </c>
      <c r="C119" s="510" t="s">
        <v>151</v>
      </c>
      <c r="D119" s="504"/>
      <c r="E119" s="64">
        <f aca="true" t="shared" si="24" ref="E119:K119">SUM(E120:E121)</f>
        <v>48691</v>
      </c>
      <c r="F119" s="64">
        <f t="shared" si="24"/>
        <v>46108</v>
      </c>
      <c r="G119" s="64">
        <f t="shared" si="24"/>
        <v>47470</v>
      </c>
      <c r="H119" s="64">
        <f t="shared" si="24"/>
        <v>42400</v>
      </c>
      <c r="I119" s="64">
        <f t="shared" si="24"/>
        <v>0</v>
      </c>
      <c r="J119" s="64">
        <f t="shared" si="24"/>
        <v>0</v>
      </c>
      <c r="K119" s="64">
        <f t="shared" si="24"/>
        <v>0</v>
      </c>
      <c r="L119" s="235">
        <f t="shared" si="14"/>
        <v>42400</v>
      </c>
    </row>
    <row r="120" spans="2:12" ht="12.75">
      <c r="B120" s="552"/>
      <c r="C120" s="290">
        <v>630</v>
      </c>
      <c r="D120" s="23" t="s">
        <v>152</v>
      </c>
      <c r="E120" s="417">
        <v>38795</v>
      </c>
      <c r="F120" s="13">
        <v>36600</v>
      </c>
      <c r="G120" s="417">
        <v>37500</v>
      </c>
      <c r="H120" s="166">
        <v>34200</v>
      </c>
      <c r="I120" s="166"/>
      <c r="J120" s="166"/>
      <c r="K120" s="166"/>
      <c r="L120" s="227">
        <f t="shared" si="14"/>
        <v>34200</v>
      </c>
    </row>
    <row r="121" spans="2:12" ht="13.5" thickBot="1">
      <c r="B121" s="554"/>
      <c r="C121" s="292">
        <v>630</v>
      </c>
      <c r="D121" s="25" t="s">
        <v>153</v>
      </c>
      <c r="E121" s="419">
        <v>9896</v>
      </c>
      <c r="F121" s="17">
        <v>9508</v>
      </c>
      <c r="G121" s="419">
        <v>9970</v>
      </c>
      <c r="H121" s="173">
        <v>8200</v>
      </c>
      <c r="I121" s="173"/>
      <c r="J121" s="173"/>
      <c r="K121" s="173"/>
      <c r="L121" s="236">
        <f t="shared" si="14"/>
        <v>8200</v>
      </c>
    </row>
    <row r="122" spans="2:12" s="28" customFormat="1" ht="15.75" thickBot="1">
      <c r="B122" s="71" t="s">
        <v>40</v>
      </c>
      <c r="C122" s="510" t="s">
        <v>41</v>
      </c>
      <c r="D122" s="504"/>
      <c r="E122" s="33">
        <f aca="true" t="shared" si="25" ref="E122:K122">SUM(E123:E125)</f>
        <v>80402</v>
      </c>
      <c r="F122" s="33">
        <f t="shared" si="25"/>
        <v>65201</v>
      </c>
      <c r="G122" s="33">
        <f t="shared" si="25"/>
        <v>82763</v>
      </c>
      <c r="H122" s="33">
        <f t="shared" si="25"/>
        <v>77627</v>
      </c>
      <c r="I122" s="33">
        <f t="shared" si="25"/>
        <v>0</v>
      </c>
      <c r="J122" s="33">
        <f t="shared" si="25"/>
        <v>0</v>
      </c>
      <c r="K122" s="33">
        <f t="shared" si="25"/>
        <v>0</v>
      </c>
      <c r="L122" s="221">
        <f t="shared" si="14"/>
        <v>77627</v>
      </c>
    </row>
    <row r="123" spans="2:12" ht="12.75">
      <c r="B123" s="540"/>
      <c r="C123" s="549"/>
      <c r="D123" s="15" t="s">
        <v>185</v>
      </c>
      <c r="E123" s="414">
        <v>6900</v>
      </c>
      <c r="F123" s="414">
        <v>3787</v>
      </c>
      <c r="G123" s="414">
        <v>3290</v>
      </c>
      <c r="H123" s="174">
        <v>4300</v>
      </c>
      <c r="I123" s="174"/>
      <c r="J123" s="174"/>
      <c r="K123" s="174"/>
      <c r="L123" s="238">
        <f t="shared" si="14"/>
        <v>4300</v>
      </c>
    </row>
    <row r="124" spans="2:12" ht="12.75">
      <c r="B124" s="540"/>
      <c r="C124" s="550"/>
      <c r="D124" s="15" t="s">
        <v>229</v>
      </c>
      <c r="E124" s="403">
        <v>70000</v>
      </c>
      <c r="F124" s="403">
        <v>59118</v>
      </c>
      <c r="G124" s="403">
        <v>75103</v>
      </c>
      <c r="H124" s="167">
        <f>60327+10000</f>
        <v>70327</v>
      </c>
      <c r="I124" s="167"/>
      <c r="J124" s="167"/>
      <c r="K124" s="167"/>
      <c r="L124" s="228">
        <f t="shared" si="14"/>
        <v>70327</v>
      </c>
    </row>
    <row r="125" spans="2:12" ht="13.5" thickBot="1">
      <c r="B125" s="543"/>
      <c r="C125" s="551"/>
      <c r="D125" s="111" t="s">
        <v>184</v>
      </c>
      <c r="E125" s="407">
        <v>3502</v>
      </c>
      <c r="F125" s="407">
        <v>2296</v>
      </c>
      <c r="G125" s="407">
        <v>4370</v>
      </c>
      <c r="H125" s="192">
        <v>3000</v>
      </c>
      <c r="I125" s="192"/>
      <c r="J125" s="192"/>
      <c r="K125" s="192"/>
      <c r="L125" s="238">
        <f t="shared" si="14"/>
        <v>3000</v>
      </c>
    </row>
    <row r="126" spans="2:12" s="28" customFormat="1" ht="15.75" thickBot="1">
      <c r="B126" s="65" t="s">
        <v>69</v>
      </c>
      <c r="C126" s="510" t="s">
        <v>42</v>
      </c>
      <c r="D126" s="504"/>
      <c r="E126" s="33">
        <f aca="true" t="shared" si="26" ref="E126:K126">E127+E131</f>
        <v>4609033</v>
      </c>
      <c r="F126" s="33">
        <f t="shared" si="26"/>
        <v>4840194</v>
      </c>
      <c r="G126" s="33">
        <f t="shared" si="26"/>
        <v>4773475</v>
      </c>
      <c r="H126" s="33">
        <f t="shared" si="26"/>
        <v>4433578</v>
      </c>
      <c r="I126" s="33">
        <f t="shared" si="26"/>
        <v>0</v>
      </c>
      <c r="J126" s="33">
        <f t="shared" si="26"/>
        <v>82000</v>
      </c>
      <c r="K126" s="33">
        <f t="shared" si="26"/>
        <v>0</v>
      </c>
      <c r="L126" s="221">
        <f t="shared" si="14"/>
        <v>4515578</v>
      </c>
    </row>
    <row r="127" spans="2:12" ht="13.5" thickBot="1">
      <c r="B127" s="539"/>
      <c r="C127" s="544" t="s">
        <v>43</v>
      </c>
      <c r="D127" s="545"/>
      <c r="E127" s="6">
        <f aca="true" t="shared" si="27" ref="E127:K127">SUM(E128:E130)</f>
        <v>41249</v>
      </c>
      <c r="F127" s="6">
        <f t="shared" si="27"/>
        <v>38808</v>
      </c>
      <c r="G127" s="6">
        <f t="shared" si="27"/>
        <v>36313</v>
      </c>
      <c r="H127" s="6">
        <f t="shared" si="27"/>
        <v>36311</v>
      </c>
      <c r="I127" s="6">
        <f t="shared" si="27"/>
        <v>0</v>
      </c>
      <c r="J127" s="6">
        <f t="shared" si="27"/>
        <v>0</v>
      </c>
      <c r="K127" s="6">
        <f t="shared" si="27"/>
        <v>0</v>
      </c>
      <c r="L127" s="239">
        <f t="shared" si="14"/>
        <v>36311</v>
      </c>
    </row>
    <row r="128" spans="2:12" ht="12.75">
      <c r="B128" s="540"/>
      <c r="C128" s="316">
        <v>610</v>
      </c>
      <c r="D128" s="32" t="s">
        <v>2</v>
      </c>
      <c r="E128" s="11">
        <v>29541</v>
      </c>
      <c r="F128" s="11">
        <v>26330</v>
      </c>
      <c r="G128" s="11">
        <v>25388</v>
      </c>
      <c r="H128" s="210">
        <v>25008</v>
      </c>
      <c r="I128" s="210"/>
      <c r="J128" s="210"/>
      <c r="K128" s="210"/>
      <c r="L128" s="357">
        <f t="shared" si="14"/>
        <v>25008</v>
      </c>
    </row>
    <row r="129" spans="2:12" ht="12.75">
      <c r="B129" s="540"/>
      <c r="C129" s="291">
        <v>620</v>
      </c>
      <c r="D129" s="15" t="s">
        <v>3</v>
      </c>
      <c r="E129" s="15">
        <v>9575</v>
      </c>
      <c r="F129" s="15">
        <v>9735</v>
      </c>
      <c r="G129" s="15">
        <v>9358</v>
      </c>
      <c r="H129" s="211">
        <v>9170</v>
      </c>
      <c r="I129" s="211"/>
      <c r="J129" s="211"/>
      <c r="K129" s="211"/>
      <c r="L129" s="358">
        <f t="shared" si="14"/>
        <v>9170</v>
      </c>
    </row>
    <row r="130" spans="2:14" ht="13.5" thickBot="1">
      <c r="B130" s="540"/>
      <c r="C130" s="292">
        <v>630</v>
      </c>
      <c r="D130" s="17" t="s">
        <v>61</v>
      </c>
      <c r="E130" s="26">
        <v>2133</v>
      </c>
      <c r="F130" s="26">
        <v>2743</v>
      </c>
      <c r="G130" s="26">
        <v>1567</v>
      </c>
      <c r="H130" s="27">
        <v>2133</v>
      </c>
      <c r="I130" s="27"/>
      <c r="J130" s="27"/>
      <c r="K130" s="27"/>
      <c r="L130" s="240">
        <f t="shared" si="14"/>
        <v>2133</v>
      </c>
      <c r="N130" s="209"/>
    </row>
    <row r="131" spans="2:12" ht="13.5" thickBot="1">
      <c r="B131" s="540"/>
      <c r="C131" s="537" t="s">
        <v>155</v>
      </c>
      <c r="D131" s="538"/>
      <c r="E131" s="237">
        <f aca="true" t="shared" si="28" ref="E131:K131">SUM(E132:E138)</f>
        <v>4567784</v>
      </c>
      <c r="F131" s="237">
        <f t="shared" si="28"/>
        <v>4801386</v>
      </c>
      <c r="G131" s="237">
        <f t="shared" si="28"/>
        <v>4737162</v>
      </c>
      <c r="H131" s="237">
        <f t="shared" si="28"/>
        <v>4397267</v>
      </c>
      <c r="I131" s="237">
        <f t="shared" si="28"/>
        <v>0</v>
      </c>
      <c r="J131" s="237">
        <f t="shared" si="28"/>
        <v>82000</v>
      </c>
      <c r="K131" s="237">
        <f t="shared" si="28"/>
        <v>0</v>
      </c>
      <c r="L131" s="245">
        <f t="shared" si="14"/>
        <v>4479267</v>
      </c>
    </row>
    <row r="132" spans="2:12" ht="12.75">
      <c r="B132" s="540"/>
      <c r="C132" s="549"/>
      <c r="D132" s="32" t="s">
        <v>223</v>
      </c>
      <c r="E132" s="414">
        <v>2039732</v>
      </c>
      <c r="F132" s="414">
        <v>2241882</v>
      </c>
      <c r="G132" s="414">
        <f>2465470-80179</f>
        <v>2385291</v>
      </c>
      <c r="H132" s="174">
        <v>2100000</v>
      </c>
      <c r="I132" s="174"/>
      <c r="J132" s="174"/>
      <c r="K132" s="174"/>
      <c r="L132" s="238">
        <f t="shared" si="14"/>
        <v>2100000</v>
      </c>
    </row>
    <row r="133" spans="2:12" ht="12.75">
      <c r="B133" s="540"/>
      <c r="C133" s="550"/>
      <c r="D133" s="15" t="s">
        <v>224</v>
      </c>
      <c r="E133" s="403">
        <v>2182809</v>
      </c>
      <c r="F133" s="403">
        <v>2169532</v>
      </c>
      <c r="G133" s="403">
        <v>1972245</v>
      </c>
      <c r="H133" s="167">
        <v>1924753</v>
      </c>
      <c r="I133" s="167"/>
      <c r="J133" s="167">
        <v>64000</v>
      </c>
      <c r="K133" s="167"/>
      <c r="L133" s="228">
        <f t="shared" si="14"/>
        <v>1988753</v>
      </c>
    </row>
    <row r="134" spans="2:12" ht="12.75">
      <c r="B134" s="540"/>
      <c r="C134" s="550"/>
      <c r="D134" s="26" t="s">
        <v>360</v>
      </c>
      <c r="E134" s="412"/>
      <c r="F134" s="412"/>
      <c r="G134" s="412">
        <v>6822</v>
      </c>
      <c r="H134" s="169">
        <v>4780</v>
      </c>
      <c r="I134" s="169"/>
      <c r="J134" s="169"/>
      <c r="K134" s="169"/>
      <c r="L134" s="240">
        <f t="shared" si="14"/>
        <v>4780</v>
      </c>
    </row>
    <row r="135" spans="2:12" ht="12.75">
      <c r="B135" s="540"/>
      <c r="C135" s="550"/>
      <c r="D135" s="26" t="s">
        <v>375</v>
      </c>
      <c r="E135" s="412">
        <v>11276</v>
      </c>
      <c r="F135" s="412">
        <v>23184</v>
      </c>
      <c r="G135" s="412"/>
      <c r="H135" s="169"/>
      <c r="I135" s="169"/>
      <c r="J135" s="169"/>
      <c r="K135" s="169"/>
      <c r="L135" s="240"/>
    </row>
    <row r="136" spans="2:12" ht="12.75">
      <c r="B136" s="540"/>
      <c r="C136" s="550"/>
      <c r="D136" s="26" t="s">
        <v>250</v>
      </c>
      <c r="E136" s="412">
        <v>2134</v>
      </c>
      <c r="F136" s="412"/>
      <c r="G136" s="412"/>
      <c r="H136" s="169">
        <v>0</v>
      </c>
      <c r="I136" s="169"/>
      <c r="J136" s="169"/>
      <c r="K136" s="169"/>
      <c r="L136" s="240">
        <f t="shared" si="14"/>
        <v>0</v>
      </c>
    </row>
    <row r="137" spans="2:12" ht="12.75">
      <c r="B137" s="540"/>
      <c r="C137" s="550"/>
      <c r="D137" s="26" t="s">
        <v>239</v>
      </c>
      <c r="E137" s="412">
        <v>10924</v>
      </c>
      <c r="F137" s="412">
        <v>33868</v>
      </c>
      <c r="G137" s="412"/>
      <c r="H137" s="169">
        <v>0</v>
      </c>
      <c r="I137" s="169"/>
      <c r="J137" s="169">
        <v>18000</v>
      </c>
      <c r="K137" s="169"/>
      <c r="L137" s="240">
        <f t="shared" si="14"/>
        <v>18000</v>
      </c>
    </row>
    <row r="138" spans="2:12" ht="13.5" thickBot="1">
      <c r="B138" s="543"/>
      <c r="C138" s="551"/>
      <c r="D138" s="17" t="s">
        <v>325</v>
      </c>
      <c r="E138" s="420">
        <v>320909</v>
      </c>
      <c r="F138" s="420">
        <v>332920</v>
      </c>
      <c r="G138" s="420">
        <v>372804</v>
      </c>
      <c r="H138" s="173">
        <f>337734+30000</f>
        <v>367734</v>
      </c>
      <c r="I138" s="173"/>
      <c r="J138" s="173"/>
      <c r="K138" s="173"/>
      <c r="L138" s="236">
        <f aca="true" t="shared" si="29" ref="L138:L178">H138+I138+J138+K138</f>
        <v>367734</v>
      </c>
    </row>
    <row r="139" spans="2:12" s="28" customFormat="1" ht="15.75" thickBot="1">
      <c r="B139" s="225" t="s">
        <v>66</v>
      </c>
      <c r="C139" s="542" t="s">
        <v>44</v>
      </c>
      <c r="D139" s="493"/>
      <c r="E139" s="64">
        <f>SUM(E140:E143)</f>
        <v>21978</v>
      </c>
      <c r="F139" s="64">
        <f>SUM(F140:F143)</f>
        <v>26182</v>
      </c>
      <c r="G139" s="64">
        <f>SUM(G140:G143)</f>
        <v>16605</v>
      </c>
      <c r="H139" s="64">
        <f>SUM(H140:H142)</f>
        <v>24296</v>
      </c>
      <c r="I139" s="64">
        <f>SUM(I140:I142)</f>
        <v>0</v>
      </c>
      <c r="J139" s="64">
        <f>SUM(J140:J142)</f>
        <v>0</v>
      </c>
      <c r="K139" s="64">
        <f>SUM(K140:K142)</f>
        <v>0</v>
      </c>
      <c r="L139" s="235">
        <f t="shared" si="29"/>
        <v>24296</v>
      </c>
    </row>
    <row r="140" spans="2:12" s="28" customFormat="1" ht="12.75" customHeight="1">
      <c r="B140" s="546"/>
      <c r="C140" s="337">
        <v>610</v>
      </c>
      <c r="D140" s="32" t="s">
        <v>2</v>
      </c>
      <c r="E140" s="32">
        <v>14808</v>
      </c>
      <c r="F140" s="32">
        <v>14984</v>
      </c>
      <c r="G140" s="32">
        <v>11095</v>
      </c>
      <c r="H140" s="31">
        <v>16428</v>
      </c>
      <c r="I140" s="174"/>
      <c r="J140" s="174"/>
      <c r="K140" s="174"/>
      <c r="L140" s="238">
        <f t="shared" si="29"/>
        <v>16428</v>
      </c>
    </row>
    <row r="141" spans="2:12" s="28" customFormat="1" ht="12.75" customHeight="1">
      <c r="B141" s="547"/>
      <c r="C141" s="336">
        <v>620</v>
      </c>
      <c r="D141" s="15" t="s">
        <v>3</v>
      </c>
      <c r="E141" s="15">
        <v>5320</v>
      </c>
      <c r="F141" s="15">
        <v>5972</v>
      </c>
      <c r="G141" s="15">
        <v>4227</v>
      </c>
      <c r="H141" s="16">
        <v>5993</v>
      </c>
      <c r="I141" s="167"/>
      <c r="J141" s="167"/>
      <c r="K141" s="167"/>
      <c r="L141" s="228">
        <f t="shared" si="29"/>
        <v>5993</v>
      </c>
    </row>
    <row r="142" spans="2:12" ht="12.75" customHeight="1">
      <c r="B142" s="547"/>
      <c r="C142" s="336">
        <v>630</v>
      </c>
      <c r="D142" s="15" t="s">
        <v>61</v>
      </c>
      <c r="E142" s="403">
        <v>1850</v>
      </c>
      <c r="F142" s="403">
        <v>1495</v>
      </c>
      <c r="G142" s="403">
        <v>1200</v>
      </c>
      <c r="H142" s="167">
        <v>1875</v>
      </c>
      <c r="I142" s="167"/>
      <c r="J142" s="167"/>
      <c r="K142" s="167"/>
      <c r="L142" s="228">
        <f t="shared" si="29"/>
        <v>1875</v>
      </c>
    </row>
    <row r="143" spans="2:12" ht="12.75" customHeight="1" thickBot="1">
      <c r="B143" s="548"/>
      <c r="C143" s="292">
        <v>640</v>
      </c>
      <c r="D143" s="153" t="s">
        <v>288</v>
      </c>
      <c r="E143" s="407"/>
      <c r="F143" s="407">
        <v>3731</v>
      </c>
      <c r="G143" s="407">
        <v>83</v>
      </c>
      <c r="H143" s="192"/>
      <c r="I143" s="192"/>
      <c r="J143" s="192"/>
      <c r="K143" s="192"/>
      <c r="L143" s="335">
        <f t="shared" si="29"/>
        <v>0</v>
      </c>
    </row>
    <row r="144" spans="2:12" s="28" customFormat="1" ht="15.75" thickBot="1">
      <c r="B144" s="65" t="s">
        <v>71</v>
      </c>
      <c r="C144" s="510" t="s">
        <v>45</v>
      </c>
      <c r="D144" s="504"/>
      <c r="E144" s="33">
        <f aca="true" t="shared" si="30" ref="E144:K144">E145+E151+E150</f>
        <v>59113</v>
      </c>
      <c r="F144" s="33">
        <f t="shared" si="30"/>
        <v>51352</v>
      </c>
      <c r="G144" s="33">
        <f t="shared" si="30"/>
        <v>57413</v>
      </c>
      <c r="H144" s="33">
        <f t="shared" si="30"/>
        <v>116557</v>
      </c>
      <c r="I144" s="33">
        <f t="shared" si="30"/>
        <v>0</v>
      </c>
      <c r="J144" s="33">
        <f t="shared" si="30"/>
        <v>0</v>
      </c>
      <c r="K144" s="33">
        <f t="shared" si="30"/>
        <v>0</v>
      </c>
      <c r="L144" s="221">
        <f t="shared" si="29"/>
        <v>116557</v>
      </c>
    </row>
    <row r="145" spans="2:12" ht="13.5" thickBot="1">
      <c r="B145" s="539"/>
      <c r="C145" s="544" t="s">
        <v>46</v>
      </c>
      <c r="D145" s="545"/>
      <c r="E145" s="6">
        <f>SUM(E146:E149)</f>
        <v>56208</v>
      </c>
      <c r="F145" s="6">
        <f>SUM(F146:F149)</f>
        <v>47897</v>
      </c>
      <c r="G145" s="6">
        <f>SUM(G146:G149)</f>
        <v>54913</v>
      </c>
      <c r="H145" s="6">
        <f>SUM(H146:H148)</f>
        <v>45634</v>
      </c>
      <c r="I145" s="6">
        <f>SUM(I146:I148)</f>
        <v>0</v>
      </c>
      <c r="J145" s="6">
        <f>SUM(J146:J148)</f>
        <v>0</v>
      </c>
      <c r="K145" s="6">
        <f>SUM(K146:K148)</f>
        <v>0</v>
      </c>
      <c r="L145" s="239">
        <f t="shared" si="29"/>
        <v>45634</v>
      </c>
    </row>
    <row r="146" spans="2:15" ht="12.75">
      <c r="B146" s="540"/>
      <c r="C146" s="316">
        <v>610</v>
      </c>
      <c r="D146" s="32" t="s">
        <v>2</v>
      </c>
      <c r="E146" s="414">
        <v>30403</v>
      </c>
      <c r="F146" s="414">
        <v>28630</v>
      </c>
      <c r="G146" s="414">
        <v>28741</v>
      </c>
      <c r="H146" s="174">
        <f>28774</f>
        <v>28774</v>
      </c>
      <c r="I146" s="174"/>
      <c r="J146" s="174"/>
      <c r="K146" s="174"/>
      <c r="L146" s="238">
        <f t="shared" si="29"/>
        <v>28774</v>
      </c>
      <c r="O146" s="209"/>
    </row>
    <row r="147" spans="2:12" ht="12.75">
      <c r="B147" s="540"/>
      <c r="C147" s="291">
        <v>620</v>
      </c>
      <c r="D147" s="15" t="s">
        <v>3</v>
      </c>
      <c r="E147" s="403">
        <v>11730</v>
      </c>
      <c r="F147" s="403">
        <v>10691</v>
      </c>
      <c r="G147" s="403">
        <v>10646</v>
      </c>
      <c r="H147" s="167">
        <f>10741</f>
        <v>10741</v>
      </c>
      <c r="I147" s="167"/>
      <c r="J147" s="167"/>
      <c r="K147" s="167"/>
      <c r="L147" s="228">
        <f t="shared" si="29"/>
        <v>10741</v>
      </c>
    </row>
    <row r="148" spans="2:12" ht="12.75">
      <c r="B148" s="540"/>
      <c r="C148" s="301">
        <v>630</v>
      </c>
      <c r="D148" s="26" t="s">
        <v>61</v>
      </c>
      <c r="E148" s="26">
        <v>14075</v>
      </c>
      <c r="F148" s="26">
        <v>8576</v>
      </c>
      <c r="G148" s="26">
        <f>17951-2500</f>
        <v>15451</v>
      </c>
      <c r="H148" s="27">
        <v>6119</v>
      </c>
      <c r="I148" s="27"/>
      <c r="J148" s="27"/>
      <c r="K148" s="27"/>
      <c r="L148" s="240">
        <f t="shared" si="29"/>
        <v>6119</v>
      </c>
    </row>
    <row r="149" spans="2:12" ht="13.5" thickBot="1">
      <c r="B149" s="540"/>
      <c r="C149" s="338">
        <v>640</v>
      </c>
      <c r="D149" s="25" t="s">
        <v>288</v>
      </c>
      <c r="E149" s="419"/>
      <c r="F149" s="17"/>
      <c r="G149" s="419">
        <v>75</v>
      </c>
      <c r="H149" s="173"/>
      <c r="I149" s="173"/>
      <c r="J149" s="173"/>
      <c r="K149" s="173"/>
      <c r="L149" s="236"/>
    </row>
    <row r="150" spans="2:12" ht="13.5" customHeight="1" thickBot="1">
      <c r="B150" s="540"/>
      <c r="C150" s="296">
        <v>630</v>
      </c>
      <c r="D150" s="193" t="s">
        <v>337</v>
      </c>
      <c r="E150" s="410"/>
      <c r="F150" s="111"/>
      <c r="G150" s="410"/>
      <c r="H150" s="327">
        <v>68423</v>
      </c>
      <c r="I150" s="327"/>
      <c r="J150" s="327"/>
      <c r="K150" s="327"/>
      <c r="L150" s="359">
        <f t="shared" si="29"/>
        <v>68423</v>
      </c>
    </row>
    <row r="151" spans="2:12" ht="13.5" thickBot="1">
      <c r="B151" s="540"/>
      <c r="C151" s="537" t="s">
        <v>47</v>
      </c>
      <c r="D151" s="538"/>
      <c r="E151" s="98">
        <f aca="true" t="shared" si="31" ref="E151:K151">E152</f>
        <v>2905</v>
      </c>
      <c r="F151" s="98">
        <f t="shared" si="31"/>
        <v>3455</v>
      </c>
      <c r="G151" s="98">
        <f t="shared" si="31"/>
        <v>2500</v>
      </c>
      <c r="H151" s="98">
        <f t="shared" si="31"/>
        <v>2500</v>
      </c>
      <c r="I151" s="98">
        <f t="shared" si="31"/>
        <v>0</v>
      </c>
      <c r="J151" s="98">
        <f t="shared" si="31"/>
        <v>0</v>
      </c>
      <c r="K151" s="98">
        <f t="shared" si="31"/>
        <v>0</v>
      </c>
      <c r="L151" s="360">
        <f t="shared" si="29"/>
        <v>2500</v>
      </c>
    </row>
    <row r="152" spans="2:12" ht="13.5" thickBot="1">
      <c r="B152" s="543"/>
      <c r="C152" s="317">
        <v>630</v>
      </c>
      <c r="D152" s="17" t="s">
        <v>61</v>
      </c>
      <c r="E152" s="420">
        <v>2905</v>
      </c>
      <c r="F152" s="420">
        <v>3455</v>
      </c>
      <c r="G152" s="420">
        <v>2500</v>
      </c>
      <c r="H152" s="173">
        <v>2500</v>
      </c>
      <c r="I152" s="173"/>
      <c r="J152" s="173"/>
      <c r="K152" s="173"/>
      <c r="L152" s="236">
        <f t="shared" si="29"/>
        <v>2500</v>
      </c>
    </row>
    <row r="153" spans="2:12" s="29" customFormat="1" ht="15.75" thickBot="1">
      <c r="B153" s="320" t="s">
        <v>72</v>
      </c>
      <c r="C153" s="542" t="s">
        <v>73</v>
      </c>
      <c r="D153" s="493"/>
      <c r="E153" s="64">
        <f aca="true" t="shared" si="32" ref="E153:K153">SUM(E154:E158)</f>
        <v>153798</v>
      </c>
      <c r="F153" s="64">
        <f t="shared" si="32"/>
        <v>141580</v>
      </c>
      <c r="G153" s="64">
        <f t="shared" si="32"/>
        <v>144793</v>
      </c>
      <c r="H153" s="64">
        <f t="shared" si="32"/>
        <v>138928</v>
      </c>
      <c r="I153" s="64">
        <f t="shared" si="32"/>
        <v>0</v>
      </c>
      <c r="J153" s="64">
        <f t="shared" si="32"/>
        <v>0</v>
      </c>
      <c r="K153" s="64">
        <f t="shared" si="32"/>
        <v>0</v>
      </c>
      <c r="L153" s="235">
        <f t="shared" si="29"/>
        <v>138928</v>
      </c>
    </row>
    <row r="154" spans="2:14" ht="12.75">
      <c r="B154" s="539"/>
      <c r="C154" s="290">
        <v>610</v>
      </c>
      <c r="D154" s="13" t="s">
        <v>2</v>
      </c>
      <c r="E154" s="13">
        <v>102422</v>
      </c>
      <c r="F154" s="13">
        <v>93404</v>
      </c>
      <c r="G154" s="14">
        <v>93846</v>
      </c>
      <c r="H154" s="14">
        <v>93319</v>
      </c>
      <c r="I154" s="166"/>
      <c r="J154" s="166"/>
      <c r="K154" s="166"/>
      <c r="L154" s="227">
        <f t="shared" si="29"/>
        <v>93319</v>
      </c>
      <c r="N154" s="209"/>
    </row>
    <row r="155" spans="2:14" ht="12.75">
      <c r="B155" s="540"/>
      <c r="C155" s="291">
        <v>620</v>
      </c>
      <c r="D155" s="15" t="s">
        <v>3</v>
      </c>
      <c r="E155" s="15">
        <v>35526</v>
      </c>
      <c r="F155" s="15">
        <v>32703</v>
      </c>
      <c r="G155" s="16">
        <v>32877</v>
      </c>
      <c r="H155" s="16">
        <v>32649</v>
      </c>
      <c r="I155" s="167"/>
      <c r="J155" s="167"/>
      <c r="K155" s="167"/>
      <c r="L155" s="228">
        <f t="shared" si="29"/>
        <v>32649</v>
      </c>
      <c r="N155" s="209"/>
    </row>
    <row r="156" spans="2:12" ht="12.75">
      <c r="B156" s="540"/>
      <c r="C156" s="301">
        <v>630</v>
      </c>
      <c r="D156" s="26" t="s">
        <v>61</v>
      </c>
      <c r="E156" s="412">
        <v>15050</v>
      </c>
      <c r="F156" s="412">
        <v>14133</v>
      </c>
      <c r="G156" s="169">
        <v>17748</v>
      </c>
      <c r="H156" s="169">
        <v>12960</v>
      </c>
      <c r="I156" s="169"/>
      <c r="J156" s="169"/>
      <c r="K156" s="169"/>
      <c r="L156" s="240">
        <f t="shared" si="29"/>
        <v>12960</v>
      </c>
    </row>
    <row r="157" spans="2:12" ht="13.5" thickBot="1">
      <c r="B157" s="540"/>
      <c r="C157" s="292">
        <v>640</v>
      </c>
      <c r="D157" s="17" t="s">
        <v>288</v>
      </c>
      <c r="E157" s="420"/>
      <c r="F157" s="420">
        <v>1340</v>
      </c>
      <c r="G157" s="173">
        <v>322</v>
      </c>
      <c r="H157" s="173"/>
      <c r="I157" s="173"/>
      <c r="J157" s="173"/>
      <c r="K157" s="173"/>
      <c r="L157" s="236">
        <f t="shared" si="29"/>
        <v>0</v>
      </c>
    </row>
    <row r="158" spans="2:14" ht="13.5" thickBot="1">
      <c r="B158" s="541"/>
      <c r="C158" s="304">
        <v>630</v>
      </c>
      <c r="D158" s="253" t="s">
        <v>225</v>
      </c>
      <c r="E158" s="416">
        <v>800</v>
      </c>
      <c r="F158" s="416"/>
      <c r="G158" s="254"/>
      <c r="H158" s="254"/>
      <c r="I158" s="254"/>
      <c r="J158" s="254"/>
      <c r="K158" s="254"/>
      <c r="L158" s="356">
        <f t="shared" si="29"/>
        <v>0</v>
      </c>
      <c r="N158" s="209"/>
    </row>
    <row r="159" spans="2:12" s="29" customFormat="1" ht="16.5" thickBot="1" thickTop="1">
      <c r="B159" s="321" t="s">
        <v>48</v>
      </c>
      <c r="C159" s="535" t="s">
        <v>74</v>
      </c>
      <c r="D159" s="536"/>
      <c r="E159" s="251">
        <f>SUM(E160:E163)</f>
        <v>57427</v>
      </c>
      <c r="F159" s="251">
        <f>SUM(F160:F163)</f>
        <v>33860</v>
      </c>
      <c r="G159" s="251">
        <f>SUM(G160:G163)</f>
        <v>33843</v>
      </c>
      <c r="H159" s="251">
        <f>SUM(H160:H162)</f>
        <v>33166</v>
      </c>
      <c r="I159" s="251">
        <f>SUM(I160:I162)</f>
        <v>0</v>
      </c>
      <c r="J159" s="251">
        <f>SUM(J160:J162)</f>
        <v>0</v>
      </c>
      <c r="K159" s="251">
        <f>SUM(K160:K162)</f>
        <v>0</v>
      </c>
      <c r="L159" s="223">
        <f t="shared" si="29"/>
        <v>33166</v>
      </c>
    </row>
    <row r="160" spans="2:12" s="29" customFormat="1" ht="12.75" customHeight="1">
      <c r="B160" s="532"/>
      <c r="C160" s="290">
        <v>610</v>
      </c>
      <c r="D160" s="23" t="s">
        <v>2</v>
      </c>
      <c r="E160" s="23">
        <v>32982</v>
      </c>
      <c r="F160" s="23">
        <v>19537</v>
      </c>
      <c r="G160" s="436">
        <v>19331</v>
      </c>
      <c r="H160" s="14">
        <v>19199</v>
      </c>
      <c r="I160" s="166"/>
      <c r="J160" s="166"/>
      <c r="K160" s="166"/>
      <c r="L160" s="227">
        <f t="shared" si="29"/>
        <v>19199</v>
      </c>
    </row>
    <row r="161" spans="2:12" s="29" customFormat="1" ht="12.75" customHeight="1">
      <c r="B161" s="533"/>
      <c r="C161" s="291">
        <v>620</v>
      </c>
      <c r="D161" s="24" t="s">
        <v>3</v>
      </c>
      <c r="E161" s="24">
        <v>13206</v>
      </c>
      <c r="F161" s="24">
        <v>7857</v>
      </c>
      <c r="G161" s="437">
        <v>7510</v>
      </c>
      <c r="H161" s="16">
        <v>7390</v>
      </c>
      <c r="I161" s="167"/>
      <c r="J161" s="167"/>
      <c r="K161" s="167"/>
      <c r="L161" s="228">
        <f t="shared" si="29"/>
        <v>7390</v>
      </c>
    </row>
    <row r="162" spans="2:14" s="29" customFormat="1" ht="12.75" customHeight="1">
      <c r="B162" s="533"/>
      <c r="C162" s="291">
        <v>630</v>
      </c>
      <c r="D162" s="24" t="s">
        <v>61</v>
      </c>
      <c r="E162" s="24">
        <v>7483</v>
      </c>
      <c r="F162" s="24">
        <v>6466</v>
      </c>
      <c r="G162" s="435">
        <v>6899</v>
      </c>
      <c r="H162" s="167">
        <v>6577</v>
      </c>
      <c r="I162" s="167"/>
      <c r="J162" s="167"/>
      <c r="K162" s="167"/>
      <c r="L162" s="228">
        <f t="shared" si="29"/>
        <v>6577</v>
      </c>
      <c r="N162" s="382"/>
    </row>
    <row r="163" spans="2:12" s="29" customFormat="1" ht="12.75" customHeight="1" thickBot="1">
      <c r="B163" s="534"/>
      <c r="C163" s="296">
        <v>640</v>
      </c>
      <c r="D163" s="193" t="s">
        <v>288</v>
      </c>
      <c r="E163" s="193">
        <v>3756</v>
      </c>
      <c r="F163" s="193"/>
      <c r="G163" s="438">
        <v>103</v>
      </c>
      <c r="H163" s="18"/>
      <c r="I163" s="18"/>
      <c r="J163" s="18"/>
      <c r="K163" s="18"/>
      <c r="L163" s="236">
        <f t="shared" si="29"/>
        <v>0</v>
      </c>
    </row>
    <row r="164" spans="2:12" s="375" customFormat="1" ht="30.75" customHeight="1" thickBot="1">
      <c r="B164" s="161" t="s">
        <v>49</v>
      </c>
      <c r="C164" s="528" t="s">
        <v>70</v>
      </c>
      <c r="D164" s="529"/>
      <c r="E164" s="162">
        <f aca="true" t="shared" si="33" ref="E164:K164">E165+E170+E171+E172+E173+E174+E176+E177+E175</f>
        <v>95592</v>
      </c>
      <c r="F164" s="162">
        <f t="shared" si="33"/>
        <v>235945</v>
      </c>
      <c r="G164" s="162">
        <f t="shared" si="33"/>
        <v>566990</v>
      </c>
      <c r="H164" s="162">
        <f t="shared" si="33"/>
        <v>340716</v>
      </c>
      <c r="I164" s="162">
        <f t="shared" si="33"/>
        <v>0</v>
      </c>
      <c r="J164" s="162">
        <f t="shared" si="33"/>
        <v>0</v>
      </c>
      <c r="K164" s="162">
        <f t="shared" si="33"/>
        <v>0</v>
      </c>
      <c r="L164" s="282">
        <f t="shared" si="29"/>
        <v>340716</v>
      </c>
    </row>
    <row r="165" spans="2:12" ht="13.5" thickBot="1">
      <c r="B165" s="527"/>
      <c r="C165" s="530" t="s">
        <v>50</v>
      </c>
      <c r="D165" s="531"/>
      <c r="E165" s="184">
        <f>SUM(E166:E169)</f>
        <v>2494</v>
      </c>
      <c r="F165" s="184">
        <f>SUM(F166:F169)</f>
        <v>41385</v>
      </c>
      <c r="G165" s="184">
        <f>SUM(G166:G169)</f>
        <v>80229</v>
      </c>
      <c r="H165" s="184">
        <f>SUM(H166:H168)</f>
        <v>85592</v>
      </c>
      <c r="I165" s="184">
        <f>SUM(I166:I168)</f>
        <v>0</v>
      </c>
      <c r="J165" s="184">
        <f>SUM(J166:J168)</f>
        <v>0</v>
      </c>
      <c r="K165" s="184">
        <f>SUM(K166:K168)</f>
        <v>0</v>
      </c>
      <c r="L165" s="361">
        <f t="shared" si="29"/>
        <v>85592</v>
      </c>
    </row>
    <row r="166" spans="2:12" ht="12.75">
      <c r="B166" s="527"/>
      <c r="C166" s="316">
        <v>610</v>
      </c>
      <c r="D166" s="32" t="s">
        <v>2</v>
      </c>
      <c r="E166" s="32">
        <v>2163</v>
      </c>
      <c r="F166" s="32">
        <v>27310</v>
      </c>
      <c r="G166" s="31">
        <f>53671+1149</f>
        <v>54820</v>
      </c>
      <c r="H166" s="198">
        <v>57902</v>
      </c>
      <c r="I166" s="198"/>
      <c r="J166" s="198"/>
      <c r="K166" s="198"/>
      <c r="L166" s="362">
        <f t="shared" si="29"/>
        <v>57902</v>
      </c>
    </row>
    <row r="167" spans="2:12" ht="12.75">
      <c r="B167" s="527"/>
      <c r="C167" s="291">
        <v>620</v>
      </c>
      <c r="D167" s="15" t="s">
        <v>3</v>
      </c>
      <c r="E167" s="403">
        <v>323</v>
      </c>
      <c r="F167" s="403">
        <v>10254</v>
      </c>
      <c r="G167" s="167">
        <f>297+19317</f>
        <v>19614</v>
      </c>
      <c r="H167" s="328">
        <v>20830</v>
      </c>
      <c r="I167" s="328"/>
      <c r="J167" s="328"/>
      <c r="K167" s="328"/>
      <c r="L167" s="241">
        <f t="shared" si="29"/>
        <v>20830</v>
      </c>
    </row>
    <row r="168" spans="2:12" ht="12.75">
      <c r="B168" s="527"/>
      <c r="C168" s="336">
        <v>630</v>
      </c>
      <c r="D168" s="15" t="s">
        <v>61</v>
      </c>
      <c r="E168" s="407">
        <v>8</v>
      </c>
      <c r="F168" s="407">
        <v>3821</v>
      </c>
      <c r="G168" s="192">
        <v>5011</v>
      </c>
      <c r="H168" s="429">
        <v>6860</v>
      </c>
      <c r="I168" s="429"/>
      <c r="J168" s="429"/>
      <c r="K168" s="429"/>
      <c r="L168" s="430">
        <f t="shared" si="29"/>
        <v>6860</v>
      </c>
    </row>
    <row r="169" spans="2:12" ht="13.5" thickBot="1">
      <c r="B169" s="527"/>
      <c r="C169" s="296">
        <v>640</v>
      </c>
      <c r="D169" s="193" t="s">
        <v>288</v>
      </c>
      <c r="E169" s="419"/>
      <c r="F169" s="17"/>
      <c r="G169" s="433">
        <v>784</v>
      </c>
      <c r="H169" s="431"/>
      <c r="I169" s="431"/>
      <c r="J169" s="431"/>
      <c r="K169" s="431"/>
      <c r="L169" s="432"/>
    </row>
    <row r="170" spans="2:12" ht="12.75">
      <c r="B170" s="527"/>
      <c r="C170" s="318"/>
      <c r="D170" s="74" t="s">
        <v>51</v>
      </c>
      <c r="E170" s="418">
        <v>9265</v>
      </c>
      <c r="F170" s="32">
        <v>11343</v>
      </c>
      <c r="G170" s="434">
        <v>6313</v>
      </c>
      <c r="H170" s="174">
        <v>7000</v>
      </c>
      <c r="I170" s="174"/>
      <c r="J170" s="174"/>
      <c r="K170" s="174"/>
      <c r="L170" s="238">
        <f t="shared" si="29"/>
        <v>7000</v>
      </c>
    </row>
    <row r="171" spans="2:12" ht="12.75" hidden="1">
      <c r="B171" s="527"/>
      <c r="C171" s="319"/>
      <c r="D171" s="24" t="s">
        <v>265</v>
      </c>
      <c r="E171" s="405"/>
      <c r="F171" s="15"/>
      <c r="G171" s="435"/>
      <c r="H171" s="167">
        <v>0</v>
      </c>
      <c r="I171" s="167"/>
      <c r="J171" s="167"/>
      <c r="K171" s="167"/>
      <c r="L171" s="228">
        <f t="shared" si="29"/>
        <v>0</v>
      </c>
    </row>
    <row r="172" spans="2:12" ht="12.75" customHeight="1" hidden="1">
      <c r="B172" s="527"/>
      <c r="C172" s="319">
        <v>630</v>
      </c>
      <c r="D172" s="24" t="s">
        <v>265</v>
      </c>
      <c r="E172" s="405"/>
      <c r="F172" s="15"/>
      <c r="G172" s="435"/>
      <c r="H172" s="167">
        <v>0</v>
      </c>
      <c r="I172" s="167"/>
      <c r="J172" s="167"/>
      <c r="K172" s="167"/>
      <c r="L172" s="228">
        <f t="shared" si="29"/>
        <v>0</v>
      </c>
    </row>
    <row r="173" spans="2:14" ht="12.75">
      <c r="B173" s="527"/>
      <c r="C173" s="319">
        <v>630</v>
      </c>
      <c r="D173" s="24" t="s">
        <v>52</v>
      </c>
      <c r="E173" s="405">
        <v>66358</v>
      </c>
      <c r="F173" s="15">
        <v>95746</v>
      </c>
      <c r="G173" s="435">
        <f>5530+80179</f>
        <v>85709</v>
      </c>
      <c r="H173" s="167">
        <v>35000</v>
      </c>
      <c r="I173" s="167"/>
      <c r="J173" s="167"/>
      <c r="K173" s="167"/>
      <c r="L173" s="228">
        <f t="shared" si="29"/>
        <v>35000</v>
      </c>
      <c r="N173" s="209"/>
    </row>
    <row r="174" spans="2:12" ht="12.75">
      <c r="B174" s="527"/>
      <c r="C174" s="319">
        <v>630</v>
      </c>
      <c r="D174" s="24" t="s">
        <v>265</v>
      </c>
      <c r="E174" s="405">
        <v>642</v>
      </c>
      <c r="F174" s="15"/>
      <c r="G174" s="435"/>
      <c r="H174" s="167">
        <v>0</v>
      </c>
      <c r="I174" s="167"/>
      <c r="J174" s="167"/>
      <c r="K174" s="167"/>
      <c r="L174" s="228">
        <f t="shared" si="29"/>
        <v>0</v>
      </c>
    </row>
    <row r="175" spans="2:12" ht="12.75">
      <c r="B175" s="527"/>
      <c r="C175" s="319"/>
      <c r="D175" s="24" t="s">
        <v>305</v>
      </c>
      <c r="E175" s="405"/>
      <c r="F175" s="15">
        <v>85602</v>
      </c>
      <c r="G175" s="435">
        <f>4915+388479</f>
        <v>393394</v>
      </c>
      <c r="H175" s="177">
        <v>192900</v>
      </c>
      <c r="I175" s="177"/>
      <c r="J175" s="177"/>
      <c r="K175" s="177"/>
      <c r="L175" s="242">
        <f t="shared" si="29"/>
        <v>192900</v>
      </c>
    </row>
    <row r="176" spans="2:12" ht="12.75">
      <c r="B176" s="527"/>
      <c r="C176" s="319">
        <v>630</v>
      </c>
      <c r="D176" s="24" t="s">
        <v>53</v>
      </c>
      <c r="E176" s="405">
        <v>16833</v>
      </c>
      <c r="F176" s="15">
        <v>1809</v>
      </c>
      <c r="G176" s="435">
        <v>1345</v>
      </c>
      <c r="H176" s="167">
        <v>20224</v>
      </c>
      <c r="I176" s="167"/>
      <c r="J176" s="167"/>
      <c r="K176" s="167"/>
      <c r="L176" s="228">
        <f t="shared" si="29"/>
        <v>20224</v>
      </c>
    </row>
    <row r="177" spans="2:12" ht="13.5" thickBot="1">
      <c r="B177" s="527"/>
      <c r="C177" s="319">
        <v>630</v>
      </c>
      <c r="D177" s="24" t="s">
        <v>54</v>
      </c>
      <c r="E177" s="405"/>
      <c r="F177" s="428">
        <v>60</v>
      </c>
      <c r="G177" s="435"/>
      <c r="H177" s="167"/>
      <c r="I177" s="167"/>
      <c r="J177" s="167"/>
      <c r="K177" s="167"/>
      <c r="L177" s="228">
        <f t="shared" si="29"/>
        <v>0</v>
      </c>
    </row>
    <row r="178" spans="2:12" s="30" customFormat="1" ht="17.25" thickBot="1" thickTop="1">
      <c r="B178" s="483" t="s">
        <v>57</v>
      </c>
      <c r="C178" s="484"/>
      <c r="D178" s="511"/>
      <c r="E178" s="73">
        <f aca="true" t="shared" si="34" ref="E178:K178">E4+E9+E13+E24+E26+E28+E33+E35+E40+E46+E51+E65+E69+E75+E80+E84+E96+E98+E106+E109+E119+E122+E126+E139+E144+E153+E159+E164+E100+E18+E42+E73</f>
        <v>8798575</v>
      </c>
      <c r="F178" s="73">
        <f t="shared" si="34"/>
        <v>9090417</v>
      </c>
      <c r="G178" s="73">
        <f t="shared" si="34"/>
        <v>8934542</v>
      </c>
      <c r="H178" s="73">
        <f t="shared" si="34"/>
        <v>8326152</v>
      </c>
      <c r="I178" s="73">
        <f t="shared" si="34"/>
        <v>184100</v>
      </c>
      <c r="J178" s="73">
        <f>J4+J9+J13+J24+J26+J28+J33+J35+J40+J46+J51+J65+J69+J75+J80+J84+J96+J98+J106+J109+J119+J122+J126+J139+J144+J153+J159+J164+J100+J18+J42+J73</f>
        <v>108729</v>
      </c>
      <c r="K178" s="73">
        <f t="shared" si="34"/>
        <v>0</v>
      </c>
      <c r="L178" s="224">
        <f t="shared" si="29"/>
        <v>8618981</v>
      </c>
    </row>
    <row r="179" ht="13.5" thickTop="1"/>
    <row r="181" spans="2:4" ht="16.5" customHeight="1">
      <c r="B181" s="447"/>
      <c r="C181" s="447"/>
      <c r="D181" s="447"/>
    </row>
    <row r="182" spans="2:12" ht="12.75" customHeight="1">
      <c r="B182" s="447"/>
      <c r="C182" s="447"/>
      <c r="D182" s="447"/>
      <c r="L182" s="209"/>
    </row>
    <row r="183" spans="2:12" ht="12.75" customHeight="1">
      <c r="B183" s="447"/>
      <c r="C183" s="447"/>
      <c r="D183" s="447"/>
      <c r="L183" s="209"/>
    </row>
    <row r="184" spans="2:7" ht="12.75" customHeight="1">
      <c r="B184" s="447"/>
      <c r="C184" s="447"/>
      <c r="D184" s="447"/>
      <c r="G184" s="209"/>
    </row>
    <row r="185" spans="2:4" ht="12.75" customHeight="1">
      <c r="B185" s="447"/>
      <c r="C185" s="447"/>
      <c r="D185" s="447"/>
    </row>
    <row r="186" ht="12.75" customHeight="1"/>
    <row r="187" spans="2:11" ht="14.25">
      <c r="B187" s="12"/>
      <c r="C187" s="82"/>
      <c r="D187" s="12"/>
      <c r="E187" s="12"/>
      <c r="F187" s="12"/>
      <c r="G187" s="439"/>
      <c r="H187" s="144"/>
      <c r="I187" s="144"/>
      <c r="J187" s="144"/>
      <c r="K187" s="144"/>
    </row>
    <row r="189" ht="12.75">
      <c r="G189" s="209"/>
    </row>
  </sheetData>
  <sheetProtection/>
  <mergeCells count="76">
    <mergeCell ref="L2:L3"/>
    <mergeCell ref="H2:H3"/>
    <mergeCell ref="C4:D4"/>
    <mergeCell ref="C13:D13"/>
    <mergeCell ref="I2:K2"/>
    <mergeCell ref="B178:D178"/>
    <mergeCell ref="G2:G3"/>
    <mergeCell ref="F2:F3"/>
    <mergeCell ref="E2:E3"/>
    <mergeCell ref="C33:D33"/>
    <mergeCell ref="B19:B23"/>
    <mergeCell ref="B10:B12"/>
    <mergeCell ref="C26:D26"/>
    <mergeCell ref="B36:B39"/>
    <mergeCell ref="C35:D35"/>
    <mergeCell ref="B1:D1"/>
    <mergeCell ref="B2:B3"/>
    <mergeCell ref="C2:C3"/>
    <mergeCell ref="D2:D3"/>
    <mergeCell ref="C69:D69"/>
    <mergeCell ref="C52:D52"/>
    <mergeCell ref="C9:D9"/>
    <mergeCell ref="B5:B8"/>
    <mergeCell ref="C51:D51"/>
    <mergeCell ref="B52:B64"/>
    <mergeCell ref="B29:B31"/>
    <mergeCell ref="B14:B17"/>
    <mergeCell ref="B43:B45"/>
    <mergeCell ref="C18:D18"/>
    <mergeCell ref="C24:D24"/>
    <mergeCell ref="B66:B68"/>
    <mergeCell ref="C65:D65"/>
    <mergeCell ref="C42:D42"/>
    <mergeCell ref="C46:D46"/>
    <mergeCell ref="B47:B50"/>
    <mergeCell ref="C40:D40"/>
    <mergeCell ref="C28:D28"/>
    <mergeCell ref="B76:B79"/>
    <mergeCell ref="C100:D100"/>
    <mergeCell ref="C139:D139"/>
    <mergeCell ref="C131:D131"/>
    <mergeCell ref="C109:D109"/>
    <mergeCell ref="B101:B105"/>
    <mergeCell ref="C122:D122"/>
    <mergeCell ref="B120:B121"/>
    <mergeCell ref="C106:D106"/>
    <mergeCell ref="C119:D119"/>
    <mergeCell ref="C126:D126"/>
    <mergeCell ref="B127:B138"/>
    <mergeCell ref="B70:B72"/>
    <mergeCell ref="C75:D75"/>
    <mergeCell ref="C84:D84"/>
    <mergeCell ref="C96:D96"/>
    <mergeCell ref="B81:B83"/>
    <mergeCell ref="C80:D80"/>
    <mergeCell ref="B85:B95"/>
    <mergeCell ref="C73:D73"/>
    <mergeCell ref="C98:D98"/>
    <mergeCell ref="B123:B125"/>
    <mergeCell ref="C123:C125"/>
    <mergeCell ref="B110:B118"/>
    <mergeCell ref="B107:B108"/>
    <mergeCell ref="C145:D145"/>
    <mergeCell ref="B140:B143"/>
    <mergeCell ref="C132:C138"/>
    <mergeCell ref="C127:D127"/>
    <mergeCell ref="C144:D144"/>
    <mergeCell ref="B165:B177"/>
    <mergeCell ref="C164:D164"/>
    <mergeCell ref="C165:D165"/>
    <mergeCell ref="B160:B163"/>
    <mergeCell ref="C159:D159"/>
    <mergeCell ref="C151:D151"/>
    <mergeCell ref="B154:B158"/>
    <mergeCell ref="C153:D153"/>
    <mergeCell ref="B145:B152"/>
  </mergeCells>
  <printOptions/>
  <pageMargins left="0.4" right="0.25" top="0.61" bottom="0.16" header="0.27" footer="0.16"/>
  <pageSetup horizontalDpi="300" verticalDpi="300" orientation="portrait" paperSize="9" scale="71" r:id="rId1"/>
  <rowBreaks count="2" manualBreakCount="2">
    <brk id="79" max="255" man="1"/>
    <brk id="152" max="255" man="1"/>
  </rowBreaks>
  <ignoredErrors>
    <ignoredError sqref="C66:C68 C71" numberStoredAsText="1"/>
    <ignoredError sqref="B42 B46 B9 B98 B84 B100 B13 B73" twoDigitTextYear="1"/>
    <ignoredError sqref="H51:H52 E51:G52 I51:L52 E165:H16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N52"/>
  <sheetViews>
    <sheetView showGridLines="0" zoomScalePageLayoutView="0" workbookViewId="0" topLeftCell="C34">
      <selection activeCell="L42" sqref="L42"/>
    </sheetView>
  </sheetViews>
  <sheetFormatPr defaultColWidth="9.140625" defaultRowHeight="12.75"/>
  <cols>
    <col min="1" max="1" width="1.421875" style="0" customWidth="1"/>
    <col min="2" max="2" width="8.140625" style="0" customWidth="1"/>
    <col min="3" max="3" width="7.7109375" style="80" customWidth="1"/>
    <col min="4" max="4" width="36.00390625" style="0" customWidth="1"/>
    <col min="5" max="7" width="11.28125" style="0" customWidth="1"/>
    <col min="8" max="9" width="11.57421875" style="0" customWidth="1"/>
    <col min="10" max="10" width="11.57421875" style="0" hidden="1" customWidth="1"/>
    <col min="11" max="11" width="12.421875" style="0" customWidth="1"/>
    <col min="12" max="12" width="13.28125" style="0" customWidth="1"/>
  </cols>
  <sheetData>
    <row r="1" spans="2:10" ht="12.75">
      <c r="B1" s="589" t="s">
        <v>132</v>
      </c>
      <c r="C1" s="589"/>
      <c r="D1" s="589"/>
      <c r="E1" s="257"/>
      <c r="F1" s="257"/>
      <c r="G1" s="257"/>
      <c r="H1" s="257"/>
      <c r="I1" s="257"/>
      <c r="J1" s="257"/>
    </row>
    <row r="2" spans="2:10" ht="13.5" thickBot="1">
      <c r="B2" s="520" t="s">
        <v>133</v>
      </c>
      <c r="C2" s="520"/>
      <c r="D2" s="520"/>
      <c r="E2" s="256"/>
      <c r="F2" s="256"/>
      <c r="G2" s="256"/>
      <c r="H2" s="256"/>
      <c r="I2" s="256"/>
      <c r="J2" s="256"/>
    </row>
    <row r="3" spans="2:11" ht="15" customHeight="1" thickBot="1" thickTop="1">
      <c r="B3" s="590" t="s">
        <v>109</v>
      </c>
      <c r="C3" s="521" t="s">
        <v>59</v>
      </c>
      <c r="D3" s="498" t="s">
        <v>124</v>
      </c>
      <c r="E3" s="498" t="s">
        <v>364</v>
      </c>
      <c r="F3" s="498" t="s">
        <v>365</v>
      </c>
      <c r="G3" s="498" t="s">
        <v>363</v>
      </c>
      <c r="H3" s="498" t="s">
        <v>349</v>
      </c>
      <c r="I3" s="525" t="s">
        <v>386</v>
      </c>
      <c r="J3" s="580"/>
      <c r="K3" s="517" t="s">
        <v>359</v>
      </c>
    </row>
    <row r="4" spans="2:11" ht="23.25" customHeight="1" thickBot="1">
      <c r="B4" s="591"/>
      <c r="C4" s="522"/>
      <c r="D4" s="499"/>
      <c r="E4" s="499"/>
      <c r="F4" s="499"/>
      <c r="G4" s="499"/>
      <c r="H4" s="499"/>
      <c r="I4" s="383" t="s">
        <v>351</v>
      </c>
      <c r="J4" s="383"/>
      <c r="K4" s="518"/>
    </row>
    <row r="5" spans="2:11" s="47" customFormat="1" ht="17.25" thickBot="1" thickTop="1">
      <c r="B5" s="473">
        <v>200</v>
      </c>
      <c r="C5" s="584" t="s">
        <v>116</v>
      </c>
      <c r="D5" s="490"/>
      <c r="E5" s="112">
        <f aca="true" t="shared" si="0" ref="E5:J5">E6</f>
        <v>174771</v>
      </c>
      <c r="F5" s="112">
        <f t="shared" si="0"/>
        <v>74221</v>
      </c>
      <c r="G5" s="112">
        <f t="shared" si="0"/>
        <v>98051</v>
      </c>
      <c r="H5" s="112">
        <f t="shared" si="0"/>
        <v>154810</v>
      </c>
      <c r="I5" s="112">
        <f t="shared" si="0"/>
        <v>55000</v>
      </c>
      <c r="J5" s="112">
        <f t="shared" si="0"/>
        <v>0</v>
      </c>
      <c r="K5" s="248">
        <f>H5+I5+J5</f>
        <v>209810</v>
      </c>
    </row>
    <row r="6" spans="2:11" s="36" customFormat="1" ht="15.75" thickBot="1">
      <c r="B6" s="474">
        <v>230</v>
      </c>
      <c r="C6" s="583" t="s">
        <v>125</v>
      </c>
      <c r="D6" s="504"/>
      <c r="E6" s="165">
        <f aca="true" t="shared" si="1" ref="E6:J6">E7+E10</f>
        <v>174771</v>
      </c>
      <c r="F6" s="165">
        <f t="shared" si="1"/>
        <v>74221</v>
      </c>
      <c r="G6" s="165">
        <f t="shared" si="1"/>
        <v>98051</v>
      </c>
      <c r="H6" s="165">
        <f t="shared" si="1"/>
        <v>154810</v>
      </c>
      <c r="I6" s="165">
        <f t="shared" si="1"/>
        <v>55000</v>
      </c>
      <c r="J6" s="165">
        <f t="shared" si="1"/>
        <v>0</v>
      </c>
      <c r="K6" s="221">
        <f>H6+I6+J6</f>
        <v>209810</v>
      </c>
    </row>
    <row r="7" spans="2:11" s="40" customFormat="1" ht="13.5" thickBot="1">
      <c r="B7" s="500"/>
      <c r="C7" s="448">
        <v>231</v>
      </c>
      <c r="D7" s="35" t="s">
        <v>129</v>
      </c>
      <c r="E7" s="154">
        <f aca="true" t="shared" si="2" ref="E7:J7">SUM(E8:E9)</f>
        <v>85320</v>
      </c>
      <c r="F7" s="154">
        <f t="shared" si="2"/>
        <v>21933</v>
      </c>
      <c r="G7" s="154">
        <f t="shared" si="2"/>
        <v>32153</v>
      </c>
      <c r="H7" s="154">
        <f t="shared" si="2"/>
        <v>25000</v>
      </c>
      <c r="I7" s="154">
        <f t="shared" si="2"/>
        <v>55000</v>
      </c>
      <c r="J7" s="154">
        <f t="shared" si="2"/>
        <v>0</v>
      </c>
      <c r="K7" s="220">
        <f aca="true" t="shared" si="3" ref="K7:K45">H7+I7+J7</f>
        <v>80000</v>
      </c>
    </row>
    <row r="8" spans="2:11" s="366" customFormat="1" ht="12.75">
      <c r="B8" s="501"/>
      <c r="C8" s="505"/>
      <c r="D8" s="377" t="s">
        <v>343</v>
      </c>
      <c r="E8" s="57">
        <v>85320</v>
      </c>
      <c r="F8" s="57">
        <v>21933</v>
      </c>
      <c r="G8" s="57">
        <v>23657</v>
      </c>
      <c r="H8" s="155">
        <v>25000</v>
      </c>
      <c r="I8" s="155">
        <v>55000</v>
      </c>
      <c r="J8" s="155"/>
      <c r="K8" s="265">
        <f t="shared" si="3"/>
        <v>80000</v>
      </c>
    </row>
    <row r="9" spans="2:11" s="366" customFormat="1" ht="13.5" thickBot="1">
      <c r="B9" s="501"/>
      <c r="C9" s="509"/>
      <c r="D9" s="54" t="s">
        <v>126</v>
      </c>
      <c r="E9" s="45"/>
      <c r="F9" s="45"/>
      <c r="G9" s="451">
        <v>8496</v>
      </c>
      <c r="H9" s="157"/>
      <c r="I9" s="157"/>
      <c r="J9" s="157"/>
      <c r="K9" s="265">
        <f t="shared" si="3"/>
        <v>0</v>
      </c>
    </row>
    <row r="10" spans="2:11" s="366" customFormat="1" ht="13.5" thickBot="1">
      <c r="B10" s="501"/>
      <c r="C10" s="477">
        <v>233</v>
      </c>
      <c r="D10" s="1" t="s">
        <v>130</v>
      </c>
      <c r="E10" s="154">
        <f aca="true" t="shared" si="4" ref="E10:J10">SUM(E11:E15)</f>
        <v>89451</v>
      </c>
      <c r="F10" s="154">
        <f t="shared" si="4"/>
        <v>52288</v>
      </c>
      <c r="G10" s="154">
        <f t="shared" si="4"/>
        <v>65898</v>
      </c>
      <c r="H10" s="154">
        <f t="shared" si="4"/>
        <v>129810</v>
      </c>
      <c r="I10" s="154">
        <f t="shared" si="4"/>
        <v>0</v>
      </c>
      <c r="J10" s="154">
        <f t="shared" si="4"/>
        <v>0</v>
      </c>
      <c r="K10" s="220">
        <f t="shared" si="3"/>
        <v>129810</v>
      </c>
    </row>
    <row r="11" spans="2:13" s="366" customFormat="1" ht="12.75">
      <c r="B11" s="501"/>
      <c r="C11" s="505"/>
      <c r="D11" s="52" t="s">
        <v>299</v>
      </c>
      <c r="E11" s="188">
        <v>89451</v>
      </c>
      <c r="F11" s="188">
        <v>52288</v>
      </c>
      <c r="G11" s="188">
        <v>65898</v>
      </c>
      <c r="H11" s="155">
        <v>118810</v>
      </c>
      <c r="I11" s="155"/>
      <c r="J11" s="155"/>
      <c r="K11" s="265">
        <f t="shared" si="3"/>
        <v>118810</v>
      </c>
      <c r="M11" s="386"/>
    </row>
    <row r="12" spans="2:13" s="40" customFormat="1" ht="12.75">
      <c r="B12" s="501"/>
      <c r="C12" s="508"/>
      <c r="D12" s="181" t="s">
        <v>296</v>
      </c>
      <c r="E12" s="446"/>
      <c r="F12" s="446"/>
      <c r="G12" s="446"/>
      <c r="H12" s="339">
        <v>4000</v>
      </c>
      <c r="I12" s="339"/>
      <c r="J12" s="339"/>
      <c r="K12" s="266">
        <f t="shared" si="3"/>
        <v>4000</v>
      </c>
      <c r="M12" s="48"/>
    </row>
    <row r="13" spans="2:11" s="40" customFormat="1" ht="12.75">
      <c r="B13" s="501"/>
      <c r="C13" s="508"/>
      <c r="D13" s="181" t="s">
        <v>297</v>
      </c>
      <c r="E13" s="446"/>
      <c r="F13" s="446"/>
      <c r="G13" s="446"/>
      <c r="H13" s="339"/>
      <c r="I13" s="339"/>
      <c r="J13" s="339"/>
      <c r="K13" s="266">
        <f t="shared" si="3"/>
        <v>0</v>
      </c>
    </row>
    <row r="14" spans="2:11" s="40" customFormat="1" ht="12.75">
      <c r="B14" s="501"/>
      <c r="C14" s="508"/>
      <c r="D14" s="181" t="s">
        <v>298</v>
      </c>
      <c r="E14" s="446"/>
      <c r="F14" s="446"/>
      <c r="G14" s="446"/>
      <c r="H14" s="339"/>
      <c r="I14" s="339"/>
      <c r="J14" s="339"/>
      <c r="K14" s="266">
        <f t="shared" si="3"/>
        <v>0</v>
      </c>
    </row>
    <row r="15" spans="2:11" ht="13.5" thickBot="1">
      <c r="B15" s="501"/>
      <c r="C15" s="509"/>
      <c r="D15" s="54" t="s">
        <v>354</v>
      </c>
      <c r="E15" s="146"/>
      <c r="F15" s="146"/>
      <c r="G15" s="146"/>
      <c r="H15" s="157">
        <v>7000</v>
      </c>
      <c r="I15" s="157"/>
      <c r="J15" s="157"/>
      <c r="K15" s="265">
        <f t="shared" si="3"/>
        <v>7000</v>
      </c>
    </row>
    <row r="16" spans="2:11" s="56" customFormat="1" ht="16.5" thickBot="1">
      <c r="B16" s="87">
        <v>300</v>
      </c>
      <c r="C16" s="581" t="s">
        <v>119</v>
      </c>
      <c r="D16" s="582"/>
      <c r="E16" s="262">
        <f aca="true" t="shared" si="5" ref="E16:J16">E17+E42</f>
        <v>4474942</v>
      </c>
      <c r="F16" s="262">
        <f t="shared" si="5"/>
        <v>4428553.06</v>
      </c>
      <c r="G16" s="262">
        <f t="shared" si="5"/>
        <v>3589962</v>
      </c>
      <c r="H16" s="262">
        <f t="shared" si="5"/>
        <v>1610553</v>
      </c>
      <c r="I16" s="262">
        <f t="shared" si="5"/>
        <v>1391705</v>
      </c>
      <c r="J16" s="262">
        <f t="shared" si="5"/>
        <v>0</v>
      </c>
      <c r="K16" s="249">
        <f t="shared" si="3"/>
        <v>3002258</v>
      </c>
    </row>
    <row r="17" spans="2:11" s="36" customFormat="1" ht="15.75" thickBot="1">
      <c r="B17" s="474">
        <v>320</v>
      </c>
      <c r="C17" s="583" t="s">
        <v>127</v>
      </c>
      <c r="D17" s="504"/>
      <c r="E17" s="263">
        <f aca="true" t="shared" si="6" ref="E17:J17">E18</f>
        <v>4417142</v>
      </c>
      <c r="F17" s="263">
        <f t="shared" si="6"/>
        <v>4408068.06</v>
      </c>
      <c r="G17" s="263">
        <f t="shared" si="6"/>
        <v>3580446</v>
      </c>
      <c r="H17" s="263">
        <f t="shared" si="6"/>
        <v>1610553</v>
      </c>
      <c r="I17" s="263">
        <f t="shared" si="6"/>
        <v>1391705</v>
      </c>
      <c r="J17" s="263">
        <f t="shared" si="6"/>
        <v>0</v>
      </c>
      <c r="K17" s="250">
        <f t="shared" si="3"/>
        <v>3002258</v>
      </c>
    </row>
    <row r="18" spans="2:12" s="40" customFormat="1" ht="13.5" thickBot="1">
      <c r="B18" s="587"/>
      <c r="C18" s="448">
        <v>321</v>
      </c>
      <c r="D18" s="1" t="s">
        <v>121</v>
      </c>
      <c r="E18" s="264">
        <v>4417142</v>
      </c>
      <c r="F18" s="264">
        <v>4408068.06</v>
      </c>
      <c r="G18" s="264">
        <f>SUM(G19:G41)</f>
        <v>3580446</v>
      </c>
      <c r="H18" s="264">
        <f>SUM(H19:H41)</f>
        <v>1610553</v>
      </c>
      <c r="I18" s="264">
        <f>SUM(I19:I41)</f>
        <v>1391705</v>
      </c>
      <c r="J18" s="264">
        <f>SUM(J19:J41)</f>
        <v>0</v>
      </c>
      <c r="K18" s="219">
        <f t="shared" si="3"/>
        <v>3002258</v>
      </c>
      <c r="L18" s="48"/>
    </row>
    <row r="19" spans="2:12" ht="12.75">
      <c r="B19" s="588"/>
      <c r="C19" s="500"/>
      <c r="D19" s="185" t="s">
        <v>312</v>
      </c>
      <c r="E19" s="57"/>
      <c r="F19" s="57"/>
      <c r="G19" s="57"/>
      <c r="H19" s="158">
        <v>30000</v>
      </c>
      <c r="I19" s="158"/>
      <c r="J19" s="158"/>
      <c r="K19" s="265">
        <f t="shared" si="3"/>
        <v>30000</v>
      </c>
      <c r="L19" s="34"/>
    </row>
    <row r="20" spans="2:11" ht="12.75">
      <c r="B20" s="588"/>
      <c r="C20" s="501"/>
      <c r="D20" s="187" t="s">
        <v>362</v>
      </c>
      <c r="E20" s="57"/>
      <c r="F20" s="57"/>
      <c r="G20" s="57">
        <v>1000000</v>
      </c>
      <c r="H20" s="158">
        <v>1000000</v>
      </c>
      <c r="I20" s="158"/>
      <c r="J20" s="158"/>
      <c r="K20" s="265">
        <f t="shared" si="3"/>
        <v>1000000</v>
      </c>
    </row>
    <row r="21" spans="2:13" ht="12.75">
      <c r="B21" s="588"/>
      <c r="C21" s="501"/>
      <c r="D21" s="187" t="s">
        <v>332</v>
      </c>
      <c r="E21" s="57">
        <v>341897</v>
      </c>
      <c r="F21" s="57">
        <v>344900</v>
      </c>
      <c r="G21" s="57"/>
      <c r="H21" s="158">
        <v>341900</v>
      </c>
      <c r="I21" s="158"/>
      <c r="J21" s="158"/>
      <c r="K21" s="265">
        <f t="shared" si="3"/>
        <v>341900</v>
      </c>
      <c r="M21" s="34"/>
    </row>
    <row r="22" spans="2:11" ht="12.75">
      <c r="B22" s="588"/>
      <c r="C22" s="501"/>
      <c r="D22" s="53" t="s">
        <v>335</v>
      </c>
      <c r="E22" s="188"/>
      <c r="F22" s="188"/>
      <c r="G22" s="188"/>
      <c r="H22" s="158">
        <v>104632</v>
      </c>
      <c r="I22" s="158"/>
      <c r="J22" s="158"/>
      <c r="K22" s="265">
        <f t="shared" si="3"/>
        <v>104632</v>
      </c>
    </row>
    <row r="23" spans="2:13" ht="12.75">
      <c r="B23" s="588"/>
      <c r="C23" s="501"/>
      <c r="D23" s="53" t="s">
        <v>293</v>
      </c>
      <c r="E23" s="188"/>
      <c r="F23" s="188"/>
      <c r="G23" s="188"/>
      <c r="H23" s="158">
        <v>6945</v>
      </c>
      <c r="I23" s="158"/>
      <c r="J23" s="158"/>
      <c r="K23" s="265">
        <f t="shared" si="3"/>
        <v>6945</v>
      </c>
      <c r="M23" s="34"/>
    </row>
    <row r="24" spans="2:12" ht="12.75">
      <c r="B24" s="588"/>
      <c r="C24" s="501"/>
      <c r="D24" s="380" t="s">
        <v>353</v>
      </c>
      <c r="E24" s="440"/>
      <c r="F24" s="440"/>
      <c r="G24" s="440">
        <v>5000</v>
      </c>
      <c r="H24" s="158">
        <v>5000</v>
      </c>
      <c r="I24" s="158"/>
      <c r="J24" s="158"/>
      <c r="K24" s="265">
        <f t="shared" si="3"/>
        <v>5000</v>
      </c>
      <c r="L24" s="34"/>
    </row>
    <row r="25" spans="2:11" ht="15">
      <c r="B25" s="475"/>
      <c r="C25" s="501"/>
      <c r="D25" s="53" t="s">
        <v>344</v>
      </c>
      <c r="E25" s="43"/>
      <c r="F25" s="43"/>
      <c r="G25" s="43">
        <v>30000</v>
      </c>
      <c r="H25" s="163">
        <v>30000</v>
      </c>
      <c r="I25" s="163"/>
      <c r="J25" s="163"/>
      <c r="K25" s="242">
        <f t="shared" si="3"/>
        <v>30000</v>
      </c>
    </row>
    <row r="26" spans="2:11" ht="15">
      <c r="B26" s="475"/>
      <c r="C26" s="501"/>
      <c r="D26" s="53" t="s">
        <v>356</v>
      </c>
      <c r="E26" s="43"/>
      <c r="F26" s="43"/>
      <c r="G26" s="43"/>
      <c r="H26" s="163">
        <v>17990</v>
      </c>
      <c r="I26" s="163"/>
      <c r="J26" s="163"/>
      <c r="K26" s="242">
        <f t="shared" si="3"/>
        <v>17990</v>
      </c>
    </row>
    <row r="27" spans="2:11" ht="15">
      <c r="B27" s="475"/>
      <c r="C27" s="501"/>
      <c r="D27" s="53" t="s">
        <v>292</v>
      </c>
      <c r="E27" s="43"/>
      <c r="F27" s="43"/>
      <c r="G27" s="43">
        <v>545973</v>
      </c>
      <c r="H27" s="163">
        <v>0</v>
      </c>
      <c r="I27" s="163"/>
      <c r="J27" s="163"/>
      <c r="K27" s="242">
        <f t="shared" si="3"/>
        <v>0</v>
      </c>
    </row>
    <row r="28" spans="2:12" ht="15">
      <c r="B28" s="475"/>
      <c r="C28" s="501"/>
      <c r="D28" s="53" t="s">
        <v>338</v>
      </c>
      <c r="E28" s="43"/>
      <c r="F28" s="43"/>
      <c r="G28" s="43"/>
      <c r="H28" s="453">
        <v>19798</v>
      </c>
      <c r="I28" s="163"/>
      <c r="J28" s="163"/>
      <c r="K28" s="242">
        <f t="shared" si="3"/>
        <v>19798</v>
      </c>
      <c r="L28" s="34"/>
    </row>
    <row r="29" spans="2:12" ht="15">
      <c r="B29" s="475"/>
      <c r="C29" s="501"/>
      <c r="D29" s="58" t="s">
        <v>380</v>
      </c>
      <c r="E29" s="188"/>
      <c r="F29" s="188"/>
      <c r="G29" s="188"/>
      <c r="H29" s="158">
        <v>11550</v>
      </c>
      <c r="I29" s="163"/>
      <c r="J29" s="163"/>
      <c r="K29" s="242">
        <f t="shared" si="3"/>
        <v>11550</v>
      </c>
      <c r="L29" s="34"/>
    </row>
    <row r="30" spans="2:12" ht="15">
      <c r="B30" s="475"/>
      <c r="C30" s="501"/>
      <c r="D30" s="58" t="s">
        <v>381</v>
      </c>
      <c r="E30" s="188"/>
      <c r="F30" s="188"/>
      <c r="G30" s="188"/>
      <c r="H30" s="158">
        <v>11848</v>
      </c>
      <c r="I30" s="163"/>
      <c r="J30" s="163"/>
      <c r="K30" s="242">
        <f t="shared" si="3"/>
        <v>11848</v>
      </c>
      <c r="L30" s="34"/>
    </row>
    <row r="31" spans="2:12" ht="15">
      <c r="B31" s="475"/>
      <c r="C31" s="501"/>
      <c r="D31" s="58" t="s">
        <v>382</v>
      </c>
      <c r="E31" s="188"/>
      <c r="F31" s="188"/>
      <c r="G31" s="188"/>
      <c r="H31" s="158">
        <v>9462</v>
      </c>
      <c r="I31" s="163"/>
      <c r="J31" s="163"/>
      <c r="K31" s="242">
        <f t="shared" si="3"/>
        <v>9462</v>
      </c>
      <c r="L31" s="34"/>
    </row>
    <row r="32" spans="2:14" ht="15">
      <c r="B32" s="475"/>
      <c r="C32" s="501"/>
      <c r="D32" s="58" t="s">
        <v>383</v>
      </c>
      <c r="E32" s="188"/>
      <c r="F32" s="188"/>
      <c r="G32" s="188"/>
      <c r="H32" s="158">
        <v>21428</v>
      </c>
      <c r="I32" s="163"/>
      <c r="J32" s="163"/>
      <c r="K32" s="242">
        <f t="shared" si="3"/>
        <v>21428</v>
      </c>
      <c r="L32" s="34"/>
      <c r="N32" s="34"/>
    </row>
    <row r="33" spans="2:11" ht="15">
      <c r="B33" s="475"/>
      <c r="C33" s="501"/>
      <c r="D33" s="58" t="s">
        <v>371</v>
      </c>
      <c r="E33" s="188"/>
      <c r="F33" s="188"/>
      <c r="G33" s="188">
        <v>1509</v>
      </c>
      <c r="H33" s="158">
        <v>0</v>
      </c>
      <c r="I33" s="163"/>
      <c r="J33" s="163"/>
      <c r="K33" s="242">
        <f t="shared" si="3"/>
        <v>0</v>
      </c>
    </row>
    <row r="34" spans="2:11" ht="15">
      <c r="B34" s="475"/>
      <c r="C34" s="501"/>
      <c r="D34" s="53" t="s">
        <v>370</v>
      </c>
      <c r="E34" s="43"/>
      <c r="F34" s="43"/>
      <c r="G34" s="43">
        <f>17483+2623</f>
        <v>20106</v>
      </c>
      <c r="H34" s="163"/>
      <c r="I34" s="163"/>
      <c r="J34" s="163"/>
      <c r="K34" s="242">
        <f t="shared" si="3"/>
        <v>0</v>
      </c>
    </row>
    <row r="35" spans="2:11" ht="15">
      <c r="B35" s="475"/>
      <c r="C35" s="501"/>
      <c r="D35" s="53" t="s">
        <v>369</v>
      </c>
      <c r="E35" s="43"/>
      <c r="F35" s="43"/>
      <c r="G35" s="43">
        <v>17459</v>
      </c>
      <c r="H35" s="163"/>
      <c r="I35" s="163"/>
      <c r="J35" s="163"/>
      <c r="K35" s="242">
        <f t="shared" si="3"/>
        <v>0</v>
      </c>
    </row>
    <row r="36" spans="2:11" ht="15">
      <c r="B36" s="475"/>
      <c r="C36" s="501"/>
      <c r="D36" s="53" t="s">
        <v>368</v>
      </c>
      <c r="E36" s="43"/>
      <c r="F36" s="43"/>
      <c r="G36" s="43">
        <v>95000</v>
      </c>
      <c r="H36" s="163"/>
      <c r="I36" s="163"/>
      <c r="J36" s="163"/>
      <c r="K36" s="242">
        <f t="shared" si="3"/>
        <v>0</v>
      </c>
    </row>
    <row r="37" spans="2:11" ht="15">
      <c r="B37" s="475"/>
      <c r="C37" s="501"/>
      <c r="D37" s="53" t="s">
        <v>367</v>
      </c>
      <c r="E37" s="43"/>
      <c r="F37" s="43"/>
      <c r="G37" s="43">
        <v>8000</v>
      </c>
      <c r="H37" s="163"/>
      <c r="I37" s="163"/>
      <c r="J37" s="163"/>
      <c r="K37" s="242">
        <f t="shared" si="3"/>
        <v>0</v>
      </c>
    </row>
    <row r="38" spans="2:11" ht="15">
      <c r="B38" s="475"/>
      <c r="C38" s="501"/>
      <c r="D38" s="53" t="s">
        <v>372</v>
      </c>
      <c r="E38" s="43"/>
      <c r="F38" s="43"/>
      <c r="G38" s="43">
        <v>203803</v>
      </c>
      <c r="H38" s="163"/>
      <c r="I38" s="163"/>
      <c r="J38" s="163"/>
      <c r="K38" s="242">
        <f t="shared" si="3"/>
        <v>0</v>
      </c>
    </row>
    <row r="39" spans="2:11" ht="15">
      <c r="B39" s="475"/>
      <c r="C39" s="501"/>
      <c r="D39" s="53" t="s">
        <v>389</v>
      </c>
      <c r="E39" s="43"/>
      <c r="F39" s="43"/>
      <c r="G39" s="43"/>
      <c r="H39" s="163"/>
      <c r="I39" s="163">
        <v>24087</v>
      </c>
      <c r="J39" s="163"/>
      <c r="K39" s="242">
        <f t="shared" si="3"/>
        <v>24087</v>
      </c>
    </row>
    <row r="40" spans="2:13" ht="15">
      <c r="B40" s="475"/>
      <c r="C40" s="501"/>
      <c r="D40" s="53" t="s">
        <v>388</v>
      </c>
      <c r="E40" s="43"/>
      <c r="F40" s="43"/>
      <c r="G40" s="43"/>
      <c r="H40" s="163"/>
      <c r="I40" s="163">
        <v>1367618</v>
      </c>
      <c r="J40" s="163"/>
      <c r="K40" s="242">
        <f t="shared" si="3"/>
        <v>1367618</v>
      </c>
      <c r="M40" s="34"/>
    </row>
    <row r="41" spans="2:11" ht="15.75" thickBot="1">
      <c r="B41" s="475"/>
      <c r="C41" s="501"/>
      <c r="D41" s="53" t="s">
        <v>366</v>
      </c>
      <c r="E41" s="43"/>
      <c r="F41" s="43"/>
      <c r="G41" s="43">
        <v>1653596</v>
      </c>
      <c r="H41" s="163"/>
      <c r="I41" s="163"/>
      <c r="J41" s="163"/>
      <c r="K41" s="242">
        <f t="shared" si="3"/>
        <v>0</v>
      </c>
    </row>
    <row r="42" spans="2:11" s="36" customFormat="1" ht="15.75" thickBot="1">
      <c r="B42" s="474">
        <v>330</v>
      </c>
      <c r="C42" s="583" t="s">
        <v>107</v>
      </c>
      <c r="D42" s="504"/>
      <c r="E42" s="340">
        <f aca="true" t="shared" si="7" ref="E42:G43">E43</f>
        <v>57800</v>
      </c>
      <c r="F42" s="340">
        <f t="shared" si="7"/>
        <v>20485</v>
      </c>
      <c r="G42" s="340">
        <f t="shared" si="7"/>
        <v>9516</v>
      </c>
      <c r="H42" s="340">
        <f>H43</f>
        <v>0</v>
      </c>
      <c r="I42" s="340">
        <f>I43</f>
        <v>0</v>
      </c>
      <c r="J42" s="340">
        <f>J43</f>
        <v>0</v>
      </c>
      <c r="K42" s="478">
        <f t="shared" si="3"/>
        <v>0</v>
      </c>
    </row>
    <row r="43" spans="2:11" ht="13.5" thickBot="1">
      <c r="B43" s="585"/>
      <c r="C43" s="477">
        <v>332</v>
      </c>
      <c r="D43" s="1" t="s">
        <v>131</v>
      </c>
      <c r="E43" s="35">
        <f t="shared" si="7"/>
        <v>57800</v>
      </c>
      <c r="F43" s="35">
        <f t="shared" si="7"/>
        <v>20485</v>
      </c>
      <c r="G43" s="35">
        <f t="shared" si="7"/>
        <v>9516</v>
      </c>
      <c r="H43" s="35">
        <f>H44</f>
        <v>0</v>
      </c>
      <c r="I43" s="35"/>
      <c r="J43" s="35"/>
      <c r="K43" s="194">
        <f t="shared" si="3"/>
        <v>0</v>
      </c>
    </row>
    <row r="44" spans="2:11" ht="12.75">
      <c r="B44" s="586"/>
      <c r="C44" s="505"/>
      <c r="D44" s="185" t="s">
        <v>230</v>
      </c>
      <c r="E44" s="57">
        <v>57800</v>
      </c>
      <c r="F44" s="57">
        <v>20485</v>
      </c>
      <c r="G44" s="57">
        <v>9516</v>
      </c>
      <c r="H44" s="158"/>
      <c r="I44" s="158"/>
      <c r="J44" s="158"/>
      <c r="K44" s="196">
        <f t="shared" si="3"/>
        <v>0</v>
      </c>
    </row>
    <row r="45" spans="2:11" ht="13.5" thickBot="1">
      <c r="B45" s="586"/>
      <c r="C45" s="508"/>
      <c r="D45" s="3"/>
      <c r="E45" s="146"/>
      <c r="F45" s="146"/>
      <c r="G45" s="146"/>
      <c r="H45" s="157"/>
      <c r="I45" s="157"/>
      <c r="J45" s="157"/>
      <c r="K45" s="196">
        <f t="shared" si="3"/>
        <v>0</v>
      </c>
    </row>
    <row r="46" spans="2:11" s="47" customFormat="1" ht="17.25" thickBot="1" thickTop="1">
      <c r="B46" s="476"/>
      <c r="C46" s="479"/>
      <c r="D46" s="72" t="s">
        <v>128</v>
      </c>
      <c r="E46" s="73">
        <f aca="true" t="shared" si="8" ref="E46:K46">E16+E5</f>
        <v>4649713</v>
      </c>
      <c r="F46" s="73">
        <f t="shared" si="8"/>
        <v>4502774.06</v>
      </c>
      <c r="G46" s="73">
        <f t="shared" si="8"/>
        <v>3688013</v>
      </c>
      <c r="H46" s="73">
        <f t="shared" si="8"/>
        <v>1765363</v>
      </c>
      <c r="I46" s="73">
        <f t="shared" si="8"/>
        <v>1446705</v>
      </c>
      <c r="J46" s="73">
        <f t="shared" si="8"/>
        <v>0</v>
      </c>
      <c r="K46" s="224">
        <f t="shared" si="8"/>
        <v>3212068</v>
      </c>
    </row>
    <row r="47" ht="13.5" thickTop="1"/>
    <row r="50" ht="12.75">
      <c r="K50" s="34"/>
    </row>
    <row r="52" ht="12.75">
      <c r="K52" s="34"/>
    </row>
  </sheetData>
  <sheetProtection/>
  <mergeCells count="23">
    <mergeCell ref="B1:D1"/>
    <mergeCell ref="B2:D2"/>
    <mergeCell ref="B7:B15"/>
    <mergeCell ref="B3:B4"/>
    <mergeCell ref="C8:C9"/>
    <mergeCell ref="B43:B45"/>
    <mergeCell ref="C44:C45"/>
    <mergeCell ref="B18:B24"/>
    <mergeCell ref="C42:D42"/>
    <mergeCell ref="C19:C41"/>
    <mergeCell ref="K3:K4"/>
    <mergeCell ref="H3:H4"/>
    <mergeCell ref="I3:J3"/>
    <mergeCell ref="C6:D6"/>
    <mergeCell ref="C5:D5"/>
    <mergeCell ref="C3:C4"/>
    <mergeCell ref="C16:D16"/>
    <mergeCell ref="C17:D17"/>
    <mergeCell ref="G3:G4"/>
    <mergeCell ref="E3:E4"/>
    <mergeCell ref="F3:F4"/>
    <mergeCell ref="D3:D4"/>
    <mergeCell ref="C11:C15"/>
  </mergeCells>
  <printOptions/>
  <pageMargins left="0.6" right="0.21" top="0.45" bottom="0.22" header="0.4921259845" footer="0.4921259845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O98"/>
  <sheetViews>
    <sheetView showGridLines="0" zoomScalePageLayoutView="0" workbookViewId="0" topLeftCell="A1">
      <selection activeCell="B1" sqref="B1:D1"/>
    </sheetView>
  </sheetViews>
  <sheetFormatPr defaultColWidth="9.140625" defaultRowHeight="12.75"/>
  <cols>
    <col min="1" max="1" width="1.421875" style="40" customWidth="1"/>
    <col min="2" max="2" width="10.421875" style="40" customWidth="1"/>
    <col min="3" max="3" width="8.140625" style="40" customWidth="1"/>
    <col min="4" max="4" width="31.8515625" style="40" customWidth="1"/>
    <col min="5" max="7" width="11.8515625" style="40" customWidth="1"/>
    <col min="8" max="10" width="11.421875" style="40" customWidth="1"/>
    <col min="11" max="11" width="11.421875" style="40" hidden="1" customWidth="1"/>
    <col min="12" max="12" width="11.28125" style="40" customWidth="1"/>
    <col min="13" max="13" width="9.140625" style="40" customWidth="1"/>
    <col min="14" max="14" width="11.421875" style="40" bestFit="1" customWidth="1"/>
    <col min="15" max="16384" width="9.140625" style="40" customWidth="1"/>
  </cols>
  <sheetData>
    <row r="1" spans="2:11" ht="13.5" thickBot="1">
      <c r="B1" s="609" t="s">
        <v>134</v>
      </c>
      <c r="C1" s="609"/>
      <c r="D1" s="609"/>
      <c r="E1" s="267"/>
      <c r="F1" s="267"/>
      <c r="G1" s="267"/>
      <c r="H1" s="267"/>
      <c r="I1" s="267"/>
      <c r="J1" s="267"/>
      <c r="K1" s="267"/>
    </row>
    <row r="2" spans="2:12" ht="13.5" customHeight="1" thickBot="1" thickTop="1">
      <c r="B2" s="572" t="s">
        <v>58</v>
      </c>
      <c r="C2" s="610" t="s">
        <v>59</v>
      </c>
      <c r="D2" s="576" t="s">
        <v>60</v>
      </c>
      <c r="E2" s="498" t="s">
        <v>364</v>
      </c>
      <c r="F2" s="498" t="s">
        <v>365</v>
      </c>
      <c r="G2" s="498" t="s">
        <v>363</v>
      </c>
      <c r="H2" s="498" t="s">
        <v>349</v>
      </c>
      <c r="I2" s="525" t="s">
        <v>386</v>
      </c>
      <c r="J2" s="580"/>
      <c r="K2" s="526"/>
      <c r="L2" s="517" t="s">
        <v>359</v>
      </c>
    </row>
    <row r="3" spans="2:12" ht="25.5" customHeight="1" thickBot="1">
      <c r="B3" s="573"/>
      <c r="C3" s="611"/>
      <c r="D3" s="577"/>
      <c r="E3" s="499"/>
      <c r="F3" s="499"/>
      <c r="G3" s="499"/>
      <c r="H3" s="499"/>
      <c r="I3" s="385" t="s">
        <v>350</v>
      </c>
      <c r="J3" s="385" t="s">
        <v>352</v>
      </c>
      <c r="K3" s="385"/>
      <c r="L3" s="518"/>
    </row>
    <row r="4" spans="2:12" s="36" customFormat="1" ht="16.5" thickBot="1" thickTop="1">
      <c r="B4" s="71" t="s">
        <v>62</v>
      </c>
      <c r="C4" s="606" t="s">
        <v>135</v>
      </c>
      <c r="D4" s="606"/>
      <c r="E4" s="344">
        <v>18260</v>
      </c>
      <c r="F4" s="344">
        <f aca="true" t="shared" si="0" ref="F4:K4">F5+F6</f>
        <v>0</v>
      </c>
      <c r="G4" s="344">
        <f t="shared" si="0"/>
        <v>0</v>
      </c>
      <c r="H4" s="344">
        <f t="shared" si="0"/>
        <v>15000</v>
      </c>
      <c r="I4" s="344">
        <f t="shared" si="0"/>
        <v>0</v>
      </c>
      <c r="J4" s="344">
        <f t="shared" si="0"/>
        <v>0</v>
      </c>
      <c r="K4" s="344">
        <f t="shared" si="0"/>
        <v>0</v>
      </c>
      <c r="L4" s="235">
        <f>H4+I4+J4+K4</f>
        <v>15000</v>
      </c>
    </row>
    <row r="5" spans="2:12" ht="12.75">
      <c r="B5" s="595"/>
      <c r="C5" s="600"/>
      <c r="D5" s="58" t="s">
        <v>341</v>
      </c>
      <c r="E5" s="188"/>
      <c r="F5" s="188"/>
      <c r="G5" s="188"/>
      <c r="H5" s="155">
        <v>15000</v>
      </c>
      <c r="I5" s="155"/>
      <c r="J5" s="155"/>
      <c r="K5" s="155"/>
      <c r="L5" s="265">
        <f aca="true" t="shared" si="1" ref="L5:L68">H5+I5+J5+K5</f>
        <v>15000</v>
      </c>
    </row>
    <row r="6" spans="2:12" ht="13.5" thickBot="1">
      <c r="B6" s="597"/>
      <c r="C6" s="602"/>
      <c r="D6" s="58" t="s">
        <v>342</v>
      </c>
      <c r="E6" s="188"/>
      <c r="F6" s="188"/>
      <c r="G6" s="188"/>
      <c r="H6" s="155"/>
      <c r="I6" s="155"/>
      <c r="J6" s="155"/>
      <c r="K6" s="155"/>
      <c r="L6" s="265">
        <f t="shared" si="1"/>
        <v>0</v>
      </c>
    </row>
    <row r="7" spans="2:14" s="36" customFormat="1" ht="15.75" thickBot="1">
      <c r="B7" s="65" t="s">
        <v>154</v>
      </c>
      <c r="C7" s="594" t="s">
        <v>13</v>
      </c>
      <c r="D7" s="594"/>
      <c r="E7" s="33">
        <v>3031</v>
      </c>
      <c r="F7" s="33">
        <v>0</v>
      </c>
      <c r="G7" s="33">
        <f>SUM(G8:G9)</f>
        <v>10398</v>
      </c>
      <c r="H7" s="33">
        <f>SUM(H8:H9)</f>
        <v>0</v>
      </c>
      <c r="I7" s="33">
        <f>SUM(I8:I9)</f>
        <v>0</v>
      </c>
      <c r="J7" s="33">
        <f>SUM(J8:J9)</f>
        <v>0</v>
      </c>
      <c r="K7" s="33">
        <f>SUM(K8:K9)</f>
        <v>0</v>
      </c>
      <c r="L7" s="221">
        <f t="shared" si="1"/>
        <v>0</v>
      </c>
      <c r="N7" s="206"/>
    </row>
    <row r="8" spans="2:14" ht="14.25">
      <c r="B8" s="88"/>
      <c r="C8" s="600"/>
      <c r="D8" s="52" t="s">
        <v>215</v>
      </c>
      <c r="E8" s="41"/>
      <c r="F8" s="41"/>
      <c r="G8" s="41">
        <v>10398</v>
      </c>
      <c r="H8" s="176"/>
      <c r="I8" s="176"/>
      <c r="J8" s="176"/>
      <c r="K8" s="176"/>
      <c r="L8" s="272">
        <f t="shared" si="1"/>
        <v>0</v>
      </c>
      <c r="N8" s="206"/>
    </row>
    <row r="9" spans="2:14" ht="15" thickBot="1">
      <c r="B9" s="88"/>
      <c r="C9" s="602"/>
      <c r="D9" s="3"/>
      <c r="E9" s="146"/>
      <c r="F9" s="146"/>
      <c r="G9" s="146"/>
      <c r="H9" s="157"/>
      <c r="I9" s="157"/>
      <c r="J9" s="157"/>
      <c r="K9" s="157"/>
      <c r="L9" s="265">
        <f t="shared" si="1"/>
        <v>0</v>
      </c>
      <c r="N9" s="206"/>
    </row>
    <row r="10" spans="2:14" s="36" customFormat="1" ht="15.75" thickBot="1">
      <c r="B10" s="65" t="s">
        <v>136</v>
      </c>
      <c r="C10" s="594" t="s">
        <v>137</v>
      </c>
      <c r="D10" s="594"/>
      <c r="E10" s="33">
        <v>495900</v>
      </c>
      <c r="F10" s="33">
        <v>421522</v>
      </c>
      <c r="G10" s="33">
        <f>SUM(G11:G19)</f>
        <v>2058954</v>
      </c>
      <c r="H10" s="33">
        <f>SUM(H11:H19)</f>
        <v>448905</v>
      </c>
      <c r="I10" s="33">
        <f>SUM(I11:I19)</f>
        <v>1445946</v>
      </c>
      <c r="J10" s="33">
        <f>SUM(J11:J19)</f>
        <v>0</v>
      </c>
      <c r="K10" s="33">
        <f>SUM(K11:K19)</f>
        <v>0</v>
      </c>
      <c r="L10" s="221">
        <f t="shared" si="1"/>
        <v>1894851</v>
      </c>
      <c r="N10" s="206"/>
    </row>
    <row r="11" spans="2:14" ht="14.25">
      <c r="B11" s="596"/>
      <c r="C11" s="607"/>
      <c r="D11" s="58" t="s">
        <v>276</v>
      </c>
      <c r="E11" s="188"/>
      <c r="F11" s="188"/>
      <c r="G11" s="188">
        <f>46271+1100</f>
        <v>47371</v>
      </c>
      <c r="H11" s="155">
        <v>30000</v>
      </c>
      <c r="I11" s="155"/>
      <c r="J11" s="155"/>
      <c r="K11" s="155"/>
      <c r="L11" s="265">
        <f t="shared" si="1"/>
        <v>30000</v>
      </c>
      <c r="N11" s="206"/>
    </row>
    <row r="12" spans="2:14" ht="14.25">
      <c r="B12" s="596"/>
      <c r="C12" s="607"/>
      <c r="D12" s="53" t="s">
        <v>247</v>
      </c>
      <c r="E12" s="188"/>
      <c r="F12" s="188"/>
      <c r="G12" s="188">
        <v>282056</v>
      </c>
      <c r="H12" s="155">
        <v>0</v>
      </c>
      <c r="I12" s="155"/>
      <c r="J12" s="155"/>
      <c r="K12" s="155"/>
      <c r="L12" s="265">
        <f t="shared" si="1"/>
        <v>0</v>
      </c>
      <c r="N12" s="206"/>
    </row>
    <row r="13" spans="2:14" ht="14.25">
      <c r="B13" s="596"/>
      <c r="C13" s="607"/>
      <c r="D13" s="380" t="s">
        <v>353</v>
      </c>
      <c r="E13" s="454"/>
      <c r="F13" s="454"/>
      <c r="G13" s="454"/>
      <c r="H13" s="44">
        <v>5000</v>
      </c>
      <c r="I13" s="155"/>
      <c r="J13" s="155"/>
      <c r="K13" s="155"/>
      <c r="L13" s="265">
        <f t="shared" si="1"/>
        <v>5000</v>
      </c>
      <c r="M13" s="48"/>
      <c r="N13" s="206"/>
    </row>
    <row r="14" spans="2:14" ht="14.25">
      <c r="B14" s="596"/>
      <c r="C14" s="607"/>
      <c r="D14" s="53" t="s">
        <v>275</v>
      </c>
      <c r="E14" s="188"/>
      <c r="F14" s="188"/>
      <c r="G14" s="188">
        <f>709262+171790</f>
        <v>881052</v>
      </c>
      <c r="H14" s="155">
        <v>72005</v>
      </c>
      <c r="I14" s="155"/>
      <c r="J14" s="155"/>
      <c r="K14" s="155"/>
      <c r="L14" s="265">
        <f t="shared" si="1"/>
        <v>72005</v>
      </c>
      <c r="M14" s="48"/>
      <c r="N14" s="206"/>
    </row>
    <row r="15" spans="2:14" ht="14.25">
      <c r="B15" s="596"/>
      <c r="C15" s="607"/>
      <c r="D15" s="53" t="s">
        <v>355</v>
      </c>
      <c r="E15" s="188"/>
      <c r="F15" s="188"/>
      <c r="G15" s="188"/>
      <c r="H15" s="155">
        <v>341900</v>
      </c>
      <c r="I15" s="155">
        <f>1367618+78328</f>
        <v>1445946</v>
      </c>
      <c r="J15" s="155"/>
      <c r="K15" s="155"/>
      <c r="L15" s="265">
        <f t="shared" si="1"/>
        <v>1787846</v>
      </c>
      <c r="M15" s="48"/>
      <c r="N15" s="206">
        <f>'KAPITÁLOVÉ PRÍJMY'!I40-'KAPITÁLVÉ VÝDAVKY'!I15</f>
        <v>-78328</v>
      </c>
    </row>
    <row r="16" spans="2:14" ht="14.25">
      <c r="B16" s="596"/>
      <c r="C16" s="607"/>
      <c r="D16" s="53" t="s">
        <v>368</v>
      </c>
      <c r="E16" s="188"/>
      <c r="F16" s="188"/>
      <c r="G16" s="188">
        <v>100004</v>
      </c>
      <c r="H16" s="155"/>
      <c r="I16" s="155"/>
      <c r="J16" s="155"/>
      <c r="K16" s="155"/>
      <c r="L16" s="265">
        <f t="shared" si="1"/>
        <v>0</v>
      </c>
      <c r="M16" s="48"/>
      <c r="N16" s="206"/>
    </row>
    <row r="17" spans="2:14" ht="14.25" hidden="1">
      <c r="B17" s="596"/>
      <c r="C17" s="607"/>
      <c r="D17" s="53" t="s">
        <v>391</v>
      </c>
      <c r="E17" s="188"/>
      <c r="F17" s="188"/>
      <c r="G17" s="188"/>
      <c r="H17" s="155"/>
      <c r="I17" s="155"/>
      <c r="J17" s="155"/>
      <c r="K17" s="155"/>
      <c r="L17" s="265">
        <f t="shared" si="1"/>
        <v>0</v>
      </c>
      <c r="M17" s="48"/>
      <c r="N17" s="206"/>
    </row>
    <row r="18" spans="2:14" ht="14.25">
      <c r="B18" s="596"/>
      <c r="C18" s="607"/>
      <c r="D18" s="53" t="s">
        <v>322</v>
      </c>
      <c r="E18" s="188"/>
      <c r="F18" s="188"/>
      <c r="G18" s="188"/>
      <c r="H18" s="155"/>
      <c r="I18" s="155"/>
      <c r="J18" s="155"/>
      <c r="K18" s="155"/>
      <c r="L18" s="265">
        <f t="shared" si="1"/>
        <v>0</v>
      </c>
      <c r="M18" s="48"/>
      <c r="N18" s="206"/>
    </row>
    <row r="19" spans="2:14" ht="15" thickBot="1">
      <c r="B19" s="597"/>
      <c r="C19" s="608"/>
      <c r="D19" s="3" t="s">
        <v>233</v>
      </c>
      <c r="E19" s="146"/>
      <c r="F19" s="146"/>
      <c r="G19" s="146">
        <f>253062+495409</f>
        <v>748471</v>
      </c>
      <c r="H19" s="157"/>
      <c r="I19" s="157"/>
      <c r="J19" s="157"/>
      <c r="K19" s="157"/>
      <c r="L19" s="265">
        <f t="shared" si="1"/>
        <v>0</v>
      </c>
      <c r="M19" s="48"/>
      <c r="N19" s="206"/>
    </row>
    <row r="20" spans="2:14" s="36" customFormat="1" ht="15.75" thickBot="1">
      <c r="B20" s="90" t="s">
        <v>138</v>
      </c>
      <c r="C20" s="503" t="s">
        <v>139</v>
      </c>
      <c r="D20" s="504"/>
      <c r="E20" s="33">
        <v>33695</v>
      </c>
      <c r="F20" s="33">
        <v>79908</v>
      </c>
      <c r="G20" s="33"/>
      <c r="H20" s="33">
        <f>H21+H23+H25</f>
        <v>86717</v>
      </c>
      <c r="I20" s="33">
        <f>I21+I23+I22+I24</f>
        <v>29087</v>
      </c>
      <c r="J20" s="33">
        <f>J21+J23+J22+J24</f>
        <v>4818</v>
      </c>
      <c r="K20" s="33">
        <f>K21+K23</f>
        <v>0</v>
      </c>
      <c r="L20" s="221">
        <f>H20+I20+J20+K20</f>
        <v>120622</v>
      </c>
      <c r="N20" s="206"/>
    </row>
    <row r="21" spans="2:14" ht="14.25">
      <c r="B21" s="88"/>
      <c r="C21" s="61"/>
      <c r="D21" s="53" t="s">
        <v>338</v>
      </c>
      <c r="E21" s="188"/>
      <c r="F21" s="188"/>
      <c r="G21" s="188"/>
      <c r="H21" s="155">
        <v>23757</v>
      </c>
      <c r="I21" s="155"/>
      <c r="J21" s="155"/>
      <c r="K21" s="155"/>
      <c r="L21" s="265">
        <f t="shared" si="1"/>
        <v>23757</v>
      </c>
      <c r="N21" s="206"/>
    </row>
    <row r="22" spans="2:14" ht="14.25">
      <c r="B22" s="88"/>
      <c r="C22" s="61"/>
      <c r="D22" s="53" t="s">
        <v>389</v>
      </c>
      <c r="E22" s="188"/>
      <c r="F22" s="188"/>
      <c r="G22" s="188"/>
      <c r="H22" s="155"/>
      <c r="I22" s="155">
        <v>24087</v>
      </c>
      <c r="J22" s="155">
        <v>4818</v>
      </c>
      <c r="K22" s="155"/>
      <c r="L22" s="265">
        <f t="shared" si="1"/>
        <v>28905</v>
      </c>
      <c r="N22" s="206"/>
    </row>
    <row r="23" spans="2:14" ht="14.25">
      <c r="B23" s="88"/>
      <c r="C23" s="61"/>
      <c r="D23" s="53" t="s">
        <v>345</v>
      </c>
      <c r="E23" s="188"/>
      <c r="F23" s="188"/>
      <c r="G23" s="188"/>
      <c r="H23" s="155">
        <v>40000</v>
      </c>
      <c r="I23" s="155"/>
      <c r="J23" s="155"/>
      <c r="K23" s="155"/>
      <c r="L23" s="265">
        <f t="shared" si="1"/>
        <v>40000</v>
      </c>
      <c r="N23" s="206"/>
    </row>
    <row r="24" spans="2:14" ht="14.25">
      <c r="B24" s="88"/>
      <c r="C24" s="61"/>
      <c r="D24" s="53" t="s">
        <v>390</v>
      </c>
      <c r="E24" s="43"/>
      <c r="F24" s="43"/>
      <c r="G24" s="43"/>
      <c r="H24" s="177"/>
      <c r="I24" s="177">
        <v>5000</v>
      </c>
      <c r="J24" s="177"/>
      <c r="K24" s="177"/>
      <c r="L24" s="265">
        <f t="shared" si="1"/>
        <v>5000</v>
      </c>
      <c r="N24" s="206"/>
    </row>
    <row r="25" spans="2:14" ht="15" thickBot="1">
      <c r="B25" s="88"/>
      <c r="C25" s="61"/>
      <c r="D25" s="53" t="s">
        <v>286</v>
      </c>
      <c r="E25" s="146"/>
      <c r="F25" s="146"/>
      <c r="G25" s="146"/>
      <c r="H25" s="157">
        <v>22960</v>
      </c>
      <c r="I25" s="157"/>
      <c r="J25" s="157"/>
      <c r="K25" s="157"/>
      <c r="L25" s="265">
        <f t="shared" si="1"/>
        <v>22960</v>
      </c>
      <c r="N25" s="206"/>
    </row>
    <row r="26" spans="2:14" s="36" customFormat="1" ht="15.75" thickBot="1">
      <c r="B26" s="136" t="s">
        <v>27</v>
      </c>
      <c r="C26" s="503" t="s">
        <v>28</v>
      </c>
      <c r="D26" s="504"/>
      <c r="E26" s="33">
        <v>8121</v>
      </c>
      <c r="F26" s="33">
        <v>93729</v>
      </c>
      <c r="G26" s="33">
        <f>SUM(G27:G31)</f>
        <v>28919</v>
      </c>
      <c r="H26" s="33">
        <f>SUM(H27:H31)</f>
        <v>0</v>
      </c>
      <c r="I26" s="33">
        <f>SUM(I27:I31)</f>
        <v>0</v>
      </c>
      <c r="J26" s="33">
        <f>SUM(J27:J31)</f>
        <v>0</v>
      </c>
      <c r="K26" s="33">
        <f>SUM(K27:K31)</f>
        <v>0</v>
      </c>
      <c r="L26" s="221">
        <f t="shared" si="1"/>
        <v>0</v>
      </c>
      <c r="N26" s="206"/>
    </row>
    <row r="27" spans="2:14" ht="15" thickBot="1">
      <c r="B27" s="123"/>
      <c r="C27" s="60"/>
      <c r="D27" s="52" t="s">
        <v>319</v>
      </c>
      <c r="E27" s="188"/>
      <c r="F27" s="188"/>
      <c r="G27" s="188">
        <v>28919</v>
      </c>
      <c r="H27" s="155"/>
      <c r="I27" s="155"/>
      <c r="J27" s="155"/>
      <c r="K27" s="155"/>
      <c r="L27" s="265">
        <f t="shared" si="1"/>
        <v>0</v>
      </c>
      <c r="N27" s="206"/>
    </row>
    <row r="28" spans="2:14" ht="15" hidden="1" thickBot="1">
      <c r="B28" s="88"/>
      <c r="C28" s="61"/>
      <c r="D28" s="58" t="s">
        <v>287</v>
      </c>
      <c r="E28" s="188"/>
      <c r="F28" s="188"/>
      <c r="G28" s="188"/>
      <c r="H28" s="155"/>
      <c r="I28" s="155"/>
      <c r="J28" s="155"/>
      <c r="K28" s="155"/>
      <c r="L28" s="265">
        <f t="shared" si="1"/>
        <v>0</v>
      </c>
      <c r="N28" s="206"/>
    </row>
    <row r="29" spans="2:14" ht="15" hidden="1" thickBot="1">
      <c r="B29" s="88"/>
      <c r="C29" s="61"/>
      <c r="D29" s="53" t="s">
        <v>307</v>
      </c>
      <c r="E29" s="188"/>
      <c r="F29" s="188"/>
      <c r="G29" s="188"/>
      <c r="H29" s="155"/>
      <c r="I29" s="155"/>
      <c r="J29" s="155"/>
      <c r="K29" s="155"/>
      <c r="L29" s="265">
        <f t="shared" si="1"/>
        <v>0</v>
      </c>
      <c r="N29" s="206"/>
    </row>
    <row r="30" spans="2:14" ht="15" hidden="1" thickBot="1">
      <c r="B30" s="88"/>
      <c r="C30" s="61"/>
      <c r="D30" s="3" t="s">
        <v>278</v>
      </c>
      <c r="E30" s="146"/>
      <c r="F30" s="146"/>
      <c r="G30" s="146"/>
      <c r="H30" s="155"/>
      <c r="I30" s="155"/>
      <c r="J30" s="155"/>
      <c r="K30" s="155"/>
      <c r="L30" s="265">
        <f t="shared" si="1"/>
        <v>0</v>
      </c>
      <c r="N30" s="206"/>
    </row>
    <row r="31" spans="2:14" ht="15" hidden="1" thickBot="1">
      <c r="B31" s="89"/>
      <c r="C31" s="62"/>
      <c r="D31" s="53" t="s">
        <v>277</v>
      </c>
      <c r="E31" s="146"/>
      <c r="F31" s="146"/>
      <c r="G31" s="146"/>
      <c r="H31" s="157"/>
      <c r="I31" s="157"/>
      <c r="J31" s="157"/>
      <c r="K31" s="157"/>
      <c r="L31" s="265">
        <f t="shared" si="1"/>
        <v>0</v>
      </c>
      <c r="N31" s="206"/>
    </row>
    <row r="32" spans="2:14" s="36" customFormat="1" ht="15.75" hidden="1" thickBot="1">
      <c r="B32" s="113" t="s">
        <v>140</v>
      </c>
      <c r="C32" s="594" t="s">
        <v>141</v>
      </c>
      <c r="D32" s="594"/>
      <c r="E32" s="394"/>
      <c r="F32" s="394"/>
      <c r="G32" s="394"/>
      <c r="H32" s="165"/>
      <c r="I32" s="165"/>
      <c r="J32" s="165"/>
      <c r="K32" s="165"/>
      <c r="L32" s="221">
        <f t="shared" si="1"/>
        <v>0</v>
      </c>
      <c r="N32" s="206"/>
    </row>
    <row r="33" spans="2:14" ht="15" hidden="1" thickBot="1">
      <c r="B33" s="88"/>
      <c r="C33" s="61"/>
      <c r="D33" s="146"/>
      <c r="E33" s="146"/>
      <c r="F33" s="146"/>
      <c r="G33" s="146"/>
      <c r="H33" s="157"/>
      <c r="I33" s="157"/>
      <c r="J33" s="157"/>
      <c r="K33" s="157"/>
      <c r="L33" s="269">
        <f t="shared" si="1"/>
        <v>0</v>
      </c>
      <c r="N33" s="206"/>
    </row>
    <row r="34" spans="2:14" ht="15.75" thickBot="1">
      <c r="B34" s="65" t="s">
        <v>157</v>
      </c>
      <c r="C34" s="503" t="s">
        <v>158</v>
      </c>
      <c r="D34" s="504"/>
      <c r="E34" s="33">
        <v>2699311</v>
      </c>
      <c r="F34" s="33">
        <v>3603230</v>
      </c>
      <c r="G34" s="33">
        <f>SUM(G35:G41)</f>
        <v>1781346</v>
      </c>
      <c r="H34" s="33">
        <f>SUM(H35:H41)</f>
        <v>55459</v>
      </c>
      <c r="I34" s="33">
        <f>SUM(I35:I41)</f>
        <v>0</v>
      </c>
      <c r="J34" s="33">
        <f>SUM(J35:J41)</f>
        <v>0</v>
      </c>
      <c r="K34" s="33">
        <f>SUM(K35:K41)</f>
        <v>0</v>
      </c>
      <c r="L34" s="221">
        <f t="shared" si="1"/>
        <v>55459</v>
      </c>
      <c r="N34" s="206"/>
    </row>
    <row r="35" spans="2:14" ht="14.25">
      <c r="B35" s="595"/>
      <c r="C35" s="600"/>
      <c r="D35" s="58" t="s">
        <v>356</v>
      </c>
      <c r="E35" s="188"/>
      <c r="F35" s="188"/>
      <c r="G35" s="188"/>
      <c r="H35" s="155">
        <v>21588</v>
      </c>
      <c r="I35" s="155"/>
      <c r="J35" s="155"/>
      <c r="K35" s="155"/>
      <c r="L35" s="265">
        <f t="shared" si="1"/>
        <v>21588</v>
      </c>
      <c r="M35" s="48"/>
      <c r="N35" s="206"/>
    </row>
    <row r="36" spans="2:14" ht="14.25">
      <c r="B36" s="596"/>
      <c r="C36" s="601"/>
      <c r="D36" s="58" t="s">
        <v>385</v>
      </c>
      <c r="E36" s="188"/>
      <c r="F36" s="188"/>
      <c r="G36" s="188"/>
      <c r="H36" s="155">
        <v>9873</v>
      </c>
      <c r="I36" s="155"/>
      <c r="J36" s="155"/>
      <c r="K36" s="155"/>
      <c r="L36" s="265">
        <f t="shared" si="1"/>
        <v>9873</v>
      </c>
      <c r="M36" s="48"/>
      <c r="N36" s="206"/>
    </row>
    <row r="37" spans="2:14" ht="14.25">
      <c r="B37" s="596"/>
      <c r="C37" s="601"/>
      <c r="D37" s="53" t="s">
        <v>380</v>
      </c>
      <c r="E37" s="43"/>
      <c r="F37" s="43"/>
      <c r="G37" s="43"/>
      <c r="H37" s="177">
        <v>11550</v>
      </c>
      <c r="I37" s="177"/>
      <c r="J37" s="177"/>
      <c r="K37" s="177"/>
      <c r="L37" s="265">
        <f t="shared" si="1"/>
        <v>11550</v>
      </c>
      <c r="M37" s="48"/>
      <c r="N37" s="206"/>
    </row>
    <row r="38" spans="2:14" ht="14.25">
      <c r="B38" s="596"/>
      <c r="C38" s="601"/>
      <c r="D38" s="53" t="s">
        <v>381</v>
      </c>
      <c r="E38" s="43"/>
      <c r="F38" s="43"/>
      <c r="G38" s="43"/>
      <c r="H38" s="177">
        <v>12448</v>
      </c>
      <c r="I38" s="177"/>
      <c r="J38" s="177"/>
      <c r="K38" s="177"/>
      <c r="L38" s="265">
        <f t="shared" si="1"/>
        <v>12448</v>
      </c>
      <c r="M38" s="48"/>
      <c r="N38" s="206"/>
    </row>
    <row r="39" spans="2:15" ht="14.25">
      <c r="B39" s="596"/>
      <c r="C39" s="601"/>
      <c r="D39" s="53" t="s">
        <v>240</v>
      </c>
      <c r="E39" s="43"/>
      <c r="F39" s="43"/>
      <c r="G39" s="43">
        <f>1782446-1100</f>
        <v>1781346</v>
      </c>
      <c r="H39" s="177"/>
      <c r="I39" s="177"/>
      <c r="J39" s="177"/>
      <c r="K39" s="177"/>
      <c r="L39" s="242">
        <f t="shared" si="1"/>
        <v>0</v>
      </c>
      <c r="N39" s="206"/>
      <c r="O39" s="48"/>
    </row>
    <row r="40" spans="2:14" ht="14.25">
      <c r="B40" s="596"/>
      <c r="C40" s="601"/>
      <c r="D40" s="63" t="s">
        <v>294</v>
      </c>
      <c r="E40" s="146"/>
      <c r="F40" s="146"/>
      <c r="G40" s="146"/>
      <c r="H40" s="157"/>
      <c r="I40" s="157"/>
      <c r="J40" s="157"/>
      <c r="K40" s="157"/>
      <c r="L40" s="265">
        <f t="shared" si="1"/>
        <v>0</v>
      </c>
      <c r="N40" s="206"/>
    </row>
    <row r="41" spans="2:14" ht="15" thickBot="1">
      <c r="B41" s="597"/>
      <c r="C41" s="602"/>
      <c r="D41" s="54" t="s">
        <v>295</v>
      </c>
      <c r="E41" s="45"/>
      <c r="F41" s="45"/>
      <c r="G41" s="45"/>
      <c r="H41" s="156"/>
      <c r="I41" s="156"/>
      <c r="J41" s="156"/>
      <c r="K41" s="156"/>
      <c r="L41" s="271">
        <f t="shared" si="1"/>
        <v>0</v>
      </c>
      <c r="N41" s="206"/>
    </row>
    <row r="42" spans="2:14" s="36" customFormat="1" ht="15.75" thickBot="1">
      <c r="B42" s="113" t="s">
        <v>142</v>
      </c>
      <c r="C42" s="606" t="s">
        <v>143</v>
      </c>
      <c r="D42" s="606"/>
      <c r="E42" s="172">
        <v>92051</v>
      </c>
      <c r="F42" s="172">
        <v>68225</v>
      </c>
      <c r="G42" s="172">
        <f>SUM(G43:G44)</f>
        <v>5000</v>
      </c>
      <c r="H42" s="172">
        <f>SUM(H43:H44)</f>
        <v>35484</v>
      </c>
      <c r="I42" s="172">
        <f>SUM(I43:I44)</f>
        <v>0</v>
      </c>
      <c r="J42" s="172">
        <f>SUM(J43:J44)</f>
        <v>0</v>
      </c>
      <c r="K42" s="172">
        <f>SUM(K43:K44)</f>
        <v>0</v>
      </c>
      <c r="L42" s="235">
        <f t="shared" si="1"/>
        <v>35484</v>
      </c>
      <c r="N42" s="206"/>
    </row>
    <row r="43" spans="2:14" s="205" customFormat="1" ht="13.5" customHeight="1">
      <c r="B43" s="555"/>
      <c r="C43" s="604"/>
      <c r="D43" s="13" t="s">
        <v>314</v>
      </c>
      <c r="E43" s="408"/>
      <c r="F43" s="408"/>
      <c r="G43" s="408">
        <v>5000</v>
      </c>
      <c r="H43" s="166">
        <v>20504</v>
      </c>
      <c r="I43" s="166"/>
      <c r="J43" s="179"/>
      <c r="K43" s="179"/>
      <c r="L43" s="227">
        <f t="shared" si="1"/>
        <v>20504</v>
      </c>
      <c r="N43" s="206"/>
    </row>
    <row r="44" spans="2:14" ht="15" thickBot="1">
      <c r="B44" s="557"/>
      <c r="C44" s="605"/>
      <c r="D44" s="15" t="s">
        <v>384</v>
      </c>
      <c r="E44" s="407"/>
      <c r="F44" s="407"/>
      <c r="G44" s="407"/>
      <c r="H44" s="157">
        <v>14980</v>
      </c>
      <c r="I44" s="157"/>
      <c r="J44" s="157"/>
      <c r="K44" s="157"/>
      <c r="L44" s="269">
        <f t="shared" si="1"/>
        <v>14980</v>
      </c>
      <c r="N44" s="206"/>
    </row>
    <row r="45" spans="2:14" s="36" customFormat="1" ht="15.75" thickBot="1">
      <c r="B45" s="90" t="s">
        <v>144</v>
      </c>
      <c r="C45" s="594" t="s">
        <v>145</v>
      </c>
      <c r="D45" s="594"/>
      <c r="E45" s="33">
        <v>149292</v>
      </c>
      <c r="F45" s="33">
        <v>3000</v>
      </c>
      <c r="G45" s="33">
        <f>SUM(G46:G64)</f>
        <v>16198</v>
      </c>
      <c r="H45" s="33">
        <f>SUM(H46:H64)</f>
        <v>40000</v>
      </c>
      <c r="I45" s="33">
        <f>SUM(I46:I64)</f>
        <v>0</v>
      </c>
      <c r="J45" s="33">
        <f>SUM(J46:J64)</f>
        <v>5000</v>
      </c>
      <c r="K45" s="33">
        <f>SUM(K46:K64)</f>
        <v>0</v>
      </c>
      <c r="L45" s="221">
        <f t="shared" si="1"/>
        <v>45000</v>
      </c>
      <c r="N45" s="206"/>
    </row>
    <row r="46" spans="2:14" ht="14.25" hidden="1">
      <c r="B46" s="595"/>
      <c r="C46" s="600"/>
      <c r="D46" s="200" t="s">
        <v>273</v>
      </c>
      <c r="E46" s="441"/>
      <c r="F46" s="441"/>
      <c r="G46" s="441"/>
      <c r="H46" s="176"/>
      <c r="I46" s="176"/>
      <c r="J46" s="176"/>
      <c r="K46" s="176"/>
      <c r="L46" s="272">
        <f t="shared" si="1"/>
        <v>0</v>
      </c>
      <c r="M46" s="48"/>
      <c r="N46" s="206"/>
    </row>
    <row r="47" spans="2:14" ht="14.25" hidden="1">
      <c r="B47" s="596"/>
      <c r="C47" s="601"/>
      <c r="D47" s="201" t="s">
        <v>274</v>
      </c>
      <c r="E47" s="442"/>
      <c r="F47" s="442"/>
      <c r="G47" s="442"/>
      <c r="H47" s="155"/>
      <c r="I47" s="155"/>
      <c r="J47" s="155"/>
      <c r="K47" s="155"/>
      <c r="L47" s="265">
        <f t="shared" si="1"/>
        <v>0</v>
      </c>
      <c r="N47" s="206"/>
    </row>
    <row r="48" spans="2:14" ht="14.25" hidden="1">
      <c r="B48" s="596"/>
      <c r="C48" s="601"/>
      <c r="D48" s="201" t="s">
        <v>261</v>
      </c>
      <c r="E48" s="442"/>
      <c r="F48" s="442"/>
      <c r="G48" s="442"/>
      <c r="H48" s="155"/>
      <c r="I48" s="155"/>
      <c r="J48" s="155"/>
      <c r="K48" s="155"/>
      <c r="L48" s="265">
        <f t="shared" si="1"/>
        <v>0</v>
      </c>
      <c r="N48" s="206"/>
    </row>
    <row r="49" spans="2:14" ht="14.25" hidden="1">
      <c r="B49" s="596"/>
      <c r="C49" s="601"/>
      <c r="D49" s="201" t="s">
        <v>214</v>
      </c>
      <c r="E49" s="442"/>
      <c r="F49" s="442"/>
      <c r="G49" s="442"/>
      <c r="H49" s="155"/>
      <c r="I49" s="155"/>
      <c r="J49" s="155"/>
      <c r="K49" s="155"/>
      <c r="L49" s="265">
        <f t="shared" si="1"/>
        <v>0</v>
      </c>
      <c r="N49" s="206"/>
    </row>
    <row r="50" spans="2:14" ht="14.25" hidden="1">
      <c r="B50" s="596"/>
      <c r="C50" s="601"/>
      <c r="D50" s="201" t="s">
        <v>245</v>
      </c>
      <c r="E50" s="442"/>
      <c r="F50" s="442"/>
      <c r="G50" s="442"/>
      <c r="H50" s="155"/>
      <c r="I50" s="155"/>
      <c r="J50" s="155"/>
      <c r="K50" s="155"/>
      <c r="L50" s="265">
        <f t="shared" si="1"/>
        <v>0</v>
      </c>
      <c r="N50" s="206"/>
    </row>
    <row r="51" spans="2:14" ht="14.25" hidden="1">
      <c r="B51" s="596"/>
      <c r="C51" s="601"/>
      <c r="D51" s="213" t="s">
        <v>268</v>
      </c>
      <c r="E51" s="443"/>
      <c r="F51" s="443"/>
      <c r="G51" s="443"/>
      <c r="H51" s="157"/>
      <c r="I51" s="157"/>
      <c r="J51" s="157"/>
      <c r="K51" s="157"/>
      <c r="L51" s="265">
        <f t="shared" si="1"/>
        <v>0</v>
      </c>
      <c r="N51" s="206"/>
    </row>
    <row r="52" spans="2:14" ht="14.25" hidden="1">
      <c r="B52" s="596"/>
      <c r="C52" s="601"/>
      <c r="D52" s="202" t="s">
        <v>269</v>
      </c>
      <c r="E52" s="444"/>
      <c r="F52" s="444"/>
      <c r="G52" s="444"/>
      <c r="H52" s="157"/>
      <c r="I52" s="157"/>
      <c r="J52" s="157"/>
      <c r="K52" s="157"/>
      <c r="L52" s="265">
        <f t="shared" si="1"/>
        <v>0</v>
      </c>
      <c r="N52" s="206"/>
    </row>
    <row r="53" spans="2:14" ht="14.25" hidden="1">
      <c r="B53" s="596"/>
      <c r="C53" s="601"/>
      <c r="D53" s="201" t="s">
        <v>270</v>
      </c>
      <c r="E53" s="444"/>
      <c r="F53" s="444"/>
      <c r="G53" s="444"/>
      <c r="H53" s="157"/>
      <c r="I53" s="157"/>
      <c r="J53" s="157"/>
      <c r="K53" s="157"/>
      <c r="L53" s="265">
        <f t="shared" si="1"/>
        <v>0</v>
      </c>
      <c r="N53" s="206"/>
    </row>
    <row r="54" spans="2:14" ht="14.25" hidden="1">
      <c r="B54" s="596"/>
      <c r="C54" s="601"/>
      <c r="D54" s="53" t="s">
        <v>285</v>
      </c>
      <c r="E54" s="43"/>
      <c r="F54" s="43"/>
      <c r="G54" s="43"/>
      <c r="H54" s="177"/>
      <c r="I54" s="177"/>
      <c r="J54" s="177"/>
      <c r="K54" s="177"/>
      <c r="L54" s="242">
        <f t="shared" si="1"/>
        <v>0</v>
      </c>
      <c r="N54" s="206"/>
    </row>
    <row r="55" spans="2:14" ht="14.25">
      <c r="B55" s="596"/>
      <c r="C55" s="601"/>
      <c r="D55" s="53" t="s">
        <v>300</v>
      </c>
      <c r="E55" s="43"/>
      <c r="F55" s="43"/>
      <c r="G55" s="43">
        <v>7632</v>
      </c>
      <c r="H55" s="177"/>
      <c r="I55" s="177"/>
      <c r="J55" s="177"/>
      <c r="K55" s="177"/>
      <c r="L55" s="242">
        <f t="shared" si="1"/>
        <v>0</v>
      </c>
      <c r="N55" s="206"/>
    </row>
    <row r="56" spans="2:14" ht="14.25" hidden="1">
      <c r="B56" s="596"/>
      <c r="C56" s="601"/>
      <c r="D56" s="53"/>
      <c r="E56" s="43"/>
      <c r="F56" s="43"/>
      <c r="G56" s="43"/>
      <c r="H56" s="177"/>
      <c r="I56" s="177"/>
      <c r="J56" s="177"/>
      <c r="K56" s="177"/>
      <c r="L56" s="242">
        <f t="shared" si="1"/>
        <v>0</v>
      </c>
      <c r="N56" s="206"/>
    </row>
    <row r="57" spans="2:14" ht="12.75" customHeight="1" hidden="1">
      <c r="B57" s="596"/>
      <c r="C57" s="601"/>
      <c r="D57" s="53" t="s">
        <v>306</v>
      </c>
      <c r="E57" s="43"/>
      <c r="F57" s="43"/>
      <c r="G57" s="43"/>
      <c r="H57" s="177"/>
      <c r="I57" s="177"/>
      <c r="J57" s="177"/>
      <c r="K57" s="177"/>
      <c r="L57" s="242">
        <f t="shared" si="1"/>
        <v>0</v>
      </c>
      <c r="N57" s="206"/>
    </row>
    <row r="58" spans="2:14" ht="14.25">
      <c r="B58" s="596"/>
      <c r="C58" s="601"/>
      <c r="D58" s="53" t="s">
        <v>340</v>
      </c>
      <c r="E58" s="43"/>
      <c r="F58" s="43"/>
      <c r="G58" s="43"/>
      <c r="H58" s="177">
        <v>30000</v>
      </c>
      <c r="I58" s="177"/>
      <c r="J58" s="177"/>
      <c r="K58" s="177"/>
      <c r="L58" s="242">
        <f t="shared" si="1"/>
        <v>30000</v>
      </c>
      <c r="N58" s="206"/>
    </row>
    <row r="59" spans="2:14" ht="14.25">
      <c r="B59" s="596"/>
      <c r="C59" s="601"/>
      <c r="D59" s="53" t="s">
        <v>323</v>
      </c>
      <c r="E59" s="43"/>
      <c r="F59" s="43"/>
      <c r="G59" s="43"/>
      <c r="H59" s="177"/>
      <c r="I59" s="177"/>
      <c r="J59" s="177"/>
      <c r="K59" s="177"/>
      <c r="L59" s="242">
        <f t="shared" si="1"/>
        <v>0</v>
      </c>
      <c r="N59" s="206"/>
    </row>
    <row r="60" spans="2:14" ht="14.25">
      <c r="B60" s="596"/>
      <c r="C60" s="601"/>
      <c r="D60" s="53" t="s">
        <v>301</v>
      </c>
      <c r="E60" s="43"/>
      <c r="F60" s="43"/>
      <c r="G60" s="43"/>
      <c r="H60" s="177"/>
      <c r="I60" s="177"/>
      <c r="J60" s="177"/>
      <c r="K60" s="177"/>
      <c r="L60" s="242">
        <f t="shared" si="1"/>
        <v>0</v>
      </c>
      <c r="M60" s="48"/>
      <c r="N60" s="206"/>
    </row>
    <row r="61" spans="2:14" ht="14.25">
      <c r="B61" s="596"/>
      <c r="C61" s="601"/>
      <c r="D61" s="53" t="s">
        <v>302</v>
      </c>
      <c r="E61" s="43"/>
      <c r="F61" s="43"/>
      <c r="G61" s="43"/>
      <c r="H61" s="177"/>
      <c r="I61" s="177"/>
      <c r="J61" s="177"/>
      <c r="K61" s="177"/>
      <c r="L61" s="242">
        <f t="shared" si="1"/>
        <v>0</v>
      </c>
      <c r="N61" s="206"/>
    </row>
    <row r="62" spans="2:14" ht="13.5" customHeight="1">
      <c r="B62" s="596"/>
      <c r="C62" s="601"/>
      <c r="D62" s="53" t="s">
        <v>303</v>
      </c>
      <c r="E62" s="43"/>
      <c r="F62" s="43"/>
      <c r="G62" s="43">
        <v>8090</v>
      </c>
      <c r="H62" s="177">
        <v>3000</v>
      </c>
      <c r="I62" s="177"/>
      <c r="J62" s="177"/>
      <c r="K62" s="177"/>
      <c r="L62" s="242">
        <f t="shared" si="1"/>
        <v>3000</v>
      </c>
      <c r="N62" s="206"/>
    </row>
    <row r="63" spans="2:12" ht="15" customHeight="1">
      <c r="B63" s="596"/>
      <c r="C63" s="601"/>
      <c r="D63" s="53" t="s">
        <v>220</v>
      </c>
      <c r="E63" s="43"/>
      <c r="F63" s="43"/>
      <c r="G63" s="43"/>
      <c r="H63" s="177"/>
      <c r="I63" s="177"/>
      <c r="J63" s="177">
        <v>5000</v>
      </c>
      <c r="K63" s="177"/>
      <c r="L63" s="242">
        <f t="shared" si="1"/>
        <v>5000</v>
      </c>
    </row>
    <row r="64" spans="2:12" ht="13.5" customHeight="1" thickBot="1">
      <c r="B64" s="597"/>
      <c r="C64" s="602"/>
      <c r="D64" s="54" t="s">
        <v>214</v>
      </c>
      <c r="E64" s="45"/>
      <c r="F64" s="45"/>
      <c r="G64" s="45">
        <v>476</v>
      </c>
      <c r="H64" s="156">
        <v>7000</v>
      </c>
      <c r="I64" s="156"/>
      <c r="J64" s="156"/>
      <c r="K64" s="156"/>
      <c r="L64" s="271">
        <f t="shared" si="1"/>
        <v>7000</v>
      </c>
    </row>
    <row r="65" spans="2:12" ht="15.75" customHeight="1" hidden="1" thickBot="1">
      <c r="B65" s="81" t="s">
        <v>150</v>
      </c>
      <c r="C65" s="492" t="s">
        <v>151</v>
      </c>
      <c r="D65" s="493"/>
      <c r="E65" s="396"/>
      <c r="F65" s="396"/>
      <c r="G65" s="396"/>
      <c r="H65" s="172"/>
      <c r="I65" s="172"/>
      <c r="J65" s="172"/>
      <c r="K65" s="172"/>
      <c r="L65" s="235">
        <f t="shared" si="1"/>
        <v>0</v>
      </c>
    </row>
    <row r="66" spans="2:12" ht="13.5" customHeight="1" hidden="1">
      <c r="B66" s="88"/>
      <c r="C66" s="61"/>
      <c r="D66" s="53" t="s">
        <v>206</v>
      </c>
      <c r="E66" s="43"/>
      <c r="F66" s="43"/>
      <c r="G66" s="43"/>
      <c r="H66" s="177"/>
      <c r="I66" s="177"/>
      <c r="J66" s="177"/>
      <c r="K66" s="177"/>
      <c r="L66" s="242">
        <f t="shared" si="1"/>
        <v>0</v>
      </c>
    </row>
    <row r="67" spans="2:12" ht="13.5" customHeight="1" hidden="1">
      <c r="B67" s="88"/>
      <c r="C67" s="61"/>
      <c r="D67" s="53"/>
      <c r="E67" s="43"/>
      <c r="F67" s="43"/>
      <c r="G67" s="43"/>
      <c r="H67" s="177"/>
      <c r="I67" s="177"/>
      <c r="J67" s="177"/>
      <c r="K67" s="177"/>
      <c r="L67" s="242">
        <f t="shared" si="1"/>
        <v>0</v>
      </c>
    </row>
    <row r="68" spans="2:12" ht="16.5" customHeight="1" hidden="1" thickBot="1">
      <c r="B68" s="88"/>
      <c r="C68" s="61"/>
      <c r="D68" s="63"/>
      <c r="E68" s="134"/>
      <c r="F68" s="134"/>
      <c r="G68" s="134"/>
      <c r="H68" s="178"/>
      <c r="I68" s="178"/>
      <c r="J68" s="178"/>
      <c r="K68" s="178"/>
      <c r="L68" s="273">
        <f t="shared" si="1"/>
        <v>0</v>
      </c>
    </row>
    <row r="69" spans="2:12" ht="15.75" thickBot="1">
      <c r="B69" s="387" t="s">
        <v>146</v>
      </c>
      <c r="C69" s="594" t="s">
        <v>147</v>
      </c>
      <c r="D69" s="594"/>
      <c r="E69" s="33">
        <v>116842</v>
      </c>
      <c r="F69" s="33">
        <v>38905</v>
      </c>
      <c r="G69" s="33">
        <f>SUM(G70:G72)</f>
        <v>6455</v>
      </c>
      <c r="H69" s="33">
        <f>SUM(H70:H72)</f>
        <v>1008334</v>
      </c>
      <c r="I69" s="33">
        <f>SUM(I70:I72)</f>
        <v>0</v>
      </c>
      <c r="J69" s="33">
        <f>SUM(J70:J72)</f>
        <v>0</v>
      </c>
      <c r="K69" s="33">
        <f>SUM(K70:K72)</f>
        <v>0</v>
      </c>
      <c r="L69" s="33">
        <f aca="true" t="shared" si="2" ref="L69:L90">H69+I69+J69+K69</f>
        <v>1008334</v>
      </c>
    </row>
    <row r="70" spans="2:13" ht="12.75">
      <c r="B70" s="595"/>
      <c r="C70" s="600"/>
      <c r="D70" s="52" t="s">
        <v>362</v>
      </c>
      <c r="E70" s="41"/>
      <c r="F70" s="41"/>
      <c r="G70" s="41"/>
      <c r="H70" s="176">
        <v>1000000</v>
      </c>
      <c r="I70" s="176"/>
      <c r="J70" s="176"/>
      <c r="K70" s="176"/>
      <c r="L70" s="272">
        <f t="shared" si="2"/>
        <v>1000000</v>
      </c>
      <c r="M70" s="48"/>
    </row>
    <row r="71" spans="2:13" ht="12.75">
      <c r="B71" s="596"/>
      <c r="C71" s="601"/>
      <c r="D71" s="53" t="s">
        <v>373</v>
      </c>
      <c r="E71" s="43"/>
      <c r="F71" s="43"/>
      <c r="G71" s="43">
        <v>6455</v>
      </c>
      <c r="H71" s="177"/>
      <c r="I71" s="177"/>
      <c r="J71" s="177"/>
      <c r="K71" s="177"/>
      <c r="L71" s="242"/>
      <c r="M71" s="48"/>
    </row>
    <row r="72" spans="2:12" ht="13.5" thickBot="1">
      <c r="B72" s="597"/>
      <c r="C72" s="602"/>
      <c r="D72" s="135" t="s">
        <v>336</v>
      </c>
      <c r="E72" s="400"/>
      <c r="F72" s="400"/>
      <c r="G72" s="400"/>
      <c r="H72" s="268">
        <v>8334</v>
      </c>
      <c r="I72" s="268"/>
      <c r="J72" s="268"/>
      <c r="K72" s="268"/>
      <c r="L72" s="270">
        <f t="shared" si="2"/>
        <v>8334</v>
      </c>
    </row>
    <row r="73" spans="2:12" ht="15.75" thickBot="1">
      <c r="B73" s="90" t="s">
        <v>249</v>
      </c>
      <c r="C73" s="594" t="s">
        <v>38</v>
      </c>
      <c r="D73" s="594"/>
      <c r="E73" s="33">
        <f aca="true" t="shared" si="3" ref="E73:K73">SUM(E74:E75)</f>
        <v>0</v>
      </c>
      <c r="F73" s="33">
        <f t="shared" si="3"/>
        <v>0</v>
      </c>
      <c r="G73" s="33">
        <f t="shared" si="3"/>
        <v>15848</v>
      </c>
      <c r="H73" s="33">
        <f t="shared" si="3"/>
        <v>3000</v>
      </c>
      <c r="I73" s="33">
        <f t="shared" si="3"/>
        <v>0</v>
      </c>
      <c r="J73" s="33">
        <f t="shared" si="3"/>
        <v>0</v>
      </c>
      <c r="K73" s="33">
        <f t="shared" si="3"/>
        <v>0</v>
      </c>
      <c r="L73" s="221">
        <f t="shared" si="2"/>
        <v>3000</v>
      </c>
    </row>
    <row r="74" spans="2:12" ht="12.75">
      <c r="B74" s="595"/>
      <c r="C74" s="600"/>
      <c r="D74" s="52" t="s">
        <v>208</v>
      </c>
      <c r="E74" s="188"/>
      <c r="F74" s="188"/>
      <c r="G74" s="188">
        <v>7000</v>
      </c>
      <c r="H74" s="155">
        <v>3000</v>
      </c>
      <c r="I74" s="155"/>
      <c r="J74" s="155"/>
      <c r="K74" s="155"/>
      <c r="L74" s="265">
        <f t="shared" si="2"/>
        <v>3000</v>
      </c>
    </row>
    <row r="75" spans="2:15" ht="13.5" thickBot="1">
      <c r="B75" s="597"/>
      <c r="C75" s="602"/>
      <c r="D75" s="54" t="s">
        <v>272</v>
      </c>
      <c r="E75" s="45"/>
      <c r="F75" s="45"/>
      <c r="G75" s="45">
        <v>8848</v>
      </c>
      <c r="H75" s="156"/>
      <c r="I75" s="156"/>
      <c r="J75" s="156"/>
      <c r="K75" s="156"/>
      <c r="L75" s="271">
        <f t="shared" si="2"/>
        <v>0</v>
      </c>
      <c r="O75" s="48"/>
    </row>
    <row r="76" spans="2:12" ht="15.75" thickBot="1">
      <c r="B76" s="113" t="s">
        <v>246</v>
      </c>
      <c r="C76" s="503" t="s">
        <v>41</v>
      </c>
      <c r="D76" s="504"/>
      <c r="E76" s="396"/>
      <c r="F76" s="398"/>
      <c r="G76" s="457">
        <f>G77</f>
        <v>5500</v>
      </c>
      <c r="H76" s="172"/>
      <c r="I76" s="172"/>
      <c r="J76" s="172"/>
      <c r="K76" s="172"/>
      <c r="L76" s="235">
        <f t="shared" si="2"/>
        <v>0</v>
      </c>
    </row>
    <row r="77" spans="2:12" ht="13.5" thickBot="1">
      <c r="B77" s="88"/>
      <c r="C77" s="61"/>
      <c r="D77" s="135" t="s">
        <v>220</v>
      </c>
      <c r="E77" s="146"/>
      <c r="F77" s="146"/>
      <c r="G77" s="146">
        <v>5500</v>
      </c>
      <c r="H77" s="157"/>
      <c r="I77" s="157"/>
      <c r="J77" s="157"/>
      <c r="K77" s="157"/>
      <c r="L77" s="242">
        <f t="shared" si="2"/>
        <v>0</v>
      </c>
    </row>
    <row r="78" spans="2:12" ht="15.75" thickBot="1">
      <c r="B78" s="214" t="s">
        <v>148</v>
      </c>
      <c r="C78" s="603" t="s">
        <v>42</v>
      </c>
      <c r="D78" s="603"/>
      <c r="E78" s="33">
        <v>2097438</v>
      </c>
      <c r="F78" s="33">
        <v>344577</v>
      </c>
      <c r="G78" s="33">
        <f>SUM(G79:G85)</f>
        <v>11076</v>
      </c>
      <c r="H78" s="33">
        <f>SUM(H79:H85)</f>
        <v>37072</v>
      </c>
      <c r="I78" s="33">
        <f>SUM(I79:I85)</f>
        <v>0</v>
      </c>
      <c r="J78" s="33">
        <f>SUM(J79:J85)</f>
        <v>-5746</v>
      </c>
      <c r="K78" s="33">
        <f>SUM(K79:K85)</f>
        <v>0</v>
      </c>
      <c r="L78" s="221">
        <f t="shared" si="2"/>
        <v>31326</v>
      </c>
    </row>
    <row r="79" spans="2:15" ht="12.75">
      <c r="B79" s="595"/>
      <c r="C79" s="600"/>
      <c r="D79" s="53" t="s">
        <v>313</v>
      </c>
      <c r="E79" s="188"/>
      <c r="F79" s="188"/>
      <c r="G79" s="188">
        <v>11076</v>
      </c>
      <c r="H79" s="155"/>
      <c r="I79" s="155"/>
      <c r="J79" s="155"/>
      <c r="K79" s="155"/>
      <c r="L79" s="265">
        <f t="shared" si="2"/>
        <v>0</v>
      </c>
      <c r="M79" s="48"/>
      <c r="O79" s="48"/>
    </row>
    <row r="80" spans="2:12" ht="12.75">
      <c r="B80" s="596"/>
      <c r="C80" s="601"/>
      <c r="D80" s="53" t="s">
        <v>317</v>
      </c>
      <c r="E80" s="188"/>
      <c r="F80" s="188"/>
      <c r="G80" s="188"/>
      <c r="H80" s="155"/>
      <c r="I80" s="155"/>
      <c r="J80" s="155"/>
      <c r="K80" s="155"/>
      <c r="L80" s="265">
        <f t="shared" si="2"/>
        <v>0</v>
      </c>
    </row>
    <row r="81" spans="2:12" ht="12.75">
      <c r="B81" s="596"/>
      <c r="C81" s="601"/>
      <c r="D81" s="53" t="s">
        <v>344</v>
      </c>
      <c r="E81" s="188"/>
      <c r="F81" s="188"/>
      <c r="G81" s="188"/>
      <c r="H81" s="155">
        <v>37072</v>
      </c>
      <c r="I81" s="155"/>
      <c r="J81" s="155">
        <v>-5746</v>
      </c>
      <c r="K81" s="155"/>
      <c r="L81" s="265">
        <f t="shared" si="2"/>
        <v>31326</v>
      </c>
    </row>
    <row r="82" spans="2:13" ht="12.75">
      <c r="B82" s="596"/>
      <c r="C82" s="601"/>
      <c r="D82" s="53" t="s">
        <v>253</v>
      </c>
      <c r="E82" s="188"/>
      <c r="F82" s="188"/>
      <c r="G82" s="188"/>
      <c r="H82" s="155"/>
      <c r="I82" s="155"/>
      <c r="J82" s="155"/>
      <c r="K82" s="155"/>
      <c r="L82" s="265">
        <f t="shared" si="2"/>
        <v>0</v>
      </c>
      <c r="M82" s="48"/>
    </row>
    <row r="83" spans="2:12" ht="12.75">
      <c r="B83" s="596"/>
      <c r="C83" s="601"/>
      <c r="D83" s="53" t="s">
        <v>228</v>
      </c>
      <c r="E83" s="188"/>
      <c r="F83" s="188"/>
      <c r="G83" s="188"/>
      <c r="H83" s="155"/>
      <c r="I83" s="155"/>
      <c r="J83" s="155"/>
      <c r="K83" s="155"/>
      <c r="L83" s="265">
        <f t="shared" si="2"/>
        <v>0</v>
      </c>
    </row>
    <row r="84" spans="2:12" ht="12.75">
      <c r="B84" s="596"/>
      <c r="C84" s="601"/>
      <c r="D84" s="53" t="s">
        <v>284</v>
      </c>
      <c r="E84" s="146"/>
      <c r="F84" s="146"/>
      <c r="G84" s="146"/>
      <c r="H84" s="157"/>
      <c r="I84" s="157"/>
      <c r="J84" s="157"/>
      <c r="K84" s="157"/>
      <c r="L84" s="265">
        <f t="shared" si="2"/>
        <v>0</v>
      </c>
    </row>
    <row r="85" spans="2:12" ht="13.5" thickBot="1">
      <c r="B85" s="597"/>
      <c r="C85" s="602"/>
      <c r="D85" s="63" t="s">
        <v>316</v>
      </c>
      <c r="E85" s="134"/>
      <c r="F85" s="134"/>
      <c r="G85" s="134"/>
      <c r="H85" s="178"/>
      <c r="I85" s="178"/>
      <c r="J85" s="178"/>
      <c r="K85" s="178"/>
      <c r="L85" s="242">
        <f t="shared" si="2"/>
        <v>0</v>
      </c>
    </row>
    <row r="86" spans="2:12" ht="14.25" customHeight="1" thickBot="1">
      <c r="B86" s="65" t="s">
        <v>71</v>
      </c>
      <c r="C86" s="503" t="s">
        <v>45</v>
      </c>
      <c r="D86" s="504"/>
      <c r="E86" s="395">
        <v>104542</v>
      </c>
      <c r="F86" s="395">
        <v>66000</v>
      </c>
      <c r="G86" s="395"/>
      <c r="H86" s="33">
        <f>H87+H88</f>
        <v>0</v>
      </c>
      <c r="I86" s="33">
        <f>I87+I88</f>
        <v>0</v>
      </c>
      <c r="J86" s="33">
        <f>J87+J88</f>
        <v>0</v>
      </c>
      <c r="K86" s="33">
        <f>K87+K88</f>
        <v>0</v>
      </c>
      <c r="L86" s="221">
        <f t="shared" si="2"/>
        <v>0</v>
      </c>
    </row>
    <row r="87" ht="13.5" hidden="1" thickBot="1">
      <c r="L87" s="40">
        <f t="shared" si="2"/>
        <v>0</v>
      </c>
    </row>
    <row r="88" spans="2:12" ht="14.25" customHeight="1" hidden="1" thickBot="1">
      <c r="B88" s="88"/>
      <c r="C88" s="61"/>
      <c r="D88" s="3" t="s">
        <v>258</v>
      </c>
      <c r="E88" s="146"/>
      <c r="F88" s="146"/>
      <c r="G88" s="146"/>
      <c r="H88" s="157"/>
      <c r="I88" s="157"/>
      <c r="J88" s="157"/>
      <c r="K88" s="157"/>
      <c r="L88" s="269">
        <f t="shared" si="2"/>
        <v>0</v>
      </c>
    </row>
    <row r="89" spans="2:12" ht="14.25" customHeight="1" thickBot="1">
      <c r="B89" s="255" t="s">
        <v>308</v>
      </c>
      <c r="C89" s="598" t="s">
        <v>70</v>
      </c>
      <c r="D89" s="599"/>
      <c r="E89" s="445"/>
      <c r="F89" s="455"/>
      <c r="G89" s="445"/>
      <c r="H89" s="341">
        <f>H90</f>
        <v>110139</v>
      </c>
      <c r="I89" s="341">
        <f>I90</f>
        <v>0</v>
      </c>
      <c r="J89" s="341">
        <f>J90</f>
        <v>4746</v>
      </c>
      <c r="K89" s="341">
        <f>K90</f>
        <v>0</v>
      </c>
      <c r="L89" s="342">
        <f t="shared" si="2"/>
        <v>114885</v>
      </c>
    </row>
    <row r="90" spans="2:14" ht="14.25" customHeight="1" thickBot="1">
      <c r="B90" s="88"/>
      <c r="C90" s="61"/>
      <c r="D90" s="40" t="s">
        <v>335</v>
      </c>
      <c r="F90" s="456"/>
      <c r="H90" s="157">
        <v>110139</v>
      </c>
      <c r="I90" s="157"/>
      <c r="J90" s="157">
        <v>4746</v>
      </c>
      <c r="K90" s="157"/>
      <c r="L90" s="269">
        <f t="shared" si="2"/>
        <v>114885</v>
      </c>
      <c r="N90" s="48"/>
    </row>
    <row r="91" spans="2:12" ht="17.25" thickBot="1" thickTop="1">
      <c r="B91" s="592" t="s">
        <v>149</v>
      </c>
      <c r="C91" s="593"/>
      <c r="D91" s="593"/>
      <c r="E91" s="73">
        <f aca="true" t="shared" si="4" ref="E91:L91">E78+E69+E73+E65+E45+E42+E34+E32+E26+E20+E10+E7+E4+E76+E86+E89</f>
        <v>5818483</v>
      </c>
      <c r="F91" s="73">
        <f t="shared" si="4"/>
        <v>4719096</v>
      </c>
      <c r="G91" s="73">
        <f t="shared" si="4"/>
        <v>3939694</v>
      </c>
      <c r="H91" s="73">
        <f t="shared" si="4"/>
        <v>1840110</v>
      </c>
      <c r="I91" s="73">
        <f t="shared" si="4"/>
        <v>1475033</v>
      </c>
      <c r="J91" s="73">
        <f t="shared" si="4"/>
        <v>8818</v>
      </c>
      <c r="K91" s="73">
        <f t="shared" si="4"/>
        <v>0</v>
      </c>
      <c r="L91" s="224">
        <f t="shared" si="4"/>
        <v>3323961</v>
      </c>
    </row>
    <row r="92" ht="13.5" thickTop="1"/>
    <row r="94" spans="8:14" ht="15.75">
      <c r="H94" s="48"/>
      <c r="I94" s="48"/>
      <c r="J94" s="48"/>
      <c r="K94" s="48"/>
      <c r="N94" s="323"/>
    </row>
    <row r="95" spans="8:12" ht="12.75">
      <c r="H95" s="48"/>
      <c r="I95" s="48"/>
      <c r="J95" s="48"/>
      <c r="K95" s="48"/>
      <c r="L95" s="48"/>
    </row>
    <row r="96" ht="12.75">
      <c r="N96" s="207"/>
    </row>
    <row r="97" ht="12.75">
      <c r="O97" s="207"/>
    </row>
    <row r="98" ht="12.75">
      <c r="N98" s="207"/>
    </row>
  </sheetData>
  <sheetProtection/>
  <mergeCells count="44">
    <mergeCell ref="L2:L3"/>
    <mergeCell ref="C5:C6"/>
    <mergeCell ref="F2:F3"/>
    <mergeCell ref="C4:D4"/>
    <mergeCell ref="H2:H3"/>
    <mergeCell ref="I2:K2"/>
    <mergeCell ref="G2:G3"/>
    <mergeCell ref="E2:E3"/>
    <mergeCell ref="C7:D7"/>
    <mergeCell ref="C8:C9"/>
    <mergeCell ref="C20:D20"/>
    <mergeCell ref="B1:D1"/>
    <mergeCell ref="D2:D3"/>
    <mergeCell ref="B2:B3"/>
    <mergeCell ref="C2:C3"/>
    <mergeCell ref="B5:B6"/>
    <mergeCell ref="B11:B19"/>
    <mergeCell ref="C26:D26"/>
    <mergeCell ref="C11:C19"/>
    <mergeCell ref="C10:D10"/>
    <mergeCell ref="C32:D32"/>
    <mergeCell ref="B46:B64"/>
    <mergeCell ref="C46:C64"/>
    <mergeCell ref="C45:D45"/>
    <mergeCell ref="C34:D34"/>
    <mergeCell ref="C43:C44"/>
    <mergeCell ref="B43:B44"/>
    <mergeCell ref="C42:D42"/>
    <mergeCell ref="B35:B41"/>
    <mergeCell ref="C35:C41"/>
    <mergeCell ref="C65:D65"/>
    <mergeCell ref="C89:D89"/>
    <mergeCell ref="C79:C85"/>
    <mergeCell ref="C70:C72"/>
    <mergeCell ref="C74:C75"/>
    <mergeCell ref="C78:D78"/>
    <mergeCell ref="B91:D91"/>
    <mergeCell ref="C86:D86"/>
    <mergeCell ref="C76:D76"/>
    <mergeCell ref="C69:D69"/>
    <mergeCell ref="C73:D73"/>
    <mergeCell ref="B79:B85"/>
    <mergeCell ref="B74:B75"/>
    <mergeCell ref="B70:B72"/>
  </mergeCells>
  <printOptions/>
  <pageMargins left="0.33" right="0.16" top="0.75" bottom="0.16" header="0.3" footer="0.18"/>
  <pageSetup horizontalDpi="300" verticalDpi="300" orientation="portrait" paperSize="9" scale="73" r:id="rId1"/>
  <ignoredErrors>
    <ignoredError sqref="B32 B34 B42:B43 B7 B20 B10" twoDigitTextYear="1"/>
    <ignoredError sqref="H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P31"/>
  <sheetViews>
    <sheetView showGridLines="0" zoomScalePageLayoutView="0" workbookViewId="0" topLeftCell="A4">
      <selection activeCell="Q25" sqref="Q25"/>
    </sheetView>
  </sheetViews>
  <sheetFormatPr defaultColWidth="9.140625" defaultRowHeight="12.75"/>
  <cols>
    <col min="1" max="1" width="3.421875" style="0" customWidth="1"/>
    <col min="2" max="2" width="9.7109375" style="0" customWidth="1"/>
    <col min="3" max="3" width="8.140625" style="0" customWidth="1"/>
    <col min="4" max="4" width="35.140625" style="0" customWidth="1"/>
    <col min="5" max="7" width="12.00390625" style="0" customWidth="1"/>
    <col min="8" max="8" width="13.140625" style="0" customWidth="1"/>
    <col min="9" max="9" width="4.28125" style="0" customWidth="1"/>
    <col min="10" max="10" width="5.57421875" style="0" customWidth="1"/>
    <col min="11" max="11" width="8.57421875" style="0" customWidth="1"/>
    <col min="12" max="14" width="4.421875" style="0" hidden="1" customWidth="1"/>
    <col min="15" max="15" width="12.00390625" style="0" customWidth="1"/>
  </cols>
  <sheetData>
    <row r="1" spans="2:14" ht="12.75">
      <c r="B1" s="589" t="s">
        <v>167</v>
      </c>
      <c r="C1" s="589"/>
      <c r="D1" s="589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2:14" ht="13.5" thickBot="1">
      <c r="B2" s="520" t="s">
        <v>168</v>
      </c>
      <c r="C2" s="520"/>
      <c r="D2" s="520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2:15" ht="12.75" customHeight="1" thickBot="1" thickTop="1">
      <c r="B3" s="521" t="s">
        <v>109</v>
      </c>
      <c r="C3" s="523" t="s">
        <v>59</v>
      </c>
      <c r="D3" s="498" t="s">
        <v>124</v>
      </c>
      <c r="E3" s="498" t="s">
        <v>364</v>
      </c>
      <c r="F3" s="498" t="s">
        <v>365</v>
      </c>
      <c r="G3" s="498" t="s">
        <v>363</v>
      </c>
      <c r="H3" s="498" t="s">
        <v>349</v>
      </c>
      <c r="I3" s="525" t="s">
        <v>386</v>
      </c>
      <c r="J3" s="580"/>
      <c r="K3" s="580"/>
      <c r="L3" s="580"/>
      <c r="M3" s="580"/>
      <c r="N3" s="526"/>
      <c r="O3" s="517" t="s">
        <v>359</v>
      </c>
    </row>
    <row r="4" spans="2:15" ht="26.25" customHeight="1" thickBot="1">
      <c r="B4" s="522"/>
      <c r="C4" s="524"/>
      <c r="D4" s="499"/>
      <c r="E4" s="499"/>
      <c r="F4" s="499"/>
      <c r="G4" s="499"/>
      <c r="H4" s="499"/>
      <c r="I4" s="618" t="s">
        <v>351</v>
      </c>
      <c r="J4" s="634"/>
      <c r="K4" s="619"/>
      <c r="L4" s="618"/>
      <c r="M4" s="634"/>
      <c r="N4" s="619"/>
      <c r="O4" s="518"/>
    </row>
    <row r="5" spans="2:15" ht="14.25" thickBot="1" thickTop="1">
      <c r="B5" s="126">
        <v>519</v>
      </c>
      <c r="C5" s="632" t="s">
        <v>161</v>
      </c>
      <c r="D5" s="633"/>
      <c r="E5" s="127">
        <f>SUM(E6:E7)</f>
        <v>1712805</v>
      </c>
      <c r="F5" s="127">
        <f>SUM(F6:F7)</f>
        <v>796126</v>
      </c>
      <c r="G5" s="127">
        <f>SUM(G6:G7)</f>
        <v>889265</v>
      </c>
      <c r="H5" s="127">
        <f>SUM(H6:H7)</f>
        <v>170126</v>
      </c>
      <c r="I5" s="638">
        <f>I6+I7</f>
        <v>0</v>
      </c>
      <c r="J5" s="639"/>
      <c r="K5" s="640"/>
      <c r="L5" s="638">
        <f>L6+L7</f>
        <v>0</v>
      </c>
      <c r="M5" s="639"/>
      <c r="N5" s="640"/>
      <c r="O5" s="246">
        <f>SUM(O6:O7)</f>
        <v>170126</v>
      </c>
    </row>
    <row r="6" spans="2:15" ht="12.75">
      <c r="B6" s="505"/>
      <c r="C6" s="83"/>
      <c r="D6" s="52" t="s">
        <v>162</v>
      </c>
      <c r="E6" s="52">
        <v>1052724</v>
      </c>
      <c r="F6" s="52">
        <v>232649</v>
      </c>
      <c r="G6" s="52">
        <f>467154+171790</f>
        <v>638944</v>
      </c>
      <c r="H6" s="42">
        <v>99621</v>
      </c>
      <c r="I6" s="641"/>
      <c r="J6" s="642"/>
      <c r="K6" s="643"/>
      <c r="L6" s="641"/>
      <c r="M6" s="642"/>
      <c r="N6" s="643"/>
      <c r="O6" s="274">
        <f>H6+I6+L6</f>
        <v>99621</v>
      </c>
    </row>
    <row r="7" spans="2:15" ht="13.5" thickBot="1">
      <c r="B7" s="509"/>
      <c r="C7" s="84"/>
      <c r="D7" s="54" t="s">
        <v>163</v>
      </c>
      <c r="E7" s="54">
        <v>660081</v>
      </c>
      <c r="F7" s="54">
        <v>563477</v>
      </c>
      <c r="G7" s="54">
        <v>250321</v>
      </c>
      <c r="H7" s="182">
        <v>70505</v>
      </c>
      <c r="I7" s="635"/>
      <c r="J7" s="636"/>
      <c r="K7" s="637"/>
      <c r="L7" s="649"/>
      <c r="M7" s="650"/>
      <c r="N7" s="651"/>
      <c r="O7" s="277">
        <f aca="true" t="shared" si="0" ref="O7:O12">H7+I7+L7</f>
        <v>70505</v>
      </c>
    </row>
    <row r="8" spans="2:16" ht="13.5" thickBot="1">
      <c r="B8" s="91">
        <v>450</v>
      </c>
      <c r="C8" s="644" t="s">
        <v>105</v>
      </c>
      <c r="D8" s="645"/>
      <c r="E8" s="2">
        <f>SUM(E9:E14)</f>
        <v>553863</v>
      </c>
      <c r="F8" s="2">
        <f>SUM(F9:F14)</f>
        <v>509280</v>
      </c>
      <c r="G8" s="2">
        <f>SUM(G9:G14)</f>
        <v>620269</v>
      </c>
      <c r="H8" s="2">
        <f>SUM(H9:H14)</f>
        <v>50973</v>
      </c>
      <c r="I8" s="652">
        <f>SUM(I9:K12)</f>
        <v>13818</v>
      </c>
      <c r="J8" s="653"/>
      <c r="K8" s="654"/>
      <c r="L8" s="652">
        <f>SUM(L9:N12)</f>
        <v>0</v>
      </c>
      <c r="M8" s="653"/>
      <c r="N8" s="654"/>
      <c r="O8" s="220">
        <f t="shared" si="0"/>
        <v>64791</v>
      </c>
      <c r="P8" s="34"/>
    </row>
    <row r="9" spans="2:15" s="366" customFormat="1" ht="12.75">
      <c r="B9" s="505"/>
      <c r="C9" s="83"/>
      <c r="D9" s="378" t="s">
        <v>171</v>
      </c>
      <c r="E9" s="378">
        <v>43800</v>
      </c>
      <c r="F9" s="378"/>
      <c r="G9" s="378"/>
      <c r="H9" s="379">
        <v>30000</v>
      </c>
      <c r="I9" s="641"/>
      <c r="J9" s="642"/>
      <c r="K9" s="643"/>
      <c r="L9" s="641"/>
      <c r="M9" s="642"/>
      <c r="N9" s="643"/>
      <c r="O9" s="274">
        <f t="shared" si="0"/>
        <v>30000</v>
      </c>
    </row>
    <row r="10" spans="2:16" ht="12.75">
      <c r="B10" s="508"/>
      <c r="C10" s="114"/>
      <c r="D10" s="115" t="s">
        <v>321</v>
      </c>
      <c r="E10" s="115">
        <v>220604</v>
      </c>
      <c r="F10" s="115">
        <v>192501</v>
      </c>
      <c r="G10" s="115">
        <v>494</v>
      </c>
      <c r="H10" s="189"/>
      <c r="I10" s="646"/>
      <c r="J10" s="647"/>
      <c r="K10" s="648"/>
      <c r="L10" s="646"/>
      <c r="M10" s="647"/>
      <c r="N10" s="648"/>
      <c r="O10" s="275">
        <f t="shared" si="0"/>
        <v>0</v>
      </c>
      <c r="P10" s="34"/>
    </row>
    <row r="11" spans="2:16" ht="12.75" customHeight="1">
      <c r="B11" s="508"/>
      <c r="C11" s="114"/>
      <c r="D11" s="115" t="s">
        <v>164</v>
      </c>
      <c r="E11" s="115">
        <v>277803</v>
      </c>
      <c r="F11" s="115">
        <v>316779</v>
      </c>
      <c r="G11" s="115">
        <v>619775</v>
      </c>
      <c r="H11" s="189">
        <v>20973</v>
      </c>
      <c r="I11" s="646">
        <f>4818+4000+5000</f>
        <v>13818</v>
      </c>
      <c r="J11" s="647"/>
      <c r="K11" s="648"/>
      <c r="L11" s="646"/>
      <c r="M11" s="647"/>
      <c r="N11" s="648"/>
      <c r="O11" s="275">
        <f t="shared" si="0"/>
        <v>34791</v>
      </c>
      <c r="P11" s="34"/>
    </row>
    <row r="12" spans="2:15" ht="12.75" customHeight="1" thickBot="1">
      <c r="B12" s="508"/>
      <c r="C12" s="114"/>
      <c r="D12" s="115" t="s">
        <v>165</v>
      </c>
      <c r="E12" s="115">
        <v>11656</v>
      </c>
      <c r="F12" s="115"/>
      <c r="G12" s="115"/>
      <c r="H12" s="50"/>
      <c r="I12" s="646"/>
      <c r="J12" s="647"/>
      <c r="K12" s="648"/>
      <c r="L12" s="646"/>
      <c r="M12" s="647"/>
      <c r="N12" s="648"/>
      <c r="O12" s="275">
        <f t="shared" si="0"/>
        <v>0</v>
      </c>
    </row>
    <row r="13" spans="2:15" ht="12.75" customHeight="1" hidden="1">
      <c r="B13" s="508"/>
      <c r="C13" s="85"/>
      <c r="D13" s="86" t="s">
        <v>196</v>
      </c>
      <c r="E13" s="86"/>
      <c r="F13" s="86"/>
      <c r="G13" s="86"/>
      <c r="H13" s="44"/>
      <c r="I13" s="44"/>
      <c r="J13" s="44"/>
      <c r="K13" s="44"/>
      <c r="L13" s="44"/>
      <c r="M13" s="44"/>
      <c r="N13" s="44"/>
      <c r="O13" s="276"/>
    </row>
    <row r="14" spans="2:15" ht="13.5" customHeight="1" hidden="1" thickBot="1">
      <c r="B14" s="481"/>
      <c r="C14" s="85"/>
      <c r="D14" s="86" t="s">
        <v>170</v>
      </c>
      <c r="E14" s="86"/>
      <c r="F14" s="86"/>
      <c r="G14" s="86"/>
      <c r="H14" s="44"/>
      <c r="I14" s="44"/>
      <c r="J14" s="44"/>
      <c r="K14" s="44"/>
      <c r="L14" s="44"/>
      <c r="M14" s="44"/>
      <c r="N14" s="44"/>
      <c r="O14" s="276"/>
    </row>
    <row r="15" spans="2:16" ht="14.25" thickBot="1" thickTop="1">
      <c r="B15" s="621" t="s">
        <v>166</v>
      </c>
      <c r="C15" s="622"/>
      <c r="D15" s="623"/>
      <c r="E15" s="124">
        <f>E8+E5</f>
        <v>2266668</v>
      </c>
      <c r="F15" s="124">
        <f>F8+F5</f>
        <v>1305406</v>
      </c>
      <c r="G15" s="124">
        <f>G8+G5</f>
        <v>1509534</v>
      </c>
      <c r="H15" s="124">
        <f>H8+H5</f>
        <v>221099</v>
      </c>
      <c r="I15" s="624">
        <f>I8+I5</f>
        <v>13818</v>
      </c>
      <c r="J15" s="625"/>
      <c r="K15" s="626"/>
      <c r="L15" s="624">
        <f>L8+L5</f>
        <v>0</v>
      </c>
      <c r="M15" s="625"/>
      <c r="N15" s="626"/>
      <c r="O15" s="381">
        <f>O8+O5</f>
        <v>234917</v>
      </c>
      <c r="P15" s="34"/>
    </row>
    <row r="16" spans="2:14" ht="13.5" thickTop="1">
      <c r="B16" s="620"/>
      <c r="C16" s="620"/>
      <c r="D16" s="620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spans="2:14" ht="13.5" thickBot="1">
      <c r="B17" s="609" t="s">
        <v>169</v>
      </c>
      <c r="C17" s="609"/>
      <c r="D17" s="609"/>
      <c r="E17" s="267"/>
      <c r="F17" s="267"/>
      <c r="G17" s="267"/>
      <c r="H17" s="267"/>
      <c r="I17" s="267"/>
      <c r="J17" s="267"/>
      <c r="K17" s="267"/>
      <c r="L17" s="267"/>
      <c r="M17" s="267"/>
      <c r="N17" s="267"/>
    </row>
    <row r="18" spans="2:15" ht="13.5" customHeight="1" thickBot="1" thickTop="1">
      <c r="B18" s="630" t="s">
        <v>58</v>
      </c>
      <c r="C18" s="610" t="s">
        <v>59</v>
      </c>
      <c r="D18" s="576" t="s">
        <v>60</v>
      </c>
      <c r="E18" s="498" t="s">
        <v>364</v>
      </c>
      <c r="F18" s="498" t="s">
        <v>365</v>
      </c>
      <c r="G18" s="498" t="s">
        <v>363</v>
      </c>
      <c r="H18" s="498" t="s">
        <v>349</v>
      </c>
      <c r="I18" s="525" t="s">
        <v>386</v>
      </c>
      <c r="J18" s="580"/>
      <c r="K18" s="580"/>
      <c r="L18" s="580"/>
      <c r="M18" s="580"/>
      <c r="N18" s="526"/>
      <c r="O18" s="517" t="s">
        <v>359</v>
      </c>
    </row>
    <row r="19" spans="2:15" ht="24.75" customHeight="1" thickBot="1">
      <c r="B19" s="631"/>
      <c r="C19" s="611"/>
      <c r="D19" s="577"/>
      <c r="E19" s="499"/>
      <c r="F19" s="499"/>
      <c r="G19" s="499"/>
      <c r="H19" s="499"/>
      <c r="I19" s="618" t="s">
        <v>350</v>
      </c>
      <c r="J19" s="619"/>
      <c r="K19" s="618" t="s">
        <v>361</v>
      </c>
      <c r="L19" s="619"/>
      <c r="M19" s="618"/>
      <c r="N19" s="619"/>
      <c r="O19" s="518"/>
    </row>
    <row r="20" spans="2:15" ht="14.25" thickBot="1" thickTop="1">
      <c r="B20" s="95" t="s">
        <v>6</v>
      </c>
      <c r="C20" s="632" t="s">
        <v>161</v>
      </c>
      <c r="D20" s="633"/>
      <c r="E20" s="117">
        <f>SUM(E21:E26)</f>
        <v>1356608</v>
      </c>
      <c r="F20" s="117">
        <f>SUM(F21:F26)</f>
        <v>1191263</v>
      </c>
      <c r="G20" s="117">
        <f>SUM(G21:G26)</f>
        <v>977990</v>
      </c>
      <c r="H20" s="117">
        <f>SUM(H21:H26)</f>
        <v>505625</v>
      </c>
      <c r="I20" s="612">
        <f>SUM(I21:J26)</f>
        <v>0</v>
      </c>
      <c r="J20" s="613"/>
      <c r="K20" s="612">
        <f>SUM(K21:L26)</f>
        <v>-132057</v>
      </c>
      <c r="L20" s="613"/>
      <c r="M20" s="612">
        <f>SUM(M21:N26)</f>
        <v>0</v>
      </c>
      <c r="N20" s="613"/>
      <c r="O20" s="389">
        <f>SUM(O21:O26)</f>
        <v>373568</v>
      </c>
    </row>
    <row r="21" spans="2:15" ht="12.75">
      <c r="B21" s="627"/>
      <c r="C21" s="92"/>
      <c r="D21" s="92" t="s">
        <v>180</v>
      </c>
      <c r="E21" s="92">
        <v>22394</v>
      </c>
      <c r="F21" s="92">
        <v>122620</v>
      </c>
      <c r="G21" s="458">
        <v>207083</v>
      </c>
      <c r="H21" s="190">
        <v>342251</v>
      </c>
      <c r="I21" s="616"/>
      <c r="J21" s="617"/>
      <c r="K21" s="616">
        <v>-126057</v>
      </c>
      <c r="L21" s="617"/>
      <c r="M21" s="616"/>
      <c r="N21" s="617"/>
      <c r="O21" s="390">
        <f aca="true" t="shared" si="1" ref="O21:O26">H21+I21+K21+M21</f>
        <v>216194</v>
      </c>
    </row>
    <row r="22" spans="2:15" ht="12.75">
      <c r="B22" s="628"/>
      <c r="C22" s="128"/>
      <c r="D22" s="180" t="s">
        <v>244</v>
      </c>
      <c r="E22" s="180">
        <v>1098574</v>
      </c>
      <c r="F22" s="180">
        <v>733308</v>
      </c>
      <c r="G22" s="459">
        <v>631012</v>
      </c>
      <c r="H22" s="191">
        <v>99621</v>
      </c>
      <c r="I22" s="614"/>
      <c r="J22" s="615"/>
      <c r="K22" s="614"/>
      <c r="L22" s="615"/>
      <c r="M22" s="614"/>
      <c r="N22" s="615"/>
      <c r="O22" s="391">
        <f t="shared" si="1"/>
        <v>99621</v>
      </c>
    </row>
    <row r="23" spans="2:15" ht="12.75">
      <c r="B23" s="628"/>
      <c r="C23" s="93"/>
      <c r="D23" s="181" t="s">
        <v>234</v>
      </c>
      <c r="E23" s="181">
        <v>53214</v>
      </c>
      <c r="F23" s="181">
        <v>53736</v>
      </c>
      <c r="G23" s="137">
        <v>54692</v>
      </c>
      <c r="H23" s="191">
        <f>54753+9000</f>
        <v>63753</v>
      </c>
      <c r="I23" s="614"/>
      <c r="J23" s="615"/>
      <c r="K23" s="614">
        <v>-6000</v>
      </c>
      <c r="L23" s="615"/>
      <c r="M23" s="614"/>
      <c r="N23" s="615"/>
      <c r="O23" s="392">
        <f t="shared" si="1"/>
        <v>57753</v>
      </c>
    </row>
    <row r="24" spans="2:15" s="121" customFormat="1" ht="13.5" customHeight="1">
      <c r="B24" s="628"/>
      <c r="C24" s="120"/>
      <c r="D24" s="122" t="s">
        <v>205</v>
      </c>
      <c r="E24" s="122">
        <v>7462</v>
      </c>
      <c r="F24" s="122"/>
      <c r="G24" s="460"/>
      <c r="H24" s="137"/>
      <c r="I24" s="614"/>
      <c r="J24" s="615"/>
      <c r="K24" s="614"/>
      <c r="L24" s="615"/>
      <c r="M24" s="614"/>
      <c r="N24" s="615"/>
      <c r="O24" s="391">
        <f t="shared" si="1"/>
        <v>0</v>
      </c>
    </row>
    <row r="25" spans="2:15" ht="13.5" customHeight="1">
      <c r="B25" s="628"/>
      <c r="C25" s="93"/>
      <c r="D25" s="93" t="s">
        <v>290</v>
      </c>
      <c r="E25" s="93">
        <v>174964</v>
      </c>
      <c r="F25" s="93">
        <v>281599</v>
      </c>
      <c r="G25" s="118">
        <f>85355-64-90+2</f>
        <v>85203</v>
      </c>
      <c r="H25" s="118"/>
      <c r="I25" s="614"/>
      <c r="J25" s="615"/>
      <c r="K25" s="614"/>
      <c r="L25" s="615"/>
      <c r="M25" s="614"/>
      <c r="N25" s="615"/>
      <c r="O25" s="393">
        <f t="shared" si="1"/>
        <v>0</v>
      </c>
    </row>
    <row r="26" spans="2:15" ht="13.5" customHeight="1" thickBot="1">
      <c r="B26" s="629"/>
      <c r="C26" s="94"/>
      <c r="D26" s="94"/>
      <c r="E26" s="94"/>
      <c r="F26" s="94"/>
      <c r="G26" s="119"/>
      <c r="H26" s="119"/>
      <c r="I26" s="614"/>
      <c r="J26" s="615"/>
      <c r="K26" s="614"/>
      <c r="L26" s="615"/>
      <c r="M26" s="614"/>
      <c r="N26" s="615"/>
      <c r="O26" s="349">
        <f t="shared" si="1"/>
        <v>0</v>
      </c>
    </row>
    <row r="27" spans="2:15" ht="14.25" thickBot="1" thickTop="1">
      <c r="B27" s="621" t="s">
        <v>166</v>
      </c>
      <c r="C27" s="622"/>
      <c r="D27" s="623"/>
      <c r="E27" s="124">
        <f>E20</f>
        <v>1356608</v>
      </c>
      <c r="F27" s="124">
        <f>F20</f>
        <v>1191263</v>
      </c>
      <c r="G27" s="124">
        <f>G20</f>
        <v>977990</v>
      </c>
      <c r="H27" s="124">
        <f>H20</f>
        <v>505625</v>
      </c>
      <c r="I27" s="624">
        <f>SUM(I21:J26)</f>
        <v>0</v>
      </c>
      <c r="J27" s="626"/>
      <c r="K27" s="624">
        <f>SUM(K21:L26)</f>
        <v>-132057</v>
      </c>
      <c r="L27" s="626"/>
      <c r="M27" s="624">
        <f>SUM(M21:N26)</f>
        <v>0</v>
      </c>
      <c r="N27" s="626"/>
      <c r="O27" s="381">
        <f>O20</f>
        <v>373568</v>
      </c>
    </row>
    <row r="28" ht="13.5" thickTop="1"/>
    <row r="30" spans="8:14" ht="12.75">
      <c r="H30" s="34"/>
      <c r="I30" s="34"/>
      <c r="J30" s="34"/>
      <c r="K30" s="34"/>
      <c r="L30" s="34"/>
      <c r="M30" s="34"/>
      <c r="N30" s="34"/>
    </row>
    <row r="31" ht="12.75">
      <c r="H31" s="34"/>
    </row>
  </sheetData>
  <sheetProtection/>
  <mergeCells count="77">
    <mergeCell ref="O3:O4"/>
    <mergeCell ref="H18:H19"/>
    <mergeCell ref="I6:K6"/>
    <mergeCell ref="I10:K10"/>
    <mergeCell ref="I11:K11"/>
    <mergeCell ref="I12:K12"/>
    <mergeCell ref="I3:N3"/>
    <mergeCell ref="L9:N9"/>
    <mergeCell ref="I8:K8"/>
    <mergeCell ref="L4:N4"/>
    <mergeCell ref="O18:O19"/>
    <mergeCell ref="K19:L19"/>
    <mergeCell ref="L12:N12"/>
    <mergeCell ref="L5:N5"/>
    <mergeCell ref="L7:N7"/>
    <mergeCell ref="M19:N19"/>
    <mergeCell ref="L6:N6"/>
    <mergeCell ref="L8:N8"/>
    <mergeCell ref="L10:N10"/>
    <mergeCell ref="L11:N11"/>
    <mergeCell ref="E3:E4"/>
    <mergeCell ref="B6:B7"/>
    <mergeCell ref="C8:D8"/>
    <mergeCell ref="C5:D5"/>
    <mergeCell ref="B1:D1"/>
    <mergeCell ref="B2:D2"/>
    <mergeCell ref="B3:B4"/>
    <mergeCell ref="C3:C4"/>
    <mergeCell ref="D3:D4"/>
    <mergeCell ref="F3:F4"/>
    <mergeCell ref="G3:G4"/>
    <mergeCell ref="I15:K15"/>
    <mergeCell ref="H3:H4"/>
    <mergeCell ref="I4:K4"/>
    <mergeCell ref="I7:K7"/>
    <mergeCell ref="I5:K5"/>
    <mergeCell ref="I9:K9"/>
    <mergeCell ref="K22:L22"/>
    <mergeCell ref="M27:N27"/>
    <mergeCell ref="M25:N25"/>
    <mergeCell ref="M26:N26"/>
    <mergeCell ref="K25:L25"/>
    <mergeCell ref="K26:L26"/>
    <mergeCell ref="L15:N15"/>
    <mergeCell ref="K27:L27"/>
    <mergeCell ref="B27:D27"/>
    <mergeCell ref="B21:B26"/>
    <mergeCell ref="D18:D19"/>
    <mergeCell ref="B18:B19"/>
    <mergeCell ref="C18:C19"/>
    <mergeCell ref="C20:D20"/>
    <mergeCell ref="I26:J26"/>
    <mergeCell ref="I27:J27"/>
    <mergeCell ref="B9:B14"/>
    <mergeCell ref="B16:D16"/>
    <mergeCell ref="B17:D17"/>
    <mergeCell ref="B15:D15"/>
    <mergeCell ref="I25:J25"/>
    <mergeCell ref="M21:N21"/>
    <mergeCell ref="I24:J24"/>
    <mergeCell ref="K24:L24"/>
    <mergeCell ref="I22:J22"/>
    <mergeCell ref="M22:N22"/>
    <mergeCell ref="M23:N23"/>
    <mergeCell ref="M24:N24"/>
    <mergeCell ref="K23:L23"/>
    <mergeCell ref="K21:L21"/>
    <mergeCell ref="M20:N20"/>
    <mergeCell ref="I23:J23"/>
    <mergeCell ref="E18:E19"/>
    <mergeCell ref="F18:F19"/>
    <mergeCell ref="G18:G19"/>
    <mergeCell ref="I21:J21"/>
    <mergeCell ref="I19:J19"/>
    <mergeCell ref="I18:N18"/>
    <mergeCell ref="K20:L20"/>
    <mergeCell ref="I20:J20"/>
  </mergeCells>
  <printOptions/>
  <pageMargins left="0.16" right="0.15" top="1" bottom="1" header="0.4921259845" footer="0.492125984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showGridLines="0" tabSelected="1" zoomScalePageLayoutView="0" workbookViewId="0" topLeftCell="A1">
      <selection activeCell="A24" sqref="A24:E24"/>
    </sheetView>
  </sheetViews>
  <sheetFormatPr defaultColWidth="9.140625" defaultRowHeight="12.75"/>
  <cols>
    <col min="1" max="1" width="41.7109375" style="0" customWidth="1"/>
    <col min="2" max="3" width="13.00390625" style="0" customWidth="1"/>
    <col min="4" max="5" width="12.421875" style="0" customWidth="1"/>
    <col min="6" max="11" width="5.28125" style="0" customWidth="1"/>
    <col min="12" max="12" width="12.140625" style="0" customWidth="1"/>
  </cols>
  <sheetData>
    <row r="1" spans="1:12" ht="15">
      <c r="A1" s="666" t="s">
        <v>198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</row>
    <row r="2" spans="1:12" ht="13.5" thickBot="1">
      <c r="A2" s="662"/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</row>
    <row r="3" spans="1:12" ht="13.5" customHeight="1" thickTop="1">
      <c r="A3" s="683" t="s">
        <v>124</v>
      </c>
      <c r="B3" s="498" t="s">
        <v>364</v>
      </c>
      <c r="C3" s="498" t="s">
        <v>365</v>
      </c>
      <c r="D3" s="498" t="s">
        <v>363</v>
      </c>
      <c r="E3" s="498" t="s">
        <v>349</v>
      </c>
      <c r="F3" s="673" t="s">
        <v>387</v>
      </c>
      <c r="G3" s="674"/>
      <c r="H3" s="674"/>
      <c r="I3" s="674"/>
      <c r="J3" s="674"/>
      <c r="K3" s="675"/>
      <c r="L3" s="517" t="s">
        <v>359</v>
      </c>
    </row>
    <row r="4" spans="1:12" ht="13.5" customHeight="1">
      <c r="A4" s="684"/>
      <c r="B4" s="672"/>
      <c r="C4" s="672"/>
      <c r="D4" s="672"/>
      <c r="E4" s="672"/>
      <c r="F4" s="669" t="s">
        <v>351</v>
      </c>
      <c r="G4" s="670"/>
      <c r="H4" s="670"/>
      <c r="I4" s="670"/>
      <c r="J4" s="670"/>
      <c r="K4" s="671"/>
      <c r="L4" s="676"/>
    </row>
    <row r="5" spans="1:12" ht="13.5" customHeight="1" thickBot="1">
      <c r="A5" s="684"/>
      <c r="B5" s="499"/>
      <c r="C5" s="499"/>
      <c r="D5" s="499"/>
      <c r="E5" s="499"/>
      <c r="F5" s="667" t="s">
        <v>350</v>
      </c>
      <c r="G5" s="667"/>
      <c r="H5" s="667" t="s">
        <v>352</v>
      </c>
      <c r="I5" s="667"/>
      <c r="J5" s="668" t="s">
        <v>361</v>
      </c>
      <c r="K5" s="668"/>
      <c r="L5" s="518"/>
    </row>
    <row r="6" spans="1:15" ht="13.5" thickTop="1">
      <c r="A6" s="138" t="s">
        <v>186</v>
      </c>
      <c r="B6" s="278">
        <f>'BEŽNÉ PRÍJMY'!E101</f>
        <v>9096722</v>
      </c>
      <c r="C6" s="278">
        <f>'BEŽNÉ PRÍJMY'!F101</f>
        <v>9201831</v>
      </c>
      <c r="D6" s="278">
        <f>'BEŽNÉ PRÍJMY'!G101</f>
        <v>9713106</v>
      </c>
      <c r="E6" s="278">
        <f>'BEŽNÉ PRÍJMY'!H101</f>
        <v>8685425</v>
      </c>
      <c r="F6" s="680">
        <f>'BEŽNÉ PRÍJMY'!I101</f>
        <v>184100</v>
      </c>
      <c r="G6" s="681"/>
      <c r="H6" s="681"/>
      <c r="I6" s="681"/>
      <c r="J6" s="681"/>
      <c r="K6" s="682"/>
      <c r="L6" s="348">
        <f>'BEŽNÉ PRÍJMY'!K101</f>
        <v>8869525</v>
      </c>
      <c r="O6" s="34"/>
    </row>
    <row r="7" spans="1:15" ht="14.25" customHeight="1" thickBot="1">
      <c r="A7" s="139" t="s">
        <v>187</v>
      </c>
      <c r="B7" s="119">
        <f>'BEŽNÉ VÝDAVKY'!E178</f>
        <v>8798575</v>
      </c>
      <c r="C7" s="119">
        <f>'BEŽNÉ VÝDAVKY'!F178</f>
        <v>9090417</v>
      </c>
      <c r="D7" s="119">
        <f>'BEŽNÉ VÝDAVKY'!G178</f>
        <v>8934542</v>
      </c>
      <c r="E7" s="119">
        <f>'BEŽNÉ VÝDAVKY'!H178</f>
        <v>8326152</v>
      </c>
      <c r="F7" s="664">
        <f>'BEŽNÉ VÝDAVKY'!I178</f>
        <v>184100</v>
      </c>
      <c r="G7" s="665"/>
      <c r="H7" s="664">
        <f>'BEŽNÉ VÝDAVKY'!J178</f>
        <v>108729</v>
      </c>
      <c r="I7" s="665"/>
      <c r="J7" s="664">
        <f>'BEŽNÉ VÝDAVKY'!K178</f>
        <v>0</v>
      </c>
      <c r="K7" s="665"/>
      <c r="L7" s="349">
        <f>'BEŽNÉ VÝDAVKY'!L178</f>
        <v>8618981</v>
      </c>
      <c r="O7" s="34"/>
    </row>
    <row r="8" spans="1:16" ht="15.75" thickBot="1">
      <c r="A8" s="279" t="s">
        <v>188</v>
      </c>
      <c r="B8" s="143">
        <f>B6-B7</f>
        <v>298147</v>
      </c>
      <c r="C8" s="143">
        <f>C6-C7</f>
        <v>111414</v>
      </c>
      <c r="D8" s="143">
        <f>D6-D7</f>
        <v>778564</v>
      </c>
      <c r="E8" s="143">
        <f>E6-E7</f>
        <v>359273</v>
      </c>
      <c r="F8" s="655">
        <f>F6+I6-F7-H7-J7</f>
        <v>-108729</v>
      </c>
      <c r="G8" s="656"/>
      <c r="H8" s="656"/>
      <c r="I8" s="656"/>
      <c r="J8" s="656"/>
      <c r="K8" s="657"/>
      <c r="L8" s="350">
        <f>L6-L7</f>
        <v>250544</v>
      </c>
      <c r="N8" s="34"/>
      <c r="O8" s="34"/>
      <c r="P8" s="34"/>
    </row>
    <row r="9" spans="1:17" ht="14.25" thickBot="1" thickTop="1">
      <c r="A9" s="677"/>
      <c r="B9" s="678"/>
      <c r="C9" s="678"/>
      <c r="D9" s="678"/>
      <c r="E9" s="678"/>
      <c r="F9" s="678"/>
      <c r="G9" s="678"/>
      <c r="H9" s="678"/>
      <c r="I9" s="678"/>
      <c r="J9" s="678"/>
      <c r="K9" s="678"/>
      <c r="L9" s="679"/>
      <c r="O9" s="34"/>
      <c r="Q9" s="34"/>
    </row>
    <row r="10" spans="1:15" ht="13.5" thickTop="1">
      <c r="A10" s="138" t="s">
        <v>189</v>
      </c>
      <c r="B10" s="278">
        <f>'KAPITÁLOVÉ PRÍJMY'!E46</f>
        <v>4649713</v>
      </c>
      <c r="C10" s="278">
        <f>'KAPITÁLOVÉ PRÍJMY'!F46</f>
        <v>4502774.06</v>
      </c>
      <c r="D10" s="278">
        <f>'KAPITÁLOVÉ PRÍJMY'!G46</f>
        <v>3688013</v>
      </c>
      <c r="E10" s="278">
        <f>'KAPITÁLOVÉ PRÍJMY'!H46</f>
        <v>1765363</v>
      </c>
      <c r="F10" s="680">
        <f>'KAPITÁLOVÉ PRÍJMY'!I46</f>
        <v>1446705</v>
      </c>
      <c r="G10" s="681"/>
      <c r="H10" s="681"/>
      <c r="I10" s="681"/>
      <c r="J10" s="681"/>
      <c r="K10" s="682"/>
      <c r="L10" s="348">
        <f>'KAPITÁLOVÉ PRÍJMY'!K46</f>
        <v>3212068</v>
      </c>
      <c r="O10" s="34"/>
    </row>
    <row r="11" spans="1:14" ht="15" customHeight="1" thickBot="1">
      <c r="A11" s="139" t="s">
        <v>190</v>
      </c>
      <c r="B11" s="119">
        <f>'KAPITÁLVÉ VÝDAVKY'!E91</f>
        <v>5818483</v>
      </c>
      <c r="C11" s="119">
        <f>'KAPITÁLVÉ VÝDAVKY'!F91</f>
        <v>4719096</v>
      </c>
      <c r="D11" s="119">
        <f>'KAPITÁLVÉ VÝDAVKY'!G91</f>
        <v>3939694</v>
      </c>
      <c r="E11" s="119">
        <f>'KAPITÁLVÉ VÝDAVKY'!H91</f>
        <v>1840110</v>
      </c>
      <c r="F11" s="664">
        <f>'KAPITÁLVÉ VÝDAVKY'!I91</f>
        <v>1475033</v>
      </c>
      <c r="G11" s="665"/>
      <c r="H11" s="664">
        <f>'KAPITÁLVÉ VÝDAVKY'!J91</f>
        <v>8818</v>
      </c>
      <c r="I11" s="665"/>
      <c r="J11" s="664">
        <f>'KAPITÁLVÉ VÝDAVKY'!K91</f>
        <v>0</v>
      </c>
      <c r="K11" s="665"/>
      <c r="L11" s="349">
        <f>'KAPITÁLVÉ VÝDAVKY'!L91</f>
        <v>3323961</v>
      </c>
      <c r="N11" s="34"/>
    </row>
    <row r="12" spans="1:15" ht="15.75" thickBot="1">
      <c r="A12" s="280" t="s">
        <v>191</v>
      </c>
      <c r="B12" s="281">
        <f>B10-B11</f>
        <v>-1168770</v>
      </c>
      <c r="C12" s="281">
        <f>C10-C11</f>
        <v>-216321.9400000004</v>
      </c>
      <c r="D12" s="281">
        <f>D10-D11</f>
        <v>-251681</v>
      </c>
      <c r="E12" s="281">
        <f>E10-E11</f>
        <v>-74747</v>
      </c>
      <c r="F12" s="655">
        <f>F10+I10-F11-H11-J11</f>
        <v>-37146</v>
      </c>
      <c r="G12" s="656"/>
      <c r="H12" s="656"/>
      <c r="I12" s="656"/>
      <c r="J12" s="656"/>
      <c r="K12" s="657"/>
      <c r="L12" s="351">
        <f>L10-L11</f>
        <v>-111893</v>
      </c>
      <c r="O12" s="34"/>
    </row>
    <row r="13" spans="1:12" ht="14.25" thickBot="1" thickTop="1">
      <c r="A13" s="677"/>
      <c r="B13" s="678"/>
      <c r="C13" s="678"/>
      <c r="D13" s="678"/>
      <c r="E13" s="678"/>
      <c r="F13" s="678"/>
      <c r="G13" s="678"/>
      <c r="H13" s="678"/>
      <c r="I13" s="678"/>
      <c r="J13" s="678"/>
      <c r="K13" s="678"/>
      <c r="L13" s="679"/>
    </row>
    <row r="14" spans="1:12" ht="13.5" thickTop="1">
      <c r="A14" s="138" t="s">
        <v>192</v>
      </c>
      <c r="B14" s="278">
        <f>'FINANČNÉ OPERÁCIE'!E15</f>
        <v>2266668</v>
      </c>
      <c r="C14" s="278">
        <f>'FINANČNÉ OPERÁCIE'!F15</f>
        <v>1305406</v>
      </c>
      <c r="D14" s="278">
        <f>'FINANČNÉ OPERÁCIE'!G15</f>
        <v>1509534</v>
      </c>
      <c r="E14" s="278">
        <f>'FINANČNÉ OPERÁCIE'!H15</f>
        <v>221099</v>
      </c>
      <c r="F14" s="680">
        <f>'FINANČNÉ OPERÁCIE'!I15</f>
        <v>13818</v>
      </c>
      <c r="G14" s="681"/>
      <c r="H14" s="681"/>
      <c r="I14" s="681"/>
      <c r="J14" s="681"/>
      <c r="K14" s="682"/>
      <c r="L14" s="348">
        <f>'FINANČNÉ OPERÁCIE'!O15</f>
        <v>234917</v>
      </c>
    </row>
    <row r="15" spans="1:14" ht="15" customHeight="1" thickBot="1">
      <c r="A15" s="139" t="s">
        <v>193</v>
      </c>
      <c r="B15" s="119">
        <f>'FINANČNÉ OPERÁCIE'!E27</f>
        <v>1356608</v>
      </c>
      <c r="C15" s="119">
        <f>'FINANČNÉ OPERÁCIE'!F27</f>
        <v>1191263</v>
      </c>
      <c r="D15" s="119">
        <f>'FINANČNÉ OPERÁCIE'!G27</f>
        <v>977990</v>
      </c>
      <c r="E15" s="119">
        <f>'FINANČNÉ OPERÁCIE'!H27</f>
        <v>505625</v>
      </c>
      <c r="F15" s="664">
        <f>'FINANČNÉ OPERÁCIE'!I27</f>
        <v>0</v>
      </c>
      <c r="G15" s="665"/>
      <c r="H15" s="664"/>
      <c r="I15" s="665"/>
      <c r="J15" s="664">
        <f>'FINANČNÉ OPERÁCIE'!K27</f>
        <v>-132057</v>
      </c>
      <c r="K15" s="665"/>
      <c r="L15" s="349">
        <f>'FINANČNÉ OPERÁCIE'!O27</f>
        <v>373568</v>
      </c>
      <c r="N15" s="34"/>
    </row>
    <row r="16" spans="1:12" ht="15.75" thickBot="1">
      <c r="A16" s="280" t="s">
        <v>194</v>
      </c>
      <c r="B16" s="281">
        <f>B14-B15</f>
        <v>910060</v>
      </c>
      <c r="C16" s="281">
        <f>C14-C15</f>
        <v>114143</v>
      </c>
      <c r="D16" s="281">
        <f>D14-D15</f>
        <v>531544</v>
      </c>
      <c r="E16" s="281">
        <f>E14-E15</f>
        <v>-284526</v>
      </c>
      <c r="F16" s="655">
        <f>F14+I14-F15-H15-J15</f>
        <v>145875</v>
      </c>
      <c r="G16" s="656"/>
      <c r="H16" s="656"/>
      <c r="I16" s="656"/>
      <c r="J16" s="656"/>
      <c r="K16" s="657"/>
      <c r="L16" s="351">
        <f>L14-L15</f>
        <v>-138651</v>
      </c>
    </row>
    <row r="17" spans="1:12" ht="16.5" customHeight="1" thickBot="1" thickTop="1">
      <c r="A17" s="661"/>
      <c r="B17" s="662"/>
      <c r="C17" s="662"/>
      <c r="D17" s="662"/>
      <c r="E17" s="662"/>
      <c r="F17" s="662"/>
      <c r="G17" s="662"/>
      <c r="H17" s="662"/>
      <c r="I17" s="662"/>
      <c r="J17" s="662"/>
      <c r="K17" s="662"/>
      <c r="L17" s="663"/>
    </row>
    <row r="18" spans="1:12" ht="13.5" customHeight="1" thickTop="1">
      <c r="A18" s="687" t="s">
        <v>248</v>
      </c>
      <c r="B18" s="688"/>
      <c r="C18" s="688"/>
      <c r="D18" s="688"/>
      <c r="E18" s="688"/>
      <c r="F18" s="688"/>
      <c r="G18" s="688"/>
      <c r="H18" s="688"/>
      <c r="I18" s="688"/>
      <c r="J18" s="688"/>
      <c r="K18" s="688"/>
      <c r="L18" s="689"/>
    </row>
    <row r="19" spans="1:12" ht="13.5" thickBot="1">
      <c r="A19" s="690"/>
      <c r="B19" s="691"/>
      <c r="C19" s="691"/>
      <c r="D19" s="691"/>
      <c r="E19" s="691"/>
      <c r="F19" s="691"/>
      <c r="G19" s="691"/>
      <c r="H19" s="691"/>
      <c r="I19" s="691"/>
      <c r="J19" s="691"/>
      <c r="K19" s="691"/>
      <c r="L19" s="692"/>
    </row>
    <row r="20" spans="1:12" ht="17.25" thickBot="1" thickTop="1">
      <c r="A20" s="140" t="s">
        <v>195</v>
      </c>
      <c r="B20" s="141">
        <f>B8+B12+B16</f>
        <v>39437</v>
      </c>
      <c r="C20" s="141">
        <f>C8+C12+C16</f>
        <v>9235.05999999959</v>
      </c>
      <c r="D20" s="141">
        <f>D8+D12+D16</f>
        <v>1058427</v>
      </c>
      <c r="E20" s="141">
        <f>E8+E12+E16</f>
        <v>0</v>
      </c>
      <c r="F20" s="658">
        <f>F8+F12+F16</f>
        <v>0</v>
      </c>
      <c r="G20" s="659"/>
      <c r="H20" s="659"/>
      <c r="I20" s="659"/>
      <c r="J20" s="659"/>
      <c r="K20" s="660"/>
      <c r="L20" s="142">
        <f>L8+L12+L16</f>
        <v>0</v>
      </c>
    </row>
    <row r="21" spans="1:11" ht="13.5" thickTop="1">
      <c r="A21" s="197"/>
      <c r="B21" s="197"/>
      <c r="C21" s="197"/>
      <c r="D21" s="197"/>
      <c r="E21" s="199"/>
      <c r="F21" s="199"/>
      <c r="G21" s="199"/>
      <c r="H21" s="199"/>
      <c r="I21" s="199"/>
      <c r="J21" s="199"/>
      <c r="K21" s="199"/>
    </row>
    <row r="22" spans="1:11" ht="12.75">
      <c r="A22" s="197"/>
      <c r="B22" s="197"/>
      <c r="C22" s="197"/>
      <c r="D22" s="197"/>
      <c r="E22" s="199"/>
      <c r="F22" s="199"/>
      <c r="G22" s="199"/>
      <c r="H22" s="199"/>
      <c r="I22" s="199"/>
      <c r="J22" s="199"/>
      <c r="K22" s="199"/>
    </row>
    <row r="23" spans="5:12" ht="12.75">
      <c r="E23" s="686"/>
      <c r="F23" s="686"/>
      <c r="G23" s="686"/>
      <c r="H23" s="686"/>
      <c r="I23" s="686"/>
      <c r="J23" s="686"/>
      <c r="K23" s="686"/>
      <c r="L23" s="686"/>
    </row>
    <row r="24" spans="1:5" ht="12.75">
      <c r="A24" s="685" t="s">
        <v>395</v>
      </c>
      <c r="B24" s="685"/>
      <c r="C24" s="685"/>
      <c r="D24" s="685"/>
      <c r="E24" s="685"/>
    </row>
    <row r="27" spans="7:10" ht="12.75">
      <c r="G27" s="686" t="s">
        <v>393</v>
      </c>
      <c r="H27" s="686"/>
      <c r="I27" s="686"/>
      <c r="J27" s="686"/>
    </row>
    <row r="28" spans="7:10" ht="12.75">
      <c r="G28" s="686" t="s">
        <v>394</v>
      </c>
      <c r="H28" s="686"/>
      <c r="I28" s="686"/>
      <c r="J28" s="686"/>
    </row>
  </sheetData>
  <sheetProtection/>
  <mergeCells count="37">
    <mergeCell ref="F14:K14"/>
    <mergeCell ref="D3:D5"/>
    <mergeCell ref="A24:E24"/>
    <mergeCell ref="G27:J27"/>
    <mergeCell ref="G28:J28"/>
    <mergeCell ref="F6:K6"/>
    <mergeCell ref="J7:K7"/>
    <mergeCell ref="J11:K11"/>
    <mergeCell ref="A9:L9"/>
    <mergeCell ref="E23:L23"/>
    <mergeCell ref="A18:L19"/>
    <mergeCell ref="F7:G7"/>
    <mergeCell ref="L3:L5"/>
    <mergeCell ref="A13:L13"/>
    <mergeCell ref="F10:K10"/>
    <mergeCell ref="F12:K12"/>
    <mergeCell ref="H7:I7"/>
    <mergeCell ref="F8:K8"/>
    <mergeCell ref="H11:I11"/>
    <mergeCell ref="F11:G11"/>
    <mergeCell ref="B3:B5"/>
    <mergeCell ref="A1:L1"/>
    <mergeCell ref="A2:L2"/>
    <mergeCell ref="F5:G5"/>
    <mergeCell ref="H5:I5"/>
    <mergeCell ref="J5:K5"/>
    <mergeCell ref="F4:K4"/>
    <mergeCell ref="E3:E5"/>
    <mergeCell ref="F3:K3"/>
    <mergeCell ref="A3:A5"/>
    <mergeCell ref="C3:C5"/>
    <mergeCell ref="F16:K16"/>
    <mergeCell ref="F20:K20"/>
    <mergeCell ref="A17:L17"/>
    <mergeCell ref="F15:G15"/>
    <mergeCell ref="H15:I15"/>
    <mergeCell ref="J15:K15"/>
  </mergeCells>
  <printOptions/>
  <pageMargins left="0.58" right="0.12" top="0.75" bottom="1" header="0.4921259845" footer="0.4921259845"/>
  <pageSetup horizontalDpi="300" verticalDpi="300" orientation="portrait" paperSize="9" scale="71" r:id="rId1"/>
  <headerFooter alignWithMargins="0">
    <oddFooter>&amp;C
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A</cp:lastModifiedBy>
  <cp:lastPrinted>2015-03-06T08:34:48Z</cp:lastPrinted>
  <dcterms:created xsi:type="dcterms:W3CDTF">2006-09-20T05:43:56Z</dcterms:created>
  <dcterms:modified xsi:type="dcterms:W3CDTF">2015-03-06T08:37:03Z</dcterms:modified>
  <cp:category/>
  <cp:version/>
  <cp:contentType/>
  <cp:contentStatus/>
</cp:coreProperties>
</file>