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135" windowWidth="17325" windowHeight="12720" firstSheet="1" activeTab="3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>
    <definedName name="_xlnm.Print_Area" localSheetId="1">'bežné výdavky'!$A$1:$S$204</definedName>
    <definedName name="_xlnm.Print_Area" localSheetId="7">'Zdroje krytia'!$A$1:$U$134</definedName>
  </definedNames>
  <calcPr fullCalcOnLoad="1"/>
</workbook>
</file>

<file path=xl/sharedStrings.xml><?xml version="1.0" encoding="utf-8"?>
<sst xmlns="http://schemas.openxmlformats.org/spreadsheetml/2006/main" count="771" uniqueCount="496">
  <si>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</si>
  <si>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</si>
  <si>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</si>
  <si>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</si>
  <si>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</si>
  <si>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</si>
  <si>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</si>
  <si>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</si>
  <si>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</si>
  <si>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</si>
  <si>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</si>
  <si>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</si>
  <si>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</si>
  <si>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ZŠ G. Haina 37 škol. infra.</t>
  </si>
  <si>
    <t>MŠ Žel. riadok -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</si>
  <si>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</si>
  <si>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</si>
  <si>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</si>
  <si>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</si>
  <si>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</si>
  <si>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</si>
  <si>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</si>
  <si>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</si>
  <si>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</si>
  <si>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</si>
  <si>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</si>
  <si>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</si>
  <si>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</si>
  <si>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</si>
  <si>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</si>
  <si>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</si>
  <si>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</si>
  <si>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</si>
  <si>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Verejná správa</t>
  </si>
  <si>
    <t>kamerový systém</t>
  </si>
  <si>
    <t>Projektová dokumentácia</t>
  </si>
  <si>
    <t>Technické zhodnotenie - poliklinika</t>
  </si>
  <si>
    <t>Doprava-výstavba a oprava ciest</t>
  </si>
  <si>
    <t>Zábradlie Križný potok</t>
  </si>
  <si>
    <t>výstavba parkoviska sídl, Západ II.</t>
  </si>
  <si>
    <t>Nákladanie s odpadmi</t>
  </si>
  <si>
    <t>Príspevok pre TS</t>
  </si>
  <si>
    <t>VO Bottova, Kasárenska ul.</t>
  </si>
  <si>
    <t xml:space="preserve">VO garáže, sídl. Západ </t>
  </si>
  <si>
    <t>Kaplnka Levočské Lúky, NN prípojka</t>
  </si>
  <si>
    <t>MPV - ostatné</t>
  </si>
  <si>
    <t>odvodnenie, sídl. Pri prameni</t>
  </si>
  <si>
    <t>Nám. Majstra Pavla 50,51 -PD (FRB)</t>
  </si>
  <si>
    <t>Byty</t>
  </si>
  <si>
    <t>preložka VN</t>
  </si>
  <si>
    <t>MPV pozemkov pre most Lev. Dolina</t>
  </si>
  <si>
    <t xml:space="preserve">MPV pozemkov pre autobus. zastávku </t>
  </si>
  <si>
    <t>MPV stavba Strelnica</t>
  </si>
  <si>
    <t>08.2.0.9</t>
  </si>
  <si>
    <t>Káblová televízia - štúdia</t>
  </si>
  <si>
    <t xml:space="preserve">Rolba </t>
  </si>
  <si>
    <t>kocka - strecha</t>
  </si>
  <si>
    <t>Vodná nádrž Levoča</t>
  </si>
  <si>
    <t>Ihrisko WORK OUT</t>
  </si>
  <si>
    <t>Príspevok pre MKS</t>
  </si>
  <si>
    <t xml:space="preserve">NMP č. 54 - divadlo, výmena okien II. etapa </t>
  </si>
  <si>
    <t>08.4.0.</t>
  </si>
  <si>
    <t>PD - DSS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</si>
  <si>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</si>
  <si>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</si>
  <si>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</si>
  <si>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</si>
  <si>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</si>
  <si>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</si>
  <si>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</si>
  <si>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</si>
  <si>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</si>
  <si>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</si>
  <si>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</si>
  <si>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</si>
  <si>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</si>
  <si>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</si>
  <si>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</si>
  <si>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</si>
  <si>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>Prevod investičný fond</t>
  </si>
  <si>
    <t>Návrh rozpočtu 2018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</si>
  <si>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</si>
  <si>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</si>
  <si>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</si>
  <si>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</si>
  <si>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</si>
  <si>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</si>
  <si>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</si>
  <si>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</si>
  <si>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</si>
  <si>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</si>
  <si>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</si>
  <si>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</si>
  <si>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</si>
  <si>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</si>
  <si>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</si>
  <si>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</si>
  <si>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</si>
  <si>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</si>
  <si>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</si>
  <si>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</si>
  <si>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</si>
  <si>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</si>
  <si>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príjmy z min. rokov</t>
  </si>
  <si>
    <t>granty a transfery</t>
  </si>
  <si>
    <t>finančné operácie</t>
  </si>
  <si>
    <t>úver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</si>
  <si>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</si>
  <si>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</si>
  <si>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</si>
  <si>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</si>
  <si>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</si>
  <si>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</si>
  <si>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</si>
  <si>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</si>
  <si>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</si>
  <si>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</si>
  <si>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</si>
  <si>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</si>
  <si>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</si>
  <si>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</si>
  <si>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</si>
  <si>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</si>
  <si>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</si>
  <si>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</si>
  <si>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</si>
  <si>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</si>
  <si>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</si>
  <si>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</si>
  <si>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</si>
  <si>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</si>
  <si>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</si>
  <si>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</si>
  <si>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</si>
  <si>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</si>
  <si>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</si>
  <si>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</si>
  <si>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</si>
  <si>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</si>
  <si>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</si>
  <si>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</si>
  <si>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</si>
  <si>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</si>
  <si>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</si>
  <si>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</si>
  <si>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</si>
  <si>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</si>
  <si>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</si>
  <si>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</si>
  <si>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</si>
  <si>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</si>
  <si>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</si>
  <si>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</si>
  <si>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</si>
  <si>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</si>
  <si>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</si>
  <si>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</si>
  <si>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</si>
  <si>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</si>
  <si>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</si>
  <si>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</si>
  <si>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</si>
  <si>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</si>
  <si>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</si>
  <si>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</si>
  <si>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</si>
  <si>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</si>
  <si>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</si>
  <si>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</si>
  <si>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</si>
  <si>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</si>
  <si>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</si>
  <si>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</si>
  <si>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</si>
  <si>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</si>
  <si>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</si>
  <si>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</si>
  <si>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</si>
  <si>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</si>
  <si>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</si>
  <si>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</si>
  <si>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</si>
  <si>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</si>
  <si>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</si>
  <si>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</si>
  <si>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</si>
  <si>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</si>
  <si>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</si>
  <si>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</si>
  <si>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</si>
  <si>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</si>
  <si>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</si>
  <si>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</si>
  <si>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</si>
  <si>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</si>
  <si>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</si>
  <si>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</si>
  <si>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</si>
  <si>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</si>
  <si>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</si>
  <si>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</si>
  <si>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</si>
  <si>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</si>
  <si>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</si>
  <si>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</si>
  <si>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</si>
  <si>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</si>
  <si>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</si>
  <si>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</si>
  <si>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</si>
  <si>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</si>
  <si>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</si>
  <si>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</si>
  <si>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</si>
  <si>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</si>
  <si>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</si>
  <si>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</si>
  <si>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</si>
  <si>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</si>
  <si>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</si>
  <si>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</si>
  <si>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</si>
  <si>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</si>
  <si>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</si>
  <si>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</si>
  <si>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</si>
  <si>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</si>
  <si>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</si>
  <si>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</si>
  <si>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</si>
  <si>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</si>
  <si>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</si>
  <si>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</si>
  <si>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</si>
  <si>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 xml:space="preserve">Byty </t>
  </si>
  <si>
    <t>úprava verejných priestranstiev</t>
  </si>
  <si>
    <t>oddychové zóny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</si>
  <si>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</si>
  <si>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</si>
  <si>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</si>
  <si>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</si>
  <si>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</si>
  <si>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</si>
  <si>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</si>
  <si>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</si>
  <si>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</si>
  <si>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</si>
  <si>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</si>
  <si>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</si>
  <si>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</si>
  <si>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</si>
  <si>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</si>
  <si>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</si>
  <si>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</si>
  <si>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</si>
  <si>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</si>
  <si>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</si>
  <si>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</si>
  <si>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</si>
  <si>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</si>
  <si>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</si>
  <si>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</si>
  <si>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</si>
  <si>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</si>
  <si>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</si>
  <si>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</si>
  <si>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</si>
  <si>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</si>
  <si>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</si>
  <si>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</si>
  <si>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</si>
  <si>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</si>
  <si>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</si>
  <si>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</si>
  <si>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</si>
  <si>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</si>
  <si>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</si>
  <si>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</si>
  <si>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</si>
  <si>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</si>
  <si>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</si>
  <si>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</si>
  <si>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</si>
  <si>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</si>
  <si>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</si>
  <si>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</si>
  <si>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</si>
  <si>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</si>
  <si>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</si>
  <si>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</si>
  <si>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</si>
  <si>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</si>
  <si>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</si>
  <si>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</si>
  <si>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</si>
  <si>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</si>
  <si>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</si>
  <si>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</si>
  <si>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</si>
  <si>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</si>
  <si>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</si>
  <si>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</si>
  <si>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</si>
  <si>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</si>
  <si>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</si>
  <si>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</si>
  <si>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</si>
  <si>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</si>
  <si>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</si>
  <si>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</si>
  <si>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</si>
  <si>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</si>
  <si>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</si>
  <si>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</si>
  <si>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</si>
  <si>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</si>
  <si>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</si>
  <si>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</si>
  <si>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</si>
  <si>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</si>
  <si>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</si>
  <si>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</si>
  <si>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</si>
  <si>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</si>
  <si>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</si>
  <si>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</si>
  <si>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</si>
  <si>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</si>
  <si>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</si>
  <si>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</si>
  <si>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</si>
  <si>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</si>
  <si>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</si>
  <si>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</si>
  <si>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</si>
  <si>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</si>
  <si>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</si>
  <si>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</si>
  <si>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</si>
  <si>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</si>
  <si>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Povodne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</si>
  <si>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</si>
  <si>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</si>
  <si>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</si>
  <si>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</si>
  <si>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</si>
  <si>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</si>
  <si>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</si>
  <si>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</si>
  <si>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</si>
  <si>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</si>
  <si>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</si>
  <si>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</si>
  <si>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</si>
  <si>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</si>
  <si>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</si>
  <si>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</si>
  <si>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</si>
  <si>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</si>
  <si>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</si>
  <si>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</si>
  <si>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</si>
  <si>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</si>
  <si>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</si>
  <si>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</si>
  <si>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</si>
  <si>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</si>
  <si>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</si>
  <si>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</si>
  <si>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</si>
  <si>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</si>
  <si>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</si>
  <si>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</si>
  <si>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</si>
  <si>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MŠ Francisciho - strecha</t>
  </si>
  <si>
    <t>Čerpanie rozpočtu 2015</t>
  </si>
  <si>
    <t>Osobitný príjemca -mesto</t>
  </si>
  <si>
    <t>Prestavba NMP I. etapa</t>
  </si>
  <si>
    <t>Obnova verejného osvetlenia</t>
  </si>
  <si>
    <t>ZŠ Francisciho - vybavenie ŠJ</t>
  </si>
  <si>
    <t xml:space="preserve">Kláštorská </t>
  </si>
  <si>
    <t>Pranier</t>
  </si>
  <si>
    <t>Telocvičňa ZŠ G. Haina</t>
  </si>
  <si>
    <t>Elektrická rozvodná skriňa</t>
  </si>
  <si>
    <t>Chodník - ul. Francisciho</t>
  </si>
  <si>
    <t>Ortofomapa</t>
  </si>
  <si>
    <t>MPV cyklochodník</t>
  </si>
  <si>
    <t>Pozemky Menhardská brána</t>
  </si>
  <si>
    <t>NMP č. 54 - divadlo, kotolňa</t>
  </si>
  <si>
    <t>MŠ Levočské lúky - vykurovanie</t>
  </si>
  <si>
    <t>ZŠ G. Haina - telocvičňa</t>
  </si>
  <si>
    <t>MŠ Haina - PD</t>
  </si>
  <si>
    <t>500. výročie</t>
  </si>
  <si>
    <t>MŠ G. Haina</t>
  </si>
  <si>
    <t>PD</t>
  </si>
  <si>
    <t>Fontána dorbočinnosti</t>
  </si>
  <si>
    <t>Fasáda NMP 50</t>
  </si>
  <si>
    <t>cesta Mariánska hora</t>
  </si>
  <si>
    <t>Chodník - mestský cintorín</t>
  </si>
  <si>
    <t>Modernizácia zbrného dvora</t>
  </si>
  <si>
    <t>Prestavba zberných miest</t>
  </si>
  <si>
    <t>Fond nevyčerpaných dot.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</si>
  <si>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</si>
  <si>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</si>
  <si>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</si>
  <si>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</si>
  <si>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</si>
  <si>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</si>
  <si>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Štúrova ulica</t>
  </si>
  <si>
    <t>Zrážková voda - TS</t>
  </si>
  <si>
    <t>Čerpanie rozpočtu 2016</t>
  </si>
  <si>
    <t>Predpoklad 2017</t>
  </si>
  <si>
    <t>Rozpočet 2016</t>
  </si>
  <si>
    <t>projekty</t>
  </si>
  <si>
    <t>Oprava VO</t>
  </si>
  <si>
    <t>ostatné transfery</t>
  </si>
  <si>
    <t>Software</t>
  </si>
  <si>
    <t>Časť 1.2.2. Výdavky kapitálového rozpočtu</t>
  </si>
  <si>
    <t>Ruskinovská ulica (cesta, VO)</t>
  </si>
  <si>
    <t>Za sedriou - cesta</t>
  </si>
  <si>
    <t>Cesta ul. Okružná</t>
  </si>
  <si>
    <t>Príspevok pre TS - auto</t>
  </si>
  <si>
    <t>MPV Plantáže</t>
  </si>
  <si>
    <t>Spevnené plochy sídl. Sever</t>
  </si>
  <si>
    <t>ZŠ G. Haina</t>
  </si>
  <si>
    <t>zábezpeky</t>
  </si>
  <si>
    <t>Univerzálny vyklápač</t>
  </si>
  <si>
    <t>Preložka NN garáže Západ</t>
  </si>
  <si>
    <t>Vyňatie z LPF Mariánska hora</t>
  </si>
  <si>
    <t>Detské ihrisko</t>
  </si>
  <si>
    <t>Spevnené plochy Sídl. Sever</t>
  </si>
  <si>
    <t>Rekonštrukcia strechy divadla</t>
  </si>
  <si>
    <t>Rekonštrukcia okien a dverí divadla</t>
  </si>
  <si>
    <t>ZŠ Kluberta - kompetencie žiakov</t>
  </si>
  <si>
    <t>ZŠ Francisciho - kompetencie žiakov</t>
  </si>
  <si>
    <t>ZŠ G. Haina - kompetencie žiakov</t>
  </si>
  <si>
    <t>ZUŠ - učebne</t>
  </si>
  <si>
    <t>CVČ - Mantinely</t>
  </si>
  <si>
    <t>Košická ul. Č. 26</t>
  </si>
  <si>
    <t>Zníženie ZI Stavebná prevádzkáreň</t>
  </si>
  <si>
    <t>dodávateľský úver - chodníky</t>
  </si>
  <si>
    <t xml:space="preserve">dodávateľský úver - auto </t>
  </si>
  <si>
    <t>Prístupový chodník/schodisko Pod vinicou</t>
  </si>
  <si>
    <t>Železničný riadok - cesta - garáže</t>
  </si>
  <si>
    <t>Prístupová cesta - Garáže Západ</t>
  </si>
  <si>
    <t>Autobusové zastávky Lev. Lúky</t>
  </si>
  <si>
    <t>opatrovateľska služba</t>
  </si>
  <si>
    <t>Komunitná a terénna sociálna práca</t>
  </si>
  <si>
    <t xml:space="preserve">Zlepšenie kľúčových kopetencií žiakov ZŠ </t>
  </si>
  <si>
    <t>server</t>
  </si>
  <si>
    <t>Kapitálový rozpočet 2018 - zdroje krytia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</si>
  <si>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</si>
  <si>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</si>
  <si>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</si>
  <si>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</si>
  <si>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</si>
  <si>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</si>
  <si>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</si>
  <si>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</si>
  <si>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</si>
  <si>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</si>
  <si>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 xml:space="preserve">Časť II. Finančné operácie </t>
  </si>
  <si>
    <t xml:space="preserve">Časť 2.1. Príjmové finančné operácie </t>
  </si>
  <si>
    <t>Bežné výdavky celkom</t>
  </si>
  <si>
    <t>prebytok rozpočtu 2017</t>
  </si>
  <si>
    <t xml:space="preserve">Rozpočet 2018 </t>
  </si>
  <si>
    <t>Upravený rozpočet 2018</t>
  </si>
  <si>
    <t>zmena č.2</t>
  </si>
  <si>
    <t xml:space="preserve">Spojovacia chodba MŠ G. Haina </t>
  </si>
  <si>
    <t xml:space="preserve">Oplotenie MŠ G. Haina </t>
  </si>
  <si>
    <t>Detské ihrisko Žihadielko</t>
  </si>
  <si>
    <t xml:space="preserve">Futbalové šatne </t>
  </si>
  <si>
    <t>ZŠ Kluberta telocvičňa</t>
  </si>
  <si>
    <t>rozpočet 2018</t>
  </si>
  <si>
    <t>Havarijný stav</t>
  </si>
  <si>
    <t>Havarijný stav - Potočná ul.</t>
  </si>
  <si>
    <t>Havarijný stav - Závada</t>
  </si>
  <si>
    <t>odvodnenie cesty Ovocinárka ul.</t>
  </si>
  <si>
    <t>Príspevok pre TS Dendrologický plán</t>
  </si>
  <si>
    <t>Príspevok pre TS hydraulický agregát</t>
  </si>
  <si>
    <t>Príspevok pre TS - traktorová kosačka</t>
  </si>
  <si>
    <t>Transfer pre TS plynofikácia kocky</t>
  </si>
  <si>
    <t>Príspevok pre TS - malotraktor</t>
  </si>
  <si>
    <t>Vnútrobloky</t>
  </si>
  <si>
    <t xml:space="preserve">Príspevok pre TS ref. automobil, strecha budovy TS  </t>
  </si>
  <si>
    <t>kultúrno - spoločenské aktivity</t>
  </si>
  <si>
    <t xml:space="preserve">rekonštrukcia chodníka veža baziliky </t>
  </si>
  <si>
    <t>rekonštrukcia chodníka veža baziliky sv. Jakuba</t>
  </si>
  <si>
    <t>odvodnenie cesty Predmesie</t>
  </si>
  <si>
    <t>JUDr. Lýdia Budziňáková</t>
  </si>
  <si>
    <t>zástupkyňa primátora mesta</t>
  </si>
  <si>
    <t>Vyvesené: 09.04.2018</t>
  </si>
  <si>
    <t>Zvesené: 30.04.2018</t>
  </si>
  <si>
    <t>Schválené na 37. zasadnutí MZ dňa 26.4.2018 uznesením č.37/44</t>
  </si>
  <si>
    <t>Prevod rezervný fond</t>
  </si>
  <si>
    <t>Sociálna pomoc občanom v hmotnej a sociálnej núdzi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</si>
</sst>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</numFmts>
  <fonts count="5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medium"/>
      <bottom/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/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0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6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8" applyNumberFormat="0" applyAlignment="0" applyProtection="0"/>
    <xf numFmtId="0" fontId="51" fillId="24" borderId="8" applyNumberFormat="0" applyAlignment="0" applyProtection="0"/>
    <xf numFmtId="0" fontId="52" fillId="24" borderId="9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85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8" fillId="0" borderId="56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4" fontId="8" fillId="0" borderId="57" xfId="0" applyNumberFormat="1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4" fontId="9" fillId="0" borderId="58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9" fillId="0" borderId="59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/>
    </xf>
    <xf numFmtId="0" fontId="9" fillId="0" borderId="58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0" fontId="9" fillId="0" borderId="60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9" fillId="0" borderId="62" xfId="0" applyFont="1" applyFill="1" applyBorder="1" applyAlignment="1">
      <alignment/>
    </xf>
    <xf numFmtId="0" fontId="9" fillId="0" borderId="63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59" xfId="0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left"/>
    </xf>
    <xf numFmtId="3" fontId="9" fillId="0" borderId="66" xfId="0" applyNumberFormat="1" applyFont="1" applyFill="1" applyBorder="1" applyAlignment="1">
      <alignment horizontal="right"/>
    </xf>
    <xf numFmtId="0" fontId="9" fillId="0" borderId="66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" fontId="9" fillId="0" borderId="45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67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66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49" fontId="9" fillId="0" borderId="59" xfId="0" applyNumberFormat="1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left"/>
    </xf>
    <xf numFmtId="49" fontId="9" fillId="0" borderId="59" xfId="0" applyNumberFormat="1" applyFont="1" applyFill="1" applyBorder="1" applyAlignment="1">
      <alignment horizontal="right"/>
    </xf>
    <xf numFmtId="49" fontId="9" fillId="0" borderId="58" xfId="0" applyNumberFormat="1" applyFont="1" applyFill="1" applyBorder="1" applyAlignment="1">
      <alignment horizontal="left"/>
    </xf>
    <xf numFmtId="3" fontId="9" fillId="0" borderId="58" xfId="0" applyNumberFormat="1" applyFont="1" applyFill="1" applyBorder="1" applyAlignment="1">
      <alignment horizontal="left"/>
    </xf>
    <xf numFmtId="49" fontId="9" fillId="0" borderId="58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right"/>
    </xf>
    <xf numFmtId="3" fontId="9" fillId="0" borderId="69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9" fillId="0" borderId="66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/>
    </xf>
    <xf numFmtId="49" fontId="6" fillId="0" borderId="66" xfId="0" applyNumberFormat="1" applyFont="1" applyFill="1" applyBorder="1" applyAlignment="1">
      <alignment horizontal="center"/>
    </xf>
    <xf numFmtId="3" fontId="9" fillId="0" borderId="66" xfId="0" applyNumberFormat="1" applyFont="1" applyFill="1" applyBorder="1" applyAlignment="1">
      <alignment/>
    </xf>
    <xf numFmtId="0" fontId="9" fillId="0" borderId="66" xfId="0" applyFont="1" applyFill="1" applyBorder="1" applyAlignment="1">
      <alignment/>
    </xf>
    <xf numFmtId="49" fontId="6" fillId="0" borderId="5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16" fontId="8" fillId="0" borderId="31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75" xfId="0" applyFont="1" applyFill="1" applyBorder="1" applyAlignment="1">
      <alignment/>
    </xf>
    <xf numFmtId="3" fontId="9" fillId="0" borderId="76" xfId="0" applyNumberFormat="1" applyFont="1" applyFill="1" applyBorder="1" applyAlignment="1">
      <alignment/>
    </xf>
    <xf numFmtId="0" fontId="9" fillId="0" borderId="76" xfId="0" applyFont="1" applyFill="1" applyBorder="1" applyAlignment="1">
      <alignment/>
    </xf>
    <xf numFmtId="0" fontId="9" fillId="0" borderId="76" xfId="0" applyFont="1" applyFill="1" applyBorder="1" applyAlignment="1">
      <alignment horizontal="right"/>
    </xf>
    <xf numFmtId="3" fontId="9" fillId="0" borderId="76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77" xfId="0" applyFont="1" applyFill="1" applyBorder="1" applyAlignment="1">
      <alignment horizontal="right"/>
    </xf>
    <xf numFmtId="3" fontId="0" fillId="0" borderId="77" xfId="0" applyNumberFormat="1" applyFont="1" applyFill="1" applyBorder="1" applyAlignment="1">
      <alignment horizontal="right"/>
    </xf>
    <xf numFmtId="0" fontId="9" fillId="0" borderId="70" xfId="0" applyFont="1" applyFill="1" applyBorder="1" applyAlignment="1">
      <alignment/>
    </xf>
    <xf numFmtId="3" fontId="9" fillId="0" borderId="77" xfId="0" applyNumberFormat="1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77" xfId="0" applyFont="1" applyFill="1" applyBorder="1" applyAlignment="1">
      <alignment horizontal="right"/>
    </xf>
    <xf numFmtId="3" fontId="9" fillId="0" borderId="77" xfId="0" applyNumberFormat="1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left"/>
    </xf>
    <xf numFmtId="0" fontId="8" fillId="0" borderId="67" xfId="0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1" fontId="6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0" fillId="0" borderId="78" xfId="0" applyFill="1" applyBorder="1" applyAlignment="1">
      <alignment/>
    </xf>
    <xf numFmtId="3" fontId="0" fillId="0" borderId="79" xfId="0" applyNumberFormat="1" applyFill="1" applyBorder="1" applyAlignment="1">
      <alignment/>
    </xf>
    <xf numFmtId="3" fontId="0" fillId="0" borderId="80" xfId="0" applyNumberFormat="1" applyFill="1" applyBorder="1" applyAlignment="1">
      <alignment/>
    </xf>
    <xf numFmtId="0" fontId="0" fillId="0" borderId="81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10" fillId="0" borderId="82" xfId="0" applyFont="1" applyFill="1" applyBorder="1" applyAlignment="1">
      <alignment vertical="center"/>
    </xf>
    <xf numFmtId="3" fontId="10" fillId="0" borderId="83" xfId="0" applyNumberFormat="1" applyFont="1" applyFill="1" applyBorder="1" applyAlignment="1">
      <alignment vertical="center"/>
    </xf>
    <xf numFmtId="4" fontId="10" fillId="0" borderId="83" xfId="0" applyNumberFormat="1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0" fontId="10" fillId="0" borderId="82" xfId="0" applyFont="1" applyFill="1" applyBorder="1" applyAlignment="1">
      <alignment/>
    </xf>
    <xf numFmtId="3" fontId="10" fillId="0" borderId="83" xfId="0" applyNumberFormat="1" applyFont="1" applyFill="1" applyBorder="1" applyAlignment="1">
      <alignment/>
    </xf>
    <xf numFmtId="4" fontId="10" fillId="0" borderId="83" xfId="0" applyNumberFormat="1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0" fontId="15" fillId="0" borderId="85" xfId="0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4" fontId="15" fillId="0" borderId="48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5" fillId="0" borderId="48" xfId="0" applyNumberFormat="1" applyFont="1" applyBorder="1" applyAlignment="1">
      <alignment/>
    </xf>
    <xf numFmtId="3" fontId="15" fillId="0" borderId="49" xfId="0" applyNumberFormat="1" applyFont="1" applyBorder="1" applyAlignment="1">
      <alignment/>
    </xf>
    <xf numFmtId="4" fontId="0" fillId="0" borderId="79" xfId="0" applyNumberForma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15" fillId="0" borderId="88" xfId="0" applyNumberFormat="1" applyFont="1" applyFill="1" applyBorder="1" applyAlignment="1">
      <alignment/>
    </xf>
    <xf numFmtId="0" fontId="1" fillId="32" borderId="83" xfId="0" applyFont="1" applyFill="1" applyBorder="1" applyAlignment="1">
      <alignment vertical="center" wrapText="1"/>
    </xf>
    <xf numFmtId="3" fontId="8" fillId="33" borderId="19" xfId="0" applyNumberFormat="1" applyFont="1" applyFill="1" applyBorder="1" applyAlignment="1">
      <alignment horizontal="right"/>
    </xf>
    <xf numFmtId="3" fontId="8" fillId="33" borderId="15" xfId="0" applyNumberFormat="1" applyFont="1" applyFill="1" applyBorder="1" applyAlignment="1">
      <alignment/>
    </xf>
    <xf numFmtId="0" fontId="10" fillId="33" borderId="31" xfId="0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 horizontal="right"/>
    </xf>
    <xf numFmtId="3" fontId="8" fillId="33" borderId="34" xfId="0" applyNumberFormat="1" applyFont="1" applyFill="1" applyBorder="1" applyAlignment="1">
      <alignment/>
    </xf>
    <xf numFmtId="3" fontId="7" fillId="32" borderId="48" xfId="0" applyNumberFormat="1" applyFont="1" applyFill="1" applyBorder="1" applyAlignment="1">
      <alignment/>
    </xf>
    <xf numFmtId="3" fontId="7" fillId="32" borderId="49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0" fontId="9" fillId="0" borderId="23" xfId="0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9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5" fillId="0" borderId="0" xfId="0" applyFont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8" fillId="33" borderId="41" xfId="0" applyNumberFormat="1" applyFont="1" applyFill="1" applyBorder="1" applyAlignment="1">
      <alignment horizontal="left"/>
    </xf>
    <xf numFmtId="0" fontId="8" fillId="33" borderId="41" xfId="0" applyFont="1" applyFill="1" applyBorder="1" applyAlignment="1">
      <alignment horizontal="left"/>
    </xf>
    <xf numFmtId="0" fontId="8" fillId="33" borderId="41" xfId="0" applyFont="1" applyFill="1" applyBorder="1" applyAlignment="1">
      <alignment horizontal="right"/>
    </xf>
    <xf numFmtId="3" fontId="8" fillId="33" borderId="41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/>
    </xf>
    <xf numFmtId="0" fontId="1" fillId="32" borderId="83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 horizontal="left"/>
    </xf>
    <xf numFmtId="3" fontId="9" fillId="0" borderId="70" xfId="0" applyNumberFormat="1" applyFont="1" applyFill="1" applyBorder="1" applyAlignment="1">
      <alignment horizontal="right"/>
    </xf>
    <xf numFmtId="49" fontId="9" fillId="0" borderId="70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9" fillId="0" borderId="45" xfId="0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89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89" xfId="0" applyFont="1" applyFill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 horizontal="left"/>
    </xf>
    <xf numFmtId="0" fontId="8" fillId="0" borderId="41" xfId="0" applyFont="1" applyFill="1" applyBorder="1" applyAlignment="1">
      <alignment horizontal="right"/>
    </xf>
    <xf numFmtId="3" fontId="0" fillId="0" borderId="45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horizontal="right"/>
    </xf>
    <xf numFmtId="4" fontId="0" fillId="0" borderId="58" xfId="0" applyNumberFormat="1" applyFill="1" applyBorder="1" applyAlignment="1">
      <alignment/>
    </xf>
    <xf numFmtId="4" fontId="0" fillId="0" borderId="70" xfId="0" applyNumberForma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3" fontId="8" fillId="0" borderId="90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3" fontId="10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3" fontId="8" fillId="0" borderId="86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/>
    </xf>
    <xf numFmtId="3" fontId="8" fillId="0" borderId="87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 vertical="center" wrapText="1"/>
    </xf>
    <xf numFmtId="3" fontId="1" fillId="0" borderId="34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horizontal="right"/>
    </xf>
    <xf numFmtId="0" fontId="6" fillId="0" borderId="91" xfId="0" applyFont="1" applyFill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6" fillId="34" borderId="31" xfId="0" applyNumberFormat="1" applyFont="1" applyFill="1" applyBorder="1" applyAlignment="1">
      <alignment/>
    </xf>
    <xf numFmtId="49" fontId="6" fillId="34" borderId="15" xfId="0" applyNumberFormat="1" applyFont="1" applyFill="1" applyBorder="1" applyAlignment="1">
      <alignment horizontal="left"/>
    </xf>
    <xf numFmtId="3" fontId="6" fillId="34" borderId="16" xfId="0" applyNumberFormat="1" applyFont="1" applyFill="1" applyBorder="1" applyAlignment="1">
      <alignment/>
    </xf>
    <xf numFmtId="1" fontId="6" fillId="34" borderId="15" xfId="0" applyNumberFormat="1" applyFont="1" applyFill="1" applyBorder="1" applyAlignment="1">
      <alignment/>
    </xf>
    <xf numFmtId="1" fontId="6" fillId="34" borderId="3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left"/>
    </xf>
    <xf numFmtId="0" fontId="9" fillId="0" borderId="9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6" fillId="0" borderId="9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100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10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" fillId="0" borderId="89" xfId="0" applyFont="1" applyBorder="1" applyAlignment="1">
      <alignment horizontal="left"/>
    </xf>
    <xf numFmtId="49" fontId="8" fillId="0" borderId="9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9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8" fillId="0" borderId="6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/>
    </xf>
    <xf numFmtId="0" fontId="0" fillId="0" borderId="9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" fontId="8" fillId="0" borderId="94" xfId="0" applyNumberFormat="1" applyFont="1" applyFill="1" applyBorder="1" applyAlignment="1">
      <alignment horizontal="center"/>
    </xf>
    <xf numFmtId="16" fontId="8" fillId="0" borderId="35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49" fontId="8" fillId="0" borderId="6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2" xfId="0" applyFont="1" applyFill="1" applyBorder="1" applyAlignment="1">
      <alignment horizontal="left" vertical="center" wrapText="1"/>
    </xf>
    <xf numFmtId="0" fontId="8" fillId="0" borderId="103" xfId="0" applyFont="1" applyFill="1" applyBorder="1" applyAlignment="1">
      <alignment horizontal="left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96" xfId="0" applyNumberFormat="1" applyFont="1" applyFill="1" applyBorder="1" applyAlignment="1">
      <alignment horizontal="center" vertical="center" wrapText="1"/>
    </xf>
    <xf numFmtId="16" fontId="6" fillId="0" borderId="104" xfId="0" applyNumberFormat="1" applyFont="1" applyFill="1" applyBorder="1" applyAlignment="1">
      <alignment horizontal="center" vertical="center" wrapText="1"/>
    </xf>
    <xf numFmtId="16" fontId="6" fillId="0" borderId="93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6" fillId="0" borderId="104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83" fontId="6" fillId="0" borderId="14" xfId="0" applyNumberFormat="1" applyFont="1" applyFill="1" applyBorder="1" applyAlignment="1">
      <alignment horizontal="center"/>
    </xf>
    <xf numFmtId="183" fontId="6" fillId="0" borderId="19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16" fontId="6" fillId="0" borderId="57" xfId="0" applyNumberFormat="1" applyFont="1" applyFill="1" applyBorder="1" applyAlignment="1">
      <alignment horizontal="center" vertical="center" wrapText="1"/>
    </xf>
    <xf numFmtId="16" fontId="6" fillId="0" borderId="91" xfId="0" applyNumberFormat="1" applyFont="1" applyFill="1" applyBorder="1" applyAlignment="1">
      <alignment horizontal="center" vertical="center" wrapText="1"/>
    </xf>
    <xf numFmtId="16" fontId="6" fillId="0" borderId="89" xfId="0" applyNumberFormat="1" applyFont="1" applyFill="1" applyBorder="1" applyAlignment="1">
      <alignment horizontal="left"/>
    </xf>
    <xf numFmtId="0" fontId="6" fillId="0" borderId="100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left"/>
    </xf>
    <xf numFmtId="0" fontId="6" fillId="0" borderId="101" xfId="0" applyFont="1" applyFill="1" applyBorder="1" applyAlignment="1">
      <alignment horizontal="left"/>
    </xf>
    <xf numFmtId="0" fontId="0" fillId="0" borderId="105" xfId="0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9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9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left" vertical="center"/>
    </xf>
    <xf numFmtId="0" fontId="15" fillId="0" borderId="105" xfId="0" applyFont="1" applyFill="1" applyBorder="1" applyAlignment="1">
      <alignment horizontal="left" vertical="center"/>
    </xf>
    <xf numFmtId="0" fontId="15" fillId="0" borderId="107" xfId="0" applyFont="1" applyFill="1" applyBorder="1" applyAlignment="1">
      <alignment horizontal="left" vertical="center"/>
    </xf>
    <xf numFmtId="0" fontId="15" fillId="0" borderId="108" xfId="0" applyFont="1" applyFill="1" applyBorder="1" applyAlignment="1">
      <alignment horizontal="left" vertical="center"/>
    </xf>
    <xf numFmtId="0" fontId="15" fillId="0" borderId="89" xfId="0" applyFont="1" applyFill="1" applyBorder="1" applyAlignment="1">
      <alignment horizontal="left" vertical="center"/>
    </xf>
    <xf numFmtId="0" fontId="15" fillId="0" borderId="109" xfId="0" applyFont="1" applyFill="1" applyBorder="1" applyAlignment="1">
      <alignment horizontal="left" vertical="center"/>
    </xf>
    <xf numFmtId="0" fontId="0" fillId="0" borderId="100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0" fillId="0" borderId="111" xfId="0" applyNumberFormat="1" applyFill="1" applyBorder="1" applyAlignment="1">
      <alignment horizontal="center"/>
    </xf>
    <xf numFmtId="3" fontId="0" fillId="0" borderId="112" xfId="0" applyNumberFormat="1" applyFill="1" applyBorder="1" applyAlignment="1">
      <alignment horizontal="center"/>
    </xf>
    <xf numFmtId="3" fontId="0" fillId="0" borderId="113" xfId="0" applyNumberFormat="1" applyFill="1" applyBorder="1" applyAlignment="1">
      <alignment horizontal="center"/>
    </xf>
    <xf numFmtId="3" fontId="15" fillId="0" borderId="55" xfId="0" applyNumberFormat="1" applyFont="1" applyFill="1" applyBorder="1" applyAlignment="1">
      <alignment horizontal="center"/>
    </xf>
    <xf numFmtId="3" fontId="15" fillId="0" borderId="88" xfId="0" applyNumberFormat="1" applyFont="1" applyFill="1" applyBorder="1" applyAlignment="1">
      <alignment horizontal="center"/>
    </xf>
    <xf numFmtId="3" fontId="15" fillId="0" borderId="101" xfId="0" applyNumberFormat="1" applyFont="1" applyFill="1" applyBorder="1" applyAlignment="1">
      <alignment horizontal="center"/>
    </xf>
    <xf numFmtId="3" fontId="10" fillId="0" borderId="114" xfId="0" applyNumberFormat="1" applyFont="1" applyFill="1" applyBorder="1" applyAlignment="1">
      <alignment horizontal="center"/>
    </xf>
    <xf numFmtId="3" fontId="10" fillId="0" borderId="115" xfId="0" applyNumberFormat="1" applyFont="1" applyFill="1" applyBorder="1" applyAlignment="1">
      <alignment horizontal="center"/>
    </xf>
    <xf numFmtId="3" fontId="10" fillId="0" borderId="116" xfId="0" applyNumberFormat="1" applyFont="1" applyFill="1" applyBorder="1" applyAlignment="1">
      <alignment horizontal="center"/>
    </xf>
    <xf numFmtId="3" fontId="10" fillId="0" borderId="114" xfId="0" applyNumberFormat="1" applyFont="1" applyFill="1" applyBorder="1" applyAlignment="1">
      <alignment horizontal="center" vertical="center"/>
    </xf>
    <xf numFmtId="3" fontId="10" fillId="0" borderId="115" xfId="0" applyNumberFormat="1" applyFont="1" applyFill="1" applyBorder="1" applyAlignment="1">
      <alignment horizontal="center" vertical="center"/>
    </xf>
    <xf numFmtId="3" fontId="10" fillId="0" borderId="116" xfId="0" applyNumberFormat="1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32" borderId="85" xfId="0" applyFont="1" applyFill="1" applyBorder="1" applyAlignment="1">
      <alignment horizontal="left"/>
    </xf>
    <xf numFmtId="0" fontId="7" fillId="32" borderId="48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87" xfId="0" applyFont="1" applyFill="1" applyBorder="1" applyAlignment="1">
      <alignment horizontal="center" vertical="center" wrapText="1"/>
    </xf>
    <xf numFmtId="0" fontId="1" fillId="32" borderId="8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6" fillId="32" borderId="57" xfId="0" applyFont="1" applyFill="1" applyBorder="1" applyAlignment="1">
      <alignment horizontal="center" vertical="center" wrapText="1"/>
    </xf>
    <xf numFmtId="0" fontId="6" fillId="32" borderId="91" xfId="0" applyFont="1" applyFill="1" applyBorder="1" applyAlignment="1">
      <alignment horizontal="center" vertical="center" wrapText="1"/>
    </xf>
    <xf numFmtId="49" fontId="13" fillId="32" borderId="56" xfId="0" applyNumberFormat="1" applyFont="1" applyFill="1" applyBorder="1" applyAlignment="1">
      <alignment horizontal="center" vertical="center" wrapText="1"/>
    </xf>
    <xf numFmtId="49" fontId="13" fillId="32" borderId="96" xfId="0" applyNumberFormat="1" applyFont="1" applyFill="1" applyBorder="1" applyAlignment="1">
      <alignment horizontal="center" vertical="center" wrapText="1"/>
    </xf>
    <xf numFmtId="16" fontId="6" fillId="32" borderId="57" xfId="0" applyNumberFormat="1" applyFont="1" applyFill="1" applyBorder="1" applyAlignment="1">
      <alignment horizontal="center" vertical="center" wrapText="1"/>
    </xf>
    <xf numFmtId="16" fontId="6" fillId="32" borderId="91" xfId="0" applyNumberFormat="1" applyFont="1" applyFill="1" applyBorder="1" applyAlignment="1">
      <alignment horizontal="center" vertical="center" wrapText="1"/>
    </xf>
    <xf numFmtId="0" fontId="6" fillId="32" borderId="57" xfId="0" applyFont="1" applyFill="1" applyBorder="1" applyAlignment="1">
      <alignment horizontal="center" vertical="center"/>
    </xf>
    <xf numFmtId="0" fontId="6" fillId="32" borderId="91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114"/>
  <sheetViews>
    <sheetView workbookViewId="0" topLeftCell="A1">
      <selection activeCell="B46" sqref="B46:B57"/>
    </sheetView>
  </sheetViews>
  <sheetFormatPr defaultColWidth="9.140625" defaultRowHeight="12.75"/>
  <cols>
    <col min="1" max="2" width="9.140625" style="1" customWidth="1"/>
    <col min="3" max="3" width="41.28125" style="1" customWidth="1"/>
    <col min="4" max="11" width="12.7109375" style="1" hidden="1" customWidth="1"/>
    <col min="12" max="12" width="14.421875" style="1" hidden="1" customWidth="1"/>
    <col min="13" max="13" width="16.00390625" style="1" hidden="1" customWidth="1"/>
    <col min="14" max="14" width="14.8515625" style="1" hidden="1" customWidth="1"/>
    <col min="15" max="16" width="14.8515625" style="1" customWidth="1"/>
    <col min="17" max="17" width="13.7109375" style="1" customWidth="1"/>
    <col min="18" max="18" width="13.8515625" style="1" customWidth="1"/>
    <col min="19" max="22" width="9.140625" style="1" customWidth="1"/>
    <col min="23" max="23" width="11.8515625" style="1" customWidth="1"/>
    <col min="24" max="16384" width="9.140625" style="1" customWidth="1"/>
  </cols>
  <sheetData>
    <row r="1" spans="1:16" ht="12.75">
      <c r="A1" s="662" t="s">
        <v>456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</row>
    <row r="2" spans="1:16" ht="13.5" thickBot="1">
      <c r="A2" s="663" t="s">
        <v>457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18" ht="16.5" customHeight="1" thickTop="1">
      <c r="A3" s="682" t="s">
        <v>109</v>
      </c>
      <c r="B3" s="694" t="s">
        <v>110</v>
      </c>
      <c r="C3" s="686" t="s">
        <v>111</v>
      </c>
      <c r="D3" s="686" t="s">
        <v>112</v>
      </c>
      <c r="E3" s="686" t="s">
        <v>113</v>
      </c>
      <c r="F3" s="686" t="s">
        <v>114</v>
      </c>
      <c r="G3" s="686" t="s">
        <v>115</v>
      </c>
      <c r="H3" s="686" t="s">
        <v>116</v>
      </c>
      <c r="I3" s="686" t="s">
        <v>117</v>
      </c>
      <c r="J3" s="686" t="s">
        <v>118</v>
      </c>
      <c r="K3" s="686" t="s">
        <v>119</v>
      </c>
      <c r="L3" s="686" t="s">
        <v>120</v>
      </c>
      <c r="M3" s="686" t="s">
        <v>375</v>
      </c>
      <c r="N3" s="686" t="s">
        <v>410</v>
      </c>
      <c r="O3" s="686" t="s">
        <v>411</v>
      </c>
      <c r="P3" s="690" t="s">
        <v>465</v>
      </c>
      <c r="Q3" s="634" t="s">
        <v>467</v>
      </c>
      <c r="R3" s="684" t="s">
        <v>466</v>
      </c>
    </row>
    <row r="4" spans="1:18" ht="26.25" customHeight="1" thickBot="1">
      <c r="A4" s="683"/>
      <c r="B4" s="695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91"/>
      <c r="Q4" s="633" t="s">
        <v>122</v>
      </c>
      <c r="R4" s="685"/>
    </row>
    <row r="5" spans="1:18" ht="17.25" thickBot="1" thickTop="1">
      <c r="A5" s="3">
        <v>100</v>
      </c>
      <c r="B5" s="696" t="s">
        <v>123</v>
      </c>
      <c r="C5" s="697"/>
      <c r="D5" s="4">
        <f aca="true" t="shared" si="0" ref="D5:Q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02">
        <f t="shared" si="0"/>
        <v>5807550.21</v>
      </c>
      <c r="N5" s="4">
        <f>N6+N12+N17</f>
        <v>6453363.550000001</v>
      </c>
      <c r="O5" s="4">
        <f>O6+O12+O17</f>
        <v>6680888</v>
      </c>
      <c r="P5" s="455">
        <f>P6+P12+P17</f>
        <v>7019561</v>
      </c>
      <c r="Q5" s="455">
        <f t="shared" si="0"/>
        <v>0</v>
      </c>
      <c r="R5" s="469">
        <f>R6+R12+R17</f>
        <v>7019561</v>
      </c>
    </row>
    <row r="6" spans="1:23" ht="15.75" thickBot="1">
      <c r="A6" s="5">
        <v>110</v>
      </c>
      <c r="B6" s="688" t="s">
        <v>124</v>
      </c>
      <c r="C6" s="705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Q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03">
        <f t="shared" si="1"/>
        <v>5016805.1</v>
      </c>
      <c r="N6" s="7">
        <f t="shared" si="1"/>
        <v>5542925.66</v>
      </c>
      <c r="O6" s="7">
        <f t="shared" si="1"/>
        <v>5821418</v>
      </c>
      <c r="P6" s="456">
        <f t="shared" si="1"/>
        <v>6128111</v>
      </c>
      <c r="Q6" s="456">
        <f t="shared" si="1"/>
        <v>0</v>
      </c>
      <c r="R6" s="471">
        <f>R7</f>
        <v>6128111</v>
      </c>
      <c r="U6" s="567"/>
      <c r="W6" s="632"/>
    </row>
    <row r="7" spans="1:23" ht="13.5" thickBot="1">
      <c r="A7" s="664"/>
      <c r="B7" s="667"/>
      <c r="C7" s="435" t="s">
        <v>125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8">
        <v>5016805.1</v>
      </c>
      <c r="N7" s="12">
        <v>5542925.66</v>
      </c>
      <c r="O7" s="12">
        <v>5821418</v>
      </c>
      <c r="P7" s="12">
        <v>6128111</v>
      </c>
      <c r="Q7" s="554"/>
      <c r="R7" s="555">
        <f>P7+Q7</f>
        <v>6128111</v>
      </c>
      <c r="T7" s="567"/>
      <c r="U7" s="567"/>
      <c r="V7" s="567"/>
      <c r="W7" s="567"/>
    </row>
    <row r="8" spans="1:18" ht="13.5" hidden="1" thickBot="1">
      <c r="A8" s="665"/>
      <c r="B8" s="668"/>
      <c r="C8" s="131" t="s">
        <v>283</v>
      </c>
      <c r="D8" s="131"/>
      <c r="E8" s="131"/>
      <c r="F8" s="131"/>
      <c r="G8" s="131"/>
      <c r="H8" s="131"/>
      <c r="I8" s="87"/>
      <c r="J8" s="87"/>
      <c r="K8" s="144"/>
      <c r="L8" s="144"/>
      <c r="M8" s="204"/>
      <c r="N8" s="94"/>
      <c r="O8" s="94"/>
      <c r="P8" s="94"/>
      <c r="Q8" s="543"/>
      <c r="R8" s="544"/>
    </row>
    <row r="9" spans="1:19" ht="13.5" hidden="1" thickBot="1">
      <c r="A9" s="665"/>
      <c r="B9" s="668"/>
      <c r="C9" s="24" t="s">
        <v>122</v>
      </c>
      <c r="D9" s="24"/>
      <c r="E9" s="24"/>
      <c r="F9" s="24"/>
      <c r="G9" s="24"/>
      <c r="H9" s="24"/>
      <c r="I9" s="91"/>
      <c r="J9" s="91"/>
      <c r="K9" s="25"/>
      <c r="L9" s="25"/>
      <c r="M9" s="206"/>
      <c r="N9" s="26"/>
      <c r="O9" s="26"/>
      <c r="P9" s="26"/>
      <c r="Q9" s="545"/>
      <c r="R9" s="546"/>
      <c r="S9" s="567"/>
    </row>
    <row r="10" spans="1:21" ht="13.5" hidden="1" thickBot="1">
      <c r="A10" s="665"/>
      <c r="B10" s="668"/>
      <c r="C10" s="24" t="s">
        <v>288</v>
      </c>
      <c r="D10" s="24"/>
      <c r="E10" s="24"/>
      <c r="F10" s="24"/>
      <c r="G10" s="24"/>
      <c r="H10" s="24"/>
      <c r="I10" s="91"/>
      <c r="J10" s="91"/>
      <c r="K10" s="25"/>
      <c r="L10" s="25"/>
      <c r="M10" s="206"/>
      <c r="N10" s="26"/>
      <c r="O10" s="26"/>
      <c r="P10" s="26"/>
      <c r="Q10" s="545"/>
      <c r="R10" s="546"/>
      <c r="U10" s="567"/>
    </row>
    <row r="11" spans="1:18" ht="13.5" hidden="1" thickBot="1">
      <c r="A11" s="666"/>
      <c r="B11" s="669"/>
      <c r="C11" s="28" t="s">
        <v>278</v>
      </c>
      <c r="D11" s="28"/>
      <c r="E11" s="28"/>
      <c r="F11" s="28"/>
      <c r="G11" s="28"/>
      <c r="H11" s="28"/>
      <c r="I11" s="276"/>
      <c r="J11" s="276"/>
      <c r="K11" s="277"/>
      <c r="L11" s="277"/>
      <c r="M11" s="253"/>
      <c r="N11" s="48"/>
      <c r="O11" s="48"/>
      <c r="P11" s="48"/>
      <c r="Q11" s="556"/>
      <c r="R11" s="551"/>
    </row>
    <row r="12" spans="1:18" ht="15.75" thickBot="1">
      <c r="A12" s="32">
        <v>120</v>
      </c>
      <c r="B12" s="700" t="s">
        <v>126</v>
      </c>
      <c r="C12" s="701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R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50">
        <f t="shared" si="2"/>
        <v>396789.44</v>
      </c>
      <c r="N12" s="14">
        <f t="shared" si="2"/>
        <v>470206.4</v>
      </c>
      <c r="O12" s="14">
        <f t="shared" si="2"/>
        <v>439000</v>
      </c>
      <c r="P12" s="457">
        <f>P13</f>
        <v>468000</v>
      </c>
      <c r="Q12" s="457">
        <f t="shared" si="2"/>
        <v>0</v>
      </c>
      <c r="R12" s="475">
        <f t="shared" si="2"/>
        <v>468000</v>
      </c>
    </row>
    <row r="13" spans="1:18" ht="13.5" thickBot="1">
      <c r="A13" s="670"/>
      <c r="B13" s="8">
        <v>121</v>
      </c>
      <c r="C13" s="15" t="s">
        <v>127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P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50">
        <f t="shared" si="3"/>
        <v>396789.44</v>
      </c>
      <c r="N13" s="16">
        <f>SUM(N14:N16)</f>
        <v>470206.4</v>
      </c>
      <c r="O13" s="16">
        <f>SUM(O14:O16)</f>
        <v>439000</v>
      </c>
      <c r="P13" s="461">
        <f t="shared" si="3"/>
        <v>468000</v>
      </c>
      <c r="Q13" s="461">
        <f>SUM(Q14:Q16)</f>
        <v>0</v>
      </c>
      <c r="R13" s="17">
        <f>SUM(R14:R16)</f>
        <v>468000</v>
      </c>
    </row>
    <row r="14" spans="1:18" ht="12.75">
      <c r="A14" s="671"/>
      <c r="B14" s="679"/>
      <c r="C14" s="19" t="s">
        <v>128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9">
        <v>92446.08</v>
      </c>
      <c r="N14" s="22">
        <v>110741.25</v>
      </c>
      <c r="O14" s="22">
        <v>100000</v>
      </c>
      <c r="P14" s="22">
        <v>110000</v>
      </c>
      <c r="Q14" s="543"/>
      <c r="R14" s="544">
        <f>P14+Q14</f>
        <v>110000</v>
      </c>
    </row>
    <row r="15" spans="1:18" ht="12.75">
      <c r="A15" s="671"/>
      <c r="B15" s="680"/>
      <c r="C15" s="24" t="s">
        <v>129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6">
        <v>271513.31</v>
      </c>
      <c r="N15" s="26">
        <v>321276.38</v>
      </c>
      <c r="O15" s="26">
        <v>305000</v>
      </c>
      <c r="P15" s="26">
        <v>320000</v>
      </c>
      <c r="Q15" s="545"/>
      <c r="R15" s="546">
        <f>P15+Q15</f>
        <v>320000</v>
      </c>
    </row>
    <row r="16" spans="1:18" ht="13.5" thickBot="1">
      <c r="A16" s="672"/>
      <c r="B16" s="681"/>
      <c r="C16" s="28" t="s">
        <v>130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4">
        <v>32830.05</v>
      </c>
      <c r="N16" s="30">
        <v>38188.77</v>
      </c>
      <c r="O16" s="30">
        <v>34000</v>
      </c>
      <c r="P16" s="30">
        <v>38000</v>
      </c>
      <c r="Q16" s="556"/>
      <c r="R16" s="551">
        <f>P16+Q16</f>
        <v>38000</v>
      </c>
    </row>
    <row r="17" spans="1:18" ht="15.75" thickBot="1">
      <c r="A17" s="32">
        <v>130</v>
      </c>
      <c r="B17" s="700" t="s">
        <v>131</v>
      </c>
      <c r="C17" s="701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R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50">
        <f t="shared" si="4"/>
        <v>393955.67</v>
      </c>
      <c r="N17" s="14">
        <f t="shared" si="4"/>
        <v>440231.49</v>
      </c>
      <c r="O17" s="14">
        <f t="shared" si="4"/>
        <v>420470</v>
      </c>
      <c r="P17" s="457">
        <f t="shared" si="4"/>
        <v>423450</v>
      </c>
      <c r="Q17" s="457">
        <f t="shared" si="4"/>
        <v>0</v>
      </c>
      <c r="R17" s="475">
        <f t="shared" si="4"/>
        <v>423450</v>
      </c>
    </row>
    <row r="18" spans="1:18" ht="13.5" thickBot="1">
      <c r="A18" s="676"/>
      <c r="B18" s="33">
        <v>133</v>
      </c>
      <c r="C18" s="34" t="s">
        <v>132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3">
        <f t="shared" si="5"/>
        <v>393955.67</v>
      </c>
      <c r="N18" s="37">
        <f>SUM(N19:N25)</f>
        <v>440231.49</v>
      </c>
      <c r="O18" s="37">
        <f>SUM(O19:O25)</f>
        <v>420470</v>
      </c>
      <c r="P18" s="130">
        <f>SUM(P19:P25)</f>
        <v>423450</v>
      </c>
      <c r="Q18" s="130">
        <f>SUM(Q19:Q25)</f>
        <v>0</v>
      </c>
      <c r="R18" s="38">
        <f>SUM(R19:R25)</f>
        <v>423450</v>
      </c>
    </row>
    <row r="19" spans="1:19" ht="12.75">
      <c r="A19" s="677"/>
      <c r="B19" s="673"/>
      <c r="C19" s="41" t="s">
        <v>133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9">
        <v>9228.06</v>
      </c>
      <c r="N19" s="22">
        <v>12166.42</v>
      </c>
      <c r="O19" s="22">
        <v>11000</v>
      </c>
      <c r="P19" s="22">
        <v>11000</v>
      </c>
      <c r="Q19" s="543"/>
      <c r="R19" s="544">
        <f aca="true" t="shared" si="6" ref="R19:R25">P19+Q19</f>
        <v>11000</v>
      </c>
      <c r="S19" s="567"/>
    </row>
    <row r="20" spans="1:18" ht="12.75">
      <c r="A20" s="677"/>
      <c r="B20" s="674"/>
      <c r="C20" s="43" t="s">
        <v>134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6">
        <v>300</v>
      </c>
      <c r="N20" s="26">
        <v>632</v>
      </c>
      <c r="O20" s="26">
        <v>300</v>
      </c>
      <c r="P20" s="26">
        <v>300</v>
      </c>
      <c r="Q20" s="545"/>
      <c r="R20" s="546">
        <f t="shared" si="6"/>
        <v>300</v>
      </c>
    </row>
    <row r="21" spans="1:18" ht="12.75">
      <c r="A21" s="677"/>
      <c r="B21" s="674"/>
      <c r="C21" s="43" t="s">
        <v>135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6">
        <v>679.15</v>
      </c>
      <c r="N21" s="26">
        <v>691.66</v>
      </c>
      <c r="O21" s="26">
        <v>650</v>
      </c>
      <c r="P21" s="26">
        <v>650</v>
      </c>
      <c r="Q21" s="545"/>
      <c r="R21" s="546">
        <f t="shared" si="6"/>
        <v>650</v>
      </c>
    </row>
    <row r="22" spans="1:18" ht="12.75">
      <c r="A22" s="677"/>
      <c r="B22" s="674"/>
      <c r="C22" s="43" t="s">
        <v>136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6">
        <v>13052</v>
      </c>
      <c r="N22" s="26">
        <v>12555.5</v>
      </c>
      <c r="O22" s="26">
        <v>13504</v>
      </c>
      <c r="P22" s="26">
        <v>12500</v>
      </c>
      <c r="Q22" s="545"/>
      <c r="R22" s="546">
        <f t="shared" si="6"/>
        <v>12500</v>
      </c>
    </row>
    <row r="23" spans="1:18" ht="12.75">
      <c r="A23" s="677"/>
      <c r="B23" s="674"/>
      <c r="C23" s="43" t="s">
        <v>137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6">
        <v>29179.68</v>
      </c>
      <c r="N23" s="26">
        <v>32177.92</v>
      </c>
      <c r="O23" s="26">
        <v>28599</v>
      </c>
      <c r="P23" s="26">
        <v>24000</v>
      </c>
      <c r="Q23" s="545"/>
      <c r="R23" s="546">
        <f t="shared" si="6"/>
        <v>24000</v>
      </c>
    </row>
    <row r="24" spans="1:20" ht="12.75">
      <c r="A24" s="677"/>
      <c r="B24" s="674"/>
      <c r="C24" s="43" t="s">
        <v>138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6">
        <v>240323.78</v>
      </c>
      <c r="N24" s="26">
        <v>255051.03999999998</v>
      </c>
      <c r="O24" s="26">
        <v>249417</v>
      </c>
      <c r="P24" s="26">
        <v>250000</v>
      </c>
      <c r="Q24" s="545"/>
      <c r="R24" s="546">
        <f t="shared" si="6"/>
        <v>250000</v>
      </c>
      <c r="T24" s="567"/>
    </row>
    <row r="25" spans="1:18" ht="13.5" thickBot="1">
      <c r="A25" s="678"/>
      <c r="B25" s="675"/>
      <c r="C25" s="46" t="s">
        <v>139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3">
        <v>101193</v>
      </c>
      <c r="N25" s="48">
        <v>126956.95</v>
      </c>
      <c r="O25" s="48">
        <v>117000</v>
      </c>
      <c r="P25" s="48">
        <v>125000</v>
      </c>
      <c r="Q25" s="556"/>
      <c r="R25" s="551">
        <f t="shared" si="6"/>
        <v>125000</v>
      </c>
    </row>
    <row r="26" spans="1:18" ht="16.5" thickBot="1">
      <c r="A26" s="50">
        <v>200</v>
      </c>
      <c r="B26" s="708" t="s">
        <v>140</v>
      </c>
      <c r="C26" s="709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7" ref="I26:P26">I27+I40+I60+I62</f>
        <v>1492638</v>
      </c>
      <c r="J26" s="51">
        <f t="shared" si="7"/>
        <v>1090799</v>
      </c>
      <c r="K26" s="51">
        <f t="shared" si="7"/>
        <v>1258962</v>
      </c>
      <c r="L26" s="51">
        <f t="shared" si="7"/>
        <v>1049268.01</v>
      </c>
      <c r="M26" s="504">
        <f t="shared" si="7"/>
        <v>1119583.28</v>
      </c>
      <c r="N26" s="51">
        <f t="shared" si="7"/>
        <v>1113252.36</v>
      </c>
      <c r="O26" s="51">
        <f t="shared" si="7"/>
        <v>946531</v>
      </c>
      <c r="P26" s="458">
        <f t="shared" si="7"/>
        <v>1257383</v>
      </c>
      <c r="Q26" s="458">
        <f>Q27+Q40+Q60+Q62</f>
        <v>4617</v>
      </c>
      <c r="R26" s="476">
        <f>R27+R40+R60+R62</f>
        <v>1262000</v>
      </c>
    </row>
    <row r="27" spans="1:18" ht="15.75" thickBot="1">
      <c r="A27" s="52">
        <v>210</v>
      </c>
      <c r="B27" s="688" t="s">
        <v>141</v>
      </c>
      <c r="C27" s="689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8" ref="I27:Q27">I28+I32</f>
        <v>741364</v>
      </c>
      <c r="J27" s="53">
        <f t="shared" si="8"/>
        <v>560834</v>
      </c>
      <c r="K27" s="53">
        <f t="shared" si="8"/>
        <v>650004</v>
      </c>
      <c r="L27" s="53">
        <f>L28+L32</f>
        <v>379467.55</v>
      </c>
      <c r="M27" s="505">
        <f t="shared" si="8"/>
        <v>418308.61</v>
      </c>
      <c r="N27" s="53">
        <f>N28+N32</f>
        <v>461210.13</v>
      </c>
      <c r="O27" s="53">
        <f>O28+O32</f>
        <v>416013</v>
      </c>
      <c r="P27" s="459">
        <f t="shared" si="8"/>
        <v>492146</v>
      </c>
      <c r="Q27" s="459">
        <f t="shared" si="8"/>
        <v>4617</v>
      </c>
      <c r="R27" s="477">
        <f>R28+R32</f>
        <v>496763</v>
      </c>
    </row>
    <row r="28" spans="1:18" ht="13.5" thickBot="1">
      <c r="A28" s="676" t="s">
        <v>142</v>
      </c>
      <c r="B28" s="8">
        <v>211</v>
      </c>
      <c r="C28" s="54" t="s">
        <v>141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9" ref="I28:Q28">SUM(I29:I31)</f>
        <v>29084</v>
      </c>
      <c r="J28" s="37">
        <f t="shared" si="9"/>
        <v>47000</v>
      </c>
      <c r="K28" s="37">
        <f t="shared" si="9"/>
        <v>58181</v>
      </c>
      <c r="L28" s="37">
        <f>SUM(L29:L31)</f>
        <v>20000</v>
      </c>
      <c r="M28" s="37">
        <f t="shared" si="9"/>
        <v>15000</v>
      </c>
      <c r="N28" s="37">
        <f t="shared" si="9"/>
        <v>24000</v>
      </c>
      <c r="O28" s="37">
        <f>SUM(O29:O31)</f>
        <v>11000</v>
      </c>
      <c r="P28" s="130">
        <f t="shared" si="9"/>
        <v>11000</v>
      </c>
      <c r="Q28" s="130">
        <f t="shared" si="9"/>
        <v>0</v>
      </c>
      <c r="R28" s="38">
        <f>SUM(R29:R31)</f>
        <v>11000</v>
      </c>
    </row>
    <row r="29" spans="1:18" ht="12.75" hidden="1">
      <c r="A29" s="677"/>
      <c r="B29" s="679"/>
      <c r="C29" s="55" t="s">
        <v>143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22"/>
      <c r="P29" s="22"/>
      <c r="Q29" s="559"/>
      <c r="R29" s="560"/>
    </row>
    <row r="30" spans="1:18" ht="12.75" hidden="1">
      <c r="A30" s="677"/>
      <c r="B30" s="680"/>
      <c r="C30" s="58" t="s">
        <v>144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6"/>
      <c r="P30" s="26"/>
      <c r="Q30" s="547"/>
      <c r="R30" s="548"/>
    </row>
    <row r="31" spans="1:18" ht="13.5" thickBot="1">
      <c r="A31" s="677"/>
      <c r="B31" s="681"/>
      <c r="C31" s="59" t="s">
        <v>145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30">
        <v>11000</v>
      </c>
      <c r="P31" s="30">
        <v>11000</v>
      </c>
      <c r="Q31" s="556"/>
      <c r="R31" s="551">
        <f>P31+Q31</f>
        <v>11000</v>
      </c>
    </row>
    <row r="32" spans="1:18" ht="13.5" thickBot="1">
      <c r="A32" s="677"/>
      <c r="B32" s="61">
        <v>212</v>
      </c>
      <c r="C32" s="62" t="s">
        <v>146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0" ref="I32:Q32">SUM(I33:I39)</f>
        <v>712280</v>
      </c>
      <c r="J32" s="63">
        <f t="shared" si="10"/>
        <v>513834</v>
      </c>
      <c r="K32" s="64">
        <f t="shared" si="10"/>
        <v>591823</v>
      </c>
      <c r="L32" s="64">
        <f t="shared" si="10"/>
        <v>359467.55</v>
      </c>
      <c r="M32" s="156">
        <f t="shared" si="10"/>
        <v>403308.61</v>
      </c>
      <c r="N32" s="64">
        <f t="shared" si="10"/>
        <v>437210.13</v>
      </c>
      <c r="O32" s="64">
        <f t="shared" si="10"/>
        <v>405013</v>
      </c>
      <c r="P32" s="99">
        <f t="shared" si="10"/>
        <v>481146</v>
      </c>
      <c r="Q32" s="99">
        <f t="shared" si="10"/>
        <v>4617</v>
      </c>
      <c r="R32" s="65">
        <f>SUM(R33:R39)</f>
        <v>485763</v>
      </c>
    </row>
    <row r="33" spans="1:18" ht="12.75">
      <c r="A33" s="677"/>
      <c r="B33" s="673"/>
      <c r="C33" s="55" t="s">
        <v>147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9">
        <v>134183.87</v>
      </c>
      <c r="N33" s="22">
        <v>87968.33</v>
      </c>
      <c r="O33" s="22">
        <v>77226</v>
      </c>
      <c r="P33" s="22">
        <f>71000+7226</f>
        <v>78226</v>
      </c>
      <c r="Q33" s="22"/>
      <c r="R33" s="23">
        <f aca="true" t="shared" si="11" ref="R33:R39">P33+Q33</f>
        <v>78226</v>
      </c>
    </row>
    <row r="34" spans="1:18" ht="12.75">
      <c r="A34" s="677"/>
      <c r="B34" s="674"/>
      <c r="C34" s="58" t="s">
        <v>148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6">
        <v>8075.84</v>
      </c>
      <c r="N34" s="26">
        <v>8856.86</v>
      </c>
      <c r="O34" s="26">
        <v>6000</v>
      </c>
      <c r="P34" s="26">
        <v>11000</v>
      </c>
      <c r="Q34" s="26"/>
      <c r="R34" s="27">
        <f t="shared" si="11"/>
        <v>11000</v>
      </c>
    </row>
    <row r="35" spans="1:18" ht="12.75">
      <c r="A35" s="677"/>
      <c r="B35" s="674"/>
      <c r="C35" s="66" t="s">
        <v>149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4">
        <v>46671.58</v>
      </c>
      <c r="N35" s="30">
        <v>82406.4</v>
      </c>
      <c r="O35" s="30">
        <v>82406</v>
      </c>
      <c r="P35" s="30">
        <v>140581</v>
      </c>
      <c r="Q35" s="30">
        <v>4617</v>
      </c>
      <c r="R35" s="31">
        <f t="shared" si="11"/>
        <v>145198</v>
      </c>
    </row>
    <row r="36" spans="1:18" ht="12.75">
      <c r="A36" s="677"/>
      <c r="B36" s="674"/>
      <c r="C36" s="66" t="s">
        <v>251</v>
      </c>
      <c r="D36" s="66"/>
      <c r="E36" s="66"/>
      <c r="F36" s="66"/>
      <c r="G36" s="66"/>
      <c r="H36" s="66"/>
      <c r="I36" s="66"/>
      <c r="J36" s="66"/>
      <c r="K36" s="30"/>
      <c r="L36" s="30"/>
      <c r="M36" s="224"/>
      <c r="N36" s="30">
        <v>19383.83</v>
      </c>
      <c r="O36" s="30">
        <v>19039</v>
      </c>
      <c r="P36" s="30">
        <v>19039</v>
      </c>
      <c r="Q36" s="30"/>
      <c r="R36" s="31">
        <f t="shared" si="11"/>
        <v>19039</v>
      </c>
    </row>
    <row r="37" spans="1:18" ht="12.75" hidden="1">
      <c r="A37" s="677"/>
      <c r="B37" s="674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4"/>
      <c r="N37" s="30">
        <v>10094.75</v>
      </c>
      <c r="O37" s="30"/>
      <c r="P37" s="30"/>
      <c r="Q37" s="30"/>
      <c r="R37" s="31">
        <f t="shared" si="11"/>
        <v>0</v>
      </c>
    </row>
    <row r="38" spans="1:18" ht="12.75">
      <c r="A38" s="677"/>
      <c r="B38" s="674"/>
      <c r="C38" s="66" t="s">
        <v>252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4">
        <v>77194.39</v>
      </c>
      <c r="N38" s="30">
        <v>75486.59</v>
      </c>
      <c r="O38" s="30">
        <v>65000</v>
      </c>
      <c r="P38" s="30">
        <v>76958</v>
      </c>
      <c r="Q38" s="30"/>
      <c r="R38" s="31">
        <f t="shared" si="11"/>
        <v>76958</v>
      </c>
    </row>
    <row r="39" spans="1:18" ht="13.5" thickBot="1">
      <c r="A39" s="678"/>
      <c r="B39" s="675"/>
      <c r="C39" s="59" t="s">
        <v>150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4">
        <v>137182.93</v>
      </c>
      <c r="N39" s="30">
        <v>153013.37000000002</v>
      </c>
      <c r="O39" s="30">
        <v>155342</v>
      </c>
      <c r="P39" s="30">
        <v>155342</v>
      </c>
      <c r="Q39" s="30"/>
      <c r="R39" s="31">
        <f t="shared" si="11"/>
        <v>155342</v>
      </c>
    </row>
    <row r="40" spans="1:18" ht="15.75" thickBot="1">
      <c r="A40" s="32">
        <v>220</v>
      </c>
      <c r="B40" s="688" t="s">
        <v>151</v>
      </c>
      <c r="C40" s="689"/>
      <c r="D40" s="67">
        <f aca="true" t="shared" si="12" ref="D40:P40">D41+D45+D58</f>
        <v>320786</v>
      </c>
      <c r="E40" s="67">
        <f t="shared" si="12"/>
        <v>327192</v>
      </c>
      <c r="F40" s="67">
        <f t="shared" si="12"/>
        <v>429297</v>
      </c>
      <c r="G40" s="67">
        <f t="shared" si="12"/>
        <v>326610</v>
      </c>
      <c r="H40" s="67">
        <f t="shared" si="12"/>
        <v>550895</v>
      </c>
      <c r="I40" s="67">
        <f t="shared" si="12"/>
        <v>581281</v>
      </c>
      <c r="J40" s="67">
        <f t="shared" si="12"/>
        <v>471458</v>
      </c>
      <c r="K40" s="67">
        <f t="shared" si="12"/>
        <v>514547</v>
      </c>
      <c r="L40" s="67">
        <f t="shared" si="12"/>
        <v>595361.4199999999</v>
      </c>
      <c r="M40" s="215">
        <f t="shared" si="12"/>
        <v>603358.3099999999</v>
      </c>
      <c r="N40" s="108">
        <f t="shared" si="12"/>
        <v>575655.29</v>
      </c>
      <c r="O40" s="108">
        <f t="shared" si="12"/>
        <v>503263</v>
      </c>
      <c r="P40" s="108">
        <f t="shared" si="12"/>
        <v>748237</v>
      </c>
      <c r="Q40" s="108">
        <f>Q41+Q45+Q58</f>
        <v>0</v>
      </c>
      <c r="R40" s="68">
        <f>R41+R45+R58</f>
        <v>748237</v>
      </c>
    </row>
    <row r="41" spans="1:18" ht="13.5" thickBot="1">
      <c r="A41" s="676"/>
      <c r="B41" s="61">
        <v>221</v>
      </c>
      <c r="C41" s="62" t="s">
        <v>152</v>
      </c>
      <c r="D41" s="64">
        <f aca="true" t="shared" si="13" ref="D41:P41">SUM(D42:D44)</f>
        <v>108312</v>
      </c>
      <c r="E41" s="64">
        <f t="shared" si="13"/>
        <v>99747</v>
      </c>
      <c r="F41" s="64">
        <f t="shared" si="13"/>
        <v>156211</v>
      </c>
      <c r="G41" s="64">
        <f t="shared" si="13"/>
        <v>110441</v>
      </c>
      <c r="H41" s="64">
        <f t="shared" si="13"/>
        <v>116883</v>
      </c>
      <c r="I41" s="64">
        <f t="shared" si="13"/>
        <v>93914</v>
      </c>
      <c r="J41" s="64">
        <f t="shared" si="13"/>
        <v>69092</v>
      </c>
      <c r="K41" s="64">
        <f t="shared" si="13"/>
        <v>77127</v>
      </c>
      <c r="L41" s="64">
        <f>SUM(L42:L44)</f>
        <v>85540.68</v>
      </c>
      <c r="M41" s="156">
        <f t="shared" si="13"/>
        <v>81456.3</v>
      </c>
      <c r="N41" s="99">
        <f>SUM(N42:N44)</f>
        <v>65885.95</v>
      </c>
      <c r="O41" s="99">
        <f>SUM(O42:O44)</f>
        <v>63130</v>
      </c>
      <c r="P41" s="99">
        <f t="shared" si="13"/>
        <v>63700</v>
      </c>
      <c r="Q41" s="99">
        <f>SUM(Q42:Q44)</f>
        <v>0</v>
      </c>
      <c r="R41" s="65">
        <f>SUM(R42:R44)</f>
        <v>63700</v>
      </c>
    </row>
    <row r="42" spans="1:18" ht="12.75">
      <c r="A42" s="698"/>
      <c r="B42" s="673"/>
      <c r="C42" s="41" t="s">
        <v>153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9">
        <v>53025.13</v>
      </c>
      <c r="N42" s="22">
        <v>35320.42</v>
      </c>
      <c r="O42" s="22">
        <v>20000</v>
      </c>
      <c r="P42" s="22">
        <v>35000</v>
      </c>
      <c r="Q42" s="22"/>
      <c r="R42" s="23">
        <f>P42+Q42</f>
        <v>35000</v>
      </c>
    </row>
    <row r="43" spans="1:18" ht="12.75">
      <c r="A43" s="698"/>
      <c r="B43" s="674"/>
      <c r="C43" s="56" t="s">
        <v>154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7">
        <v>1339.48</v>
      </c>
      <c r="N43" s="70">
        <v>1870.76</v>
      </c>
      <c r="O43" s="70">
        <v>1500</v>
      </c>
      <c r="P43" s="70">
        <v>700</v>
      </c>
      <c r="Q43" s="70"/>
      <c r="R43" s="71">
        <f>P43+Q43</f>
        <v>700</v>
      </c>
    </row>
    <row r="44" spans="1:18" ht="13.5" thickBot="1">
      <c r="A44" s="698"/>
      <c r="B44" s="675"/>
      <c r="C44" s="59" t="s">
        <v>250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4">
        <v>27091.69</v>
      </c>
      <c r="N44" s="30">
        <v>28694.77</v>
      </c>
      <c r="O44" s="30">
        <v>41630</v>
      </c>
      <c r="P44" s="30">
        <v>28000</v>
      </c>
      <c r="Q44" s="30"/>
      <c r="R44" s="31">
        <f>P44+Q44</f>
        <v>28000</v>
      </c>
    </row>
    <row r="45" spans="1:18" ht="13.5" thickBot="1">
      <c r="A45" s="698"/>
      <c r="B45" s="61">
        <v>223</v>
      </c>
      <c r="C45" s="61" t="s">
        <v>155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4" ref="I45:P45">SUM(I46:I57)</f>
        <v>484992</v>
      </c>
      <c r="J45" s="64">
        <f t="shared" si="14"/>
        <v>400298</v>
      </c>
      <c r="K45" s="64">
        <f t="shared" si="14"/>
        <v>434944</v>
      </c>
      <c r="L45" s="64">
        <f t="shared" si="14"/>
        <v>507780.69999999995</v>
      </c>
      <c r="M45" s="156">
        <f t="shared" si="14"/>
        <v>519757.4199999999</v>
      </c>
      <c r="N45" s="99">
        <f t="shared" si="14"/>
        <v>507767.17</v>
      </c>
      <c r="O45" s="99">
        <f t="shared" si="14"/>
        <v>438333</v>
      </c>
      <c r="P45" s="99">
        <f t="shared" si="14"/>
        <v>682737</v>
      </c>
      <c r="Q45" s="99">
        <f>SUM(Q46:Q57)</f>
        <v>0</v>
      </c>
      <c r="R45" s="65">
        <f>SUM(R46:R57)</f>
        <v>682737</v>
      </c>
    </row>
    <row r="46" spans="1:18" ht="12.75">
      <c r="A46" s="698"/>
      <c r="B46" s="673"/>
      <c r="C46" s="55" t="s">
        <v>156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9">
        <v>20532.33</v>
      </c>
      <c r="N46" s="22">
        <v>37975.43</v>
      </c>
      <c r="O46" s="22">
        <v>40000</v>
      </c>
      <c r="P46" s="22">
        <v>50000</v>
      </c>
      <c r="Q46" s="22"/>
      <c r="R46" s="23">
        <f aca="true" t="shared" si="15" ref="R46:R57">P46+Q46</f>
        <v>50000</v>
      </c>
    </row>
    <row r="47" spans="1:18" ht="12.75">
      <c r="A47" s="698"/>
      <c r="B47" s="674"/>
      <c r="C47" s="56" t="s">
        <v>157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9">
        <v>15650</v>
      </c>
      <c r="N47" s="22">
        <v>19753</v>
      </c>
      <c r="O47" s="22"/>
      <c r="P47" s="22"/>
      <c r="Q47" s="22"/>
      <c r="R47" s="23">
        <f t="shared" si="15"/>
        <v>0</v>
      </c>
    </row>
    <row r="48" spans="1:18" ht="12.75" hidden="1">
      <c r="A48" s="698"/>
      <c r="B48" s="674"/>
      <c r="C48" s="56" t="s">
        <v>158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9"/>
      <c r="N48" s="22"/>
      <c r="O48" s="22"/>
      <c r="P48" s="22"/>
      <c r="Q48" s="22"/>
      <c r="R48" s="23">
        <f t="shared" si="15"/>
        <v>0</v>
      </c>
    </row>
    <row r="49" spans="1:18" ht="12.75">
      <c r="A49" s="698"/>
      <c r="B49" s="674"/>
      <c r="C49" s="58" t="s">
        <v>159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6">
        <v>31403.35</v>
      </c>
      <c r="N49" s="26">
        <v>35343</v>
      </c>
      <c r="O49" s="26">
        <v>30000</v>
      </c>
      <c r="P49" s="26">
        <v>33000</v>
      </c>
      <c r="Q49" s="26"/>
      <c r="R49" s="27">
        <f t="shared" si="15"/>
        <v>33000</v>
      </c>
    </row>
    <row r="50" spans="1:18" ht="12.75">
      <c r="A50" s="698"/>
      <c r="B50" s="674"/>
      <c r="C50" s="58" t="s">
        <v>454</v>
      </c>
      <c r="D50" s="58"/>
      <c r="E50" s="58"/>
      <c r="F50" s="58"/>
      <c r="G50" s="58"/>
      <c r="H50" s="58"/>
      <c r="I50" s="44"/>
      <c r="J50" s="44"/>
      <c r="K50" s="26"/>
      <c r="L50" s="26"/>
      <c r="M50" s="206"/>
      <c r="N50" s="26"/>
      <c r="O50" s="26"/>
      <c r="P50" s="26">
        <v>32000</v>
      </c>
      <c r="Q50" s="26"/>
      <c r="R50" s="27">
        <f t="shared" si="15"/>
        <v>32000</v>
      </c>
    </row>
    <row r="51" spans="1:18" ht="12.75">
      <c r="A51" s="698"/>
      <c r="B51" s="674"/>
      <c r="C51" s="58" t="s">
        <v>455</v>
      </c>
      <c r="D51" s="58"/>
      <c r="E51" s="58"/>
      <c r="F51" s="58"/>
      <c r="G51" s="58"/>
      <c r="H51" s="58"/>
      <c r="I51" s="44"/>
      <c r="J51" s="44"/>
      <c r="K51" s="26"/>
      <c r="L51" s="26"/>
      <c r="M51" s="206"/>
      <c r="N51" s="26"/>
      <c r="O51" s="26"/>
      <c r="P51" s="26">
        <v>202930</v>
      </c>
      <c r="Q51" s="26"/>
      <c r="R51" s="27">
        <f t="shared" si="15"/>
        <v>202930</v>
      </c>
    </row>
    <row r="52" spans="1:18" ht="12.75">
      <c r="A52" s="698"/>
      <c r="B52" s="674"/>
      <c r="C52" s="58" t="s">
        <v>160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6">
        <v>19677.18</v>
      </c>
      <c r="N52" s="26">
        <v>14953.06</v>
      </c>
      <c r="O52" s="26">
        <v>20000</v>
      </c>
      <c r="P52" s="26"/>
      <c r="Q52" s="26"/>
      <c r="R52" s="27">
        <f t="shared" si="15"/>
        <v>0</v>
      </c>
    </row>
    <row r="53" spans="1:18" ht="12.75">
      <c r="A53" s="698"/>
      <c r="B53" s="674"/>
      <c r="C53" s="58" t="s">
        <v>239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6">
        <v>16873.9</v>
      </c>
      <c r="N53" s="26">
        <v>18524.4</v>
      </c>
      <c r="O53" s="26">
        <v>16930</v>
      </c>
      <c r="P53" s="26">
        <v>16000</v>
      </c>
      <c r="Q53" s="26"/>
      <c r="R53" s="27">
        <f t="shared" si="15"/>
        <v>16000</v>
      </c>
    </row>
    <row r="54" spans="1:18" ht="12.75">
      <c r="A54" s="698"/>
      <c r="B54" s="674"/>
      <c r="C54" s="66" t="s">
        <v>161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4">
        <v>163189.57</v>
      </c>
      <c r="N54" s="30">
        <v>121087.25</v>
      </c>
      <c r="O54" s="30">
        <v>122000</v>
      </c>
      <c r="P54" s="30">
        <v>121000</v>
      </c>
      <c r="Q54" s="30"/>
      <c r="R54" s="31">
        <f t="shared" si="15"/>
        <v>121000</v>
      </c>
    </row>
    <row r="55" spans="1:18" ht="12.75">
      <c r="A55" s="698"/>
      <c r="B55" s="674"/>
      <c r="C55" s="66" t="s">
        <v>162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4">
        <v>49002.82</v>
      </c>
      <c r="N55" s="30">
        <v>48758.66</v>
      </c>
      <c r="O55" s="30">
        <v>75500</v>
      </c>
      <c r="P55" s="30">
        <v>63000</v>
      </c>
      <c r="Q55" s="30"/>
      <c r="R55" s="31">
        <f t="shared" si="15"/>
        <v>63000</v>
      </c>
    </row>
    <row r="56" spans="1:18" ht="12.75">
      <c r="A56" s="698"/>
      <c r="B56" s="674"/>
      <c r="C56" s="66" t="s">
        <v>163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4"/>
      <c r="N56" s="30">
        <v>3813</v>
      </c>
      <c r="O56" s="30">
        <v>2700</v>
      </c>
      <c r="P56" s="30">
        <v>30000</v>
      </c>
      <c r="Q56" s="30"/>
      <c r="R56" s="31">
        <f t="shared" si="15"/>
        <v>30000</v>
      </c>
    </row>
    <row r="57" spans="1:18" ht="13.5" thickBot="1">
      <c r="A57" s="698"/>
      <c r="B57" s="674"/>
      <c r="C57" s="66" t="s">
        <v>164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4">
        <v>203428.27</v>
      </c>
      <c r="N57" s="30">
        <v>207559.37</v>
      </c>
      <c r="O57" s="30">
        <v>131203</v>
      </c>
      <c r="P57" s="30">
        <v>134807</v>
      </c>
      <c r="Q57" s="30"/>
      <c r="R57" s="31">
        <f t="shared" si="15"/>
        <v>134807</v>
      </c>
    </row>
    <row r="58" spans="1:18" ht="13.5" thickBot="1">
      <c r="A58" s="698"/>
      <c r="B58" s="61">
        <v>229</v>
      </c>
      <c r="C58" s="61" t="s">
        <v>165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6" ref="I58:R58">I59</f>
        <v>2375</v>
      </c>
      <c r="J58" s="63">
        <f t="shared" si="16"/>
        <v>2068</v>
      </c>
      <c r="K58" s="64">
        <f t="shared" si="16"/>
        <v>2476</v>
      </c>
      <c r="L58" s="64">
        <f t="shared" si="16"/>
        <v>2040.04</v>
      </c>
      <c r="M58" s="64">
        <f t="shared" si="16"/>
        <v>2144.59</v>
      </c>
      <c r="N58" s="99">
        <f t="shared" si="16"/>
        <v>2002.17</v>
      </c>
      <c r="O58" s="99">
        <f t="shared" si="16"/>
        <v>1800</v>
      </c>
      <c r="P58" s="99">
        <f t="shared" si="16"/>
        <v>1800</v>
      </c>
      <c r="Q58" s="99">
        <f t="shared" si="16"/>
        <v>0</v>
      </c>
      <c r="R58" s="65">
        <f t="shared" si="16"/>
        <v>1800</v>
      </c>
    </row>
    <row r="59" spans="1:18" ht="13.5" thickBot="1">
      <c r="A59" s="699"/>
      <c r="B59" s="75"/>
      <c r="C59" s="75" t="s">
        <v>166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2">
        <v>2144.59</v>
      </c>
      <c r="N59" s="77">
        <v>2002.17</v>
      </c>
      <c r="O59" s="77">
        <v>1800</v>
      </c>
      <c r="P59" s="77">
        <v>1800</v>
      </c>
      <c r="Q59" s="77"/>
      <c r="R59" s="553">
        <f>P59+Q59</f>
        <v>1800</v>
      </c>
    </row>
    <row r="60" spans="1:18" ht="15.75" thickBot="1">
      <c r="A60" s="13">
        <v>240</v>
      </c>
      <c r="B60" s="710" t="s">
        <v>167</v>
      </c>
      <c r="C60" s="711"/>
      <c r="D60" s="79">
        <f aca="true" t="shared" si="17" ref="D60:P60">SUM(D61:D61)</f>
        <v>27352</v>
      </c>
      <c r="E60" s="79">
        <f t="shared" si="17"/>
        <v>10390</v>
      </c>
      <c r="F60" s="79">
        <f t="shared" si="17"/>
        <v>16730</v>
      </c>
      <c r="G60" s="79">
        <f t="shared" si="17"/>
        <v>5867</v>
      </c>
      <c r="H60" s="79">
        <f t="shared" si="17"/>
        <v>6403</v>
      </c>
      <c r="I60" s="79">
        <f t="shared" si="17"/>
        <v>3943</v>
      </c>
      <c r="J60" s="79">
        <f t="shared" si="17"/>
        <v>3352</v>
      </c>
      <c r="K60" s="79">
        <f t="shared" si="17"/>
        <v>1988</v>
      </c>
      <c r="L60" s="80">
        <f t="shared" si="17"/>
        <v>1226.92</v>
      </c>
      <c r="M60" s="79">
        <f t="shared" si="17"/>
        <v>445.87</v>
      </c>
      <c r="N60" s="393">
        <f t="shared" si="17"/>
        <v>2584.38</v>
      </c>
      <c r="O60" s="393">
        <f t="shared" si="17"/>
        <v>0</v>
      </c>
      <c r="P60" s="393">
        <f t="shared" si="17"/>
        <v>0</v>
      </c>
      <c r="Q60" s="561"/>
      <c r="R60" s="562"/>
    </row>
    <row r="61" spans="1:18" ht="15.75" thickBot="1">
      <c r="A61" s="52"/>
      <c r="B61" s="81"/>
      <c r="C61" s="82" t="s">
        <v>168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4">
        <v>445.87</v>
      </c>
      <c r="N61" s="84">
        <v>2584.38</v>
      </c>
      <c r="O61" s="84"/>
      <c r="P61" s="84"/>
      <c r="Q61" s="561"/>
      <c r="R61" s="562">
        <f>P61+Q61</f>
        <v>0</v>
      </c>
    </row>
    <row r="62" spans="1:18" ht="15.75" thickBot="1">
      <c r="A62" s="13">
        <v>290</v>
      </c>
      <c r="B62" s="700" t="s">
        <v>169</v>
      </c>
      <c r="C62" s="701"/>
      <c r="D62" s="85">
        <f>D63</f>
        <v>56396</v>
      </c>
      <c r="E62" s="85">
        <f>E63</f>
        <v>21078</v>
      </c>
      <c r="F62" s="85">
        <f>F63</f>
        <v>316039</v>
      </c>
      <c r="G62" s="85">
        <f>G63</f>
        <v>123165</v>
      </c>
      <c r="H62" s="85">
        <v>59959</v>
      </c>
      <c r="I62" s="85">
        <f aca="true" t="shared" si="18" ref="I62:P62">I63</f>
        <v>166050</v>
      </c>
      <c r="J62" s="85">
        <f t="shared" si="18"/>
        <v>55155</v>
      </c>
      <c r="K62" s="85">
        <f t="shared" si="18"/>
        <v>92423</v>
      </c>
      <c r="L62" s="85">
        <f t="shared" si="18"/>
        <v>73212.12000000001</v>
      </c>
      <c r="M62" s="506">
        <f t="shared" si="18"/>
        <v>97470.49</v>
      </c>
      <c r="N62" s="460">
        <f t="shared" si="18"/>
        <v>73802.55999999998</v>
      </c>
      <c r="O62" s="460">
        <f t="shared" si="18"/>
        <v>27255</v>
      </c>
      <c r="P62" s="460">
        <f t="shared" si="18"/>
        <v>17000</v>
      </c>
      <c r="Q62" s="460">
        <f>Q63</f>
        <v>0</v>
      </c>
      <c r="R62" s="478">
        <f>R63</f>
        <v>17000</v>
      </c>
    </row>
    <row r="63" spans="1:18" ht="13.5" thickBot="1">
      <c r="A63" s="676"/>
      <c r="B63" s="62">
        <v>292</v>
      </c>
      <c r="C63" s="62" t="s">
        <v>169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19" ref="I63:P63">SUM(I64:I68)</f>
        <v>166050</v>
      </c>
      <c r="J63" s="64">
        <f t="shared" si="19"/>
        <v>55155</v>
      </c>
      <c r="K63" s="64">
        <f t="shared" si="19"/>
        <v>92423</v>
      </c>
      <c r="L63" s="64">
        <f t="shared" si="19"/>
        <v>73212.12000000001</v>
      </c>
      <c r="M63" s="156">
        <f t="shared" si="19"/>
        <v>97470.49</v>
      </c>
      <c r="N63" s="99">
        <f t="shared" si="19"/>
        <v>73802.55999999998</v>
      </c>
      <c r="O63" s="99">
        <f t="shared" si="19"/>
        <v>27255</v>
      </c>
      <c r="P63" s="99">
        <f t="shared" si="19"/>
        <v>17000</v>
      </c>
      <c r="Q63" s="99">
        <f>SUM(Q64:Q68)</f>
        <v>0</v>
      </c>
      <c r="R63" s="65">
        <f>SUM(R64:R68)</f>
        <v>17000</v>
      </c>
    </row>
    <row r="64" spans="1:18" ht="12.75">
      <c r="A64" s="677"/>
      <c r="B64" s="679"/>
      <c r="C64" s="86" t="s">
        <v>170</v>
      </c>
      <c r="D64" s="86"/>
      <c r="E64" s="86"/>
      <c r="F64" s="86"/>
      <c r="G64" s="86"/>
      <c r="H64" s="86"/>
      <c r="I64" s="87">
        <v>19700</v>
      </c>
      <c r="J64" s="87">
        <v>19300</v>
      </c>
      <c r="K64" s="26">
        <v>29700</v>
      </c>
      <c r="L64" s="26">
        <v>27700</v>
      </c>
      <c r="M64" s="119">
        <v>46500</v>
      </c>
      <c r="N64" s="22">
        <v>35700</v>
      </c>
      <c r="O64" s="22">
        <v>3000</v>
      </c>
      <c r="P64" s="22">
        <v>0</v>
      </c>
      <c r="Q64" s="22"/>
      <c r="R64" s="23">
        <f>P64+Q64</f>
        <v>0</v>
      </c>
    </row>
    <row r="65" spans="1:18" ht="12.75">
      <c r="A65" s="677"/>
      <c r="B65" s="680"/>
      <c r="C65" s="88" t="s">
        <v>171</v>
      </c>
      <c r="D65" s="88"/>
      <c r="E65" s="88"/>
      <c r="F65" s="88"/>
      <c r="G65" s="88"/>
      <c r="H65" s="88"/>
      <c r="I65" s="89">
        <v>37534</v>
      </c>
      <c r="J65" s="89">
        <v>14000</v>
      </c>
      <c r="K65" s="26">
        <v>2888</v>
      </c>
      <c r="L65" s="26">
        <v>313.32</v>
      </c>
      <c r="M65" s="119">
        <v>6641.91</v>
      </c>
      <c r="N65" s="22">
        <v>434.45</v>
      </c>
      <c r="O65" s="22">
        <v>6071</v>
      </c>
      <c r="P65" s="22">
        <v>0</v>
      </c>
      <c r="Q65" s="22"/>
      <c r="R65" s="23">
        <f>P65+Q65</f>
        <v>0</v>
      </c>
    </row>
    <row r="66" spans="1:18" ht="12.75">
      <c r="A66" s="677"/>
      <c r="B66" s="680"/>
      <c r="C66" s="88" t="s">
        <v>169</v>
      </c>
      <c r="D66" s="88"/>
      <c r="E66" s="88"/>
      <c r="F66" s="88"/>
      <c r="G66" s="88"/>
      <c r="H66" s="88"/>
      <c r="I66" s="89">
        <v>106407</v>
      </c>
      <c r="J66" s="89">
        <v>19147</v>
      </c>
      <c r="K66" s="26">
        <f>16091+34106+2444+185+641+2733+114-32+43+286+668</f>
        <v>57279</v>
      </c>
      <c r="L66" s="26">
        <v>42730.56</v>
      </c>
      <c r="M66" s="119">
        <v>42300.64</v>
      </c>
      <c r="N66" s="22">
        <v>35668.57</v>
      </c>
      <c r="O66" s="22">
        <v>15984</v>
      </c>
      <c r="P66" s="22">
        <v>15000</v>
      </c>
      <c r="Q66" s="22"/>
      <c r="R66" s="23">
        <f>P66+Q66</f>
        <v>15000</v>
      </c>
    </row>
    <row r="67" spans="1:18" ht="13.5" thickBot="1">
      <c r="A67" s="677"/>
      <c r="B67" s="680"/>
      <c r="C67" s="90" t="s">
        <v>172</v>
      </c>
      <c r="D67" s="90"/>
      <c r="E67" s="90"/>
      <c r="F67" s="90"/>
      <c r="G67" s="90"/>
      <c r="H67" s="90"/>
      <c r="I67" s="91">
        <v>2409</v>
      </c>
      <c r="J67" s="91">
        <v>2708</v>
      </c>
      <c r="K67" s="26">
        <v>2556</v>
      </c>
      <c r="L67" s="26">
        <v>2468.24</v>
      </c>
      <c r="M67" s="135">
        <v>2027.94</v>
      </c>
      <c r="N67" s="25">
        <v>1999.54</v>
      </c>
      <c r="O67" s="25">
        <v>2200</v>
      </c>
      <c r="P67" s="26">
        <v>2000</v>
      </c>
      <c r="Q67" s="25"/>
      <c r="R67" s="479">
        <f>P67+Q67</f>
        <v>2000</v>
      </c>
    </row>
    <row r="68" spans="1:18" ht="13.5" hidden="1" thickBot="1">
      <c r="A68" s="678"/>
      <c r="B68" s="681"/>
      <c r="C68" s="582" t="s">
        <v>173</v>
      </c>
      <c r="D68" s="582"/>
      <c r="E68" s="582"/>
      <c r="F68" s="582"/>
      <c r="G68" s="582"/>
      <c r="H68" s="582"/>
      <c r="I68" s="582"/>
      <c r="J68" s="582"/>
      <c r="K68" s="276"/>
      <c r="L68" s="277"/>
      <c r="M68" s="277"/>
      <c r="N68" s="277"/>
      <c r="O68" s="277"/>
      <c r="P68" s="277"/>
      <c r="Q68" s="565"/>
      <c r="R68" s="566"/>
    </row>
    <row r="69" spans="1:18" ht="16.5" thickBot="1">
      <c r="A69" s="50">
        <v>300</v>
      </c>
      <c r="B69" s="692" t="s">
        <v>174</v>
      </c>
      <c r="C69" s="693"/>
      <c r="D69" s="583">
        <f aca="true" t="shared" si="20" ref="D69:P69">D70+D107</f>
        <v>1842129</v>
      </c>
      <c r="E69" s="583">
        <f t="shared" si="20"/>
        <v>1999701</v>
      </c>
      <c r="F69" s="583">
        <f t="shared" si="20"/>
        <v>2077242</v>
      </c>
      <c r="G69" s="583">
        <f t="shared" si="20"/>
        <v>2645110</v>
      </c>
      <c r="H69" s="583">
        <f t="shared" si="20"/>
        <v>2979865</v>
      </c>
      <c r="I69" s="583">
        <f t="shared" si="20"/>
        <v>2749519</v>
      </c>
      <c r="J69" s="583">
        <f t="shared" si="20"/>
        <v>2901991</v>
      </c>
      <c r="K69" s="583">
        <f t="shared" si="20"/>
        <v>3466649</v>
      </c>
      <c r="L69" s="583">
        <f>L70+L107</f>
        <v>3450076.55</v>
      </c>
      <c r="M69" s="584">
        <f t="shared" si="20"/>
        <v>3251492.52</v>
      </c>
      <c r="N69" s="585">
        <f t="shared" si="20"/>
        <v>3217895.650000001</v>
      </c>
      <c r="O69" s="585">
        <f t="shared" si="20"/>
        <v>3010997</v>
      </c>
      <c r="P69" s="585">
        <f t="shared" si="20"/>
        <v>2957557</v>
      </c>
      <c r="Q69" s="585">
        <f>Q70+Q107</f>
        <v>0</v>
      </c>
      <c r="R69" s="586">
        <f>R70+R107</f>
        <v>2957557</v>
      </c>
    </row>
    <row r="70" spans="1:18" ht="15.75" thickBot="1">
      <c r="A70" s="32">
        <v>310</v>
      </c>
      <c r="B70" s="688" t="s">
        <v>175</v>
      </c>
      <c r="C70" s="705"/>
      <c r="D70" s="67">
        <f aca="true" t="shared" si="21" ref="D70:P70">D71+D73</f>
        <v>1842129</v>
      </c>
      <c r="E70" s="67">
        <f t="shared" si="21"/>
        <v>1999701</v>
      </c>
      <c r="F70" s="67">
        <f t="shared" si="21"/>
        <v>2077242</v>
      </c>
      <c r="G70" s="67">
        <f t="shared" si="21"/>
        <v>2645110</v>
      </c>
      <c r="H70" s="67">
        <f t="shared" si="21"/>
        <v>2958818</v>
      </c>
      <c r="I70" s="67">
        <f t="shared" si="21"/>
        <v>2721164</v>
      </c>
      <c r="J70" s="67">
        <f t="shared" si="21"/>
        <v>2862933</v>
      </c>
      <c r="K70" s="67">
        <f t="shared" si="21"/>
        <v>3457133</v>
      </c>
      <c r="L70" s="67">
        <f>L71+L73</f>
        <v>3450076.55</v>
      </c>
      <c r="M70" s="215">
        <f t="shared" si="21"/>
        <v>3251492.52</v>
      </c>
      <c r="N70" s="108">
        <f>N71+N73</f>
        <v>3217895.650000001</v>
      </c>
      <c r="O70" s="108">
        <f>O71+O73</f>
        <v>3010997</v>
      </c>
      <c r="P70" s="108">
        <f t="shared" si="21"/>
        <v>2957557</v>
      </c>
      <c r="Q70" s="108">
        <f>Q71+Q73</f>
        <v>0</v>
      </c>
      <c r="R70" s="68">
        <f>R71+R73</f>
        <v>2957557</v>
      </c>
    </row>
    <row r="71" spans="1:18" ht="13.5" thickBot="1">
      <c r="A71" s="676"/>
      <c r="B71" s="92">
        <v>311</v>
      </c>
      <c r="C71" s="61" t="s">
        <v>176</v>
      </c>
      <c r="D71" s="93">
        <f aca="true" t="shared" si="22" ref="D71:M71">SUM(D72:D72)</f>
        <v>0</v>
      </c>
      <c r="E71" s="93">
        <f t="shared" si="22"/>
        <v>23003</v>
      </c>
      <c r="F71" s="93">
        <f t="shared" si="22"/>
        <v>14107</v>
      </c>
      <c r="G71" s="93">
        <f t="shared" si="22"/>
        <v>9307</v>
      </c>
      <c r="H71" s="93">
        <f t="shared" si="22"/>
        <v>19495</v>
      </c>
      <c r="I71" s="93">
        <f t="shared" si="22"/>
        <v>11396</v>
      </c>
      <c r="J71" s="93">
        <f t="shared" si="22"/>
        <v>19287</v>
      </c>
      <c r="K71" s="64">
        <f t="shared" si="22"/>
        <v>18260</v>
      </c>
      <c r="L71" s="64">
        <f t="shared" si="22"/>
        <v>700</v>
      </c>
      <c r="M71" s="156">
        <f t="shared" si="22"/>
        <v>4100</v>
      </c>
      <c r="N71" s="461">
        <f>N72</f>
        <v>4000</v>
      </c>
      <c r="O71" s="461">
        <f>O72</f>
        <v>15000</v>
      </c>
      <c r="P71" s="461">
        <f>P72</f>
        <v>0</v>
      </c>
      <c r="Q71" s="461">
        <f>Q72</f>
        <v>0</v>
      </c>
      <c r="R71" s="17">
        <f>R72</f>
        <v>0</v>
      </c>
    </row>
    <row r="72" spans="1:18" ht="13.5" thickBot="1">
      <c r="A72" s="677"/>
      <c r="B72" s="40"/>
      <c r="C72" s="41" t="s">
        <v>177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9">
        <v>4100</v>
      </c>
      <c r="N72" s="22">
        <v>4000</v>
      </c>
      <c r="O72" s="22">
        <v>15000</v>
      </c>
      <c r="P72" s="22"/>
      <c r="Q72" s="22"/>
      <c r="R72" s="23">
        <f>P72+Q72</f>
        <v>0</v>
      </c>
    </row>
    <row r="73" spans="1:18" ht="13.5" thickBot="1">
      <c r="A73" s="677"/>
      <c r="B73" s="8">
        <v>312</v>
      </c>
      <c r="C73" s="8" t="s">
        <v>178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SUM(I74:I106)</f>
        <v>2709768</v>
      </c>
      <c r="J73" s="37">
        <f>SUM(J74:J106)</f>
        <v>2843646</v>
      </c>
      <c r="K73" s="37">
        <f>SUM(K74:K106)</f>
        <v>3438873</v>
      </c>
      <c r="L73" s="37">
        <v>3449376.55</v>
      </c>
      <c r="M73" s="323">
        <f aca="true" t="shared" si="23" ref="M73:R73">SUM(M74:M106)</f>
        <v>3247392.52</v>
      </c>
      <c r="N73" s="130">
        <f t="shared" si="23"/>
        <v>3213895.650000001</v>
      </c>
      <c r="O73" s="130">
        <f t="shared" si="23"/>
        <v>2995997</v>
      </c>
      <c r="P73" s="130">
        <f t="shared" si="23"/>
        <v>2957557</v>
      </c>
      <c r="Q73" s="130">
        <f t="shared" si="23"/>
        <v>0</v>
      </c>
      <c r="R73" s="38">
        <f t="shared" si="23"/>
        <v>2957557</v>
      </c>
    </row>
    <row r="74" spans="1:18" ht="12.75">
      <c r="A74" s="677"/>
      <c r="B74" s="706"/>
      <c r="C74" s="41" t="s">
        <v>179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2">
        <v>11477.1</v>
      </c>
      <c r="N74" s="94">
        <v>11818.38</v>
      </c>
      <c r="O74" s="94">
        <v>12155</v>
      </c>
      <c r="P74" s="94">
        <v>12155</v>
      </c>
      <c r="Q74" s="543"/>
      <c r="R74" s="544">
        <f aca="true" t="shared" si="24" ref="R74:R105">P74+Q74</f>
        <v>12155</v>
      </c>
    </row>
    <row r="75" spans="1:22" ht="12.75">
      <c r="A75" s="677"/>
      <c r="B75" s="707"/>
      <c r="C75" s="43" t="s">
        <v>180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5">
        <v>2385302.7</v>
      </c>
      <c r="N75" s="26">
        <v>2378880.87</v>
      </c>
      <c r="O75" s="26">
        <v>2344166</v>
      </c>
      <c r="P75" s="26">
        <v>2409096</v>
      </c>
      <c r="Q75" s="543"/>
      <c r="R75" s="544">
        <f t="shared" si="24"/>
        <v>2409096</v>
      </c>
      <c r="V75" s="567"/>
    </row>
    <row r="76" spans="1:18" ht="12.75">
      <c r="A76" s="677"/>
      <c r="B76" s="707"/>
      <c r="C76" s="43" t="s">
        <v>181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5">
        <v>18041.07</v>
      </c>
      <c r="N76" s="26">
        <v>17962.95</v>
      </c>
      <c r="O76" s="26">
        <v>17966</v>
      </c>
      <c r="P76" s="26">
        <v>17966</v>
      </c>
      <c r="Q76" s="543"/>
      <c r="R76" s="544">
        <f t="shared" si="24"/>
        <v>17966</v>
      </c>
    </row>
    <row r="77" spans="1:18" ht="12.75">
      <c r="A77" s="677"/>
      <c r="B77" s="707"/>
      <c r="C77" s="43" t="s">
        <v>182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5">
        <v>26310</v>
      </c>
      <c r="N77" s="26">
        <v>27303</v>
      </c>
      <c r="O77" s="26">
        <v>27287</v>
      </c>
      <c r="P77" s="26">
        <v>27287</v>
      </c>
      <c r="Q77" s="543"/>
      <c r="R77" s="544">
        <f t="shared" si="24"/>
        <v>27287</v>
      </c>
    </row>
    <row r="78" spans="1:18" ht="12.75">
      <c r="A78" s="677"/>
      <c r="B78" s="707"/>
      <c r="C78" s="43" t="s">
        <v>183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5">
        <v>7157.02</v>
      </c>
      <c r="N78" s="26">
        <v>7145.67</v>
      </c>
      <c r="O78" s="26">
        <v>7147</v>
      </c>
      <c r="P78" s="26">
        <v>7147</v>
      </c>
      <c r="Q78" s="543"/>
      <c r="R78" s="544">
        <f t="shared" si="24"/>
        <v>7147</v>
      </c>
    </row>
    <row r="79" spans="1:18" ht="12.75">
      <c r="A79" s="677"/>
      <c r="B79" s="707"/>
      <c r="C79" s="43" t="s">
        <v>184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5">
        <v>4327.68</v>
      </c>
      <c r="N79" s="26">
        <v>3104.64</v>
      </c>
      <c r="O79" s="26">
        <v>7000</v>
      </c>
      <c r="P79" s="26">
        <v>7000</v>
      </c>
      <c r="Q79" s="543"/>
      <c r="R79" s="544">
        <f t="shared" si="24"/>
        <v>7000</v>
      </c>
    </row>
    <row r="80" spans="1:18" ht="12.75">
      <c r="A80" s="677"/>
      <c r="B80" s="707"/>
      <c r="C80" s="43" t="s">
        <v>185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5">
        <v>58497.09</v>
      </c>
      <c r="N80" s="26">
        <v>43283.74</v>
      </c>
      <c r="O80" s="26">
        <v>55224</v>
      </c>
      <c r="P80" s="26">
        <v>55224</v>
      </c>
      <c r="Q80" s="543"/>
      <c r="R80" s="544">
        <f t="shared" si="24"/>
        <v>55224</v>
      </c>
    </row>
    <row r="81" spans="1:18" ht="12.75">
      <c r="A81" s="677"/>
      <c r="B81" s="707"/>
      <c r="C81" s="43" t="s">
        <v>186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5">
        <v>25989.77</v>
      </c>
      <c r="N81" s="26">
        <v>45874.89000000001</v>
      </c>
      <c r="O81" s="26">
        <v>42000</v>
      </c>
      <c r="P81" s="26">
        <v>42000</v>
      </c>
      <c r="Q81" s="543"/>
      <c r="R81" s="544">
        <f t="shared" si="24"/>
        <v>42000</v>
      </c>
    </row>
    <row r="82" spans="1:18" ht="12.75">
      <c r="A82" s="677"/>
      <c r="B82" s="707"/>
      <c r="C82" s="43" t="s">
        <v>187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5">
        <v>838.04</v>
      </c>
      <c r="N82" s="26">
        <v>834.41</v>
      </c>
      <c r="O82" s="26">
        <v>1474</v>
      </c>
      <c r="P82" s="26">
        <v>1474</v>
      </c>
      <c r="Q82" s="543"/>
      <c r="R82" s="544">
        <f t="shared" si="24"/>
        <v>1474</v>
      </c>
    </row>
    <row r="83" spans="1:18" ht="12.75">
      <c r="A83" s="677"/>
      <c r="B83" s="707"/>
      <c r="C83" s="43" t="s">
        <v>188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5">
        <v>1388.19</v>
      </c>
      <c r="N83" s="26">
        <v>1382.72</v>
      </c>
      <c r="O83" s="26">
        <v>1384</v>
      </c>
      <c r="P83" s="26">
        <v>1384</v>
      </c>
      <c r="Q83" s="543"/>
      <c r="R83" s="544">
        <f t="shared" si="24"/>
        <v>1384</v>
      </c>
    </row>
    <row r="84" spans="1:18" ht="12.75">
      <c r="A84" s="677"/>
      <c r="B84" s="707"/>
      <c r="C84" s="43" t="s">
        <v>447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5">
        <v>88644.08</v>
      </c>
      <c r="N84" s="26"/>
      <c r="O84" s="26">
        <v>0</v>
      </c>
      <c r="P84" s="26">
        <v>92861</v>
      </c>
      <c r="Q84" s="543"/>
      <c r="R84" s="544">
        <f t="shared" si="24"/>
        <v>92861</v>
      </c>
    </row>
    <row r="85" spans="1:18" ht="12.75">
      <c r="A85" s="677"/>
      <c r="B85" s="707"/>
      <c r="C85" s="43" t="s">
        <v>189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5">
        <v>4892.91</v>
      </c>
      <c r="N85" s="26">
        <v>4949.79</v>
      </c>
      <c r="O85" s="26">
        <v>5150</v>
      </c>
      <c r="P85" s="26">
        <v>5150</v>
      </c>
      <c r="Q85" s="543"/>
      <c r="R85" s="544">
        <f t="shared" si="24"/>
        <v>5150</v>
      </c>
    </row>
    <row r="86" spans="1:18" ht="12.75">
      <c r="A86" s="677"/>
      <c r="B86" s="707"/>
      <c r="C86" s="43" t="s">
        <v>190</v>
      </c>
      <c r="D86" s="43"/>
      <c r="E86" s="43"/>
      <c r="F86" s="43"/>
      <c r="G86" s="43"/>
      <c r="H86" s="43"/>
      <c r="I86" s="43"/>
      <c r="J86" s="43"/>
      <c r="K86" s="26"/>
      <c r="L86" s="26"/>
      <c r="M86" s="115"/>
      <c r="N86" s="26">
        <v>5331.12</v>
      </c>
      <c r="O86" s="26">
        <v>5725</v>
      </c>
      <c r="P86" s="26"/>
      <c r="Q86" s="543"/>
      <c r="R86" s="544">
        <f t="shared" si="24"/>
        <v>0</v>
      </c>
    </row>
    <row r="87" spans="1:18" ht="12.75">
      <c r="A87" s="677"/>
      <c r="B87" s="707"/>
      <c r="C87" s="43" t="s">
        <v>190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5">
        <v>5001.36</v>
      </c>
      <c r="N87" s="26">
        <v>4700</v>
      </c>
      <c r="O87" s="26">
        <v>4000</v>
      </c>
      <c r="P87" s="26"/>
      <c r="Q87" s="543"/>
      <c r="R87" s="544">
        <f t="shared" si="24"/>
        <v>0</v>
      </c>
    </row>
    <row r="88" spans="1:18" ht="12.75">
      <c r="A88" s="677"/>
      <c r="B88" s="707"/>
      <c r="C88" s="43" t="s">
        <v>191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5">
        <v>25120.019999999997</v>
      </c>
      <c r="N88" s="26">
        <v>34933.57</v>
      </c>
      <c r="O88" s="26">
        <v>33024</v>
      </c>
      <c r="P88" s="26">
        <v>33024</v>
      </c>
      <c r="Q88" s="543"/>
      <c r="R88" s="544">
        <f t="shared" si="24"/>
        <v>33024</v>
      </c>
    </row>
    <row r="89" spans="1:18" ht="12.75">
      <c r="A89" s="677"/>
      <c r="B89" s="707"/>
      <c r="C89" s="43" t="s">
        <v>261</v>
      </c>
      <c r="D89" s="43"/>
      <c r="E89" s="43"/>
      <c r="F89" s="43"/>
      <c r="G89" s="43"/>
      <c r="H89" s="43"/>
      <c r="I89" s="43"/>
      <c r="J89" s="43"/>
      <c r="K89" s="26"/>
      <c r="L89" s="26"/>
      <c r="M89" s="206"/>
      <c r="N89" s="26">
        <v>37805</v>
      </c>
      <c r="O89" s="26"/>
      <c r="P89" s="26"/>
      <c r="Q89" s="545"/>
      <c r="R89" s="546">
        <f t="shared" si="24"/>
        <v>0</v>
      </c>
    </row>
    <row r="90" spans="1:18" ht="12.75" hidden="1">
      <c r="A90" s="677"/>
      <c r="B90" s="707"/>
      <c r="C90" s="43" t="s">
        <v>192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6">
        <v>59979.78999999999</v>
      </c>
      <c r="N90" s="26">
        <v>37805</v>
      </c>
      <c r="O90" s="26">
        <v>0</v>
      </c>
      <c r="P90" s="26">
        <v>0</v>
      </c>
      <c r="Q90" s="545"/>
      <c r="R90" s="546">
        <f t="shared" si="24"/>
        <v>0</v>
      </c>
    </row>
    <row r="91" spans="1:18" ht="12.75" hidden="1">
      <c r="A91" s="677"/>
      <c r="B91" s="707"/>
      <c r="C91" s="58" t="s">
        <v>193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6">
        <v>105208.79999999999</v>
      </c>
      <c r="N91" s="26"/>
      <c r="O91" s="26"/>
      <c r="P91" s="26"/>
      <c r="Q91" s="545"/>
      <c r="R91" s="546">
        <f t="shared" si="24"/>
        <v>0</v>
      </c>
    </row>
    <row r="92" spans="1:18" ht="12.75">
      <c r="A92" s="677"/>
      <c r="B92" s="707"/>
      <c r="C92" s="43" t="s">
        <v>407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6"/>
      <c r="N92" s="26"/>
      <c r="O92" s="26"/>
      <c r="P92" s="26">
        <v>17639</v>
      </c>
      <c r="Q92" s="545"/>
      <c r="R92" s="546">
        <f t="shared" si="24"/>
        <v>17639</v>
      </c>
    </row>
    <row r="93" spans="1:18" ht="12.75">
      <c r="A93" s="677"/>
      <c r="B93" s="707"/>
      <c r="C93" s="58" t="s">
        <v>393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6"/>
      <c r="N93" s="26"/>
      <c r="O93" s="26"/>
      <c r="P93" s="26"/>
      <c r="Q93" s="545"/>
      <c r="R93" s="546">
        <f t="shared" si="24"/>
        <v>0</v>
      </c>
    </row>
    <row r="94" spans="1:18" ht="12.75">
      <c r="A94" s="677"/>
      <c r="B94" s="707"/>
      <c r="C94" s="43" t="s">
        <v>192</v>
      </c>
      <c r="D94" s="43"/>
      <c r="E94" s="43"/>
      <c r="F94" s="43"/>
      <c r="G94" s="43"/>
      <c r="H94" s="43"/>
      <c r="I94" s="43">
        <v>119232</v>
      </c>
      <c r="J94" s="43">
        <f>30008+30023</f>
        <v>60031</v>
      </c>
      <c r="K94" s="26"/>
      <c r="L94" s="26"/>
      <c r="M94" s="206">
        <v>108000</v>
      </c>
      <c r="N94" s="26"/>
      <c r="O94" s="26"/>
      <c r="P94" s="26"/>
      <c r="Q94" s="545"/>
      <c r="R94" s="546">
        <f t="shared" si="24"/>
        <v>0</v>
      </c>
    </row>
    <row r="95" spans="1:18" ht="12.75" hidden="1">
      <c r="A95" s="677"/>
      <c r="B95" s="707"/>
      <c r="C95" s="43" t="s">
        <v>195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6"/>
      <c r="Q95" s="545"/>
      <c r="R95" s="546">
        <f t="shared" si="24"/>
        <v>0</v>
      </c>
    </row>
    <row r="96" spans="1:18" ht="12.75">
      <c r="A96" s="677"/>
      <c r="B96" s="707"/>
      <c r="C96" s="43" t="s">
        <v>196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6">
        <v>192900</v>
      </c>
      <c r="P96" s="26">
        <v>192900</v>
      </c>
      <c r="Q96" s="545"/>
      <c r="R96" s="546">
        <f t="shared" si="24"/>
        <v>192900</v>
      </c>
    </row>
    <row r="97" spans="1:18" ht="12.75" hidden="1">
      <c r="A97" s="677"/>
      <c r="B97" s="707"/>
      <c r="C97" s="43" t="s">
        <v>197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6"/>
      <c r="Q97" s="547"/>
      <c r="R97" s="546">
        <f t="shared" si="24"/>
        <v>0</v>
      </c>
    </row>
    <row r="98" spans="1:18" ht="12.75" hidden="1">
      <c r="A98" s="677"/>
      <c r="B98" s="707"/>
      <c r="C98" s="43" t="s">
        <v>198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6"/>
      <c r="Q98" s="547"/>
      <c r="R98" s="546">
        <f t="shared" si="24"/>
        <v>0</v>
      </c>
    </row>
    <row r="99" spans="1:18" ht="12.75" hidden="1">
      <c r="A99" s="677"/>
      <c r="B99" s="707"/>
      <c r="C99" s="43" t="s">
        <v>199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6"/>
      <c r="Q99" s="547"/>
      <c r="R99" s="546">
        <f t="shared" si="24"/>
        <v>0</v>
      </c>
    </row>
    <row r="100" spans="1:18" ht="12.75" hidden="1">
      <c r="A100" s="677"/>
      <c r="B100" s="707"/>
      <c r="C100" s="43" t="s">
        <v>200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6"/>
      <c r="Q100" s="547"/>
      <c r="R100" s="546">
        <f t="shared" si="24"/>
        <v>0</v>
      </c>
    </row>
    <row r="101" spans="1:18" ht="12.75" hidden="1">
      <c r="A101" s="677"/>
      <c r="B101" s="707"/>
      <c r="C101" s="43" t="s">
        <v>201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6"/>
      <c r="N101" s="97"/>
      <c r="O101" s="97"/>
      <c r="P101" s="97"/>
      <c r="Q101" s="547"/>
      <c r="R101" s="546">
        <f t="shared" si="24"/>
        <v>0</v>
      </c>
    </row>
    <row r="102" spans="1:18" ht="12.75" hidden="1">
      <c r="A102" s="677"/>
      <c r="B102" s="707"/>
      <c r="C102" s="43" t="s">
        <v>202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7"/>
      <c r="N102" s="97"/>
      <c r="O102" s="97"/>
      <c r="P102" s="97"/>
      <c r="Q102" s="547"/>
      <c r="R102" s="546">
        <f t="shared" si="24"/>
        <v>0</v>
      </c>
    </row>
    <row r="103" spans="1:18" ht="12.75" hidden="1">
      <c r="A103" s="677"/>
      <c r="B103" s="707"/>
      <c r="C103" s="43" t="s">
        <v>203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6"/>
      <c r="Q103" s="547"/>
      <c r="R103" s="546">
        <f t="shared" si="24"/>
        <v>0</v>
      </c>
    </row>
    <row r="104" spans="1:18" ht="12.75" hidden="1">
      <c r="A104" s="677"/>
      <c r="B104" s="707"/>
      <c r="C104" s="43" t="s">
        <v>204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6"/>
      <c r="Q104" s="547"/>
      <c r="R104" s="546">
        <f t="shared" si="24"/>
        <v>0</v>
      </c>
    </row>
    <row r="105" spans="1:18" ht="12.75">
      <c r="A105" s="677"/>
      <c r="B105" s="707"/>
      <c r="C105" s="20" t="s">
        <v>446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/>
      <c r="P105" s="26">
        <v>35250</v>
      </c>
      <c r="Q105" s="547"/>
      <c r="R105" s="546">
        <f t="shared" si="24"/>
        <v>35250</v>
      </c>
    </row>
    <row r="106" spans="1:18" ht="13.5" thickBot="1">
      <c r="A106" s="677"/>
      <c r="B106" s="707"/>
      <c r="C106" s="46" t="s">
        <v>206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07">
        <v>13085.550000000001</v>
      </c>
      <c r="N106" s="26">
        <f>206825+69116</f>
        <v>275941</v>
      </c>
      <c r="O106" s="26">
        <v>239395</v>
      </c>
      <c r="P106" s="26"/>
      <c r="Q106" s="549"/>
      <c r="R106" s="550"/>
    </row>
    <row r="107" spans="1:18" ht="15.75" hidden="1" thickBot="1">
      <c r="A107" s="32">
        <v>330</v>
      </c>
      <c r="B107" s="688" t="s">
        <v>207</v>
      </c>
      <c r="C107" s="705"/>
      <c r="D107" s="67">
        <f>D108</f>
        <v>0</v>
      </c>
      <c r="E107" s="67">
        <f>E108</f>
        <v>0</v>
      </c>
      <c r="F107" s="67">
        <f>F108</f>
        <v>0</v>
      </c>
      <c r="G107" s="67">
        <f>G108</f>
        <v>0</v>
      </c>
      <c r="H107" s="67">
        <f>H108</f>
        <v>21047</v>
      </c>
      <c r="I107" s="67">
        <f aca="true" t="shared" si="25" ref="I107:P108">I108</f>
        <v>28355</v>
      </c>
      <c r="J107" s="67">
        <f t="shared" si="25"/>
        <v>39058</v>
      </c>
      <c r="K107" s="67">
        <f t="shared" si="25"/>
        <v>9516</v>
      </c>
      <c r="L107" s="67">
        <f t="shared" si="25"/>
        <v>0</v>
      </c>
      <c r="M107" s="67"/>
      <c r="N107" s="108"/>
      <c r="O107" s="108"/>
      <c r="P107" s="108">
        <f t="shared" si="25"/>
        <v>0</v>
      </c>
      <c r="Q107" s="561"/>
      <c r="R107" s="562"/>
    </row>
    <row r="108" spans="1:18" ht="13.5" hidden="1" thickBot="1">
      <c r="A108" s="676"/>
      <c r="B108" s="61">
        <v>331</v>
      </c>
      <c r="C108" s="62" t="s">
        <v>208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f t="shared" si="25"/>
        <v>28355</v>
      </c>
      <c r="J108" s="64">
        <f t="shared" si="25"/>
        <v>39058</v>
      </c>
      <c r="K108" s="64">
        <f t="shared" si="25"/>
        <v>9516</v>
      </c>
      <c r="L108" s="99"/>
      <c r="M108" s="99"/>
      <c r="N108" s="99"/>
      <c r="O108" s="99"/>
      <c r="P108" s="99"/>
      <c r="Q108" s="561"/>
      <c r="R108" s="562"/>
    </row>
    <row r="109" spans="1:18" ht="13.5" hidden="1" thickBot="1">
      <c r="A109" s="677"/>
      <c r="B109" s="40"/>
      <c r="C109" s="100" t="s">
        <v>198</v>
      </c>
      <c r="D109" s="100"/>
      <c r="E109" s="100"/>
      <c r="F109" s="100"/>
      <c r="G109" s="100"/>
      <c r="H109" s="100">
        <v>21047</v>
      </c>
      <c r="I109" s="100">
        <v>28355</v>
      </c>
      <c r="J109" s="100">
        <v>39058</v>
      </c>
      <c r="K109" s="101">
        <v>9516</v>
      </c>
      <c r="L109" s="70"/>
      <c r="M109" s="70"/>
      <c r="N109" s="70"/>
      <c r="O109" s="70"/>
      <c r="P109" s="70"/>
      <c r="Q109" s="627"/>
      <c r="R109" s="628"/>
    </row>
    <row r="110" spans="1:18" ht="17.25" thickBot="1" thickTop="1">
      <c r="A110" s="702" t="s">
        <v>209</v>
      </c>
      <c r="B110" s="703"/>
      <c r="C110" s="704"/>
      <c r="D110" s="102">
        <f aca="true" t="shared" si="26" ref="D110:P110">D5+D26+D69</f>
        <v>7125871</v>
      </c>
      <c r="E110" s="102">
        <f t="shared" si="26"/>
        <v>7561840</v>
      </c>
      <c r="F110" s="102">
        <f t="shared" si="26"/>
        <v>9082354</v>
      </c>
      <c r="G110" s="102">
        <f t="shared" si="26"/>
        <v>9080838</v>
      </c>
      <c r="H110" s="102">
        <f t="shared" si="26"/>
        <v>8537685</v>
      </c>
      <c r="I110" s="102">
        <f t="shared" si="26"/>
        <v>9096722</v>
      </c>
      <c r="J110" s="102">
        <f t="shared" si="26"/>
        <v>9201831</v>
      </c>
      <c r="K110" s="102">
        <f t="shared" si="26"/>
        <v>9722622</v>
      </c>
      <c r="L110" s="102">
        <f t="shared" si="26"/>
        <v>9640328.239999998</v>
      </c>
      <c r="M110" s="353">
        <f t="shared" si="26"/>
        <v>10178626.01</v>
      </c>
      <c r="N110" s="102">
        <f t="shared" si="26"/>
        <v>10784511.560000002</v>
      </c>
      <c r="O110" s="102">
        <f t="shared" si="26"/>
        <v>10638416</v>
      </c>
      <c r="P110" s="462">
        <f t="shared" si="26"/>
        <v>11234501</v>
      </c>
      <c r="Q110" s="472">
        <f>Q5+Q26+Q69</f>
        <v>4617</v>
      </c>
      <c r="R110" s="473">
        <f>R5+R26+R69</f>
        <v>11239118</v>
      </c>
    </row>
    <row r="111" ht="13.5" thickTop="1"/>
    <row r="113" ht="12.75">
      <c r="O113" s="567"/>
    </row>
    <row r="114" spans="16:18" ht="12.75">
      <c r="P114" s="567"/>
      <c r="Q114" s="567"/>
      <c r="R114" s="567"/>
    </row>
  </sheetData>
  <sheetProtection/>
  <mergeCells count="49">
    <mergeCell ref="A108:A109"/>
    <mergeCell ref="B60:C60"/>
    <mergeCell ref="B62:C62"/>
    <mergeCell ref="N3:N4"/>
    <mergeCell ref="B46:B57"/>
    <mergeCell ref="B6:C6"/>
    <mergeCell ref="E3:E4"/>
    <mergeCell ref="D3:D4"/>
    <mergeCell ref="K3:K4"/>
    <mergeCell ref="L3:L4"/>
    <mergeCell ref="B40:C40"/>
    <mergeCell ref="A18:A25"/>
    <mergeCell ref="B14:B16"/>
    <mergeCell ref="A110:C110"/>
    <mergeCell ref="B70:C70"/>
    <mergeCell ref="A71:A106"/>
    <mergeCell ref="B74:B106"/>
    <mergeCell ref="B107:C107"/>
    <mergeCell ref="B26:C26"/>
    <mergeCell ref="B42:B44"/>
    <mergeCell ref="A63:A68"/>
    <mergeCell ref="B64:B68"/>
    <mergeCell ref="B69:C69"/>
    <mergeCell ref="B3:B4"/>
    <mergeCell ref="B19:B25"/>
    <mergeCell ref="F3:F4"/>
    <mergeCell ref="B5:C5"/>
    <mergeCell ref="A41:A59"/>
    <mergeCell ref="B17:C17"/>
    <mergeCell ref="B12:C12"/>
    <mergeCell ref="R3:R4"/>
    <mergeCell ref="O3:O4"/>
    <mergeCell ref="I3:I4"/>
    <mergeCell ref="J3:J4"/>
    <mergeCell ref="C3:C4"/>
    <mergeCell ref="B27:C27"/>
    <mergeCell ref="G3:G4"/>
    <mergeCell ref="P3:P4"/>
    <mergeCell ref="H3:H4"/>
    <mergeCell ref="M3:M4"/>
    <mergeCell ref="A1:P1"/>
    <mergeCell ref="A2:P2"/>
    <mergeCell ref="A7:A11"/>
    <mergeCell ref="B7:B11"/>
    <mergeCell ref="A13:A16"/>
    <mergeCell ref="B33:B39"/>
    <mergeCell ref="A28:A39"/>
    <mergeCell ref="B29:B31"/>
    <mergeCell ref="A3:A4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86" r:id="rId1"/>
  <rowBreaks count="1" manualBreakCount="1">
    <brk id="67" max="255" man="1"/>
  </rowBreaks>
  <ignoredErrors>
    <ignoredError sqref="P107:P108 P61 P40:P41 P45 P58 P27:P30 P68:P71 P17 R32:R45 R58:R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240"/>
  <sheetViews>
    <sheetView zoomScalePageLayoutView="0" workbookViewId="0" topLeftCell="A1">
      <pane xSplit="11" ySplit="3" topLeftCell="O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Q116" sqref="Q116"/>
    </sheetView>
  </sheetViews>
  <sheetFormatPr defaultColWidth="9.140625" defaultRowHeight="12.75"/>
  <cols>
    <col min="1" max="1" width="10.57421875" style="1" customWidth="1"/>
    <col min="2" max="2" width="9.140625" style="1" customWidth="1"/>
    <col min="3" max="3" width="27.7109375" style="1" customWidth="1"/>
    <col min="4" max="10" width="14.28125" style="1" hidden="1" customWidth="1"/>
    <col min="11" max="11" width="2.421875" style="1" hidden="1" customWidth="1"/>
    <col min="12" max="12" width="14.28125" style="1" hidden="1" customWidth="1"/>
    <col min="13" max="13" width="16.421875" style="1" hidden="1" customWidth="1"/>
    <col min="14" max="14" width="13.7109375" style="1" hidden="1" customWidth="1"/>
    <col min="15" max="15" width="12.7109375" style="1" customWidth="1"/>
    <col min="16" max="16" width="13.28125" style="1" customWidth="1"/>
    <col min="17" max="18" width="11.8515625" style="1" customWidth="1"/>
    <col min="19" max="19" width="12.421875" style="1" customWidth="1"/>
    <col min="20" max="16384" width="9.140625" style="1" customWidth="1"/>
  </cols>
  <sheetData>
    <row r="1" spans="1:3" ht="13.5" thickBot="1">
      <c r="A1" s="712" t="s">
        <v>458</v>
      </c>
      <c r="B1" s="712"/>
      <c r="C1" s="712"/>
    </row>
    <row r="2" spans="1:19" ht="14.25" customHeight="1" thickBot="1" thickTop="1">
      <c r="A2" s="753" t="s">
        <v>65</v>
      </c>
      <c r="B2" s="755" t="s">
        <v>110</v>
      </c>
      <c r="C2" s="757" t="s">
        <v>66</v>
      </c>
      <c r="D2" s="686" t="s">
        <v>210</v>
      </c>
      <c r="E2" s="686" t="s">
        <v>211</v>
      </c>
      <c r="F2" s="686" t="s">
        <v>212</v>
      </c>
      <c r="G2" s="686" t="s">
        <v>213</v>
      </c>
      <c r="H2" s="686" t="s">
        <v>214</v>
      </c>
      <c r="I2" s="686" t="s">
        <v>117</v>
      </c>
      <c r="J2" s="686" t="s">
        <v>118</v>
      </c>
      <c r="K2" s="686" t="s">
        <v>119</v>
      </c>
      <c r="L2" s="686" t="s">
        <v>120</v>
      </c>
      <c r="M2" s="686" t="s">
        <v>375</v>
      </c>
      <c r="N2" s="686" t="s">
        <v>410</v>
      </c>
      <c r="O2" s="686" t="s">
        <v>411</v>
      </c>
      <c r="P2" s="690" t="s">
        <v>465</v>
      </c>
      <c r="Q2" s="751" t="s">
        <v>467</v>
      </c>
      <c r="R2" s="752"/>
      <c r="S2" s="684" t="s">
        <v>466</v>
      </c>
    </row>
    <row r="3" spans="1:19" ht="33.75" customHeight="1" thickBot="1">
      <c r="A3" s="754"/>
      <c r="B3" s="756"/>
      <c r="C3" s="758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91"/>
      <c r="Q3" s="635" t="s">
        <v>283</v>
      </c>
      <c r="R3" s="636" t="s">
        <v>288</v>
      </c>
      <c r="S3" s="685"/>
    </row>
    <row r="4" spans="1:19" ht="33" customHeight="1" thickBot="1" thickTop="1">
      <c r="A4" s="200" t="s">
        <v>289</v>
      </c>
      <c r="B4" s="749" t="s">
        <v>290</v>
      </c>
      <c r="C4" s="750"/>
      <c r="D4" s="201">
        <f>SUM(D5:D8)</f>
        <v>778928</v>
      </c>
      <c r="E4" s="201">
        <f>SUM(E5:E9)</f>
        <v>871108</v>
      </c>
      <c r="F4" s="201">
        <f>SUM(F5:F9)</f>
        <v>1155712</v>
      </c>
      <c r="G4" s="201">
        <f>SUM(G5:G9)</f>
        <v>1166481</v>
      </c>
      <c r="H4" s="201">
        <f aca="true" t="shared" si="0" ref="H4:S4">SUM(H5:H8)</f>
        <v>1147628</v>
      </c>
      <c r="I4" s="201">
        <f t="shared" si="0"/>
        <v>985015</v>
      </c>
      <c r="J4" s="201">
        <f t="shared" si="0"/>
        <v>971730</v>
      </c>
      <c r="K4" s="201">
        <f t="shared" si="0"/>
        <v>883614</v>
      </c>
      <c r="L4" s="202">
        <f t="shared" si="0"/>
        <v>976223.29</v>
      </c>
      <c r="M4" s="202">
        <f t="shared" si="0"/>
        <v>957107.49</v>
      </c>
      <c r="N4" s="629">
        <f t="shared" si="0"/>
        <v>918554.6199999999</v>
      </c>
      <c r="O4" s="629">
        <f t="shared" si="0"/>
        <v>1000298</v>
      </c>
      <c r="P4" s="629">
        <f t="shared" si="0"/>
        <v>1034118</v>
      </c>
      <c r="Q4" s="637">
        <f t="shared" si="0"/>
        <v>42116</v>
      </c>
      <c r="R4" s="638">
        <f t="shared" si="0"/>
        <v>0</v>
      </c>
      <c r="S4" s="640">
        <f t="shared" si="0"/>
        <v>1076234</v>
      </c>
    </row>
    <row r="5" spans="1:19" ht="12.75">
      <c r="A5" s="664"/>
      <c r="B5" s="203">
        <v>610</v>
      </c>
      <c r="C5" s="41" t="s">
        <v>291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2">
        <v>437364.06</v>
      </c>
      <c r="M5" s="152">
        <v>454979.56</v>
      </c>
      <c r="N5" s="94">
        <v>470394.73</v>
      </c>
      <c r="O5" s="94">
        <v>516043</v>
      </c>
      <c r="P5" s="94">
        <v>528629</v>
      </c>
      <c r="Q5" s="651">
        <v>31209</v>
      </c>
      <c r="R5" s="543"/>
      <c r="S5" s="544">
        <f>P5+Q5+R5</f>
        <v>559838</v>
      </c>
    </row>
    <row r="6" spans="1:22" ht="12.75">
      <c r="A6" s="665"/>
      <c r="B6" s="205">
        <v>620</v>
      </c>
      <c r="C6" s="43" t="s">
        <v>292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5">
        <v>178000.1</v>
      </c>
      <c r="M6" s="115">
        <v>174131.76</v>
      </c>
      <c r="N6" s="26">
        <v>179809.87</v>
      </c>
      <c r="O6" s="26">
        <v>196757</v>
      </c>
      <c r="P6" s="26">
        <v>201759</v>
      </c>
      <c r="Q6" s="651">
        <v>10907</v>
      </c>
      <c r="R6" s="545"/>
      <c r="S6" s="546">
        <f>P6+Q6+R6</f>
        <v>212666</v>
      </c>
      <c r="V6" s="567"/>
    </row>
    <row r="7" spans="1:19" ht="12.75">
      <c r="A7" s="665"/>
      <c r="B7" s="205">
        <v>630</v>
      </c>
      <c r="C7" s="43" t="s">
        <v>293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5">
        <v>356359.19</v>
      </c>
      <c r="M7" s="115">
        <v>297179.95</v>
      </c>
      <c r="N7" s="26">
        <v>260734.03999999998</v>
      </c>
      <c r="O7" s="26">
        <v>284386</v>
      </c>
      <c r="P7" s="26">
        <v>303730</v>
      </c>
      <c r="Q7" s="623"/>
      <c r="R7" s="545"/>
      <c r="S7" s="546">
        <f>P7+Q7+R7</f>
        <v>303730</v>
      </c>
    </row>
    <row r="8" spans="1:19" ht="13.5" thickBot="1">
      <c r="A8" s="665"/>
      <c r="B8" s="205">
        <v>640</v>
      </c>
      <c r="C8" s="43" t="s">
        <v>294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7">
        <v>23796</v>
      </c>
      <c r="K8" s="207">
        <v>2925</v>
      </c>
      <c r="L8" s="208">
        <v>4499.94</v>
      </c>
      <c r="M8" s="115">
        <v>30816.22</v>
      </c>
      <c r="N8" s="26">
        <v>7615.98</v>
      </c>
      <c r="O8" s="26">
        <v>3112</v>
      </c>
      <c r="P8" s="26"/>
      <c r="Q8" s="624"/>
      <c r="R8" s="547"/>
      <c r="S8" s="548">
        <f>P8+Q8+R8</f>
        <v>0</v>
      </c>
    </row>
    <row r="9" spans="1:19" ht="13.5" hidden="1" thickBot="1">
      <c r="A9" s="666"/>
      <c r="B9" s="205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9"/>
      <c r="J9" s="209"/>
      <c r="K9" s="209"/>
      <c r="L9" s="210"/>
      <c r="M9" s="211"/>
      <c r="N9" s="77"/>
      <c r="O9" s="77"/>
      <c r="P9" s="77"/>
      <c r="Q9" s="579"/>
      <c r="R9" s="549"/>
      <c r="S9" s="550"/>
    </row>
    <row r="10" spans="1:19" ht="15.75" thickBot="1">
      <c r="A10" s="213" t="s">
        <v>70</v>
      </c>
      <c r="B10" s="689" t="s">
        <v>295</v>
      </c>
      <c r="C10" s="705"/>
      <c r="D10" s="214">
        <v>7269</v>
      </c>
      <c r="E10" s="214">
        <v>6772</v>
      </c>
      <c r="F10" s="214">
        <v>8265</v>
      </c>
      <c r="G10" s="214">
        <v>13828</v>
      </c>
      <c r="H10" s="67">
        <f aca="true" t="shared" si="1" ref="H10:M10">SUM(H11:H13)</f>
        <v>14882</v>
      </c>
      <c r="I10" s="67">
        <f t="shared" si="1"/>
        <v>14051</v>
      </c>
      <c r="J10" s="67">
        <f t="shared" si="1"/>
        <v>82274</v>
      </c>
      <c r="K10" s="67">
        <f t="shared" si="1"/>
        <v>22548</v>
      </c>
      <c r="L10" s="215">
        <f t="shared" si="1"/>
        <v>18623.79</v>
      </c>
      <c r="M10" s="215">
        <f t="shared" si="1"/>
        <v>22356.78</v>
      </c>
      <c r="N10" s="108">
        <f aca="true" t="shared" si="2" ref="N10:S10">SUM(N11:N13)</f>
        <v>18604.68</v>
      </c>
      <c r="O10" s="108">
        <f t="shared" si="2"/>
        <v>16500</v>
      </c>
      <c r="P10" s="108">
        <f t="shared" si="2"/>
        <v>16500</v>
      </c>
      <c r="Q10" s="108">
        <f t="shared" si="2"/>
        <v>0</v>
      </c>
      <c r="R10" s="108">
        <f t="shared" si="2"/>
        <v>0</v>
      </c>
      <c r="S10" s="68">
        <f t="shared" si="2"/>
        <v>16500</v>
      </c>
    </row>
    <row r="11" spans="1:19" ht="12.75">
      <c r="A11" s="715"/>
      <c r="B11" s="216">
        <v>630</v>
      </c>
      <c r="C11" s="131" t="s">
        <v>296</v>
      </c>
      <c r="D11" s="217"/>
      <c r="E11" s="217"/>
      <c r="F11" s="217"/>
      <c r="G11" s="217"/>
      <c r="H11" s="217">
        <v>2345</v>
      </c>
      <c r="I11" s="131">
        <v>2324</v>
      </c>
      <c r="J11" s="42">
        <v>1162</v>
      </c>
      <c r="K11" s="42">
        <v>2324</v>
      </c>
      <c r="L11" s="152">
        <v>3486</v>
      </c>
      <c r="M11" s="379">
        <v>2324</v>
      </c>
      <c r="N11" s="144">
        <v>2324</v>
      </c>
      <c r="O11" s="144">
        <v>3500</v>
      </c>
      <c r="P11" s="144">
        <v>3500</v>
      </c>
      <c r="Q11" s="623"/>
      <c r="R11" s="144"/>
      <c r="S11" s="544">
        <f>P11+Q11+R11</f>
        <v>3500</v>
      </c>
    </row>
    <row r="12" spans="1:19" ht="12.75">
      <c r="A12" s="718"/>
      <c r="B12" s="219">
        <v>630</v>
      </c>
      <c r="C12" s="24" t="s">
        <v>297</v>
      </c>
      <c r="D12" s="220"/>
      <c r="E12" s="220"/>
      <c r="F12" s="220"/>
      <c r="G12" s="220"/>
      <c r="H12" s="220">
        <v>12537</v>
      </c>
      <c r="I12" s="24">
        <v>11727</v>
      </c>
      <c r="J12" s="44">
        <v>13096</v>
      </c>
      <c r="K12" s="44">
        <v>9612</v>
      </c>
      <c r="L12" s="115">
        <v>14911.65</v>
      </c>
      <c r="M12" s="508">
        <v>19064.19</v>
      </c>
      <c r="N12" s="25">
        <v>8451.55</v>
      </c>
      <c r="O12" s="25">
        <v>13000</v>
      </c>
      <c r="P12" s="25">
        <v>13000</v>
      </c>
      <c r="Q12" s="624"/>
      <c r="R12" s="25"/>
      <c r="S12" s="546">
        <f>P12+Q12+R12</f>
        <v>13000</v>
      </c>
    </row>
    <row r="13" spans="1:19" ht="13.5" thickBot="1">
      <c r="A13" s="716"/>
      <c r="B13" s="221">
        <v>630</v>
      </c>
      <c r="C13" s="222" t="s">
        <v>298</v>
      </c>
      <c r="D13" s="223"/>
      <c r="E13" s="223"/>
      <c r="F13" s="223"/>
      <c r="G13" s="223"/>
      <c r="H13" s="223"/>
      <c r="I13" s="222"/>
      <c r="J13" s="44">
        <v>68016</v>
      </c>
      <c r="K13" s="44">
        <v>10612</v>
      </c>
      <c r="L13" s="224">
        <v>226.14</v>
      </c>
      <c r="M13" s="509">
        <v>968.59</v>
      </c>
      <c r="N13" s="29">
        <v>7829.13</v>
      </c>
      <c r="O13" s="29"/>
      <c r="P13" s="29"/>
      <c r="Q13" s="579"/>
      <c r="R13" s="549"/>
      <c r="S13" s="551">
        <f>P13+Q13+R13</f>
        <v>0</v>
      </c>
    </row>
    <row r="14" spans="1:19" ht="15.75" thickBot="1">
      <c r="A14" s="213" t="s">
        <v>248</v>
      </c>
      <c r="B14" s="689" t="s">
        <v>299</v>
      </c>
      <c r="C14" s="705"/>
      <c r="D14" s="214">
        <v>20846</v>
      </c>
      <c r="E14" s="214">
        <v>22240</v>
      </c>
      <c r="F14" s="214">
        <v>25427</v>
      </c>
      <c r="G14" s="214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3" ref="K14:S14">SUM(K15:K18)</f>
        <v>24050</v>
      </c>
      <c r="L14" s="215">
        <f t="shared" si="3"/>
        <v>25050.219999999998</v>
      </c>
      <c r="M14" s="215">
        <f t="shared" si="3"/>
        <v>28488.050000000003</v>
      </c>
      <c r="N14" s="108">
        <f t="shared" si="3"/>
        <v>30083.289999999997</v>
      </c>
      <c r="O14" s="108">
        <f t="shared" si="3"/>
        <v>32708</v>
      </c>
      <c r="P14" s="108">
        <f t="shared" si="3"/>
        <v>35227</v>
      </c>
      <c r="Q14" s="108">
        <f t="shared" si="3"/>
        <v>0</v>
      </c>
      <c r="R14" s="108">
        <f t="shared" si="3"/>
        <v>0</v>
      </c>
      <c r="S14" s="68">
        <f t="shared" si="3"/>
        <v>35227</v>
      </c>
    </row>
    <row r="15" spans="1:19" ht="12.75">
      <c r="A15" s="715"/>
      <c r="B15" s="203">
        <v>610</v>
      </c>
      <c r="C15" s="225" t="s">
        <v>291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1">
        <v>17943</v>
      </c>
      <c r="J15" s="42">
        <v>18167</v>
      </c>
      <c r="K15" s="42">
        <v>15592</v>
      </c>
      <c r="L15" s="204">
        <v>15883.66</v>
      </c>
      <c r="M15" s="204">
        <v>19536.88</v>
      </c>
      <c r="N15" s="94">
        <v>20405.94</v>
      </c>
      <c r="O15" s="94">
        <v>21492</v>
      </c>
      <c r="P15" s="94">
        <v>23730</v>
      </c>
      <c r="Q15" s="623"/>
      <c r="R15" s="543"/>
      <c r="S15" s="544">
        <f>P15+Q15+R15</f>
        <v>23730</v>
      </c>
    </row>
    <row r="16" spans="1:19" ht="12.75">
      <c r="A16" s="718"/>
      <c r="B16" s="205">
        <v>620</v>
      </c>
      <c r="C16" s="227" t="s">
        <v>292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3">
        <v>6464</v>
      </c>
      <c r="J16" s="44">
        <v>6580</v>
      </c>
      <c r="K16" s="44">
        <v>5691</v>
      </c>
      <c r="L16" s="206">
        <v>6220</v>
      </c>
      <c r="M16" s="206">
        <v>6654.3</v>
      </c>
      <c r="N16" s="26">
        <v>7320.69</v>
      </c>
      <c r="O16" s="26">
        <v>8016</v>
      </c>
      <c r="P16" s="26">
        <v>8797</v>
      </c>
      <c r="Q16" s="624"/>
      <c r="R16" s="545"/>
      <c r="S16" s="546">
        <f>P16+Q16+R16</f>
        <v>8797</v>
      </c>
    </row>
    <row r="17" spans="1:19" ht="13.5" thickBot="1">
      <c r="A17" s="718"/>
      <c r="B17" s="205">
        <v>630</v>
      </c>
      <c r="C17" s="227" t="s">
        <v>293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3">
        <v>4529</v>
      </c>
      <c r="J17" s="44">
        <v>3216</v>
      </c>
      <c r="K17" s="44">
        <v>2533</v>
      </c>
      <c r="L17" s="206">
        <v>2610.08</v>
      </c>
      <c r="M17" s="206">
        <v>2181.04</v>
      </c>
      <c r="N17" s="26">
        <v>2356.66</v>
      </c>
      <c r="O17" s="26">
        <v>3200</v>
      </c>
      <c r="P17" s="26">
        <v>2700</v>
      </c>
      <c r="Q17" s="624"/>
      <c r="R17" s="545"/>
      <c r="S17" s="546">
        <f>P17+Q17+R17</f>
        <v>2700</v>
      </c>
    </row>
    <row r="18" spans="1:19" ht="13.5" hidden="1" thickBot="1">
      <c r="A18" s="716"/>
      <c r="B18" s="45"/>
      <c r="C18" s="209"/>
      <c r="D18" s="229"/>
      <c r="E18" s="229"/>
      <c r="F18" s="229"/>
      <c r="G18" s="229"/>
      <c r="H18" s="229"/>
      <c r="I18" s="146"/>
      <c r="J18" s="44"/>
      <c r="K18" s="44">
        <v>234</v>
      </c>
      <c r="L18" s="117">
        <v>336.48</v>
      </c>
      <c r="M18" s="117">
        <v>115.83</v>
      </c>
      <c r="N18" s="70"/>
      <c r="O18" s="70"/>
      <c r="P18" s="70"/>
      <c r="Q18" s="579"/>
      <c r="R18" s="549"/>
      <c r="S18" s="550">
        <f>P18+Q18+R18</f>
        <v>0</v>
      </c>
    </row>
    <row r="19" spans="1:19" ht="15.75" thickBot="1">
      <c r="A19" s="213" t="s">
        <v>300</v>
      </c>
      <c r="B19" s="689" t="s">
        <v>301</v>
      </c>
      <c r="C19" s="705"/>
      <c r="D19" s="214">
        <v>13145</v>
      </c>
      <c r="E19" s="214">
        <v>10057</v>
      </c>
      <c r="F19" s="214">
        <v>8498</v>
      </c>
      <c r="G19" s="214">
        <v>54518</v>
      </c>
      <c r="H19" s="67">
        <f aca="true" t="shared" si="4" ref="H19:S19">H22+H20+H21+H23+H24</f>
        <v>31457</v>
      </c>
      <c r="I19" s="67">
        <f t="shared" si="4"/>
        <v>31963</v>
      </c>
      <c r="J19" s="67">
        <f t="shared" si="4"/>
        <v>33449</v>
      </c>
      <c r="K19" s="67">
        <f t="shared" si="4"/>
        <v>18092</v>
      </c>
      <c r="L19" s="215">
        <f t="shared" si="4"/>
        <v>54586.799999999996</v>
      </c>
      <c r="M19" s="215">
        <f t="shared" si="4"/>
        <v>16584.94</v>
      </c>
      <c r="N19" s="67">
        <f t="shared" si="4"/>
        <v>25483.510000000002</v>
      </c>
      <c r="O19" s="67">
        <f t="shared" si="4"/>
        <v>15230</v>
      </c>
      <c r="P19" s="67">
        <f t="shared" si="4"/>
        <v>15666</v>
      </c>
      <c r="Q19" s="67">
        <f t="shared" si="4"/>
        <v>0</v>
      </c>
      <c r="R19" s="67">
        <f t="shared" si="4"/>
        <v>0</v>
      </c>
      <c r="S19" s="68">
        <f t="shared" si="4"/>
        <v>15666</v>
      </c>
    </row>
    <row r="20" spans="1:19" ht="12.75">
      <c r="A20" s="713"/>
      <c r="B20" s="230">
        <v>610</v>
      </c>
      <c r="C20" s="225" t="s">
        <v>291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2">
        <v>7969</v>
      </c>
      <c r="K20" s="42">
        <v>7777</v>
      </c>
      <c r="L20" s="204">
        <v>7662.08</v>
      </c>
      <c r="M20" s="204">
        <v>8679.95</v>
      </c>
      <c r="N20" s="94">
        <v>9877.67</v>
      </c>
      <c r="O20" s="94">
        <v>10506</v>
      </c>
      <c r="P20" s="94">
        <v>11015</v>
      </c>
      <c r="Q20" s="623"/>
      <c r="R20" s="543"/>
      <c r="S20" s="544">
        <f>P20+Q20+R20</f>
        <v>11015</v>
      </c>
    </row>
    <row r="21" spans="1:19" ht="12.75">
      <c r="A21" s="717"/>
      <c r="B21" s="231">
        <v>620</v>
      </c>
      <c r="C21" s="227" t="s">
        <v>292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4">
        <v>3469</v>
      </c>
      <c r="K21" s="44">
        <v>3267</v>
      </c>
      <c r="L21" s="206">
        <v>3320.66</v>
      </c>
      <c r="M21" s="206">
        <v>3113.97</v>
      </c>
      <c r="N21" s="26">
        <v>3720.13</v>
      </c>
      <c r="O21" s="26">
        <v>3924</v>
      </c>
      <c r="P21" s="26">
        <v>4101</v>
      </c>
      <c r="Q21" s="624"/>
      <c r="R21" s="545"/>
      <c r="S21" s="546">
        <f>P21+Q21+R21</f>
        <v>4101</v>
      </c>
    </row>
    <row r="22" spans="1:19" ht="12.75">
      <c r="A22" s="717"/>
      <c r="B22" s="231">
        <v>630</v>
      </c>
      <c r="C22" s="227" t="s">
        <v>293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4">
        <v>1227</v>
      </c>
      <c r="K22" s="44">
        <v>947</v>
      </c>
      <c r="L22" s="206">
        <v>588.04</v>
      </c>
      <c r="M22" s="206">
        <v>634.68</v>
      </c>
      <c r="N22" s="26">
        <v>827.63</v>
      </c>
      <c r="O22" s="26">
        <v>800</v>
      </c>
      <c r="P22" s="26">
        <v>550</v>
      </c>
      <c r="Q22" s="624"/>
      <c r="R22" s="545"/>
      <c r="S22" s="546">
        <f>P22+Q22+R22</f>
        <v>550</v>
      </c>
    </row>
    <row r="23" spans="1:19" ht="12.75" hidden="1">
      <c r="A23" s="717"/>
      <c r="B23" s="231">
        <v>640</v>
      </c>
      <c r="C23" s="43" t="s">
        <v>294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6">
        <v>113.93</v>
      </c>
      <c r="N23" s="26"/>
      <c r="O23" s="26"/>
      <c r="P23" s="26"/>
      <c r="Q23" s="624"/>
      <c r="R23" s="545"/>
      <c r="S23" s="546">
        <f>P23+Q23+R23</f>
        <v>0</v>
      </c>
    </row>
    <row r="24" spans="1:19" ht="13.5" thickBot="1">
      <c r="A24" s="714"/>
      <c r="B24" s="233">
        <v>600</v>
      </c>
      <c r="C24" s="209" t="s">
        <v>302</v>
      </c>
      <c r="D24" s="234"/>
      <c r="E24" s="234"/>
      <c r="F24" s="234"/>
      <c r="G24" s="234"/>
      <c r="H24" s="44">
        <v>20510</v>
      </c>
      <c r="I24" s="209">
        <v>20599</v>
      </c>
      <c r="J24" s="44">
        <v>17684</v>
      </c>
      <c r="K24" s="44">
        <v>6101</v>
      </c>
      <c r="L24" s="117">
        <v>43016.02</v>
      </c>
      <c r="M24" s="117">
        <v>4042.409999999998</v>
      </c>
      <c r="N24" s="70">
        <v>11058.08</v>
      </c>
      <c r="O24" s="70"/>
      <c r="P24" s="70"/>
      <c r="Q24" s="579"/>
      <c r="R24" s="549"/>
      <c r="S24" s="550">
        <f>P24+Q24+R24</f>
        <v>0</v>
      </c>
    </row>
    <row r="25" spans="1:19" ht="15.75" thickBot="1">
      <c r="A25" s="213" t="s">
        <v>303</v>
      </c>
      <c r="B25" s="689" t="s">
        <v>83</v>
      </c>
      <c r="C25" s="705"/>
      <c r="D25" s="235">
        <f>D26</f>
        <v>86802</v>
      </c>
      <c r="E25" s="235">
        <f>E26</f>
        <v>77342</v>
      </c>
      <c r="F25" s="235">
        <f>F26</f>
        <v>79566</v>
      </c>
      <c r="G25" s="235">
        <f>G26</f>
        <v>75201</v>
      </c>
      <c r="H25" s="235">
        <f>H26</f>
        <v>66074</v>
      </c>
      <c r="I25" s="67">
        <f aca="true" t="shared" si="5" ref="I25:S25">I26</f>
        <v>84841</v>
      </c>
      <c r="J25" s="67">
        <f t="shared" si="5"/>
        <v>92558</v>
      </c>
      <c r="K25" s="67">
        <f t="shared" si="5"/>
        <v>89614</v>
      </c>
      <c r="L25" s="215">
        <f>L26</f>
        <v>87966.26</v>
      </c>
      <c r="M25" s="215">
        <f t="shared" si="5"/>
        <v>89070.75</v>
      </c>
      <c r="N25" s="108">
        <f t="shared" si="5"/>
        <v>84152.6</v>
      </c>
      <c r="O25" s="108">
        <f t="shared" si="5"/>
        <v>75000</v>
      </c>
      <c r="P25" s="108">
        <f t="shared" si="5"/>
        <v>75000</v>
      </c>
      <c r="Q25" s="108">
        <f t="shared" si="5"/>
        <v>0</v>
      </c>
      <c r="R25" s="108">
        <f t="shared" si="5"/>
        <v>0</v>
      </c>
      <c r="S25" s="68">
        <f t="shared" si="5"/>
        <v>75000</v>
      </c>
    </row>
    <row r="26" spans="1:19" ht="13.5" thickBot="1">
      <c r="A26" s="236"/>
      <c r="B26" s="237">
        <v>630</v>
      </c>
      <c r="C26" s="238" t="s">
        <v>304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3">
        <v>89614</v>
      </c>
      <c r="L26" s="117">
        <v>87966.26</v>
      </c>
      <c r="M26" s="117">
        <v>89070.75</v>
      </c>
      <c r="N26" s="70">
        <v>84152.6</v>
      </c>
      <c r="O26" s="70">
        <v>75000</v>
      </c>
      <c r="P26" s="70">
        <v>75000</v>
      </c>
      <c r="Q26" s="626"/>
      <c r="R26" s="552"/>
      <c r="S26" s="553">
        <f>P26+Q26+R26</f>
        <v>75000</v>
      </c>
    </row>
    <row r="27" spans="1:19" ht="15.75" thickBot="1">
      <c r="A27" s="213" t="s">
        <v>305</v>
      </c>
      <c r="B27" s="689" t="s">
        <v>306</v>
      </c>
      <c r="C27" s="705"/>
      <c r="D27" s="235">
        <f>D28</f>
        <v>0</v>
      </c>
      <c r="E27" s="235">
        <f>E28</f>
        <v>1826</v>
      </c>
      <c r="F27" s="235">
        <f>F28</f>
        <v>66</v>
      </c>
      <c r="G27" s="235">
        <f>G28</f>
        <v>770</v>
      </c>
      <c r="H27" s="235">
        <f>H28</f>
        <v>2589</v>
      </c>
      <c r="I27" s="67">
        <f aca="true" t="shared" si="6" ref="I27:S27">I28</f>
        <v>366</v>
      </c>
      <c r="J27" s="67">
        <f t="shared" si="6"/>
        <v>274</v>
      </c>
      <c r="K27" s="67">
        <f t="shared" si="6"/>
        <v>464</v>
      </c>
      <c r="L27" s="67">
        <f t="shared" si="6"/>
        <v>276.29</v>
      </c>
      <c r="M27" s="215">
        <f t="shared" si="6"/>
        <v>34.4</v>
      </c>
      <c r="N27" s="108">
        <f t="shared" si="6"/>
        <v>81.5</v>
      </c>
      <c r="O27" s="108">
        <f t="shared" si="6"/>
        <v>500</v>
      </c>
      <c r="P27" s="108">
        <f t="shared" si="6"/>
        <v>500</v>
      </c>
      <c r="Q27" s="108">
        <f t="shared" si="6"/>
        <v>0</v>
      </c>
      <c r="R27" s="108">
        <f t="shared" si="6"/>
        <v>0</v>
      </c>
      <c r="S27" s="68">
        <f t="shared" si="6"/>
        <v>500</v>
      </c>
    </row>
    <row r="28" spans="1:19" ht="13.5" thickBot="1">
      <c r="A28" s="240"/>
      <c r="B28" s="241"/>
      <c r="C28" s="238" t="s">
        <v>307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3">
        <v>464</v>
      </c>
      <c r="L28" s="117">
        <v>276.29</v>
      </c>
      <c r="M28" s="117">
        <v>34.4</v>
      </c>
      <c r="N28" s="70">
        <v>81.5</v>
      </c>
      <c r="O28" s="70">
        <v>500</v>
      </c>
      <c r="P28" s="70">
        <v>500</v>
      </c>
      <c r="Q28" s="622"/>
      <c r="R28" s="554"/>
      <c r="S28" s="555">
        <f>P28+Q28+R28</f>
        <v>500</v>
      </c>
    </row>
    <row r="29" spans="1:19" ht="15.75" thickBot="1">
      <c r="A29" s="213" t="s">
        <v>89</v>
      </c>
      <c r="B29" s="689" t="s">
        <v>308</v>
      </c>
      <c r="C29" s="705"/>
      <c r="D29" s="214">
        <v>80362</v>
      </c>
      <c r="E29" s="214">
        <v>93674</v>
      </c>
      <c r="F29" s="214">
        <v>104461</v>
      </c>
      <c r="G29" s="214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15">
        <f aca="true" t="shared" si="7" ref="L29:S29">SUM(L30:L33)</f>
        <v>153063.15</v>
      </c>
      <c r="M29" s="215">
        <f t="shared" si="7"/>
        <v>160199.88999999998</v>
      </c>
      <c r="N29" s="108">
        <f t="shared" si="7"/>
        <v>160815.16</v>
      </c>
      <c r="O29" s="108">
        <f t="shared" si="7"/>
        <v>171399</v>
      </c>
      <c r="P29" s="108">
        <f t="shared" si="7"/>
        <v>192558</v>
      </c>
      <c r="Q29" s="108">
        <f t="shared" si="7"/>
        <v>0</v>
      </c>
      <c r="R29" s="108">
        <f t="shared" si="7"/>
        <v>0</v>
      </c>
      <c r="S29" s="68">
        <f t="shared" si="7"/>
        <v>192558</v>
      </c>
    </row>
    <row r="30" spans="1:19" ht="12.75">
      <c r="A30" s="664"/>
      <c r="B30" s="230">
        <v>610</v>
      </c>
      <c r="C30" s="41" t="s">
        <v>291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1">
        <v>89012</v>
      </c>
      <c r="J30" s="42">
        <v>92984</v>
      </c>
      <c r="K30" s="42">
        <v>93001</v>
      </c>
      <c r="L30" s="152">
        <v>93672.78</v>
      </c>
      <c r="M30" s="152">
        <v>102320.64</v>
      </c>
      <c r="N30" s="94">
        <v>102319.48</v>
      </c>
      <c r="O30" s="94">
        <v>105516</v>
      </c>
      <c r="P30" s="94">
        <v>118871</v>
      </c>
      <c r="Q30" s="623"/>
      <c r="R30" s="543"/>
      <c r="S30" s="544">
        <f>P30+Q30+R30</f>
        <v>118871</v>
      </c>
    </row>
    <row r="31" spans="1:19" ht="12.75">
      <c r="A31" s="665"/>
      <c r="B31" s="231">
        <v>620</v>
      </c>
      <c r="C31" s="43" t="s">
        <v>292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3">
        <v>32877</v>
      </c>
      <c r="J31" s="44">
        <v>34488</v>
      </c>
      <c r="K31" s="44">
        <v>34548</v>
      </c>
      <c r="L31" s="115">
        <v>37213.83</v>
      </c>
      <c r="M31" s="115">
        <v>35543.37</v>
      </c>
      <c r="N31" s="26">
        <v>37856.52</v>
      </c>
      <c r="O31" s="26">
        <v>39083</v>
      </c>
      <c r="P31" s="26">
        <v>43787</v>
      </c>
      <c r="Q31" s="624"/>
      <c r="R31" s="545"/>
      <c r="S31" s="546">
        <f>P31+Q31+R31</f>
        <v>43787</v>
      </c>
    </row>
    <row r="32" spans="1:19" ht="12.75">
      <c r="A32" s="665"/>
      <c r="B32" s="231">
        <v>630</v>
      </c>
      <c r="C32" s="43" t="s">
        <v>293</v>
      </c>
      <c r="D32" s="242"/>
      <c r="E32" s="242">
        <v>16597</v>
      </c>
      <c r="F32" s="242">
        <v>21078</v>
      </c>
      <c r="G32" s="242">
        <v>23021</v>
      </c>
      <c r="H32" s="242">
        <f>22134+18</f>
        <v>22152</v>
      </c>
      <c r="I32" s="43">
        <v>19565</v>
      </c>
      <c r="J32" s="44">
        <v>22824</v>
      </c>
      <c r="K32" s="44">
        <v>25787</v>
      </c>
      <c r="L32" s="115">
        <v>22014.74</v>
      </c>
      <c r="M32" s="115">
        <v>22171.17</v>
      </c>
      <c r="N32" s="26">
        <v>20256.81</v>
      </c>
      <c r="O32" s="26">
        <v>26800</v>
      </c>
      <c r="P32" s="26">
        <v>29900</v>
      </c>
      <c r="Q32" s="624"/>
      <c r="R32" s="545"/>
      <c r="S32" s="546">
        <f>P32+Q32+R32</f>
        <v>29900</v>
      </c>
    </row>
    <row r="33" spans="1:19" ht="13.5" thickBot="1">
      <c r="A33" s="666"/>
      <c r="B33" s="231">
        <v>650</v>
      </c>
      <c r="C33" s="43" t="s">
        <v>309</v>
      </c>
      <c r="D33" s="239"/>
      <c r="E33" s="239"/>
      <c r="F33" s="239"/>
      <c r="G33" s="239"/>
      <c r="H33" s="239"/>
      <c r="I33" s="146"/>
      <c r="J33" s="146"/>
      <c r="K33" s="243"/>
      <c r="L33" s="117">
        <v>161.8</v>
      </c>
      <c r="M33" s="117">
        <v>164.71</v>
      </c>
      <c r="N33" s="70">
        <v>382.35</v>
      </c>
      <c r="O33" s="70"/>
      <c r="P33" s="117"/>
      <c r="Q33" s="579"/>
      <c r="R33" s="549"/>
      <c r="S33" s="550">
        <f>P33+Q33+R33</f>
        <v>0</v>
      </c>
    </row>
    <row r="34" spans="1:19" ht="15.75" thickBot="1">
      <c r="A34" s="213" t="s">
        <v>310</v>
      </c>
      <c r="B34" s="689" t="s">
        <v>311</v>
      </c>
      <c r="C34" s="705"/>
      <c r="D34" s="235">
        <f>D35</f>
        <v>1328</v>
      </c>
      <c r="E34" s="235">
        <f>E35</f>
        <v>332</v>
      </c>
      <c r="F34" s="235">
        <f>F35</f>
        <v>797</v>
      </c>
      <c r="G34" s="235">
        <f>G35</f>
        <v>3524</v>
      </c>
      <c r="H34" s="235">
        <f>H35</f>
        <v>112</v>
      </c>
      <c r="I34" s="67">
        <f aca="true" t="shared" si="8" ref="I34:S34">I35</f>
        <v>600</v>
      </c>
      <c r="J34" s="67">
        <f t="shared" si="8"/>
        <v>1028</v>
      </c>
      <c r="K34" s="67">
        <f t="shared" si="8"/>
        <v>1230</v>
      </c>
      <c r="L34" s="215">
        <f t="shared" si="8"/>
        <v>600</v>
      </c>
      <c r="M34" s="215">
        <f t="shared" si="8"/>
        <v>1048.67</v>
      </c>
      <c r="N34" s="108">
        <f t="shared" si="8"/>
        <v>1510.99</v>
      </c>
      <c r="O34" s="108">
        <f t="shared" si="8"/>
        <v>2000</v>
      </c>
      <c r="P34" s="108">
        <f t="shared" si="8"/>
        <v>2000</v>
      </c>
      <c r="Q34" s="108">
        <f t="shared" si="8"/>
        <v>0</v>
      </c>
      <c r="R34" s="108">
        <f t="shared" si="8"/>
        <v>0</v>
      </c>
      <c r="S34" s="68">
        <f t="shared" si="8"/>
        <v>2000</v>
      </c>
    </row>
    <row r="35" spans="1:19" ht="13.5" thickBot="1">
      <c r="A35" s="240"/>
      <c r="B35" s="244"/>
      <c r="C35" s="245" t="s">
        <v>312</v>
      </c>
      <c r="D35" s="246">
        <v>1328</v>
      </c>
      <c r="E35" s="246">
        <v>332</v>
      </c>
      <c r="F35" s="246">
        <v>797</v>
      </c>
      <c r="G35" s="246">
        <v>3524</v>
      </c>
      <c r="H35" s="246">
        <v>112</v>
      </c>
      <c r="I35" s="116">
        <v>600</v>
      </c>
      <c r="J35" s="116">
        <v>1028</v>
      </c>
      <c r="K35" s="83">
        <v>1230</v>
      </c>
      <c r="L35" s="247">
        <v>600</v>
      </c>
      <c r="M35" s="247">
        <v>1048.67</v>
      </c>
      <c r="N35" s="12">
        <v>1510.99</v>
      </c>
      <c r="O35" s="12">
        <v>2000</v>
      </c>
      <c r="P35" s="12">
        <v>2000</v>
      </c>
      <c r="Q35" s="622"/>
      <c r="R35" s="554"/>
      <c r="S35" s="555">
        <f>P35+Q35+R35</f>
        <v>2000</v>
      </c>
    </row>
    <row r="36" spans="1:19" ht="15.75" thickBot="1">
      <c r="A36" s="249" t="s">
        <v>313</v>
      </c>
      <c r="B36" s="689" t="s">
        <v>314</v>
      </c>
      <c r="C36" s="705"/>
      <c r="D36" s="214">
        <v>64894</v>
      </c>
      <c r="E36" s="214">
        <v>59384</v>
      </c>
      <c r="F36" s="214">
        <v>62471</v>
      </c>
      <c r="G36" s="214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 aca="true" t="shared" si="9" ref="K36:S36">SUM(K37:K40)</f>
        <v>45604</v>
      </c>
      <c r="L36" s="250">
        <f t="shared" si="9"/>
        <v>70768.37</v>
      </c>
      <c r="M36" s="250">
        <f t="shared" si="9"/>
        <v>57765.42</v>
      </c>
      <c r="N36" s="457">
        <f t="shared" si="9"/>
        <v>67218.58</v>
      </c>
      <c r="O36" s="457">
        <f t="shared" si="9"/>
        <v>58912</v>
      </c>
      <c r="P36" s="457">
        <f t="shared" si="9"/>
        <v>57508</v>
      </c>
      <c r="Q36" s="457">
        <f t="shared" si="9"/>
        <v>0</v>
      </c>
      <c r="R36" s="457">
        <f t="shared" si="9"/>
        <v>0</v>
      </c>
      <c r="S36" s="475">
        <f t="shared" si="9"/>
        <v>57508</v>
      </c>
    </row>
    <row r="37" spans="1:19" ht="12.75">
      <c r="A37" s="664"/>
      <c r="B37" s="230">
        <v>610</v>
      </c>
      <c r="C37" s="41" t="s">
        <v>291</v>
      </c>
      <c r="D37" s="159"/>
      <c r="E37" s="159"/>
      <c r="F37" s="159"/>
      <c r="G37" s="159"/>
      <c r="H37" s="159">
        <v>19662</v>
      </c>
      <c r="I37" s="41">
        <v>20165</v>
      </c>
      <c r="J37" s="42">
        <v>21683</v>
      </c>
      <c r="K37" s="42">
        <v>23558</v>
      </c>
      <c r="L37" s="204">
        <v>34957.48</v>
      </c>
      <c r="M37" s="204">
        <v>28518.63</v>
      </c>
      <c r="N37" s="94">
        <v>34041.99</v>
      </c>
      <c r="O37" s="94">
        <v>28648</v>
      </c>
      <c r="P37" s="94">
        <v>27794</v>
      </c>
      <c r="Q37" s="592"/>
      <c r="R37" s="587"/>
      <c r="S37" s="588">
        <f>P37+Q37+R37</f>
        <v>27794</v>
      </c>
    </row>
    <row r="38" spans="1:19" ht="12.75">
      <c r="A38" s="665"/>
      <c r="B38" s="231">
        <v>620</v>
      </c>
      <c r="C38" s="43" t="s">
        <v>292</v>
      </c>
      <c r="D38" s="242"/>
      <c r="E38" s="242"/>
      <c r="F38" s="242"/>
      <c r="G38" s="242"/>
      <c r="H38" s="242">
        <v>6810</v>
      </c>
      <c r="I38" s="43">
        <v>7285</v>
      </c>
      <c r="J38" s="44">
        <v>7713</v>
      </c>
      <c r="K38" s="44">
        <v>8188</v>
      </c>
      <c r="L38" s="206">
        <v>13167.56</v>
      </c>
      <c r="M38" s="206">
        <v>9242.21</v>
      </c>
      <c r="N38" s="26">
        <v>11670.69</v>
      </c>
      <c r="O38" s="26">
        <v>10264</v>
      </c>
      <c r="P38" s="26">
        <v>9714</v>
      </c>
      <c r="Q38" s="624"/>
      <c r="R38" s="545"/>
      <c r="S38" s="546">
        <f>P38+Q38+R38</f>
        <v>9714</v>
      </c>
    </row>
    <row r="39" spans="1:19" ht="12.75">
      <c r="A39" s="665"/>
      <c r="B39" s="231">
        <v>630</v>
      </c>
      <c r="C39" s="43" t="s">
        <v>293</v>
      </c>
      <c r="D39" s="242"/>
      <c r="E39" s="242"/>
      <c r="F39" s="242"/>
      <c r="G39" s="242"/>
      <c r="H39" s="242">
        <v>16570</v>
      </c>
      <c r="I39" s="43">
        <v>15543</v>
      </c>
      <c r="J39" s="44">
        <v>16501</v>
      </c>
      <c r="K39" s="44">
        <v>13727</v>
      </c>
      <c r="L39" s="206">
        <v>20379.17</v>
      </c>
      <c r="M39" s="206">
        <v>19888.42</v>
      </c>
      <c r="N39" s="26">
        <v>21248.55</v>
      </c>
      <c r="O39" s="26">
        <v>20000</v>
      </c>
      <c r="P39" s="26">
        <v>20000</v>
      </c>
      <c r="Q39" s="624"/>
      <c r="R39" s="545"/>
      <c r="S39" s="546">
        <f>P39+Q39+R39</f>
        <v>20000</v>
      </c>
    </row>
    <row r="40" spans="1:19" ht="13.5" thickBot="1">
      <c r="A40" s="666"/>
      <c r="B40" s="251">
        <v>640</v>
      </c>
      <c r="C40" s="261"/>
      <c r="D40" s="262"/>
      <c r="E40" s="262"/>
      <c r="F40" s="262"/>
      <c r="G40" s="262"/>
      <c r="H40" s="262"/>
      <c r="I40" s="116"/>
      <c r="J40" s="60"/>
      <c r="K40" s="60">
        <v>131</v>
      </c>
      <c r="L40" s="212">
        <v>2264.16</v>
      </c>
      <c r="M40" s="212">
        <v>116.16</v>
      </c>
      <c r="N40" s="77">
        <v>257.35</v>
      </c>
      <c r="O40" s="77"/>
      <c r="P40" s="77"/>
      <c r="Q40" s="608"/>
      <c r="R40" s="589"/>
      <c r="S40" s="590">
        <f>P40+Q40+R40</f>
        <v>0</v>
      </c>
    </row>
    <row r="41" spans="1:19" ht="15.75" thickBot="1">
      <c r="A41" s="213" t="s">
        <v>315</v>
      </c>
      <c r="B41" s="689" t="s">
        <v>316</v>
      </c>
      <c r="C41" s="705"/>
      <c r="D41" s="235">
        <f>D42</f>
        <v>0</v>
      </c>
      <c r="E41" s="235">
        <f>E42</f>
        <v>0</v>
      </c>
      <c r="F41" s="235">
        <f>F42</f>
        <v>0</v>
      </c>
      <c r="G41" s="235">
        <f>G42</f>
        <v>66</v>
      </c>
      <c r="H41" s="235">
        <f>H42</f>
        <v>175</v>
      </c>
      <c r="I41" s="67">
        <f aca="true" t="shared" si="10" ref="I41:S41">I42</f>
        <v>269</v>
      </c>
      <c r="J41" s="67">
        <f t="shared" si="10"/>
        <v>182</v>
      </c>
      <c r="K41" s="67">
        <f t="shared" si="10"/>
        <v>104</v>
      </c>
      <c r="L41" s="215">
        <f t="shared" si="10"/>
        <v>169.4</v>
      </c>
      <c r="M41" s="215">
        <f t="shared" si="10"/>
        <v>87.6</v>
      </c>
      <c r="N41" s="108">
        <f t="shared" si="10"/>
        <v>40.1</v>
      </c>
      <c r="O41" s="108">
        <f t="shared" si="10"/>
        <v>200</v>
      </c>
      <c r="P41" s="108">
        <f t="shared" si="10"/>
        <v>200</v>
      </c>
      <c r="Q41" s="108">
        <f t="shared" si="10"/>
        <v>0</v>
      </c>
      <c r="R41" s="108">
        <f t="shared" si="10"/>
        <v>0</v>
      </c>
      <c r="S41" s="68">
        <f t="shared" si="10"/>
        <v>200</v>
      </c>
    </row>
    <row r="42" spans="1:19" ht="13.5" thickBot="1">
      <c r="A42" s="310"/>
      <c r="B42" s="311">
        <v>640</v>
      </c>
      <c r="C42" s="75" t="s">
        <v>317</v>
      </c>
      <c r="D42" s="609"/>
      <c r="E42" s="609"/>
      <c r="F42" s="609"/>
      <c r="G42" s="609">
        <v>66</v>
      </c>
      <c r="H42" s="609">
        <v>175</v>
      </c>
      <c r="I42" s="75">
        <v>269</v>
      </c>
      <c r="J42" s="75">
        <v>182</v>
      </c>
      <c r="K42" s="75">
        <v>104</v>
      </c>
      <c r="L42" s="610">
        <v>169.4</v>
      </c>
      <c r="M42" s="247">
        <v>87.6</v>
      </c>
      <c r="N42" s="12">
        <v>40.1</v>
      </c>
      <c r="O42" s="12">
        <v>200</v>
      </c>
      <c r="P42" s="12">
        <v>200</v>
      </c>
      <c r="Q42" s="622"/>
      <c r="R42" s="554">
        <v>0</v>
      </c>
      <c r="S42" s="555">
        <f>P42+Q42+R42</f>
        <v>200</v>
      </c>
    </row>
    <row r="43" spans="1:19" ht="15.75" thickBot="1">
      <c r="A43" s="213" t="s">
        <v>84</v>
      </c>
      <c r="B43" s="689" t="s">
        <v>87</v>
      </c>
      <c r="C43" s="705"/>
      <c r="D43" s="214">
        <v>29310</v>
      </c>
      <c r="E43" s="214">
        <v>30173</v>
      </c>
      <c r="F43" s="214">
        <v>33061</v>
      </c>
      <c r="G43" s="214">
        <v>31215</v>
      </c>
      <c r="H43" s="14">
        <f aca="true" t="shared" si="11" ref="H43:M43">SUM(H44:H46)</f>
        <v>30188</v>
      </c>
      <c r="I43" s="14">
        <f t="shared" si="11"/>
        <v>30251</v>
      </c>
      <c r="J43" s="14">
        <f t="shared" si="11"/>
        <v>29902</v>
      </c>
      <c r="K43" s="14">
        <f t="shared" si="11"/>
        <v>27922</v>
      </c>
      <c r="L43" s="14">
        <f t="shared" si="11"/>
        <v>26736.059999999998</v>
      </c>
      <c r="M43" s="250">
        <f t="shared" si="11"/>
        <v>31580.040000000005</v>
      </c>
      <c r="N43" s="457">
        <f>SUM(N44:N46)</f>
        <v>36470.850000000006</v>
      </c>
      <c r="O43" s="457">
        <f>SUM(O44:O47)</f>
        <v>50818</v>
      </c>
      <c r="P43" s="457">
        <f>SUM(P44:P47)</f>
        <v>41563</v>
      </c>
      <c r="Q43" s="457">
        <f>SUM(Q44:Q47)</f>
        <v>0</v>
      </c>
      <c r="R43" s="457">
        <f>SUM(R44:R47)</f>
        <v>0</v>
      </c>
      <c r="S43" s="475">
        <f>SUM(S44:S47)</f>
        <v>41563</v>
      </c>
    </row>
    <row r="44" spans="1:19" ht="12.75">
      <c r="A44" s="664"/>
      <c r="B44" s="203">
        <v>610</v>
      </c>
      <c r="C44" s="41" t="s">
        <v>291</v>
      </c>
      <c r="D44" s="159"/>
      <c r="E44" s="159">
        <v>17128</v>
      </c>
      <c r="F44" s="159">
        <v>19186</v>
      </c>
      <c r="G44" s="159">
        <v>18647</v>
      </c>
      <c r="H44" s="159">
        <v>19330</v>
      </c>
      <c r="I44" s="41">
        <v>19430</v>
      </c>
      <c r="J44" s="42">
        <v>19249</v>
      </c>
      <c r="K44" s="42">
        <v>18860</v>
      </c>
      <c r="L44" s="152">
        <v>17749.95</v>
      </c>
      <c r="M44" s="152">
        <v>21482.58</v>
      </c>
      <c r="N44" s="94">
        <v>23137.49</v>
      </c>
      <c r="O44" s="94">
        <v>25949</v>
      </c>
      <c r="P44" s="94">
        <v>28590</v>
      </c>
      <c r="Q44" s="592"/>
      <c r="R44" s="587"/>
      <c r="S44" s="588">
        <f>P44+Q44+R44</f>
        <v>28590</v>
      </c>
    </row>
    <row r="45" spans="1:19" ht="12.75">
      <c r="A45" s="665"/>
      <c r="B45" s="205">
        <v>620</v>
      </c>
      <c r="C45" s="43" t="s">
        <v>292</v>
      </c>
      <c r="D45" s="242"/>
      <c r="E45" s="242">
        <v>6174</v>
      </c>
      <c r="F45" s="242">
        <v>6440</v>
      </c>
      <c r="G45" s="242">
        <v>6250</v>
      </c>
      <c r="H45" s="242">
        <v>6780</v>
      </c>
      <c r="I45" s="43">
        <v>6793</v>
      </c>
      <c r="J45" s="44">
        <v>6741</v>
      </c>
      <c r="K45" s="44">
        <v>6528</v>
      </c>
      <c r="L45" s="115">
        <v>6227.83</v>
      </c>
      <c r="M45" s="115">
        <v>7544.26</v>
      </c>
      <c r="N45" s="26">
        <v>8118.17</v>
      </c>
      <c r="O45" s="26">
        <v>9069</v>
      </c>
      <c r="P45" s="26">
        <v>10173</v>
      </c>
      <c r="Q45" s="624"/>
      <c r="R45" s="545"/>
      <c r="S45" s="546">
        <f>P45+Q45+R45</f>
        <v>10173</v>
      </c>
    </row>
    <row r="46" spans="1:19" ht="12.75">
      <c r="A46" s="665"/>
      <c r="B46" s="205">
        <v>630</v>
      </c>
      <c r="C46" s="43" t="s">
        <v>293</v>
      </c>
      <c r="D46" s="242"/>
      <c r="E46" s="242">
        <v>6871</v>
      </c>
      <c r="F46" s="242">
        <v>7435</v>
      </c>
      <c r="G46" s="242">
        <v>6318</v>
      </c>
      <c r="H46" s="242">
        <v>4078</v>
      </c>
      <c r="I46" s="43">
        <v>4028</v>
      </c>
      <c r="J46" s="44">
        <v>3912</v>
      </c>
      <c r="K46" s="44">
        <f>27588-25054</f>
        <v>2534</v>
      </c>
      <c r="L46" s="115">
        <v>2758.28</v>
      </c>
      <c r="M46" s="115">
        <v>2553.2</v>
      </c>
      <c r="N46" s="26">
        <v>5215.19</v>
      </c>
      <c r="O46" s="26">
        <v>2800</v>
      </c>
      <c r="P46" s="26">
        <v>2800</v>
      </c>
      <c r="Q46" s="624"/>
      <c r="R46" s="545"/>
      <c r="S46" s="546">
        <f>P46+Q46+R46</f>
        <v>2800</v>
      </c>
    </row>
    <row r="47" spans="1:19" ht="13.5" thickBot="1">
      <c r="A47" s="666"/>
      <c r="B47" s="326">
        <v>630</v>
      </c>
      <c r="C47" s="46" t="s">
        <v>402</v>
      </c>
      <c r="D47" s="154"/>
      <c r="E47" s="154"/>
      <c r="F47" s="154"/>
      <c r="G47" s="154"/>
      <c r="H47" s="154"/>
      <c r="I47" s="46"/>
      <c r="J47" s="60"/>
      <c r="K47" s="60"/>
      <c r="L47" s="302"/>
      <c r="M47" s="302"/>
      <c r="N47" s="48"/>
      <c r="O47" s="48">
        <v>13000</v>
      </c>
      <c r="P47" s="48"/>
      <c r="Q47" s="608"/>
      <c r="R47" s="589"/>
      <c r="S47" s="590">
        <f>P47+Q47+R47</f>
        <v>0</v>
      </c>
    </row>
    <row r="48" spans="1:19" ht="15.75" thickBot="1">
      <c r="A48" s="213" t="s">
        <v>254</v>
      </c>
      <c r="B48" s="689" t="s">
        <v>256</v>
      </c>
      <c r="C48" s="705"/>
      <c r="D48" s="235">
        <v>13278</v>
      </c>
      <c r="E48" s="235">
        <v>366029</v>
      </c>
      <c r="F48" s="235">
        <v>277733</v>
      </c>
      <c r="G48" s="235">
        <v>398013</v>
      </c>
      <c r="H48" s="235">
        <v>368170</v>
      </c>
      <c r="I48" s="67">
        <f aca="true" t="shared" si="12" ref="I48:S48">SUM(I49:I53)</f>
        <v>294633</v>
      </c>
      <c r="J48" s="67">
        <f t="shared" si="12"/>
        <v>216960</v>
      </c>
      <c r="K48" s="67">
        <f t="shared" si="12"/>
        <v>236599</v>
      </c>
      <c r="L48" s="215">
        <f t="shared" si="12"/>
        <v>216987.18</v>
      </c>
      <c r="M48" s="215">
        <f t="shared" si="12"/>
        <v>226497.02000000002</v>
      </c>
      <c r="N48" s="108">
        <f t="shared" si="12"/>
        <v>249510.29</v>
      </c>
      <c r="O48" s="108">
        <f t="shared" si="12"/>
        <v>271417</v>
      </c>
      <c r="P48" s="108">
        <f t="shared" si="12"/>
        <v>360000</v>
      </c>
      <c r="Q48" s="108">
        <f t="shared" si="12"/>
        <v>5000</v>
      </c>
      <c r="R48" s="108">
        <f t="shared" si="12"/>
        <v>0</v>
      </c>
      <c r="S48" s="68">
        <f t="shared" si="12"/>
        <v>365000</v>
      </c>
    </row>
    <row r="49" spans="1:19" ht="12.75">
      <c r="A49" s="713"/>
      <c r="B49" s="257">
        <v>640</v>
      </c>
      <c r="C49" s="254" t="s">
        <v>318</v>
      </c>
      <c r="D49" s="255"/>
      <c r="E49" s="255"/>
      <c r="F49" s="255"/>
      <c r="G49" s="255"/>
      <c r="H49" s="255">
        <v>307476</v>
      </c>
      <c r="I49" s="256">
        <v>234550</v>
      </c>
      <c r="J49" s="42">
        <v>150070</v>
      </c>
      <c r="K49" s="42">
        <v>167336</v>
      </c>
      <c r="L49" s="204">
        <v>148104</v>
      </c>
      <c r="M49" s="218">
        <v>157211</v>
      </c>
      <c r="N49" s="144">
        <v>183945</v>
      </c>
      <c r="O49" s="144">
        <f>167334+28183</f>
        <v>195517</v>
      </c>
      <c r="P49" s="144">
        <v>263000</v>
      </c>
      <c r="Q49" s="623"/>
      <c r="R49" s="543"/>
      <c r="S49" s="544">
        <f>P49+Q49+R49</f>
        <v>263000</v>
      </c>
    </row>
    <row r="50" spans="1:19" ht="12.75" hidden="1">
      <c r="A50" s="717"/>
      <c r="B50" s="257">
        <v>640</v>
      </c>
      <c r="C50" s="258" t="s">
        <v>409</v>
      </c>
      <c r="D50" s="259"/>
      <c r="E50" s="259"/>
      <c r="F50" s="259"/>
      <c r="G50" s="259"/>
      <c r="H50" s="259"/>
      <c r="I50" s="260"/>
      <c r="J50" s="57"/>
      <c r="K50" s="57"/>
      <c r="L50" s="119"/>
      <c r="M50" s="132"/>
      <c r="N50" s="21"/>
      <c r="O50" s="21"/>
      <c r="P50" s="21">
        <v>0</v>
      </c>
      <c r="Q50" s="623"/>
      <c r="R50" s="543"/>
      <c r="S50" s="544">
        <f>P50+Q50+R50</f>
        <v>0</v>
      </c>
    </row>
    <row r="51" spans="1:19" ht="12.75">
      <c r="A51" s="717"/>
      <c r="B51" s="257">
        <v>630</v>
      </c>
      <c r="C51" s="258" t="s">
        <v>255</v>
      </c>
      <c r="D51" s="259"/>
      <c r="E51" s="259"/>
      <c r="F51" s="259"/>
      <c r="G51" s="259"/>
      <c r="H51" s="259">
        <v>9596</v>
      </c>
      <c r="I51" s="260">
        <v>3094</v>
      </c>
      <c r="J51" s="44">
        <v>2060</v>
      </c>
      <c r="K51" s="44">
        <v>1011</v>
      </c>
      <c r="L51" s="119">
        <v>1770</v>
      </c>
      <c r="M51" s="132">
        <v>1790</v>
      </c>
      <c r="N51" s="21">
        <v>1340</v>
      </c>
      <c r="O51" s="21">
        <v>10900</v>
      </c>
      <c r="P51" s="21">
        <v>2000</v>
      </c>
      <c r="Q51" s="624"/>
      <c r="R51" s="545"/>
      <c r="S51" s="546">
        <f>P51+Q51+R51</f>
        <v>2000</v>
      </c>
    </row>
    <row r="52" spans="1:19" ht="12.75">
      <c r="A52" s="717"/>
      <c r="B52" s="257">
        <v>630</v>
      </c>
      <c r="C52" s="258" t="s">
        <v>452</v>
      </c>
      <c r="D52" s="259"/>
      <c r="E52" s="259"/>
      <c r="F52" s="259"/>
      <c r="G52" s="259"/>
      <c r="H52" s="259"/>
      <c r="I52" s="260"/>
      <c r="J52" s="44"/>
      <c r="K52" s="44"/>
      <c r="L52" s="119"/>
      <c r="M52" s="132"/>
      <c r="N52" s="21">
        <v>0</v>
      </c>
      <c r="O52" s="21"/>
      <c r="P52" s="21">
        <v>30000</v>
      </c>
      <c r="Q52" s="624"/>
      <c r="R52" s="545"/>
      <c r="S52" s="546">
        <f>P52+Q52+R52</f>
        <v>30000</v>
      </c>
    </row>
    <row r="53" spans="1:19" ht="13.5" thickBot="1">
      <c r="A53" s="714"/>
      <c r="B53" s="233">
        <v>640</v>
      </c>
      <c r="C53" s="261" t="s">
        <v>319</v>
      </c>
      <c r="D53" s="262"/>
      <c r="E53" s="262"/>
      <c r="F53" s="262"/>
      <c r="G53" s="262"/>
      <c r="H53" s="262">
        <v>49953</v>
      </c>
      <c r="I53" s="263">
        <v>56989</v>
      </c>
      <c r="J53" s="60">
        <v>64830</v>
      </c>
      <c r="K53" s="60">
        <v>68252</v>
      </c>
      <c r="L53" s="212">
        <v>67113.18</v>
      </c>
      <c r="M53" s="264">
        <v>67496.02</v>
      </c>
      <c r="N53" s="84">
        <v>64225.29</v>
      </c>
      <c r="O53" s="84">
        <v>65000</v>
      </c>
      <c r="P53" s="84">
        <v>65000</v>
      </c>
      <c r="Q53" s="653">
        <v>5000</v>
      </c>
      <c r="R53" s="556"/>
      <c r="S53" s="551">
        <f>P53+Q53+R53</f>
        <v>70000</v>
      </c>
    </row>
    <row r="54" spans="1:19" ht="15.75" thickBot="1">
      <c r="A54" s="265" t="s">
        <v>94</v>
      </c>
      <c r="B54" s="726" t="s">
        <v>95</v>
      </c>
      <c r="C54" s="711"/>
      <c r="D54" s="267">
        <v>33426</v>
      </c>
      <c r="E54" s="267">
        <v>39800</v>
      </c>
      <c r="F54" s="267">
        <v>42953</v>
      </c>
      <c r="G54" s="267">
        <v>66506</v>
      </c>
      <c r="H54" s="267">
        <v>76065</v>
      </c>
      <c r="I54" s="79">
        <f>SUM(I59:I66)+I55</f>
        <v>59613</v>
      </c>
      <c r="J54" s="79">
        <f>SUM(J59:J66)+J55</f>
        <v>58168</v>
      </c>
      <c r="K54" s="79">
        <f>SUM(K59:K66)+K55</f>
        <v>57293</v>
      </c>
      <c r="L54" s="79">
        <f aca="true" t="shared" si="13" ref="L54:S54">SUM(L59:L67)+L55</f>
        <v>53359.31</v>
      </c>
      <c r="M54" s="80">
        <f t="shared" si="13"/>
        <v>49261.270000000004</v>
      </c>
      <c r="N54" s="393">
        <f t="shared" si="13"/>
        <v>69492.78</v>
      </c>
      <c r="O54" s="393">
        <f t="shared" si="13"/>
        <v>104152</v>
      </c>
      <c r="P54" s="393">
        <f>SUM(P59:P67)+P55</f>
        <v>75286</v>
      </c>
      <c r="Q54" s="108">
        <f t="shared" si="13"/>
        <v>6606</v>
      </c>
      <c r="R54" s="108">
        <f t="shared" si="13"/>
        <v>0</v>
      </c>
      <c r="S54" s="68">
        <f t="shared" si="13"/>
        <v>81892</v>
      </c>
    </row>
    <row r="55" spans="1:19" ht="13.5" thickBot="1">
      <c r="A55" s="715"/>
      <c r="B55" s="747" t="s">
        <v>320</v>
      </c>
      <c r="C55" s="748"/>
      <c r="D55" s="268">
        <v>0</v>
      </c>
      <c r="E55" s="268">
        <v>13477</v>
      </c>
      <c r="F55" s="268">
        <v>15800</v>
      </c>
      <c r="G55" s="268">
        <v>26596</v>
      </c>
      <c r="H55" s="268">
        <v>25323</v>
      </c>
      <c r="I55" s="10">
        <f aca="true" t="shared" si="14" ref="I55:S55">SUM(I56:I58)</f>
        <v>25388</v>
      </c>
      <c r="J55" s="10">
        <f t="shared" si="14"/>
        <v>23577</v>
      </c>
      <c r="K55" s="10">
        <f t="shared" si="14"/>
        <v>25508</v>
      </c>
      <c r="L55" s="10">
        <f t="shared" si="14"/>
        <v>26966.809999999998</v>
      </c>
      <c r="M55" s="510">
        <f t="shared" si="14"/>
        <v>26493.65</v>
      </c>
      <c r="N55" s="12">
        <f t="shared" si="14"/>
        <v>11116.460000000001</v>
      </c>
      <c r="O55" s="12">
        <f t="shared" si="14"/>
        <v>21452</v>
      </c>
      <c r="P55" s="12">
        <f t="shared" si="14"/>
        <v>22786</v>
      </c>
      <c r="Q55" s="12">
        <f t="shared" si="14"/>
        <v>0</v>
      </c>
      <c r="R55" s="12">
        <f t="shared" si="14"/>
        <v>0</v>
      </c>
      <c r="S55" s="641">
        <f t="shared" si="14"/>
        <v>22786</v>
      </c>
    </row>
    <row r="56" spans="1:19" ht="12.75">
      <c r="A56" s="718"/>
      <c r="B56" s="269">
        <v>610</v>
      </c>
      <c r="C56" s="20" t="s">
        <v>291</v>
      </c>
      <c r="D56" s="89"/>
      <c r="E56" s="89"/>
      <c r="F56" s="89"/>
      <c r="G56" s="89"/>
      <c r="H56" s="89">
        <v>16865</v>
      </c>
      <c r="I56" s="20">
        <v>17260</v>
      </c>
      <c r="J56" s="42">
        <v>15432</v>
      </c>
      <c r="K56" s="42">
        <v>15427</v>
      </c>
      <c r="L56" s="22">
        <v>14767.98</v>
      </c>
      <c r="M56" s="132">
        <v>15800.44</v>
      </c>
      <c r="N56" s="21">
        <v>9158.78</v>
      </c>
      <c r="O56" s="21">
        <v>10152</v>
      </c>
      <c r="P56" s="22">
        <v>11141</v>
      </c>
      <c r="Q56" s="623"/>
      <c r="R56" s="543"/>
      <c r="S56" s="544">
        <f aca="true" t="shared" si="15" ref="S56:S64">P56+Q56+R56</f>
        <v>11141</v>
      </c>
    </row>
    <row r="57" spans="1:19" ht="12.75">
      <c r="A57" s="718"/>
      <c r="B57" s="269">
        <v>620</v>
      </c>
      <c r="C57" s="20" t="s">
        <v>292</v>
      </c>
      <c r="D57" s="89"/>
      <c r="E57" s="89"/>
      <c r="F57" s="89"/>
      <c r="G57" s="89"/>
      <c r="H57" s="89">
        <v>6017</v>
      </c>
      <c r="I57" s="20">
        <v>6225</v>
      </c>
      <c r="J57" s="44">
        <v>5547</v>
      </c>
      <c r="K57" s="44">
        <v>5746</v>
      </c>
      <c r="L57" s="22">
        <v>5836.68</v>
      </c>
      <c r="M57" s="132">
        <v>5402.44</v>
      </c>
      <c r="N57" s="21">
        <v>1957.68</v>
      </c>
      <c r="O57" s="21">
        <v>3800</v>
      </c>
      <c r="P57" s="22">
        <v>4145</v>
      </c>
      <c r="Q57" s="624"/>
      <c r="R57" s="545"/>
      <c r="S57" s="546">
        <f t="shared" si="15"/>
        <v>4145</v>
      </c>
    </row>
    <row r="58" spans="1:19" ht="13.5" thickBot="1">
      <c r="A58" s="718"/>
      <c r="B58" s="270">
        <v>630</v>
      </c>
      <c r="C58" s="82" t="s">
        <v>293</v>
      </c>
      <c r="D58" s="271"/>
      <c r="E58" s="271"/>
      <c r="F58" s="271"/>
      <c r="G58" s="271"/>
      <c r="H58" s="271">
        <v>2441</v>
      </c>
      <c r="I58" s="82">
        <v>1903</v>
      </c>
      <c r="J58" s="60">
        <v>2598</v>
      </c>
      <c r="K58" s="60">
        <v>4335</v>
      </c>
      <c r="L58" s="77">
        <v>6362.15</v>
      </c>
      <c r="M58" s="264">
        <v>5290.77</v>
      </c>
      <c r="N58" s="84"/>
      <c r="O58" s="84">
        <v>7500</v>
      </c>
      <c r="P58" s="48">
        <v>7500</v>
      </c>
      <c r="Q58" s="625"/>
      <c r="R58" s="557"/>
      <c r="S58" s="558">
        <f t="shared" si="15"/>
        <v>7500</v>
      </c>
    </row>
    <row r="59" spans="1:19" ht="12.75">
      <c r="A59" s="718"/>
      <c r="B59" s="269">
        <v>600</v>
      </c>
      <c r="C59" s="20" t="s">
        <v>321</v>
      </c>
      <c r="D59" s="89"/>
      <c r="E59" s="89"/>
      <c r="F59" s="89"/>
      <c r="G59" s="89"/>
      <c r="H59" s="89"/>
      <c r="I59" s="20">
        <v>9190</v>
      </c>
      <c r="J59" s="89">
        <v>6912</v>
      </c>
      <c r="K59" s="89">
        <v>9446</v>
      </c>
      <c r="L59" s="89">
        <v>4778.18</v>
      </c>
      <c r="M59" s="379">
        <v>8683.39</v>
      </c>
      <c r="N59" s="21">
        <v>34595.32</v>
      </c>
      <c r="O59" s="21">
        <v>48400</v>
      </c>
      <c r="P59" s="22">
        <v>21000</v>
      </c>
      <c r="Q59" s="651"/>
      <c r="R59" s="543"/>
      <c r="S59" s="544">
        <f t="shared" si="15"/>
        <v>21000</v>
      </c>
    </row>
    <row r="60" spans="1:19" ht="12.75" hidden="1">
      <c r="A60" s="718"/>
      <c r="B60" s="269">
        <v>600</v>
      </c>
      <c r="C60" s="20" t="s">
        <v>322</v>
      </c>
      <c r="D60" s="89"/>
      <c r="E60" s="89"/>
      <c r="F60" s="89"/>
      <c r="G60" s="89"/>
      <c r="H60" s="89"/>
      <c r="I60" s="20">
        <v>2000</v>
      </c>
      <c r="J60" s="89"/>
      <c r="K60" s="89"/>
      <c r="L60" s="89"/>
      <c r="M60" s="482"/>
      <c r="N60" s="21">
        <v>0</v>
      </c>
      <c r="O60" s="21"/>
      <c r="P60" s="26"/>
      <c r="Q60" s="652"/>
      <c r="R60" s="545"/>
      <c r="S60" s="546">
        <f t="shared" si="15"/>
        <v>0</v>
      </c>
    </row>
    <row r="61" spans="1:19" ht="12.75">
      <c r="A61" s="718"/>
      <c r="B61" s="269">
        <v>600</v>
      </c>
      <c r="C61" s="24" t="s">
        <v>323</v>
      </c>
      <c r="D61" s="91"/>
      <c r="E61" s="91"/>
      <c r="F61" s="91"/>
      <c r="G61" s="91"/>
      <c r="H61" s="91"/>
      <c r="I61" s="24">
        <v>10000</v>
      </c>
      <c r="J61" s="91">
        <v>1500</v>
      </c>
      <c r="K61" s="91">
        <v>370</v>
      </c>
      <c r="L61" s="91">
        <v>592.2</v>
      </c>
      <c r="M61" s="508">
        <v>1220</v>
      </c>
      <c r="N61" s="25">
        <v>0</v>
      </c>
      <c r="O61" s="25"/>
      <c r="P61" s="26">
        <v>4000</v>
      </c>
      <c r="Q61" s="652"/>
      <c r="R61" s="545"/>
      <c r="S61" s="546">
        <f t="shared" si="15"/>
        <v>4000</v>
      </c>
    </row>
    <row r="62" spans="1:19" ht="12.75">
      <c r="A62" s="718"/>
      <c r="B62" s="269">
        <v>600</v>
      </c>
      <c r="C62" s="24" t="s">
        <v>97</v>
      </c>
      <c r="D62" s="91"/>
      <c r="E62" s="91"/>
      <c r="F62" s="91"/>
      <c r="G62" s="91"/>
      <c r="H62" s="91"/>
      <c r="I62" s="24">
        <v>1871</v>
      </c>
      <c r="J62" s="91">
        <v>2416</v>
      </c>
      <c r="K62" s="91">
        <v>4274</v>
      </c>
      <c r="L62" s="91">
        <v>2000</v>
      </c>
      <c r="M62" s="508">
        <v>3500</v>
      </c>
      <c r="N62" s="25"/>
      <c r="O62" s="25">
        <v>7000</v>
      </c>
      <c r="P62" s="26"/>
      <c r="Q62" s="652">
        <f>6000-3850</f>
        <v>2150</v>
      </c>
      <c r="R62" s="545"/>
      <c r="S62" s="546">
        <f t="shared" si="15"/>
        <v>2150</v>
      </c>
    </row>
    <row r="63" spans="1:19" ht="12.75">
      <c r="A63" s="718"/>
      <c r="B63" s="269">
        <v>600</v>
      </c>
      <c r="C63" s="24" t="s">
        <v>324</v>
      </c>
      <c r="D63" s="91"/>
      <c r="E63" s="91"/>
      <c r="F63" s="91"/>
      <c r="G63" s="91"/>
      <c r="H63" s="91"/>
      <c r="I63" s="24">
        <v>3240</v>
      </c>
      <c r="J63" s="91">
        <v>832</v>
      </c>
      <c r="K63" s="91">
        <v>1493</v>
      </c>
      <c r="L63" s="91">
        <v>1232</v>
      </c>
      <c r="M63" s="508">
        <v>1000</v>
      </c>
      <c r="N63" s="25"/>
      <c r="O63" s="25">
        <v>1000</v>
      </c>
      <c r="P63" s="26">
        <v>1000</v>
      </c>
      <c r="Q63" s="652"/>
      <c r="R63" s="545"/>
      <c r="S63" s="546">
        <f t="shared" si="15"/>
        <v>1000</v>
      </c>
    </row>
    <row r="64" spans="1:19" ht="13.5" thickBot="1">
      <c r="A64" s="718"/>
      <c r="B64" s="269">
        <v>600</v>
      </c>
      <c r="C64" s="24" t="s">
        <v>257</v>
      </c>
      <c r="D64" s="91"/>
      <c r="E64" s="91"/>
      <c r="F64" s="91"/>
      <c r="G64" s="91"/>
      <c r="H64" s="91"/>
      <c r="I64" s="24">
        <v>7924</v>
      </c>
      <c r="J64" s="91">
        <v>11969</v>
      </c>
      <c r="K64" s="91">
        <v>11202</v>
      </c>
      <c r="L64" s="91">
        <v>15790.12</v>
      </c>
      <c r="M64" s="508">
        <v>6364.23</v>
      </c>
      <c r="N64" s="25">
        <v>23781</v>
      </c>
      <c r="O64" s="25">
        <v>26300</v>
      </c>
      <c r="P64" s="26">
        <v>26500</v>
      </c>
      <c r="Q64" s="652">
        <v>4456</v>
      </c>
      <c r="R64" s="545"/>
      <c r="S64" s="546">
        <f t="shared" si="15"/>
        <v>30956</v>
      </c>
    </row>
    <row r="65" spans="1:19" ht="13.5" hidden="1" thickBot="1">
      <c r="A65" s="718"/>
      <c r="B65" s="269">
        <v>600</v>
      </c>
      <c r="C65" s="24" t="s">
        <v>325</v>
      </c>
      <c r="D65" s="91"/>
      <c r="E65" s="91"/>
      <c r="F65" s="91"/>
      <c r="G65" s="91"/>
      <c r="H65" s="91"/>
      <c r="I65" s="24"/>
      <c r="J65" s="91">
        <v>4512</v>
      </c>
      <c r="K65" s="91">
        <v>5000</v>
      </c>
      <c r="L65" s="91"/>
      <c r="M65" s="272"/>
      <c r="N65" s="29">
        <v>0</v>
      </c>
      <c r="O65" s="29"/>
      <c r="P65" s="121"/>
      <c r="Q65" s="624">
        <v>0</v>
      </c>
      <c r="R65" s="547"/>
      <c r="S65" s="548"/>
    </row>
    <row r="66" spans="1:19" ht="13.5" hidden="1" thickBot="1">
      <c r="A66" s="718"/>
      <c r="B66" s="269">
        <v>600</v>
      </c>
      <c r="C66" s="273" t="s">
        <v>326</v>
      </c>
      <c r="D66" s="91"/>
      <c r="E66" s="91"/>
      <c r="F66" s="91"/>
      <c r="G66" s="91"/>
      <c r="H66" s="91"/>
      <c r="I66" s="24"/>
      <c r="J66" s="91">
        <v>6450</v>
      </c>
      <c r="K66" s="89"/>
      <c r="L66" s="91"/>
      <c r="M66" s="91"/>
      <c r="N66" s="25">
        <v>0</v>
      </c>
      <c r="O66" s="25"/>
      <c r="P66" s="121"/>
      <c r="Q66" s="624">
        <v>0</v>
      </c>
      <c r="R66" s="547"/>
      <c r="S66" s="548"/>
    </row>
    <row r="67" spans="1:19" ht="13.5" hidden="1" thickBot="1">
      <c r="A67" s="716"/>
      <c r="B67" s="274">
        <v>600</v>
      </c>
      <c r="C67" s="46" t="s">
        <v>327</v>
      </c>
      <c r="D67" s="243"/>
      <c r="E67" s="243"/>
      <c r="F67" s="243"/>
      <c r="G67" s="243"/>
      <c r="H67" s="243"/>
      <c r="I67" s="146"/>
      <c r="J67" s="146"/>
      <c r="K67" s="275"/>
      <c r="L67" s="275">
        <v>2000</v>
      </c>
      <c r="M67" s="276">
        <v>2000</v>
      </c>
      <c r="N67" s="277">
        <v>0</v>
      </c>
      <c r="O67" s="277"/>
      <c r="P67" s="630"/>
      <c r="Q67" s="579">
        <v>0</v>
      </c>
      <c r="R67" s="549"/>
      <c r="S67" s="550"/>
    </row>
    <row r="68" spans="1:19" ht="15.75" thickBot="1">
      <c r="A68" s="213" t="s">
        <v>328</v>
      </c>
      <c r="B68" s="689" t="s">
        <v>329</v>
      </c>
      <c r="C68" s="705"/>
      <c r="D68" s="214">
        <v>16132</v>
      </c>
      <c r="E68" s="214">
        <v>16995</v>
      </c>
      <c r="F68" s="214">
        <v>21045</v>
      </c>
      <c r="G68" s="214">
        <v>23225</v>
      </c>
      <c r="H68" s="214">
        <v>22830</v>
      </c>
      <c r="I68" s="278">
        <v>22296</v>
      </c>
      <c r="J68" s="278">
        <v>33352</v>
      </c>
      <c r="K68" s="67">
        <v>37492</v>
      </c>
      <c r="L68" s="215">
        <v>38137.74</v>
      </c>
      <c r="M68" s="511">
        <v>48253.93</v>
      </c>
      <c r="N68" s="108">
        <f aca="true" t="shared" si="16" ref="N68:S68">SUM(N69:N71)</f>
        <v>65222.28</v>
      </c>
      <c r="O68" s="108">
        <f t="shared" si="16"/>
        <v>77207</v>
      </c>
      <c r="P68" s="108">
        <f>SUM(P69:P71)</f>
        <v>81304</v>
      </c>
      <c r="Q68" s="108">
        <f t="shared" si="16"/>
        <v>0</v>
      </c>
      <c r="R68" s="108">
        <f t="shared" si="16"/>
        <v>0</v>
      </c>
      <c r="S68" s="68">
        <f t="shared" si="16"/>
        <v>81304</v>
      </c>
    </row>
    <row r="69" spans="1:19" ht="12.75">
      <c r="A69" s="715"/>
      <c r="B69" s="279" t="s">
        <v>330</v>
      </c>
      <c r="C69" s="131" t="s">
        <v>291</v>
      </c>
      <c r="D69" s="217"/>
      <c r="E69" s="217"/>
      <c r="F69" s="217"/>
      <c r="G69" s="217"/>
      <c r="H69" s="217"/>
      <c r="I69" s="131"/>
      <c r="J69" s="131"/>
      <c r="K69" s="87"/>
      <c r="L69" s="87"/>
      <c r="M69" s="21"/>
      <c r="N69" s="21">
        <v>65222.28</v>
      </c>
      <c r="O69" s="21">
        <v>56468</v>
      </c>
      <c r="P69" s="21">
        <v>59478</v>
      </c>
      <c r="Q69" s="623"/>
      <c r="R69" s="543"/>
      <c r="S69" s="544">
        <f>P69+Q69+R69</f>
        <v>59478</v>
      </c>
    </row>
    <row r="70" spans="1:19" ht="12.75">
      <c r="A70" s="718"/>
      <c r="B70" s="280" t="s">
        <v>330</v>
      </c>
      <c r="C70" s="24" t="s">
        <v>292</v>
      </c>
      <c r="D70" s="220"/>
      <c r="E70" s="220"/>
      <c r="F70" s="220"/>
      <c r="G70" s="220"/>
      <c r="H70" s="220"/>
      <c r="I70" s="24"/>
      <c r="J70" s="24"/>
      <c r="K70" s="91"/>
      <c r="L70" s="91"/>
      <c r="M70" s="25"/>
      <c r="N70" s="25"/>
      <c r="O70" s="25">
        <v>20739</v>
      </c>
      <c r="P70" s="25">
        <v>21826</v>
      </c>
      <c r="Q70" s="624"/>
      <c r="R70" s="545"/>
      <c r="S70" s="546">
        <f>P70+Q70+R70</f>
        <v>21826</v>
      </c>
    </row>
    <row r="71" spans="1:19" ht="13.5" thickBot="1">
      <c r="A71" s="716"/>
      <c r="B71" s="251">
        <v>600</v>
      </c>
      <c r="C71" s="46" t="s">
        <v>293</v>
      </c>
      <c r="D71" s="154"/>
      <c r="E71" s="154"/>
      <c r="F71" s="154"/>
      <c r="G71" s="154"/>
      <c r="H71" s="154"/>
      <c r="I71" s="46"/>
      <c r="J71" s="46"/>
      <c r="K71" s="60"/>
      <c r="L71" s="60"/>
      <c r="M71" s="48"/>
      <c r="N71" s="48"/>
      <c r="O71" s="48">
        <v>0</v>
      </c>
      <c r="P71" s="48">
        <v>0</v>
      </c>
      <c r="Q71" s="608"/>
      <c r="R71" s="589"/>
      <c r="S71" s="590">
        <f>P71+Q71+R71</f>
        <v>0</v>
      </c>
    </row>
    <row r="72" spans="1:19" ht="15.75" thickBot="1">
      <c r="A72" s="213" t="s">
        <v>91</v>
      </c>
      <c r="B72" s="719" t="s">
        <v>92</v>
      </c>
      <c r="C72" s="720"/>
      <c r="D72" s="214">
        <v>1016763</v>
      </c>
      <c r="E72" s="214">
        <v>271062</v>
      </c>
      <c r="F72" s="214">
        <v>471453</v>
      </c>
      <c r="G72" s="214">
        <v>456862</v>
      </c>
      <c r="H72" s="67">
        <f aca="true" t="shared" si="17" ref="H72:N72">SUM(H73:H76)</f>
        <v>440003</v>
      </c>
      <c r="I72" s="67">
        <f t="shared" si="17"/>
        <v>428961</v>
      </c>
      <c r="J72" s="67">
        <f t="shared" si="17"/>
        <v>454364</v>
      </c>
      <c r="K72" s="67">
        <f t="shared" si="17"/>
        <v>445324</v>
      </c>
      <c r="L72" s="215">
        <f>SUM(L73:L76)</f>
        <v>440667.17</v>
      </c>
      <c r="M72" s="215">
        <f t="shared" si="17"/>
        <v>406831.45</v>
      </c>
      <c r="N72" s="108">
        <f t="shared" si="17"/>
        <v>398077.16</v>
      </c>
      <c r="O72" s="108">
        <f>SUM(O73:O76)</f>
        <v>552293</v>
      </c>
      <c r="P72" s="108">
        <f>SUM(P73:P76)</f>
        <v>563468</v>
      </c>
      <c r="Q72" s="108">
        <f>SUM(Q73:Q76)</f>
        <v>0</v>
      </c>
      <c r="R72" s="108">
        <f>SUM(R73:R76)</f>
        <v>0</v>
      </c>
      <c r="S72" s="68">
        <f>SUM(S73:S76)</f>
        <v>563468</v>
      </c>
    </row>
    <row r="73" spans="1:19" ht="12.75">
      <c r="A73" s="713"/>
      <c r="B73" s="216">
        <v>630</v>
      </c>
      <c r="C73" s="281" t="s">
        <v>407</v>
      </c>
      <c r="D73" s="282"/>
      <c r="E73" s="282"/>
      <c r="F73" s="282"/>
      <c r="G73" s="282"/>
      <c r="H73" s="255">
        <v>4585</v>
      </c>
      <c r="I73" s="283">
        <v>1644</v>
      </c>
      <c r="J73" s="281"/>
      <c r="K73" s="87"/>
      <c r="L73" s="379"/>
      <c r="M73" s="132"/>
      <c r="N73" s="21"/>
      <c r="O73" s="21">
        <v>18568</v>
      </c>
      <c r="P73" s="21">
        <v>18568</v>
      </c>
      <c r="Q73" s="623"/>
      <c r="R73" s="559"/>
      <c r="S73" s="560">
        <f>P73+Q73+R73</f>
        <v>18568</v>
      </c>
    </row>
    <row r="74" spans="1:19" ht="12.75">
      <c r="A74" s="717"/>
      <c r="B74" s="280" t="s">
        <v>67</v>
      </c>
      <c r="C74" s="284" t="s">
        <v>331</v>
      </c>
      <c r="D74" s="285"/>
      <c r="E74" s="285"/>
      <c r="F74" s="285"/>
      <c r="G74" s="285"/>
      <c r="H74" s="228">
        <v>7659</v>
      </c>
      <c r="I74" s="286">
        <v>5301</v>
      </c>
      <c r="J74" s="228">
        <v>3974</v>
      </c>
      <c r="K74" s="287">
        <v>3974</v>
      </c>
      <c r="L74" s="165">
        <v>3974.17</v>
      </c>
      <c r="M74" s="135">
        <v>4974.02</v>
      </c>
      <c r="N74" s="25">
        <v>3974.17</v>
      </c>
      <c r="O74" s="25">
        <v>3900</v>
      </c>
      <c r="P74" s="25">
        <v>3900</v>
      </c>
      <c r="Q74" s="624"/>
      <c r="R74" s="545"/>
      <c r="S74" s="546">
        <f>P74+Q74+R74</f>
        <v>3900</v>
      </c>
    </row>
    <row r="75" spans="1:19" ht="12.75">
      <c r="A75" s="717"/>
      <c r="B75" s="280" t="s">
        <v>67</v>
      </c>
      <c r="C75" s="284" t="s">
        <v>406</v>
      </c>
      <c r="D75" s="574"/>
      <c r="E75" s="574"/>
      <c r="F75" s="574"/>
      <c r="G75" s="574"/>
      <c r="H75" s="575"/>
      <c r="I75" s="576"/>
      <c r="J75" s="575"/>
      <c r="K75" s="413"/>
      <c r="L75" s="577"/>
      <c r="M75" s="509"/>
      <c r="N75" s="29"/>
      <c r="O75" s="29">
        <v>49000</v>
      </c>
      <c r="P75" s="29">
        <v>49000</v>
      </c>
      <c r="Q75" s="624"/>
      <c r="R75" s="556"/>
      <c r="S75" s="551">
        <f>P75+Q75+R75</f>
        <v>49000</v>
      </c>
    </row>
    <row r="76" spans="1:19" ht="13.5" thickBot="1">
      <c r="A76" s="714"/>
      <c r="B76" s="221">
        <v>640</v>
      </c>
      <c r="C76" s="288" t="s">
        <v>332</v>
      </c>
      <c r="D76" s="60"/>
      <c r="E76" s="60"/>
      <c r="F76" s="60"/>
      <c r="G76" s="60"/>
      <c r="H76" s="154">
        <v>427759</v>
      </c>
      <c r="I76" s="289">
        <v>422016</v>
      </c>
      <c r="J76" s="154">
        <v>450390</v>
      </c>
      <c r="K76" s="290">
        <v>441350</v>
      </c>
      <c r="L76" s="155">
        <v>436693</v>
      </c>
      <c r="M76" s="512">
        <v>401857.43</v>
      </c>
      <c r="N76" s="277">
        <v>394102.99</v>
      </c>
      <c r="O76" s="277">
        <v>480825</v>
      </c>
      <c r="P76" s="277">
        <v>492000</v>
      </c>
      <c r="Q76" s="579"/>
      <c r="R76" s="556"/>
      <c r="S76" s="551">
        <f>P76+Q76+R76</f>
        <v>492000</v>
      </c>
    </row>
    <row r="77" spans="1:19" ht="15.75" hidden="1" thickBot="1">
      <c r="A77" s="291" t="s">
        <v>333</v>
      </c>
      <c r="B77" s="743" t="s">
        <v>253</v>
      </c>
      <c r="C77" s="744"/>
      <c r="D77" s="292"/>
      <c r="E77" s="292"/>
      <c r="F77" s="292"/>
      <c r="G77" s="292"/>
      <c r="H77" s="292"/>
      <c r="I77" s="293">
        <v>0</v>
      </c>
      <c r="J77" s="293">
        <v>0</v>
      </c>
      <c r="K77" s="294">
        <f>K78</f>
        <v>0</v>
      </c>
      <c r="L77" s="295"/>
      <c r="M77" s="294">
        <f>M78</f>
        <v>0</v>
      </c>
      <c r="N77" s="499"/>
      <c r="O77" s="499"/>
      <c r="P77" s="499">
        <v>0</v>
      </c>
      <c r="Q77" s="622">
        <v>0</v>
      </c>
      <c r="R77" s="561"/>
      <c r="S77" s="562"/>
    </row>
    <row r="78" spans="1:19" ht="15.75" hidden="1" thickBot="1">
      <c r="A78" s="232"/>
      <c r="B78" s="270">
        <v>630</v>
      </c>
      <c r="C78" s="296" t="s">
        <v>334</v>
      </c>
      <c r="D78" s="297"/>
      <c r="E78" s="297"/>
      <c r="F78" s="297"/>
      <c r="G78" s="297"/>
      <c r="H78" s="297"/>
      <c r="I78" s="298" t="s">
        <v>335</v>
      </c>
      <c r="J78" s="298" t="s">
        <v>335</v>
      </c>
      <c r="K78" s="271"/>
      <c r="L78" s="264"/>
      <c r="M78" s="84"/>
      <c r="N78" s="84"/>
      <c r="O78" s="84"/>
      <c r="P78" s="84"/>
      <c r="Q78" s="626">
        <v>0</v>
      </c>
      <c r="R78" s="563"/>
      <c r="S78" s="564"/>
    </row>
    <row r="79" spans="1:19" ht="15.75" thickBot="1">
      <c r="A79" s="265" t="s">
        <v>88</v>
      </c>
      <c r="B79" s="745" t="s">
        <v>336</v>
      </c>
      <c r="C79" s="746"/>
      <c r="D79" s="267">
        <v>11817</v>
      </c>
      <c r="E79" s="267">
        <v>11784</v>
      </c>
      <c r="F79" s="267">
        <v>12315</v>
      </c>
      <c r="G79" s="267">
        <v>20259</v>
      </c>
      <c r="H79" s="79">
        <f aca="true" t="shared" si="18" ref="H79:M79">SUM(H80:H83)</f>
        <v>14522</v>
      </c>
      <c r="I79" s="79">
        <f t="shared" si="18"/>
        <v>159820</v>
      </c>
      <c r="J79" s="79">
        <f t="shared" si="18"/>
        <v>64721</v>
      </c>
      <c r="K79" s="79">
        <f t="shared" si="18"/>
        <v>10450</v>
      </c>
      <c r="L79" s="80">
        <f t="shared" si="18"/>
        <v>10682.39</v>
      </c>
      <c r="M79" s="80">
        <f t="shared" si="18"/>
        <v>9819.23</v>
      </c>
      <c r="N79" s="393">
        <f aca="true" t="shared" si="19" ref="N79:S79">SUM(N80:N83)</f>
        <v>9873.75</v>
      </c>
      <c r="O79" s="393">
        <f t="shared" si="19"/>
        <v>11287</v>
      </c>
      <c r="P79" s="393">
        <f t="shared" si="19"/>
        <v>11563</v>
      </c>
      <c r="Q79" s="108">
        <f t="shared" si="19"/>
        <v>0</v>
      </c>
      <c r="R79" s="108">
        <f t="shared" si="19"/>
        <v>0</v>
      </c>
      <c r="S79" s="68">
        <f t="shared" si="19"/>
        <v>11563</v>
      </c>
    </row>
    <row r="80" spans="1:19" ht="12.75">
      <c r="A80" s="715"/>
      <c r="B80" s="230">
        <v>610</v>
      </c>
      <c r="C80" s="41" t="s">
        <v>291</v>
      </c>
      <c r="D80" s="159"/>
      <c r="E80" s="159">
        <v>7435</v>
      </c>
      <c r="F80" s="159">
        <v>7170</v>
      </c>
      <c r="G80" s="159">
        <v>13170</v>
      </c>
      <c r="H80" s="159">
        <v>9057</v>
      </c>
      <c r="I80" s="41">
        <v>7158</v>
      </c>
      <c r="J80" s="42">
        <v>7062</v>
      </c>
      <c r="K80" s="42">
        <v>6902</v>
      </c>
      <c r="L80" s="152">
        <v>7013.99</v>
      </c>
      <c r="M80" s="152">
        <v>6670.5</v>
      </c>
      <c r="N80" s="94">
        <v>6756.74</v>
      </c>
      <c r="O80" s="94">
        <v>7623</v>
      </c>
      <c r="P80" s="94">
        <v>7826</v>
      </c>
      <c r="Q80" s="623"/>
      <c r="R80" s="543"/>
      <c r="S80" s="544">
        <f>P80+Q80+R80</f>
        <v>7826</v>
      </c>
    </row>
    <row r="81" spans="1:19" ht="12.75">
      <c r="A81" s="718"/>
      <c r="B81" s="231">
        <v>620</v>
      </c>
      <c r="C81" s="43" t="s">
        <v>292</v>
      </c>
      <c r="D81" s="242"/>
      <c r="E81" s="242">
        <v>2722</v>
      </c>
      <c r="F81" s="242">
        <v>2589</v>
      </c>
      <c r="G81" s="242">
        <v>4447</v>
      </c>
      <c r="H81" s="242">
        <v>3981</v>
      </c>
      <c r="I81" s="43">
        <v>2874</v>
      </c>
      <c r="J81" s="44">
        <v>2706</v>
      </c>
      <c r="K81" s="44">
        <v>2594</v>
      </c>
      <c r="L81" s="115">
        <v>2904.51</v>
      </c>
      <c r="M81" s="115">
        <v>2212.12</v>
      </c>
      <c r="N81" s="26">
        <v>2382.51</v>
      </c>
      <c r="O81" s="26">
        <v>2664</v>
      </c>
      <c r="P81" s="26">
        <v>2737</v>
      </c>
      <c r="Q81" s="624"/>
      <c r="R81" s="545"/>
      <c r="S81" s="546">
        <f>P81+Q81+R81</f>
        <v>2737</v>
      </c>
    </row>
    <row r="82" spans="1:19" ht="12.75">
      <c r="A82" s="718"/>
      <c r="B82" s="231">
        <v>630</v>
      </c>
      <c r="C82" s="43" t="s">
        <v>293</v>
      </c>
      <c r="D82" s="242"/>
      <c r="E82" s="242">
        <v>1627</v>
      </c>
      <c r="F82" s="242">
        <v>2556</v>
      </c>
      <c r="G82" s="242">
        <v>2642</v>
      </c>
      <c r="H82" s="242">
        <v>1484</v>
      </c>
      <c r="I82" s="43">
        <v>1204</v>
      </c>
      <c r="J82" s="44">
        <v>1574</v>
      </c>
      <c r="K82" s="44">
        <v>954</v>
      </c>
      <c r="L82" s="115">
        <v>763.89</v>
      </c>
      <c r="M82" s="115">
        <v>936.61</v>
      </c>
      <c r="N82" s="26">
        <v>734.5</v>
      </c>
      <c r="O82" s="26">
        <v>1000</v>
      </c>
      <c r="P82" s="26">
        <v>1000</v>
      </c>
      <c r="Q82" s="624"/>
      <c r="R82" s="545"/>
      <c r="S82" s="546">
        <f>P82+Q82+R82</f>
        <v>1000</v>
      </c>
    </row>
    <row r="83" spans="1:19" ht="13.5" thickBot="1">
      <c r="A83" s="716"/>
      <c r="B83" s="251">
        <v>600</v>
      </c>
      <c r="C83" s="299" t="s">
        <v>337</v>
      </c>
      <c r="D83" s="300"/>
      <c r="E83" s="300"/>
      <c r="F83" s="300"/>
      <c r="G83" s="300"/>
      <c r="H83" s="300"/>
      <c r="I83" s="299">
        <v>148584</v>
      </c>
      <c r="J83" s="301">
        <v>53379</v>
      </c>
      <c r="K83" s="60"/>
      <c r="L83" s="302"/>
      <c r="M83" s="60"/>
      <c r="N83" s="48"/>
      <c r="O83" s="48"/>
      <c r="P83" s="48"/>
      <c r="Q83" s="579"/>
      <c r="R83" s="549"/>
      <c r="S83" s="550">
        <f>P83+Q83+R83</f>
        <v>0</v>
      </c>
    </row>
    <row r="84" spans="1:19" ht="15.75" thickBot="1">
      <c r="A84" s="213" t="s">
        <v>266</v>
      </c>
      <c r="B84" s="719" t="s">
        <v>72</v>
      </c>
      <c r="C84" s="720"/>
      <c r="D84" s="214">
        <v>11518</v>
      </c>
      <c r="E84" s="214">
        <v>13012</v>
      </c>
      <c r="F84" s="214">
        <v>13643</v>
      </c>
      <c r="G84" s="214">
        <v>15109</v>
      </c>
      <c r="H84" s="214">
        <v>14271</v>
      </c>
      <c r="I84" s="67">
        <f>SUM(I85:I87)</f>
        <v>14580</v>
      </c>
      <c r="J84" s="67">
        <f>SUM(J85:J87)</f>
        <v>13755</v>
      </c>
      <c r="K84" s="67">
        <f>SUM(K85:K87)</f>
        <v>12987</v>
      </c>
      <c r="L84" s="215">
        <f>SUM(L85:L87)</f>
        <v>12440.38</v>
      </c>
      <c r="M84" s="215">
        <f aca="true" t="shared" si="20" ref="M84:S84">SUM(M85:M88)</f>
        <v>12085.220000000001</v>
      </c>
      <c r="N84" s="108">
        <f t="shared" si="20"/>
        <v>14820</v>
      </c>
      <c r="O84" s="108">
        <f t="shared" si="20"/>
        <v>15852</v>
      </c>
      <c r="P84" s="108">
        <f t="shared" si="20"/>
        <v>21038</v>
      </c>
      <c r="Q84" s="108">
        <f t="shared" si="20"/>
        <v>0</v>
      </c>
      <c r="R84" s="108">
        <f t="shared" si="20"/>
        <v>0</v>
      </c>
      <c r="S84" s="68">
        <f t="shared" si="20"/>
        <v>21038</v>
      </c>
    </row>
    <row r="85" spans="1:19" ht="12.75">
      <c r="A85" s="715"/>
      <c r="B85" s="230">
        <v>610</v>
      </c>
      <c r="C85" s="41" t="s">
        <v>291</v>
      </c>
      <c r="D85" s="159"/>
      <c r="E85" s="159">
        <v>8099</v>
      </c>
      <c r="F85" s="159">
        <v>8597</v>
      </c>
      <c r="G85" s="159">
        <v>9417</v>
      </c>
      <c r="H85" s="159">
        <v>9528</v>
      </c>
      <c r="I85" s="41">
        <v>9523</v>
      </c>
      <c r="J85" s="42">
        <v>8900</v>
      </c>
      <c r="K85" s="42">
        <v>8730</v>
      </c>
      <c r="L85" s="204">
        <v>8356.07</v>
      </c>
      <c r="M85" s="204">
        <v>8369.97</v>
      </c>
      <c r="N85" s="94">
        <v>10167.75</v>
      </c>
      <c r="O85" s="94">
        <v>10818</v>
      </c>
      <c r="P85" s="94">
        <v>14662</v>
      </c>
      <c r="Q85" s="592"/>
      <c r="R85" s="587"/>
      <c r="S85" s="588">
        <f>P85+Q85+R85</f>
        <v>14662</v>
      </c>
    </row>
    <row r="86" spans="1:19" ht="12.75">
      <c r="A86" s="718"/>
      <c r="B86" s="231">
        <v>620</v>
      </c>
      <c r="C86" s="43" t="s">
        <v>292</v>
      </c>
      <c r="D86" s="242"/>
      <c r="E86" s="242">
        <v>2855</v>
      </c>
      <c r="F86" s="242">
        <v>3220</v>
      </c>
      <c r="G86" s="242">
        <v>3567</v>
      </c>
      <c r="H86" s="242">
        <v>3607</v>
      </c>
      <c r="I86" s="43">
        <v>3617</v>
      </c>
      <c r="J86" s="44">
        <v>3393</v>
      </c>
      <c r="K86" s="44">
        <v>3330</v>
      </c>
      <c r="L86" s="206">
        <v>3406.87</v>
      </c>
      <c r="M86" s="206">
        <v>2973.01</v>
      </c>
      <c r="N86" s="26">
        <v>3841.92</v>
      </c>
      <c r="O86" s="26">
        <v>4034</v>
      </c>
      <c r="P86" s="26">
        <v>5376</v>
      </c>
      <c r="Q86" s="624"/>
      <c r="R86" s="545"/>
      <c r="S86" s="546">
        <f>P86+Q86+R86</f>
        <v>5376</v>
      </c>
    </row>
    <row r="87" spans="1:19" ht="13.5" thickBot="1">
      <c r="A87" s="718"/>
      <c r="B87" s="309">
        <v>630</v>
      </c>
      <c r="C87" s="47" t="s">
        <v>293</v>
      </c>
      <c r="D87" s="154"/>
      <c r="E87" s="154">
        <v>2058</v>
      </c>
      <c r="F87" s="154">
        <v>1826</v>
      </c>
      <c r="G87" s="154">
        <v>2125</v>
      </c>
      <c r="H87" s="154">
        <v>1136</v>
      </c>
      <c r="I87" s="46">
        <v>1440</v>
      </c>
      <c r="J87" s="60">
        <v>1462</v>
      </c>
      <c r="K87" s="74">
        <v>927</v>
      </c>
      <c r="L87" s="115">
        <v>677.44</v>
      </c>
      <c r="M87" s="115">
        <v>629.37</v>
      </c>
      <c r="N87" s="26">
        <v>810.33</v>
      </c>
      <c r="O87" s="26">
        <v>1000</v>
      </c>
      <c r="P87" s="26">
        <v>1000</v>
      </c>
      <c r="Q87" s="624"/>
      <c r="R87" s="545"/>
      <c r="S87" s="546">
        <f>P87+Q87+R87</f>
        <v>1000</v>
      </c>
    </row>
    <row r="88" spans="1:19" ht="13.5" thickBot="1">
      <c r="A88" s="716"/>
      <c r="B88" s="251">
        <v>640</v>
      </c>
      <c r="C88" s="46" t="s">
        <v>294</v>
      </c>
      <c r="D88" s="262"/>
      <c r="E88" s="262"/>
      <c r="F88" s="262"/>
      <c r="G88" s="262"/>
      <c r="H88" s="262"/>
      <c r="I88" s="116"/>
      <c r="J88" s="211"/>
      <c r="K88" s="211"/>
      <c r="L88" s="331"/>
      <c r="M88" s="331">
        <v>112.87</v>
      </c>
      <c r="N88" s="77"/>
      <c r="O88" s="77"/>
      <c r="P88" s="77"/>
      <c r="Q88" s="625"/>
      <c r="R88" s="557"/>
      <c r="S88" s="558">
        <f>P88+Q88+R88</f>
        <v>0</v>
      </c>
    </row>
    <row r="89" spans="1:19" ht="15.75" thickBot="1">
      <c r="A89" s="213" t="s">
        <v>68</v>
      </c>
      <c r="B89" s="689" t="s">
        <v>69</v>
      </c>
      <c r="C89" s="705"/>
      <c r="D89" s="267">
        <v>0</v>
      </c>
      <c r="E89" s="267">
        <v>221337</v>
      </c>
      <c r="F89" s="267">
        <v>136394</v>
      </c>
      <c r="G89" s="267">
        <v>214824</v>
      </c>
      <c r="H89" s="267">
        <v>646088</v>
      </c>
      <c r="I89" s="67">
        <f>SUM(I95:I107)</f>
        <v>152165</v>
      </c>
      <c r="J89" s="67">
        <f>SUM(J95:J107)</f>
        <v>173492</v>
      </c>
      <c r="K89" s="67">
        <f>SUM(K95:K107)</f>
        <v>219663</v>
      </c>
      <c r="L89" s="215">
        <f aca="true" t="shared" si="21" ref="L89:S89">SUM(L90:L107)</f>
        <v>485501.09</v>
      </c>
      <c r="M89" s="215">
        <f t="shared" si="21"/>
        <v>315963.52</v>
      </c>
      <c r="N89" s="108">
        <f t="shared" si="21"/>
        <v>306308.77</v>
      </c>
      <c r="O89" s="108">
        <f t="shared" si="21"/>
        <v>288272</v>
      </c>
      <c r="P89" s="108">
        <f t="shared" si="21"/>
        <v>225000</v>
      </c>
      <c r="Q89" s="108">
        <f t="shared" si="21"/>
        <v>0</v>
      </c>
      <c r="R89" s="108">
        <f t="shared" si="21"/>
        <v>0</v>
      </c>
      <c r="S89" s="68">
        <f t="shared" si="21"/>
        <v>225000</v>
      </c>
    </row>
    <row r="90" spans="1:19" ht="15" hidden="1">
      <c r="A90" s="713"/>
      <c r="B90" s="230">
        <v>630</v>
      </c>
      <c r="C90" s="41" t="s">
        <v>194</v>
      </c>
      <c r="D90" s="303"/>
      <c r="E90" s="303"/>
      <c r="F90" s="303"/>
      <c r="G90" s="303"/>
      <c r="H90" s="303"/>
      <c r="I90" s="304"/>
      <c r="J90" s="304"/>
      <c r="K90" s="304"/>
      <c r="L90" s="218">
        <v>164829</v>
      </c>
      <c r="M90" s="218">
        <v>115488</v>
      </c>
      <c r="N90" s="144">
        <v>98750</v>
      </c>
      <c r="O90" s="144"/>
      <c r="P90" s="591"/>
      <c r="Q90" s="623"/>
      <c r="R90" s="559"/>
      <c r="S90" s="560">
        <f aca="true" t="shared" si="22" ref="S90:S107">P90+Q90+R90</f>
        <v>0</v>
      </c>
    </row>
    <row r="91" spans="1:19" ht="15" hidden="1">
      <c r="A91" s="717"/>
      <c r="B91" s="231"/>
      <c r="C91" s="47" t="s">
        <v>232</v>
      </c>
      <c r="D91" s="305"/>
      <c r="E91" s="305"/>
      <c r="F91" s="305"/>
      <c r="G91" s="305"/>
      <c r="H91" s="305"/>
      <c r="I91" s="306"/>
      <c r="J91" s="306"/>
      <c r="K91" s="306"/>
      <c r="L91" s="132">
        <v>9696.54</v>
      </c>
      <c r="M91" s="513"/>
      <c r="N91" s="307"/>
      <c r="O91" s="307"/>
      <c r="P91" s="307"/>
      <c r="Q91" s="624"/>
      <c r="R91" s="547"/>
      <c r="S91" s="548">
        <f t="shared" si="22"/>
        <v>0</v>
      </c>
    </row>
    <row r="92" spans="1:19" ht="15" hidden="1">
      <c r="A92" s="717"/>
      <c r="B92" s="231"/>
      <c r="C92" s="47" t="s">
        <v>338</v>
      </c>
      <c r="D92" s="305"/>
      <c r="E92" s="305"/>
      <c r="F92" s="305"/>
      <c r="G92" s="305"/>
      <c r="H92" s="305"/>
      <c r="I92" s="306"/>
      <c r="J92" s="306"/>
      <c r="K92" s="306"/>
      <c r="L92" s="132">
        <v>9955.3</v>
      </c>
      <c r="M92" s="513"/>
      <c r="N92" s="307"/>
      <c r="O92" s="307"/>
      <c r="P92" s="307"/>
      <c r="Q92" s="624"/>
      <c r="R92" s="547"/>
      <c r="S92" s="548">
        <f t="shared" si="22"/>
        <v>0</v>
      </c>
    </row>
    <row r="93" spans="1:19" ht="15" hidden="1">
      <c r="A93" s="717"/>
      <c r="B93" s="231"/>
      <c r="C93" s="47" t="s">
        <v>339</v>
      </c>
      <c r="D93" s="305"/>
      <c r="E93" s="305"/>
      <c r="F93" s="305"/>
      <c r="G93" s="305"/>
      <c r="H93" s="305"/>
      <c r="I93" s="306"/>
      <c r="J93" s="306"/>
      <c r="K93" s="306"/>
      <c r="L93" s="132">
        <v>11550</v>
      </c>
      <c r="M93" s="513"/>
      <c r="N93" s="307"/>
      <c r="O93" s="307"/>
      <c r="P93" s="307"/>
      <c r="Q93" s="624"/>
      <c r="R93" s="547"/>
      <c r="S93" s="548">
        <f t="shared" si="22"/>
        <v>0</v>
      </c>
    </row>
    <row r="94" spans="1:19" ht="15" hidden="1">
      <c r="A94" s="717"/>
      <c r="B94" s="231"/>
      <c r="C94" s="43" t="s">
        <v>235</v>
      </c>
      <c r="D94" s="305"/>
      <c r="E94" s="305"/>
      <c r="F94" s="305"/>
      <c r="G94" s="305"/>
      <c r="H94" s="305"/>
      <c r="I94" s="306"/>
      <c r="J94" s="306"/>
      <c r="K94" s="306"/>
      <c r="L94" s="132">
        <v>11848</v>
      </c>
      <c r="M94" s="513"/>
      <c r="N94" s="307"/>
      <c r="O94" s="307"/>
      <c r="P94" s="307"/>
      <c r="Q94" s="624"/>
      <c r="R94" s="547"/>
      <c r="S94" s="548">
        <f t="shared" si="22"/>
        <v>0</v>
      </c>
    </row>
    <row r="95" spans="1:19" ht="12.75" hidden="1">
      <c r="A95" s="717"/>
      <c r="B95" s="308"/>
      <c r="C95" s="72" t="s">
        <v>340</v>
      </c>
      <c r="D95" s="57"/>
      <c r="E95" s="57"/>
      <c r="F95" s="57"/>
      <c r="G95" s="57"/>
      <c r="H95" s="57"/>
      <c r="I95" s="72"/>
      <c r="J95" s="57"/>
      <c r="K95" s="57"/>
      <c r="L95" s="119">
        <v>55733.87</v>
      </c>
      <c r="M95" s="206">
        <v>17376</v>
      </c>
      <c r="N95" s="22"/>
      <c r="O95" s="22"/>
      <c r="P95" s="22"/>
      <c r="Q95" s="624"/>
      <c r="R95" s="547"/>
      <c r="S95" s="548">
        <f t="shared" si="22"/>
        <v>0</v>
      </c>
    </row>
    <row r="96" spans="1:19" ht="12.75" hidden="1">
      <c r="A96" s="717"/>
      <c r="B96" s="309"/>
      <c r="C96" s="47" t="s">
        <v>341</v>
      </c>
      <c r="D96" s="74"/>
      <c r="E96" s="74"/>
      <c r="F96" s="74"/>
      <c r="G96" s="74"/>
      <c r="H96" s="74"/>
      <c r="I96" s="47"/>
      <c r="J96" s="74"/>
      <c r="K96" s="44"/>
      <c r="L96" s="206">
        <v>41848</v>
      </c>
      <c r="M96" s="206"/>
      <c r="N96" s="26"/>
      <c r="O96" s="26"/>
      <c r="P96" s="26"/>
      <c r="Q96" s="624"/>
      <c r="R96" s="547"/>
      <c r="S96" s="548">
        <f t="shared" si="22"/>
        <v>0</v>
      </c>
    </row>
    <row r="97" spans="1:19" ht="12.75" hidden="1">
      <c r="A97" s="717"/>
      <c r="B97" s="309"/>
      <c r="C97" s="47"/>
      <c r="D97" s="74"/>
      <c r="E97" s="74"/>
      <c r="F97" s="74"/>
      <c r="G97" s="74"/>
      <c r="H97" s="74"/>
      <c r="I97" s="47"/>
      <c r="J97" s="74"/>
      <c r="K97" s="44"/>
      <c r="L97" s="26"/>
      <c r="M97" s="206"/>
      <c r="N97" s="26"/>
      <c r="O97" s="26"/>
      <c r="P97" s="26"/>
      <c r="Q97" s="624"/>
      <c r="R97" s="547"/>
      <c r="S97" s="548">
        <f t="shared" si="22"/>
        <v>0</v>
      </c>
    </row>
    <row r="98" spans="1:19" ht="12.75" hidden="1">
      <c r="A98" s="717"/>
      <c r="B98" s="309"/>
      <c r="C98" s="47"/>
      <c r="D98" s="74"/>
      <c r="E98" s="74"/>
      <c r="F98" s="74"/>
      <c r="G98" s="74"/>
      <c r="H98" s="74"/>
      <c r="I98" s="47"/>
      <c r="J98" s="74"/>
      <c r="K98" s="44"/>
      <c r="L98" s="26"/>
      <c r="M98" s="206"/>
      <c r="N98" s="26"/>
      <c r="O98" s="26"/>
      <c r="P98" s="26"/>
      <c r="Q98" s="624"/>
      <c r="R98" s="547"/>
      <c r="S98" s="548">
        <f t="shared" si="22"/>
        <v>0</v>
      </c>
    </row>
    <row r="99" spans="1:19" ht="12.75" hidden="1">
      <c r="A99" s="717"/>
      <c r="B99" s="309"/>
      <c r="C99" s="43"/>
      <c r="D99" s="44"/>
      <c r="E99" s="44"/>
      <c r="F99" s="44"/>
      <c r="G99" s="44"/>
      <c r="H99" s="44"/>
      <c r="I99" s="43"/>
      <c r="J99" s="44"/>
      <c r="K99" s="44"/>
      <c r="L99" s="26"/>
      <c r="M99" s="206"/>
      <c r="N99" s="26"/>
      <c r="O99" s="26"/>
      <c r="P99" s="26"/>
      <c r="Q99" s="624"/>
      <c r="R99" s="547"/>
      <c r="S99" s="548">
        <f t="shared" si="22"/>
        <v>0</v>
      </c>
    </row>
    <row r="100" spans="1:19" ht="12.75" hidden="1">
      <c r="A100" s="717"/>
      <c r="B100" s="309">
        <v>630</v>
      </c>
      <c r="C100" s="43" t="s">
        <v>342</v>
      </c>
      <c r="D100" s="44"/>
      <c r="E100" s="44"/>
      <c r="F100" s="44"/>
      <c r="G100" s="44"/>
      <c r="H100" s="44"/>
      <c r="I100" s="43">
        <v>800</v>
      </c>
      <c r="J100" s="44"/>
      <c r="K100" s="44"/>
      <c r="L100" s="26"/>
      <c r="M100" s="206"/>
      <c r="N100" s="26"/>
      <c r="O100" s="26"/>
      <c r="P100" s="26"/>
      <c r="Q100" s="624"/>
      <c r="R100" s="547"/>
      <c r="S100" s="548">
        <f t="shared" si="22"/>
        <v>0</v>
      </c>
    </row>
    <row r="101" spans="1:19" ht="12.75" hidden="1">
      <c r="A101" s="717"/>
      <c r="B101" s="309">
        <v>630</v>
      </c>
      <c r="C101" s="43" t="s">
        <v>343</v>
      </c>
      <c r="D101" s="44"/>
      <c r="E101" s="44"/>
      <c r="F101" s="44"/>
      <c r="G101" s="44"/>
      <c r="H101" s="44"/>
      <c r="I101" s="43">
        <v>2124</v>
      </c>
      <c r="J101" s="44">
        <v>1200</v>
      </c>
      <c r="K101" s="26">
        <f>25728+5970+25054</f>
        <v>56752</v>
      </c>
      <c r="L101" s="26"/>
      <c r="M101" s="206"/>
      <c r="N101" s="26"/>
      <c r="O101" s="26"/>
      <c r="P101" s="26"/>
      <c r="Q101" s="624"/>
      <c r="R101" s="547"/>
      <c r="S101" s="548">
        <f t="shared" si="22"/>
        <v>0</v>
      </c>
    </row>
    <row r="102" spans="1:19" ht="15.75" customHeight="1" hidden="1">
      <c r="A102" s="717"/>
      <c r="B102" s="309">
        <v>630</v>
      </c>
      <c r="C102" s="43" t="s">
        <v>344</v>
      </c>
      <c r="D102" s="44"/>
      <c r="E102" s="44"/>
      <c r="F102" s="44"/>
      <c r="G102" s="44"/>
      <c r="H102" s="44"/>
      <c r="I102" s="43"/>
      <c r="J102" s="44">
        <v>22691</v>
      </c>
      <c r="K102" s="26">
        <v>859</v>
      </c>
      <c r="L102" s="26"/>
      <c r="M102" s="206">
        <v>774.55</v>
      </c>
      <c r="N102" s="26"/>
      <c r="O102" s="26"/>
      <c r="P102" s="26"/>
      <c r="Q102" s="624"/>
      <c r="R102" s="547"/>
      <c r="S102" s="548">
        <f t="shared" si="22"/>
        <v>0</v>
      </c>
    </row>
    <row r="103" spans="1:19" ht="12.75">
      <c r="A103" s="717"/>
      <c r="B103" s="309">
        <v>630</v>
      </c>
      <c r="C103" s="43" t="s">
        <v>345</v>
      </c>
      <c r="D103" s="44"/>
      <c r="E103" s="44"/>
      <c r="F103" s="44"/>
      <c r="G103" s="44"/>
      <c r="H103" s="44"/>
      <c r="I103" s="43">
        <v>4435</v>
      </c>
      <c r="J103" s="44"/>
      <c r="K103" s="44">
        <v>0</v>
      </c>
      <c r="L103" s="206">
        <v>931.15</v>
      </c>
      <c r="M103" s="206">
        <v>7872</v>
      </c>
      <c r="N103" s="26">
        <v>6215.72</v>
      </c>
      <c r="O103" s="26"/>
      <c r="P103" s="26">
        <v>0</v>
      </c>
      <c r="Q103" s="624"/>
      <c r="R103" s="545"/>
      <c r="S103" s="546">
        <f t="shared" si="22"/>
        <v>0</v>
      </c>
    </row>
    <row r="104" spans="1:19" ht="12.75">
      <c r="A104" s="717"/>
      <c r="B104" s="309">
        <v>630</v>
      </c>
      <c r="C104" s="47" t="s">
        <v>413</v>
      </c>
      <c r="D104" s="74"/>
      <c r="E104" s="74"/>
      <c r="F104" s="74"/>
      <c r="G104" s="74"/>
      <c r="H104" s="74"/>
      <c r="I104" s="47"/>
      <c r="J104" s="74"/>
      <c r="K104" s="74"/>
      <c r="L104" s="30"/>
      <c r="M104" s="224"/>
      <c r="N104" s="30">
        <v>17446.49</v>
      </c>
      <c r="O104" s="30">
        <v>70060</v>
      </c>
      <c r="P104" s="30"/>
      <c r="Q104" s="624"/>
      <c r="R104" s="547"/>
      <c r="S104" s="548">
        <f t="shared" si="22"/>
        <v>0</v>
      </c>
    </row>
    <row r="105" spans="1:19" ht="12.75" hidden="1">
      <c r="A105" s="717"/>
      <c r="B105" s="309">
        <v>630</v>
      </c>
      <c r="C105" s="47" t="s">
        <v>346</v>
      </c>
      <c r="D105" s="74"/>
      <c r="E105" s="74"/>
      <c r="F105" s="74"/>
      <c r="G105" s="74"/>
      <c r="H105" s="74"/>
      <c r="I105" s="47">
        <v>931</v>
      </c>
      <c r="J105" s="74">
        <v>0</v>
      </c>
      <c r="K105" s="74"/>
      <c r="L105" s="74"/>
      <c r="M105" s="252"/>
      <c r="N105" s="30">
        <v>0</v>
      </c>
      <c r="O105" s="30"/>
      <c r="P105" s="30"/>
      <c r="Q105" s="624"/>
      <c r="R105" s="547"/>
      <c r="S105" s="548">
        <f t="shared" si="22"/>
        <v>0</v>
      </c>
    </row>
    <row r="106" spans="1:19" ht="12.75">
      <c r="A106" s="717"/>
      <c r="B106" s="309">
        <v>630</v>
      </c>
      <c r="C106" s="47" t="s">
        <v>347</v>
      </c>
      <c r="D106" s="74"/>
      <c r="E106" s="74"/>
      <c r="F106" s="74"/>
      <c r="G106" s="74"/>
      <c r="H106" s="74"/>
      <c r="I106" s="43">
        <v>10805</v>
      </c>
      <c r="J106" s="44">
        <v>3148</v>
      </c>
      <c r="K106" s="74">
        <f>2890+1395+2974+8613+1646</f>
        <v>17518</v>
      </c>
      <c r="L106" s="224">
        <v>34575.23</v>
      </c>
      <c r="M106" s="224">
        <v>22975.97</v>
      </c>
      <c r="N106" s="30">
        <v>28524.56</v>
      </c>
      <c r="O106" s="30">
        <v>48550</v>
      </c>
      <c r="P106" s="30">
        <v>50000</v>
      </c>
      <c r="Q106" s="624"/>
      <c r="R106" s="547"/>
      <c r="S106" s="548">
        <f t="shared" si="22"/>
        <v>50000</v>
      </c>
    </row>
    <row r="107" spans="1:19" ht="13.5" thickBot="1">
      <c r="A107" s="714"/>
      <c r="B107" s="251">
        <v>640</v>
      </c>
      <c r="C107" s="46" t="s">
        <v>348</v>
      </c>
      <c r="D107" s="60"/>
      <c r="E107" s="60">
        <v>217951</v>
      </c>
      <c r="F107" s="60">
        <v>132776</v>
      </c>
      <c r="G107" s="60">
        <v>141830</v>
      </c>
      <c r="H107" s="60">
        <v>137000</v>
      </c>
      <c r="I107" s="46">
        <v>133070</v>
      </c>
      <c r="J107" s="60">
        <v>146453</v>
      </c>
      <c r="K107" s="60">
        <v>144534</v>
      </c>
      <c r="L107" s="302">
        <v>144534</v>
      </c>
      <c r="M107" s="302">
        <v>151477</v>
      </c>
      <c r="N107" s="48">
        <v>155372</v>
      </c>
      <c r="O107" s="48">
        <v>169662</v>
      </c>
      <c r="P107" s="48">
        <v>175000</v>
      </c>
      <c r="Q107" s="579"/>
      <c r="R107" s="556"/>
      <c r="S107" s="551">
        <f t="shared" si="22"/>
        <v>175000</v>
      </c>
    </row>
    <row r="108" spans="1:19" ht="15.75" thickBot="1">
      <c r="A108" s="213" t="s">
        <v>349</v>
      </c>
      <c r="B108" s="689" t="s">
        <v>71</v>
      </c>
      <c r="C108" s="705"/>
      <c r="D108" s="67">
        <f>D109</f>
        <v>10589</v>
      </c>
      <c r="E108" s="67">
        <f>E109</f>
        <v>11917</v>
      </c>
      <c r="F108" s="67">
        <f>F109</f>
        <v>11883</v>
      </c>
      <c r="G108" s="67">
        <f>G109</f>
        <v>4189</v>
      </c>
      <c r="H108" s="67">
        <v>5005</v>
      </c>
      <c r="I108" s="67">
        <f aca="true" t="shared" si="23" ref="I108:S108">I109</f>
        <v>5041</v>
      </c>
      <c r="J108" s="67">
        <f t="shared" si="23"/>
        <v>5609</v>
      </c>
      <c r="K108" s="67">
        <f t="shared" si="23"/>
        <v>6003</v>
      </c>
      <c r="L108" s="215">
        <v>3745.53</v>
      </c>
      <c r="M108" s="215">
        <f t="shared" si="23"/>
        <v>5989.44</v>
      </c>
      <c r="N108" s="108">
        <f t="shared" si="23"/>
        <v>5966.9</v>
      </c>
      <c r="O108" s="108">
        <f t="shared" si="23"/>
        <v>6000</v>
      </c>
      <c r="P108" s="108">
        <f t="shared" si="23"/>
        <v>6000</v>
      </c>
      <c r="Q108" s="108">
        <f t="shared" si="23"/>
        <v>0</v>
      </c>
      <c r="R108" s="108">
        <f t="shared" si="23"/>
        <v>0</v>
      </c>
      <c r="S108" s="68">
        <f t="shared" si="23"/>
        <v>6000</v>
      </c>
    </row>
    <row r="109" spans="1:19" ht="13.5" thickBot="1">
      <c r="A109" s="310"/>
      <c r="B109" s="311"/>
      <c r="C109" s="75" t="s">
        <v>350</v>
      </c>
      <c r="D109" s="83">
        <v>10589</v>
      </c>
      <c r="E109" s="83">
        <v>11917</v>
      </c>
      <c r="F109" s="83">
        <v>11883</v>
      </c>
      <c r="G109" s="83">
        <v>4189</v>
      </c>
      <c r="H109" s="83">
        <v>5005</v>
      </c>
      <c r="I109" s="75">
        <v>5041</v>
      </c>
      <c r="J109" s="83">
        <v>5609</v>
      </c>
      <c r="K109" s="12">
        <v>6003</v>
      </c>
      <c r="L109" s="248">
        <v>3745.53</v>
      </c>
      <c r="M109" s="248">
        <v>5989.44</v>
      </c>
      <c r="N109" s="12">
        <v>5966.9</v>
      </c>
      <c r="O109" s="12">
        <v>6000</v>
      </c>
      <c r="P109" s="12">
        <v>6000</v>
      </c>
      <c r="Q109" s="622"/>
      <c r="R109" s="554"/>
      <c r="S109" s="555">
        <f>P109+Q109+R109</f>
        <v>6000</v>
      </c>
    </row>
    <row r="110" spans="1:19" ht="15.75" thickBot="1">
      <c r="A110" s="265" t="s">
        <v>370</v>
      </c>
      <c r="B110" s="726" t="s">
        <v>369</v>
      </c>
      <c r="C110" s="711"/>
      <c r="D110" s="79">
        <f>D112</f>
        <v>0</v>
      </c>
      <c r="E110" s="79">
        <f>E112</f>
        <v>122817</v>
      </c>
      <c r="F110" s="79">
        <f>F112</f>
        <v>236905</v>
      </c>
      <c r="G110" s="79">
        <f>G112</f>
        <v>210760</v>
      </c>
      <c r="H110" s="79">
        <v>216000</v>
      </c>
      <c r="I110" s="79">
        <f aca="true" t="shared" si="24" ref="I110:N110">I112</f>
        <v>173560</v>
      </c>
      <c r="J110" s="79">
        <f t="shared" si="24"/>
        <v>168880</v>
      </c>
      <c r="K110" s="79">
        <f t="shared" si="24"/>
        <v>168880</v>
      </c>
      <c r="L110" s="80">
        <v>166668</v>
      </c>
      <c r="M110" s="80">
        <f t="shared" si="24"/>
        <v>150364</v>
      </c>
      <c r="N110" s="393">
        <f t="shared" si="24"/>
        <v>136000</v>
      </c>
      <c r="O110" s="393">
        <f>O112+O111</f>
        <v>145152</v>
      </c>
      <c r="P110" s="393">
        <f>P112+P111</f>
        <v>170000</v>
      </c>
      <c r="Q110" s="393">
        <f>Q112+Q111</f>
        <v>0</v>
      </c>
      <c r="R110" s="393">
        <f>R112+R111</f>
        <v>0</v>
      </c>
      <c r="S110" s="642">
        <f>S112+S111</f>
        <v>170000</v>
      </c>
    </row>
    <row r="111" spans="1:19" ht="15">
      <c r="A111" s="713"/>
      <c r="B111" s="600">
        <v>630</v>
      </c>
      <c r="C111" s="254" t="s">
        <v>414</v>
      </c>
      <c r="D111" s="304"/>
      <c r="E111" s="304"/>
      <c r="F111" s="304"/>
      <c r="G111" s="304"/>
      <c r="H111" s="304"/>
      <c r="I111" s="304"/>
      <c r="J111" s="304"/>
      <c r="K111" s="591"/>
      <c r="L111" s="204"/>
      <c r="M111" s="204"/>
      <c r="N111" s="94"/>
      <c r="O111" s="94">
        <v>7000</v>
      </c>
      <c r="P111" s="94"/>
      <c r="Q111" s="592"/>
      <c r="R111" s="593"/>
      <c r="S111" s="594">
        <f>P111+Q111+R111</f>
        <v>0</v>
      </c>
    </row>
    <row r="112" spans="1:19" ht="13.5" thickBot="1">
      <c r="A112" s="714"/>
      <c r="B112" s="326">
        <v>640</v>
      </c>
      <c r="C112" s="299" t="s">
        <v>351</v>
      </c>
      <c r="D112" s="60"/>
      <c r="E112" s="60">
        <v>122817</v>
      </c>
      <c r="F112" s="60">
        <v>236905</v>
      </c>
      <c r="G112" s="60">
        <v>210760</v>
      </c>
      <c r="H112" s="60">
        <v>216000</v>
      </c>
      <c r="I112" s="46">
        <v>173560</v>
      </c>
      <c r="J112" s="60">
        <v>168880</v>
      </c>
      <c r="K112" s="48">
        <v>168880</v>
      </c>
      <c r="L112" s="253">
        <v>166668</v>
      </c>
      <c r="M112" s="253">
        <v>150364</v>
      </c>
      <c r="N112" s="48">
        <v>136000</v>
      </c>
      <c r="O112" s="48">
        <v>138152</v>
      </c>
      <c r="P112" s="48">
        <v>170000</v>
      </c>
      <c r="Q112" s="608"/>
      <c r="R112" s="589"/>
      <c r="S112" s="590">
        <f>P112+Q112+R112</f>
        <v>170000</v>
      </c>
    </row>
    <row r="113" spans="1:19" ht="15.75" thickBot="1">
      <c r="A113" s="265" t="s">
        <v>81</v>
      </c>
      <c r="B113" s="726" t="s">
        <v>352</v>
      </c>
      <c r="C113" s="711"/>
      <c r="D113" s="79">
        <v>0</v>
      </c>
      <c r="E113" s="79">
        <v>56430</v>
      </c>
      <c r="F113" s="79">
        <v>359789</v>
      </c>
      <c r="G113" s="79">
        <v>312928</v>
      </c>
      <c r="H113" s="79">
        <v>336361</v>
      </c>
      <c r="I113" s="79">
        <f aca="true" t="shared" si="25" ref="I113:S113">SUM(I114:I119)</f>
        <v>283963</v>
      </c>
      <c r="J113" s="79">
        <f t="shared" si="25"/>
        <v>347786</v>
      </c>
      <c r="K113" s="79">
        <f t="shared" si="25"/>
        <v>268221</v>
      </c>
      <c r="L113" s="79">
        <f t="shared" si="25"/>
        <v>263798.23</v>
      </c>
      <c r="M113" s="80">
        <f t="shared" si="25"/>
        <v>287887.32</v>
      </c>
      <c r="N113" s="393">
        <f t="shared" si="25"/>
        <v>314491.48</v>
      </c>
      <c r="O113" s="393">
        <f t="shared" si="25"/>
        <v>412187</v>
      </c>
      <c r="P113" s="393">
        <f t="shared" si="25"/>
        <v>351287</v>
      </c>
      <c r="Q113" s="393">
        <f t="shared" si="25"/>
        <v>-6000</v>
      </c>
      <c r="R113" s="393">
        <f t="shared" si="25"/>
        <v>0</v>
      </c>
      <c r="S113" s="642">
        <f t="shared" si="25"/>
        <v>345287</v>
      </c>
    </row>
    <row r="114" spans="1:19" ht="12.75">
      <c r="A114" s="713"/>
      <c r="B114" s="230">
        <v>610</v>
      </c>
      <c r="C114" s="41" t="s">
        <v>291</v>
      </c>
      <c r="D114" s="42"/>
      <c r="E114" s="42"/>
      <c r="F114" s="42"/>
      <c r="G114" s="42"/>
      <c r="H114" s="42"/>
      <c r="I114" s="41">
        <v>264635</v>
      </c>
      <c r="J114" s="42">
        <v>24997</v>
      </c>
      <c r="K114" s="42">
        <v>24062</v>
      </c>
      <c r="L114" s="94">
        <v>22719.55</v>
      </c>
      <c r="M114" s="218">
        <v>28495.57</v>
      </c>
      <c r="N114" s="144">
        <v>28348.01</v>
      </c>
      <c r="O114" s="144">
        <v>30245</v>
      </c>
      <c r="P114" s="144">
        <v>34197</v>
      </c>
      <c r="Q114" s="623"/>
      <c r="R114" s="543"/>
      <c r="S114" s="544">
        <f aca="true" t="shared" si="26" ref="S114:S119">P114+Q114+R114</f>
        <v>34197</v>
      </c>
    </row>
    <row r="115" spans="1:19" ht="12.75">
      <c r="A115" s="717"/>
      <c r="B115" s="231">
        <v>620</v>
      </c>
      <c r="C115" s="43" t="s">
        <v>292</v>
      </c>
      <c r="D115" s="44"/>
      <c r="E115" s="44"/>
      <c r="F115" s="44"/>
      <c r="G115" s="44"/>
      <c r="H115" s="44"/>
      <c r="I115" s="43"/>
      <c r="J115" s="44">
        <v>9316</v>
      </c>
      <c r="K115" s="44">
        <v>8959</v>
      </c>
      <c r="L115" s="26">
        <v>9337.62</v>
      </c>
      <c r="M115" s="135">
        <v>10210.04</v>
      </c>
      <c r="N115" s="25">
        <v>10765.88</v>
      </c>
      <c r="O115" s="25">
        <v>11254</v>
      </c>
      <c r="P115" s="25">
        <v>12637</v>
      </c>
      <c r="Q115" s="624"/>
      <c r="R115" s="545"/>
      <c r="S115" s="546">
        <f t="shared" si="26"/>
        <v>12637</v>
      </c>
    </row>
    <row r="116" spans="1:19" ht="12.75">
      <c r="A116" s="717"/>
      <c r="B116" s="231">
        <v>630</v>
      </c>
      <c r="C116" s="43" t="s">
        <v>293</v>
      </c>
      <c r="D116" s="44"/>
      <c r="E116" s="44"/>
      <c r="F116" s="44"/>
      <c r="G116" s="44"/>
      <c r="H116" s="44"/>
      <c r="I116" s="43"/>
      <c r="J116" s="44">
        <v>291329</v>
      </c>
      <c r="K116" s="44">
        <f>212898</f>
        <v>212898</v>
      </c>
      <c r="L116" s="26">
        <v>204427.59</v>
      </c>
      <c r="M116" s="135">
        <v>218239.71</v>
      </c>
      <c r="N116" s="25">
        <v>254385.59</v>
      </c>
      <c r="O116" s="25">
        <v>345305</v>
      </c>
      <c r="P116" s="25">
        <v>285453</v>
      </c>
      <c r="Q116" s="652">
        <v>-6000</v>
      </c>
      <c r="R116" s="545"/>
      <c r="S116" s="546">
        <f t="shared" si="26"/>
        <v>279453</v>
      </c>
    </row>
    <row r="117" spans="1:19" ht="12.75">
      <c r="A117" s="717"/>
      <c r="B117" s="205">
        <v>640</v>
      </c>
      <c r="C117" s="43" t="s">
        <v>294</v>
      </c>
      <c r="D117" s="44"/>
      <c r="E117" s="44"/>
      <c r="F117" s="44"/>
      <c r="G117" s="44"/>
      <c r="H117" s="44"/>
      <c r="I117" s="43"/>
      <c r="J117" s="44"/>
      <c r="K117" s="26">
        <v>158</v>
      </c>
      <c r="L117" s="26">
        <v>169.47</v>
      </c>
      <c r="M117" s="135"/>
      <c r="N117" s="25"/>
      <c r="O117" s="25"/>
      <c r="P117" s="25"/>
      <c r="Q117" s="624"/>
      <c r="R117" s="545"/>
      <c r="S117" s="546">
        <f t="shared" si="26"/>
        <v>0</v>
      </c>
    </row>
    <row r="118" spans="1:19" ht="12.75" hidden="1">
      <c r="A118" s="717"/>
      <c r="B118" s="205"/>
      <c r="C118" s="43" t="s">
        <v>380</v>
      </c>
      <c r="D118" s="44"/>
      <c r="E118" s="44"/>
      <c r="F118" s="44"/>
      <c r="G118" s="44"/>
      <c r="H118" s="44"/>
      <c r="I118" s="43"/>
      <c r="J118" s="44"/>
      <c r="K118" s="26"/>
      <c r="L118" s="26"/>
      <c r="M118" s="135"/>
      <c r="N118" s="25"/>
      <c r="O118" s="25"/>
      <c r="P118" s="91"/>
      <c r="Q118" s="579"/>
      <c r="R118" s="556"/>
      <c r="S118" s="551">
        <f t="shared" si="26"/>
        <v>0</v>
      </c>
    </row>
    <row r="119" spans="1:19" ht="13.5" thickBot="1">
      <c r="A119" s="714"/>
      <c r="B119" s="233">
        <v>640</v>
      </c>
      <c r="C119" s="116" t="s">
        <v>351</v>
      </c>
      <c r="D119" s="211"/>
      <c r="E119" s="211">
        <v>56430</v>
      </c>
      <c r="F119" s="211">
        <v>66388</v>
      </c>
      <c r="G119" s="211">
        <v>33070</v>
      </c>
      <c r="H119" s="211">
        <v>34000</v>
      </c>
      <c r="I119" s="116">
        <v>19328</v>
      </c>
      <c r="J119" s="211">
        <v>22144</v>
      </c>
      <c r="K119" s="77">
        <v>22144</v>
      </c>
      <c r="L119" s="77">
        <v>27144</v>
      </c>
      <c r="M119" s="212">
        <v>30942</v>
      </c>
      <c r="N119" s="77">
        <v>20992</v>
      </c>
      <c r="O119" s="77">
        <v>25383</v>
      </c>
      <c r="P119" s="77">
        <v>19000</v>
      </c>
      <c r="Q119" s="579"/>
      <c r="R119" s="556"/>
      <c r="S119" s="551">
        <f t="shared" si="26"/>
        <v>19000</v>
      </c>
    </row>
    <row r="120" spans="1:19" ht="15.75" thickBot="1">
      <c r="A120" s="265" t="s">
        <v>264</v>
      </c>
      <c r="B120" s="726" t="s">
        <v>353</v>
      </c>
      <c r="C120" s="711"/>
      <c r="D120" s="79">
        <f aca="true" t="shared" si="27" ref="D120:S120">SUM(D121:D123)</f>
        <v>398161</v>
      </c>
      <c r="E120" s="79">
        <f t="shared" si="27"/>
        <v>245269</v>
      </c>
      <c r="F120" s="79">
        <f t="shared" si="27"/>
        <v>266050</v>
      </c>
      <c r="G120" s="79">
        <f t="shared" si="27"/>
        <v>237941</v>
      </c>
      <c r="H120" s="79">
        <f t="shared" si="27"/>
        <v>273708</v>
      </c>
      <c r="I120" s="79">
        <f t="shared" si="27"/>
        <v>262675</v>
      </c>
      <c r="J120" s="79">
        <f t="shared" si="27"/>
        <v>162661</v>
      </c>
      <c r="K120" s="79">
        <f t="shared" si="27"/>
        <v>165913</v>
      </c>
      <c r="L120" s="80">
        <f t="shared" si="27"/>
        <v>173111</v>
      </c>
      <c r="M120" s="80">
        <f t="shared" si="27"/>
        <v>179007.07</v>
      </c>
      <c r="N120" s="393">
        <f t="shared" si="27"/>
        <v>207573.5</v>
      </c>
      <c r="O120" s="393">
        <f t="shared" si="27"/>
        <v>259015</v>
      </c>
      <c r="P120" s="393">
        <f t="shared" si="27"/>
        <v>264470</v>
      </c>
      <c r="Q120" s="108">
        <f t="shared" si="27"/>
        <v>0</v>
      </c>
      <c r="R120" s="108">
        <f t="shared" si="27"/>
        <v>0</v>
      </c>
      <c r="S120" s="68">
        <f t="shared" si="27"/>
        <v>264470</v>
      </c>
    </row>
    <row r="121" spans="1:19" ht="12.75">
      <c r="A121" s="715"/>
      <c r="B121" s="312"/>
      <c r="C121" s="41" t="s">
        <v>354</v>
      </c>
      <c r="D121" s="42">
        <v>373863</v>
      </c>
      <c r="E121" s="42">
        <v>211312</v>
      </c>
      <c r="F121" s="42">
        <v>220574</v>
      </c>
      <c r="G121" s="42">
        <v>190734</v>
      </c>
      <c r="H121" s="42">
        <v>216608</v>
      </c>
      <c r="I121" s="41">
        <v>202225</v>
      </c>
      <c r="J121" s="44">
        <v>118262</v>
      </c>
      <c r="K121" s="44">
        <v>116713</v>
      </c>
      <c r="L121" s="119">
        <v>116713</v>
      </c>
      <c r="M121" s="119">
        <v>132538</v>
      </c>
      <c r="N121" s="22">
        <v>117290</v>
      </c>
      <c r="O121" s="22">
        <v>150545</v>
      </c>
      <c r="P121" s="22">
        <v>157000</v>
      </c>
      <c r="Q121" s="623"/>
      <c r="R121" s="543"/>
      <c r="S121" s="544">
        <f>P121+Q121+R121</f>
        <v>157000</v>
      </c>
    </row>
    <row r="122" spans="1:19" ht="12.75">
      <c r="A122" s="718"/>
      <c r="B122" s="313"/>
      <c r="C122" s="146" t="s">
        <v>403</v>
      </c>
      <c r="D122" s="243"/>
      <c r="E122" s="243"/>
      <c r="F122" s="243"/>
      <c r="G122" s="243"/>
      <c r="H122" s="243"/>
      <c r="I122" s="146"/>
      <c r="J122" s="44"/>
      <c r="K122" s="44"/>
      <c r="L122" s="117"/>
      <c r="M122" s="117">
        <v>3467.07</v>
      </c>
      <c r="N122" s="70">
        <v>50283.5</v>
      </c>
      <c r="O122" s="70">
        <v>57470</v>
      </c>
      <c r="P122" s="70">
        <v>57470</v>
      </c>
      <c r="Q122" s="624"/>
      <c r="R122" s="545"/>
      <c r="S122" s="546">
        <f>P122+Q122+R122</f>
        <v>57470</v>
      </c>
    </row>
    <row r="123" spans="1:19" ht="13.5" thickBot="1">
      <c r="A123" s="716"/>
      <c r="B123" s="314"/>
      <c r="C123" s="46" t="s">
        <v>355</v>
      </c>
      <c r="D123" s="60">
        <v>24298</v>
      </c>
      <c r="E123" s="60">
        <v>33957</v>
      </c>
      <c r="F123" s="60">
        <v>45476</v>
      </c>
      <c r="G123" s="60">
        <v>47207</v>
      </c>
      <c r="H123" s="60">
        <v>57100</v>
      </c>
      <c r="I123" s="46">
        <v>60450</v>
      </c>
      <c r="J123" s="44">
        <v>44399</v>
      </c>
      <c r="K123" s="44">
        <v>49200</v>
      </c>
      <c r="L123" s="224">
        <v>56398</v>
      </c>
      <c r="M123" s="224">
        <v>43002</v>
      </c>
      <c r="N123" s="30">
        <v>40000</v>
      </c>
      <c r="O123" s="30">
        <v>51000</v>
      </c>
      <c r="P123" s="30">
        <v>50000</v>
      </c>
      <c r="Q123" s="579"/>
      <c r="R123" s="556"/>
      <c r="S123" s="551">
        <f>P123+Q123+R123</f>
        <v>50000</v>
      </c>
    </row>
    <row r="124" spans="1:19" ht="15.75" thickBot="1">
      <c r="A124" s="213" t="s">
        <v>368</v>
      </c>
      <c r="B124" s="689" t="s">
        <v>96</v>
      </c>
      <c r="C124" s="705"/>
      <c r="D124" s="67">
        <v>16298</v>
      </c>
      <c r="E124" s="67">
        <f>SUM(E125:E136)</f>
        <v>196674</v>
      </c>
      <c r="F124" s="67">
        <f>SUM(F125:F136)</f>
        <v>276704</v>
      </c>
      <c r="G124" s="67">
        <v>322185</v>
      </c>
      <c r="H124" s="67">
        <v>434860</v>
      </c>
      <c r="I124" s="67">
        <f>SUM(I125:I136)</f>
        <v>399432</v>
      </c>
      <c r="J124" s="67">
        <f>SUM(J125:J136)</f>
        <v>332348</v>
      </c>
      <c r="K124" s="67">
        <f>SUM(K125:K136)</f>
        <v>315787</v>
      </c>
      <c r="L124" s="215">
        <f aca="true" t="shared" si="28" ref="L124:S124">SUM(L125:L138)</f>
        <v>311192.31999999995</v>
      </c>
      <c r="M124" s="215">
        <f t="shared" si="28"/>
        <v>355810.5</v>
      </c>
      <c r="N124" s="108">
        <f t="shared" si="28"/>
        <v>384915.19</v>
      </c>
      <c r="O124" s="108">
        <f t="shared" si="28"/>
        <v>385798</v>
      </c>
      <c r="P124" s="108">
        <f t="shared" si="28"/>
        <v>393633</v>
      </c>
      <c r="Q124" s="108">
        <f t="shared" si="28"/>
        <v>9000</v>
      </c>
      <c r="R124" s="108">
        <f t="shared" si="28"/>
        <v>0</v>
      </c>
      <c r="S124" s="68">
        <f t="shared" si="28"/>
        <v>402633</v>
      </c>
    </row>
    <row r="125" spans="1:19" ht="12.75">
      <c r="A125" s="715"/>
      <c r="B125" s="315"/>
      <c r="C125" s="225" t="s">
        <v>356</v>
      </c>
      <c r="D125" s="316">
        <v>4913</v>
      </c>
      <c r="E125" s="316">
        <v>3850</v>
      </c>
      <c r="F125" s="316">
        <v>5112</v>
      </c>
      <c r="G125" s="316"/>
      <c r="H125" s="316"/>
      <c r="I125" s="225">
        <v>6756</v>
      </c>
      <c r="J125" s="316">
        <v>7114</v>
      </c>
      <c r="K125" s="42">
        <v>7113</v>
      </c>
      <c r="L125" s="94">
        <v>7438.6</v>
      </c>
      <c r="M125" s="204">
        <v>12903.29</v>
      </c>
      <c r="N125" s="94">
        <v>10157.04</v>
      </c>
      <c r="O125" s="94">
        <v>12701</v>
      </c>
      <c r="P125" s="94">
        <v>14300</v>
      </c>
      <c r="Q125" s="623"/>
      <c r="R125" s="543"/>
      <c r="S125" s="544">
        <f aca="true" t="shared" si="29" ref="S125:S138">P125+Q125+R125</f>
        <v>14300</v>
      </c>
    </row>
    <row r="126" spans="1:19" ht="12.75" hidden="1">
      <c r="A126" s="718"/>
      <c r="B126" s="317"/>
      <c r="C126" s="227" t="s">
        <v>276</v>
      </c>
      <c r="D126" s="318"/>
      <c r="E126" s="318"/>
      <c r="F126" s="318"/>
      <c r="G126" s="318"/>
      <c r="H126" s="318"/>
      <c r="I126" s="319">
        <v>48971</v>
      </c>
      <c r="J126" s="318"/>
      <c r="K126" s="57"/>
      <c r="L126" s="22"/>
      <c r="M126" s="119"/>
      <c r="N126" s="22"/>
      <c r="O126" s="22">
        <v>0</v>
      </c>
      <c r="P126" s="22"/>
      <c r="Q126" s="624"/>
      <c r="R126" s="547"/>
      <c r="S126" s="548">
        <f t="shared" si="29"/>
        <v>0</v>
      </c>
    </row>
    <row r="127" spans="1:19" ht="12.75" hidden="1">
      <c r="A127" s="718"/>
      <c r="B127" s="317"/>
      <c r="C127" s="227" t="s">
        <v>262</v>
      </c>
      <c r="D127" s="318"/>
      <c r="E127" s="318"/>
      <c r="F127" s="318"/>
      <c r="G127" s="318"/>
      <c r="H127" s="318"/>
      <c r="I127" s="319">
        <v>24304</v>
      </c>
      <c r="J127" s="318">
        <v>10566</v>
      </c>
      <c r="K127" s="57">
        <v>3350</v>
      </c>
      <c r="L127" s="22">
        <v>4052</v>
      </c>
      <c r="M127" s="119">
        <v>10555.27</v>
      </c>
      <c r="N127" s="22"/>
      <c r="O127" s="22"/>
      <c r="P127" s="22">
        <v>0</v>
      </c>
      <c r="Q127" s="624"/>
      <c r="R127" s="545"/>
      <c r="S127" s="548">
        <f t="shared" si="29"/>
        <v>0</v>
      </c>
    </row>
    <row r="128" spans="1:19" ht="12.75">
      <c r="A128" s="718"/>
      <c r="B128" s="317"/>
      <c r="C128" s="227" t="s">
        <v>245</v>
      </c>
      <c r="D128" s="318"/>
      <c r="E128" s="318"/>
      <c r="F128" s="318"/>
      <c r="G128" s="318"/>
      <c r="H128" s="318"/>
      <c r="I128" s="319"/>
      <c r="J128" s="318"/>
      <c r="K128" s="57"/>
      <c r="L128" s="22"/>
      <c r="M128" s="119">
        <v>19000</v>
      </c>
      <c r="N128" s="22">
        <v>10407.57</v>
      </c>
      <c r="O128" s="22">
        <v>19000</v>
      </c>
      <c r="P128" s="22">
        <v>15000</v>
      </c>
      <c r="Q128" s="624"/>
      <c r="R128" s="545"/>
      <c r="S128" s="546">
        <f t="shared" si="29"/>
        <v>15000</v>
      </c>
    </row>
    <row r="129" spans="1:19" ht="12.75">
      <c r="A129" s="718"/>
      <c r="B129" s="317"/>
      <c r="C129" s="227" t="s">
        <v>405</v>
      </c>
      <c r="D129" s="318"/>
      <c r="E129" s="318"/>
      <c r="F129" s="318"/>
      <c r="G129" s="318"/>
      <c r="H129" s="318"/>
      <c r="I129" s="319"/>
      <c r="J129" s="318"/>
      <c r="K129" s="57"/>
      <c r="L129" s="22"/>
      <c r="M129" s="119"/>
      <c r="N129" s="22">
        <v>15000</v>
      </c>
      <c r="O129" s="22">
        <v>5000</v>
      </c>
      <c r="P129" s="22">
        <v>7000</v>
      </c>
      <c r="Q129" s="624"/>
      <c r="R129" s="545"/>
      <c r="S129" s="546">
        <f t="shared" si="29"/>
        <v>7000</v>
      </c>
    </row>
    <row r="130" spans="1:19" ht="12.75">
      <c r="A130" s="718"/>
      <c r="B130" s="320"/>
      <c r="C130" s="227" t="s">
        <v>357</v>
      </c>
      <c r="D130" s="207"/>
      <c r="E130" s="207">
        <v>7568</v>
      </c>
      <c r="F130" s="207">
        <v>15767</v>
      </c>
      <c r="G130" s="207">
        <v>15084</v>
      </c>
      <c r="H130" s="207"/>
      <c r="I130" s="227">
        <v>13552</v>
      </c>
      <c r="J130" s="207">
        <v>11060</v>
      </c>
      <c r="K130" s="44">
        <v>9650</v>
      </c>
      <c r="L130" s="26">
        <v>9100</v>
      </c>
      <c r="M130" s="206">
        <v>10889.5</v>
      </c>
      <c r="N130" s="26">
        <v>15000</v>
      </c>
      <c r="O130" s="26">
        <v>9200</v>
      </c>
      <c r="P130" s="26">
        <v>14000</v>
      </c>
      <c r="Q130" s="624"/>
      <c r="R130" s="545"/>
      <c r="S130" s="546">
        <f t="shared" si="29"/>
        <v>14000</v>
      </c>
    </row>
    <row r="131" spans="1:19" ht="12.75">
      <c r="A131" s="718"/>
      <c r="B131" s="320"/>
      <c r="C131" s="227" t="s">
        <v>392</v>
      </c>
      <c r="D131" s="207"/>
      <c r="E131" s="207"/>
      <c r="F131" s="207"/>
      <c r="G131" s="207"/>
      <c r="H131" s="207"/>
      <c r="I131" s="227"/>
      <c r="J131" s="207"/>
      <c r="K131" s="44"/>
      <c r="L131" s="26"/>
      <c r="M131" s="26"/>
      <c r="N131" s="26"/>
      <c r="O131" s="26">
        <v>10000</v>
      </c>
      <c r="P131" s="26">
        <v>0</v>
      </c>
      <c r="Q131" s="624"/>
      <c r="R131" s="545"/>
      <c r="S131" s="546">
        <f t="shared" si="29"/>
        <v>0</v>
      </c>
    </row>
    <row r="132" spans="1:19" ht="12.75">
      <c r="A132" s="718"/>
      <c r="B132" s="320"/>
      <c r="C132" s="227" t="s">
        <v>93</v>
      </c>
      <c r="D132" s="207"/>
      <c r="E132" s="207"/>
      <c r="F132" s="207"/>
      <c r="G132" s="207"/>
      <c r="H132" s="207"/>
      <c r="I132" s="227"/>
      <c r="J132" s="207"/>
      <c r="K132" s="44"/>
      <c r="L132" s="26"/>
      <c r="M132" s="26"/>
      <c r="N132" s="26">
        <v>256.58</v>
      </c>
      <c r="O132" s="26">
        <v>4000</v>
      </c>
      <c r="P132" s="26">
        <v>5000</v>
      </c>
      <c r="Q132" s="624"/>
      <c r="R132" s="545"/>
      <c r="S132" s="546">
        <f t="shared" si="29"/>
        <v>5000</v>
      </c>
    </row>
    <row r="133" spans="1:19" ht="12.75">
      <c r="A133" s="718"/>
      <c r="B133" s="320"/>
      <c r="C133" s="227" t="s">
        <v>485</v>
      </c>
      <c r="D133" s="207"/>
      <c r="E133" s="207"/>
      <c r="F133" s="207"/>
      <c r="G133" s="207"/>
      <c r="H133" s="207"/>
      <c r="I133" s="227"/>
      <c r="J133" s="207"/>
      <c r="K133" s="44"/>
      <c r="L133" s="26"/>
      <c r="M133" s="26"/>
      <c r="N133" s="26">
        <v>4000</v>
      </c>
      <c r="O133" s="26">
        <v>4000</v>
      </c>
      <c r="P133" s="26">
        <v>7000</v>
      </c>
      <c r="Q133" s="652">
        <v>9000</v>
      </c>
      <c r="R133" s="545"/>
      <c r="S133" s="546">
        <f t="shared" si="29"/>
        <v>16000</v>
      </c>
    </row>
    <row r="134" spans="1:19" ht="12.75">
      <c r="A134" s="718"/>
      <c r="B134" s="320"/>
      <c r="C134" s="227" t="s">
        <v>240</v>
      </c>
      <c r="D134" s="207"/>
      <c r="E134" s="207">
        <v>58189</v>
      </c>
      <c r="F134" s="207">
        <v>75483</v>
      </c>
      <c r="G134" s="207">
        <v>91400</v>
      </c>
      <c r="H134" s="207"/>
      <c r="I134" s="227">
        <v>152242</v>
      </c>
      <c r="J134" s="207">
        <v>162681</v>
      </c>
      <c r="K134" s="44">
        <v>150333</v>
      </c>
      <c r="L134" s="26">
        <v>119218</v>
      </c>
      <c r="M134" s="206">
        <v>148153</v>
      </c>
      <c r="N134" s="26">
        <v>76969</v>
      </c>
      <c r="O134" s="26">
        <v>72600</v>
      </c>
      <c r="P134" s="26">
        <v>75500</v>
      </c>
      <c r="Q134" s="624"/>
      <c r="R134" s="545"/>
      <c r="S134" s="546">
        <f t="shared" si="29"/>
        <v>75500</v>
      </c>
    </row>
    <row r="135" spans="1:19" ht="12.75">
      <c r="A135" s="718"/>
      <c r="B135" s="320"/>
      <c r="C135" s="227" t="s">
        <v>241</v>
      </c>
      <c r="D135" s="207"/>
      <c r="E135" s="207">
        <v>99250</v>
      </c>
      <c r="F135" s="207">
        <v>153754</v>
      </c>
      <c r="G135" s="207">
        <v>143286</v>
      </c>
      <c r="H135" s="207"/>
      <c r="I135" s="227">
        <v>86643</v>
      </c>
      <c r="J135" s="207">
        <v>82311</v>
      </c>
      <c r="K135" s="44">
        <v>93232</v>
      </c>
      <c r="L135" s="26">
        <v>109100</v>
      </c>
      <c r="M135" s="206">
        <v>88221</v>
      </c>
      <c r="N135" s="26">
        <v>81209</v>
      </c>
      <c r="O135" s="26">
        <v>74463</v>
      </c>
      <c r="P135" s="26">
        <v>77400</v>
      </c>
      <c r="Q135" s="624"/>
      <c r="R135" s="545"/>
      <c r="S135" s="546">
        <f t="shared" si="29"/>
        <v>77400</v>
      </c>
    </row>
    <row r="136" spans="1:19" ht="12.75">
      <c r="A136" s="718"/>
      <c r="B136" s="321"/>
      <c r="C136" s="43" t="s">
        <v>242</v>
      </c>
      <c r="D136" s="44"/>
      <c r="E136" s="44">
        <v>27817</v>
      </c>
      <c r="F136" s="44">
        <v>26588</v>
      </c>
      <c r="G136" s="44">
        <v>25790</v>
      </c>
      <c r="H136" s="44"/>
      <c r="I136" s="43">
        <v>66964</v>
      </c>
      <c r="J136" s="44">
        <v>58616</v>
      </c>
      <c r="K136" s="44">
        <v>52109</v>
      </c>
      <c r="L136" s="44">
        <v>49442</v>
      </c>
      <c r="M136" s="115">
        <v>49808</v>
      </c>
      <c r="N136" s="26">
        <v>60863</v>
      </c>
      <c r="O136" s="26">
        <v>65562</v>
      </c>
      <c r="P136" s="26">
        <v>67942</v>
      </c>
      <c r="Q136" s="624"/>
      <c r="R136" s="545"/>
      <c r="S136" s="546">
        <f t="shared" si="29"/>
        <v>67942</v>
      </c>
    </row>
    <row r="137" spans="1:19" ht="12.75">
      <c r="A137" s="718"/>
      <c r="B137" s="438"/>
      <c r="C137" s="47" t="s">
        <v>243</v>
      </c>
      <c r="D137" s="74"/>
      <c r="E137" s="74"/>
      <c r="F137" s="74"/>
      <c r="G137" s="74"/>
      <c r="H137" s="74"/>
      <c r="I137" s="47"/>
      <c r="J137" s="74"/>
      <c r="K137" s="74"/>
      <c r="L137" s="74">
        <v>12841.72</v>
      </c>
      <c r="M137" s="252">
        <v>16280.44</v>
      </c>
      <c r="N137" s="30">
        <v>18152</v>
      </c>
      <c r="O137" s="30">
        <v>24031</v>
      </c>
      <c r="P137" s="30">
        <v>24298</v>
      </c>
      <c r="Q137" s="624"/>
      <c r="R137" s="545"/>
      <c r="S137" s="546">
        <f t="shared" si="29"/>
        <v>24298</v>
      </c>
    </row>
    <row r="138" spans="1:19" ht="13.5" thickBot="1">
      <c r="A138" s="716"/>
      <c r="B138" s="322"/>
      <c r="C138" s="46" t="s">
        <v>244</v>
      </c>
      <c r="D138" s="60"/>
      <c r="E138" s="60"/>
      <c r="F138" s="60"/>
      <c r="G138" s="60"/>
      <c r="H138" s="60"/>
      <c r="I138" s="46"/>
      <c r="J138" s="60"/>
      <c r="K138" s="60"/>
      <c r="L138" s="60"/>
      <c r="M138" s="60"/>
      <c r="N138" s="48">
        <v>92901</v>
      </c>
      <c r="O138" s="48">
        <v>85241</v>
      </c>
      <c r="P138" s="48">
        <v>86193</v>
      </c>
      <c r="Q138" s="579"/>
      <c r="R138" s="556"/>
      <c r="S138" s="551">
        <f t="shared" si="29"/>
        <v>86193</v>
      </c>
    </row>
    <row r="139" spans="1:19" ht="15.75" thickBot="1">
      <c r="A139" s="291" t="s">
        <v>358</v>
      </c>
      <c r="B139" s="689" t="s">
        <v>0</v>
      </c>
      <c r="C139" s="705"/>
      <c r="D139" s="67">
        <f>SUM(D140:D141)</f>
        <v>0</v>
      </c>
      <c r="E139" s="67">
        <f>SUM(E140:E141)</f>
        <v>44944</v>
      </c>
      <c r="F139" s="67">
        <f>SUM(F140:F141)</f>
        <v>55765</v>
      </c>
      <c r="G139" s="67">
        <f>SUM(G140:G141)</f>
        <v>48780</v>
      </c>
      <c r="H139" s="67">
        <f aca="true" t="shared" si="30" ref="H139:M139">SUM(H140:H141)</f>
        <v>52570</v>
      </c>
      <c r="I139" s="67">
        <f t="shared" si="30"/>
        <v>48691</v>
      </c>
      <c r="J139" s="67">
        <f t="shared" si="30"/>
        <v>46108</v>
      </c>
      <c r="K139" s="79">
        <f t="shared" si="30"/>
        <v>47470</v>
      </c>
      <c r="L139" s="80">
        <f t="shared" si="30"/>
        <v>48334.8</v>
      </c>
      <c r="M139" s="80">
        <f t="shared" si="30"/>
        <v>45244.8</v>
      </c>
      <c r="N139" s="393">
        <f aca="true" t="shared" si="31" ref="N139:S139">SUM(N140:N141)</f>
        <v>51246.22</v>
      </c>
      <c r="O139" s="393">
        <f t="shared" si="31"/>
        <v>48850</v>
      </c>
      <c r="P139" s="393">
        <f t="shared" si="31"/>
        <v>50314</v>
      </c>
      <c r="Q139" s="108">
        <f t="shared" si="31"/>
        <v>0</v>
      </c>
      <c r="R139" s="108">
        <f t="shared" si="31"/>
        <v>0</v>
      </c>
      <c r="S139" s="68">
        <f t="shared" si="31"/>
        <v>50314</v>
      </c>
    </row>
    <row r="140" spans="1:19" ht="12.75">
      <c r="A140" s="715"/>
      <c r="B140" s="230">
        <v>630</v>
      </c>
      <c r="C140" s="225" t="s">
        <v>249</v>
      </c>
      <c r="D140" s="316"/>
      <c r="E140" s="316">
        <v>36679</v>
      </c>
      <c r="F140" s="316">
        <v>46803</v>
      </c>
      <c r="G140" s="316">
        <v>39726</v>
      </c>
      <c r="H140" s="316">
        <v>43006</v>
      </c>
      <c r="I140" s="225">
        <v>38795</v>
      </c>
      <c r="J140" s="225">
        <v>36600</v>
      </c>
      <c r="K140" s="42">
        <v>37500</v>
      </c>
      <c r="L140" s="204">
        <v>40890</v>
      </c>
      <c r="M140" s="204">
        <v>37800</v>
      </c>
      <c r="N140" s="94">
        <v>39750</v>
      </c>
      <c r="O140" s="94">
        <v>36600</v>
      </c>
      <c r="P140" s="94">
        <v>38064</v>
      </c>
      <c r="Q140" s="623"/>
      <c r="R140" s="543"/>
      <c r="S140" s="544">
        <f>P140+Q140+R140</f>
        <v>38064</v>
      </c>
    </row>
    <row r="141" spans="1:19" ht="13.5" thickBot="1">
      <c r="A141" s="716"/>
      <c r="B141" s="251">
        <v>630</v>
      </c>
      <c r="C141" s="299" t="s">
        <v>1</v>
      </c>
      <c r="D141" s="301"/>
      <c r="E141" s="301">
        <v>8265</v>
      </c>
      <c r="F141" s="301">
        <v>8962</v>
      </c>
      <c r="G141" s="301">
        <v>9054</v>
      </c>
      <c r="H141" s="301">
        <v>9564</v>
      </c>
      <c r="I141" s="299">
        <v>9896</v>
      </c>
      <c r="J141" s="299">
        <v>9508</v>
      </c>
      <c r="K141" s="60">
        <v>9970</v>
      </c>
      <c r="L141" s="253">
        <v>7444.8</v>
      </c>
      <c r="M141" s="253">
        <v>7444.8</v>
      </c>
      <c r="N141" s="48">
        <v>11496.22</v>
      </c>
      <c r="O141" s="48">
        <v>12250</v>
      </c>
      <c r="P141" s="48">
        <v>12250</v>
      </c>
      <c r="Q141" s="579"/>
      <c r="R141" s="556"/>
      <c r="S141" s="551">
        <f>P141+Q141+R141</f>
        <v>12250</v>
      </c>
    </row>
    <row r="142" spans="1:19" ht="15.75" thickBot="1">
      <c r="A142" s="265" t="s">
        <v>86</v>
      </c>
      <c r="B142" s="689" t="s">
        <v>2</v>
      </c>
      <c r="C142" s="705"/>
      <c r="D142" s="67">
        <v>6008</v>
      </c>
      <c r="E142" s="67">
        <f>SUM(E143:E146)</f>
        <v>6373</v>
      </c>
      <c r="F142" s="67">
        <f>SUM(F143:F146)</f>
        <v>76413</v>
      </c>
      <c r="G142" s="67">
        <f>SUM(G143:G146)</f>
        <v>50904</v>
      </c>
      <c r="H142" s="67">
        <v>43602</v>
      </c>
      <c r="I142" s="67">
        <f aca="true" t="shared" si="32" ref="I142:S142">SUM(I143:I146)</f>
        <v>80402</v>
      </c>
      <c r="J142" s="67">
        <f t="shared" si="32"/>
        <v>65201</v>
      </c>
      <c r="K142" s="67">
        <f t="shared" si="32"/>
        <v>82763</v>
      </c>
      <c r="L142" s="215">
        <f t="shared" si="32"/>
        <v>85325.96</v>
      </c>
      <c r="M142" s="215">
        <f t="shared" si="32"/>
        <v>98428.31</v>
      </c>
      <c r="N142" s="108">
        <f t="shared" si="32"/>
        <v>91637.84999999999</v>
      </c>
      <c r="O142" s="108">
        <f t="shared" si="32"/>
        <v>93985</v>
      </c>
      <c r="P142" s="108">
        <f t="shared" si="32"/>
        <v>97000</v>
      </c>
      <c r="Q142" s="108">
        <f t="shared" si="32"/>
        <v>0</v>
      </c>
      <c r="R142" s="108">
        <f t="shared" si="32"/>
        <v>0</v>
      </c>
      <c r="S142" s="68">
        <f t="shared" si="32"/>
        <v>97000</v>
      </c>
    </row>
    <row r="143" spans="1:19" ht="12.75">
      <c r="A143" s="727"/>
      <c r="B143" s="733"/>
      <c r="C143" s="41" t="s">
        <v>3</v>
      </c>
      <c r="D143" s="42"/>
      <c r="E143" s="42">
        <v>5842</v>
      </c>
      <c r="F143" s="42">
        <v>6108</v>
      </c>
      <c r="G143" s="42">
        <v>13480</v>
      </c>
      <c r="H143" s="42">
        <v>6009</v>
      </c>
      <c r="I143" s="41">
        <v>6900</v>
      </c>
      <c r="J143" s="316">
        <v>3787</v>
      </c>
      <c r="K143" s="42">
        <v>3290</v>
      </c>
      <c r="L143" s="204">
        <v>1483</v>
      </c>
      <c r="M143" s="204">
        <v>9142.95</v>
      </c>
      <c r="N143" s="94">
        <v>5153.01</v>
      </c>
      <c r="O143" s="94"/>
      <c r="P143" s="94"/>
      <c r="Q143" s="592"/>
      <c r="R143" s="606"/>
      <c r="S143" s="607">
        <f>P143+Q143+R143</f>
        <v>0</v>
      </c>
    </row>
    <row r="144" spans="1:19" ht="12.75">
      <c r="A144" s="728"/>
      <c r="B144" s="734"/>
      <c r="C144" s="43" t="s">
        <v>190</v>
      </c>
      <c r="D144" s="44"/>
      <c r="E144" s="44"/>
      <c r="F144" s="44"/>
      <c r="G144" s="44"/>
      <c r="H144" s="44"/>
      <c r="I144" s="43"/>
      <c r="J144" s="207"/>
      <c r="K144" s="44"/>
      <c r="L144" s="119"/>
      <c r="M144" s="119"/>
      <c r="N144" s="22"/>
      <c r="O144" s="22">
        <v>5000</v>
      </c>
      <c r="P144" s="22"/>
      <c r="Q144" s="623"/>
      <c r="R144" s="559"/>
      <c r="S144" s="560">
        <f>P144+Q144+R144</f>
        <v>0</v>
      </c>
    </row>
    <row r="145" spans="1:19" ht="12.75">
      <c r="A145" s="728"/>
      <c r="B145" s="734"/>
      <c r="C145" s="43" t="s">
        <v>4</v>
      </c>
      <c r="D145" s="44"/>
      <c r="E145" s="44">
        <v>0</v>
      </c>
      <c r="F145" s="44">
        <v>66388</v>
      </c>
      <c r="G145" s="44">
        <v>33390</v>
      </c>
      <c r="H145" s="44">
        <v>32749</v>
      </c>
      <c r="I145" s="43">
        <v>70000</v>
      </c>
      <c r="J145" s="207">
        <v>59118</v>
      </c>
      <c r="K145" s="44">
        <v>75103</v>
      </c>
      <c r="L145" s="206">
        <v>81056.96</v>
      </c>
      <c r="M145" s="206">
        <v>86285.36</v>
      </c>
      <c r="N145" s="26">
        <v>5874.72</v>
      </c>
      <c r="O145" s="26">
        <v>85985</v>
      </c>
      <c r="P145" s="26">
        <v>94000</v>
      </c>
      <c r="Q145" s="624"/>
      <c r="R145" s="545"/>
      <c r="S145" s="546">
        <f>P145+Q145+R145</f>
        <v>94000</v>
      </c>
    </row>
    <row r="146" spans="1:19" ht="13.5" thickBot="1">
      <c r="A146" s="729"/>
      <c r="B146" s="735"/>
      <c r="C146" s="116" t="s">
        <v>5</v>
      </c>
      <c r="D146" s="211"/>
      <c r="E146" s="211">
        <v>531</v>
      </c>
      <c r="F146" s="211">
        <v>3917</v>
      </c>
      <c r="G146" s="211">
        <v>4034</v>
      </c>
      <c r="H146" s="211">
        <v>796</v>
      </c>
      <c r="I146" s="116">
        <v>3502</v>
      </c>
      <c r="J146" s="301">
        <v>2296</v>
      </c>
      <c r="K146" s="60">
        <v>4370</v>
      </c>
      <c r="L146" s="212">
        <v>2786</v>
      </c>
      <c r="M146" s="212">
        <v>3000</v>
      </c>
      <c r="N146" s="77">
        <v>80610.12</v>
      </c>
      <c r="O146" s="77">
        <v>3000</v>
      </c>
      <c r="P146" s="77">
        <v>3000</v>
      </c>
      <c r="Q146" s="608"/>
      <c r="R146" s="589"/>
      <c r="S146" s="590">
        <f>P146+Q146+R146</f>
        <v>3000</v>
      </c>
    </row>
    <row r="147" spans="1:19" ht="15.75" thickBot="1">
      <c r="A147" s="213" t="s">
        <v>6</v>
      </c>
      <c r="B147" s="689" t="s">
        <v>7</v>
      </c>
      <c r="C147" s="705"/>
      <c r="D147" s="67">
        <v>2960832</v>
      </c>
      <c r="E147" s="67">
        <v>3369814</v>
      </c>
      <c r="F147" s="67">
        <v>3780057</v>
      </c>
      <c r="G147" s="67">
        <v>4405952.43</v>
      </c>
      <c r="H147" s="67">
        <v>4455752</v>
      </c>
      <c r="I147" s="67">
        <f aca="true" t="shared" si="33" ref="I147:N147">I148+I153</f>
        <v>4609033</v>
      </c>
      <c r="J147" s="67">
        <f t="shared" si="33"/>
        <v>4840194</v>
      </c>
      <c r="K147" s="67">
        <f t="shared" si="33"/>
        <v>4773475</v>
      </c>
      <c r="L147" s="215">
        <f>L148+L153</f>
        <v>4944992.85</v>
      </c>
      <c r="M147" s="215">
        <f t="shared" si="33"/>
        <v>5255422.85</v>
      </c>
      <c r="N147" s="108">
        <f t="shared" si="33"/>
        <v>5401219.45</v>
      </c>
      <c r="O147" s="108">
        <f>O148+O153</f>
        <v>5430325</v>
      </c>
      <c r="P147" s="108">
        <f>P148+P153</f>
        <v>5777143</v>
      </c>
      <c r="Q147" s="108">
        <f>Q148+Q153</f>
        <v>-23319</v>
      </c>
      <c r="R147" s="108">
        <f>R148+R153</f>
        <v>0</v>
      </c>
      <c r="S147" s="68">
        <f>S148+S153</f>
        <v>5753824</v>
      </c>
    </row>
    <row r="148" spans="1:19" ht="13.5" thickBot="1">
      <c r="A148" s="727"/>
      <c r="B148" s="738" t="s">
        <v>263</v>
      </c>
      <c r="C148" s="739"/>
      <c r="D148" s="64">
        <v>29177</v>
      </c>
      <c r="E148" s="64">
        <v>27518</v>
      </c>
      <c r="F148" s="64">
        <v>28447</v>
      </c>
      <c r="G148" s="64">
        <v>30677</v>
      </c>
      <c r="H148" s="64">
        <v>31410</v>
      </c>
      <c r="I148" s="64">
        <f aca="true" t="shared" si="34" ref="I148:N148">SUM(I149:I151)</f>
        <v>41249</v>
      </c>
      <c r="J148" s="64">
        <f t="shared" si="34"/>
        <v>38808</v>
      </c>
      <c r="K148" s="64">
        <f t="shared" si="34"/>
        <v>36313</v>
      </c>
      <c r="L148" s="156">
        <f>SUM(L149:L151)</f>
        <v>35493.83</v>
      </c>
      <c r="M148" s="156">
        <f>SUM(M149:M152)</f>
        <v>51463.89000000001</v>
      </c>
      <c r="N148" s="99">
        <f t="shared" si="34"/>
        <v>56202.630000000005</v>
      </c>
      <c r="O148" s="99">
        <f>SUM(O149:O151)</f>
        <v>58357</v>
      </c>
      <c r="P148" s="99">
        <f>SUM(P149:P151)</f>
        <v>61955</v>
      </c>
      <c r="Q148" s="99">
        <f>SUM(Q149:Q151)</f>
        <v>-4723</v>
      </c>
      <c r="R148" s="99">
        <f>SUM(R149:R151)</f>
        <v>0</v>
      </c>
      <c r="S148" s="65">
        <f>SUM(S149:S151)</f>
        <v>57232</v>
      </c>
    </row>
    <row r="149" spans="1:19" ht="12.75">
      <c r="A149" s="728"/>
      <c r="B149" s="308">
        <v>610</v>
      </c>
      <c r="C149" s="72" t="s">
        <v>291</v>
      </c>
      <c r="D149" s="243"/>
      <c r="E149" s="243">
        <v>18854</v>
      </c>
      <c r="F149" s="243">
        <v>18290</v>
      </c>
      <c r="G149" s="243">
        <v>19464</v>
      </c>
      <c r="H149" s="243">
        <v>22248</v>
      </c>
      <c r="I149" s="146">
        <v>29541</v>
      </c>
      <c r="J149" s="207">
        <v>26330</v>
      </c>
      <c r="K149" s="44">
        <v>25388</v>
      </c>
      <c r="L149" s="243">
        <v>24578.53</v>
      </c>
      <c r="M149" s="483">
        <v>33902.8</v>
      </c>
      <c r="N149" s="500">
        <v>34953.55</v>
      </c>
      <c r="O149" s="500">
        <v>39892</v>
      </c>
      <c r="P149" s="500">
        <v>42599</v>
      </c>
      <c r="Q149" s="651">
        <v>-3500</v>
      </c>
      <c r="R149" s="543"/>
      <c r="S149" s="544">
        <f>P149+Q149+R149</f>
        <v>39099</v>
      </c>
    </row>
    <row r="150" spans="1:19" ht="12.75">
      <c r="A150" s="728"/>
      <c r="B150" s="231">
        <v>620</v>
      </c>
      <c r="C150" s="43" t="s">
        <v>292</v>
      </c>
      <c r="D150" s="44"/>
      <c r="E150" s="44">
        <v>6473</v>
      </c>
      <c r="F150" s="44">
        <v>6340</v>
      </c>
      <c r="G150" s="44">
        <v>6869</v>
      </c>
      <c r="H150" s="44">
        <v>6877</v>
      </c>
      <c r="I150" s="43">
        <v>9575</v>
      </c>
      <c r="J150" s="207">
        <v>9735</v>
      </c>
      <c r="K150" s="44">
        <v>9358</v>
      </c>
      <c r="L150" s="44">
        <v>9719.8</v>
      </c>
      <c r="M150" s="193">
        <v>11551.79</v>
      </c>
      <c r="N150" s="97">
        <v>12736.3</v>
      </c>
      <c r="O150" s="97">
        <v>14410</v>
      </c>
      <c r="P150" s="97">
        <v>15356</v>
      </c>
      <c r="Q150" s="652">
        <v>-1223</v>
      </c>
      <c r="R150" s="545"/>
      <c r="S150" s="546">
        <f>P150+Q150+R150</f>
        <v>14133</v>
      </c>
    </row>
    <row r="151" spans="1:19" ht="13.5" thickBot="1">
      <c r="A151" s="728"/>
      <c r="B151" s="205">
        <v>630</v>
      </c>
      <c r="C151" s="43" t="s">
        <v>293</v>
      </c>
      <c r="D151" s="60"/>
      <c r="E151" s="60">
        <v>2191</v>
      </c>
      <c r="F151" s="60">
        <v>3817</v>
      </c>
      <c r="G151" s="60">
        <v>4344</v>
      </c>
      <c r="H151" s="60">
        <v>2285</v>
      </c>
      <c r="I151" s="46">
        <v>2133</v>
      </c>
      <c r="J151" s="207">
        <v>2743</v>
      </c>
      <c r="K151" s="44">
        <v>1567</v>
      </c>
      <c r="L151" s="44">
        <v>1195.5</v>
      </c>
      <c r="M151" s="115">
        <v>1127.3</v>
      </c>
      <c r="N151" s="26">
        <v>8512.78</v>
      </c>
      <c r="O151" s="26">
        <v>4055</v>
      </c>
      <c r="P151" s="26">
        <v>4000</v>
      </c>
      <c r="Q151" s="624"/>
      <c r="R151" s="545"/>
      <c r="S151" s="546">
        <f>P151+Q151+R151</f>
        <v>4000</v>
      </c>
    </row>
    <row r="152" spans="1:19" ht="13.5" thickBot="1">
      <c r="A152" s="728"/>
      <c r="B152" s="45">
        <v>640</v>
      </c>
      <c r="C152" s="261" t="s">
        <v>294</v>
      </c>
      <c r="D152" s="211"/>
      <c r="E152" s="211"/>
      <c r="F152" s="211"/>
      <c r="G152" s="211"/>
      <c r="H152" s="211"/>
      <c r="I152" s="116"/>
      <c r="J152" s="234"/>
      <c r="K152" s="243"/>
      <c r="L152" s="243"/>
      <c r="M152" s="480">
        <v>4882</v>
      </c>
      <c r="N152" s="70"/>
      <c r="O152" s="70"/>
      <c r="P152" s="70"/>
      <c r="Q152" s="626"/>
      <c r="R152" s="552"/>
      <c r="S152" s="553">
        <f>P152+Q152+R152</f>
        <v>0</v>
      </c>
    </row>
    <row r="153" spans="1:19" ht="13.5" thickBot="1">
      <c r="A153" s="728"/>
      <c r="B153" s="736" t="s">
        <v>8</v>
      </c>
      <c r="C153" s="737"/>
      <c r="D153" s="37">
        <v>2931655</v>
      </c>
      <c r="E153" s="37">
        <v>3342296</v>
      </c>
      <c r="F153" s="37">
        <v>3751610</v>
      </c>
      <c r="G153" s="37">
        <v>4375275.43</v>
      </c>
      <c r="H153" s="37">
        <v>4424342</v>
      </c>
      <c r="I153" s="37">
        <f aca="true" t="shared" si="35" ref="I153:S153">SUM(I154:I162)</f>
        <v>4567784</v>
      </c>
      <c r="J153" s="37">
        <f t="shared" si="35"/>
        <v>4801386</v>
      </c>
      <c r="K153" s="37">
        <f t="shared" si="35"/>
        <v>4737162</v>
      </c>
      <c r="L153" s="323">
        <f t="shared" si="35"/>
        <v>4909499.02</v>
      </c>
      <c r="M153" s="323">
        <f t="shared" si="35"/>
        <v>5203958.96</v>
      </c>
      <c r="N153" s="130">
        <f t="shared" si="35"/>
        <v>5345016.82</v>
      </c>
      <c r="O153" s="130">
        <f t="shared" si="35"/>
        <v>5371968</v>
      </c>
      <c r="P153" s="130">
        <f t="shared" si="35"/>
        <v>5715188</v>
      </c>
      <c r="Q153" s="130">
        <f t="shared" si="35"/>
        <v>-18596</v>
      </c>
      <c r="R153" s="130">
        <f t="shared" si="35"/>
        <v>0</v>
      </c>
      <c r="S153" s="38">
        <f t="shared" si="35"/>
        <v>5696592</v>
      </c>
    </row>
    <row r="154" spans="1:19" ht="12.75">
      <c r="A154" s="728"/>
      <c r="B154" s="733"/>
      <c r="C154" s="72" t="s">
        <v>9</v>
      </c>
      <c r="D154" s="57">
        <v>1541725</v>
      </c>
      <c r="E154" s="57">
        <v>1718084</v>
      </c>
      <c r="F154" s="57">
        <v>1793999</v>
      </c>
      <c r="G154" s="57">
        <v>1958942</v>
      </c>
      <c r="H154" s="57">
        <v>2084677</v>
      </c>
      <c r="I154" s="72">
        <v>2039732</v>
      </c>
      <c r="J154" s="57">
        <v>2241882</v>
      </c>
      <c r="K154" s="57">
        <v>2385291</v>
      </c>
      <c r="L154" s="119">
        <v>2363727.67</v>
      </c>
      <c r="M154" s="119">
        <v>2385302.7</v>
      </c>
      <c r="N154" s="22">
        <v>2457964.41</v>
      </c>
      <c r="O154" s="22">
        <v>2364586</v>
      </c>
      <c r="P154" s="22">
        <v>2409096</v>
      </c>
      <c r="Q154" s="651"/>
      <c r="R154" s="543"/>
      <c r="S154" s="544">
        <f aca="true" t="shared" si="36" ref="S154:S162">P154+Q154+R154</f>
        <v>2409096</v>
      </c>
    </row>
    <row r="155" spans="1:19" ht="12.75">
      <c r="A155" s="728"/>
      <c r="B155" s="734"/>
      <c r="C155" s="43" t="s">
        <v>10</v>
      </c>
      <c r="D155" s="44">
        <v>1389930</v>
      </c>
      <c r="E155" s="44">
        <v>1591682</v>
      </c>
      <c r="F155" s="44">
        <v>1867423</v>
      </c>
      <c r="G155" s="44">
        <v>2134669.43</v>
      </c>
      <c r="H155" s="44">
        <v>2069302</v>
      </c>
      <c r="I155" s="43">
        <v>2182809</v>
      </c>
      <c r="J155" s="44">
        <v>2169532</v>
      </c>
      <c r="K155" s="44">
        <v>1972245</v>
      </c>
      <c r="L155" s="206">
        <v>2097007.99</v>
      </c>
      <c r="M155" s="206">
        <v>2239643.29</v>
      </c>
      <c r="N155" s="26">
        <v>2410623.65</v>
      </c>
      <c r="O155" s="26">
        <v>2470060</v>
      </c>
      <c r="P155" s="26">
        <v>2614272</v>
      </c>
      <c r="Q155" s="624"/>
      <c r="R155" s="545"/>
      <c r="S155" s="546">
        <f t="shared" si="36"/>
        <v>2614272</v>
      </c>
    </row>
    <row r="156" spans="1:19" ht="12.75">
      <c r="A156" s="728"/>
      <c r="B156" s="734"/>
      <c r="C156" s="47" t="s">
        <v>11</v>
      </c>
      <c r="D156" s="74"/>
      <c r="E156" s="74"/>
      <c r="F156" s="74"/>
      <c r="G156" s="74"/>
      <c r="H156" s="74"/>
      <c r="I156" s="47"/>
      <c r="J156" s="47"/>
      <c r="K156" s="74">
        <v>6822</v>
      </c>
      <c r="L156" s="224">
        <v>58464.77</v>
      </c>
      <c r="M156" s="224">
        <v>145561.9699999993</v>
      </c>
      <c r="N156" s="30">
        <v>13019.76</v>
      </c>
      <c r="O156" s="30"/>
      <c r="P156" s="30"/>
      <c r="Q156" s="624"/>
      <c r="R156" s="545"/>
      <c r="S156" s="546">
        <f t="shared" si="36"/>
        <v>0</v>
      </c>
    </row>
    <row r="157" spans="1:19" ht="12.75">
      <c r="A157" s="728"/>
      <c r="B157" s="734"/>
      <c r="C157" s="47" t="s">
        <v>12</v>
      </c>
      <c r="D157" s="74"/>
      <c r="E157" s="74"/>
      <c r="F157" s="74"/>
      <c r="G157" s="74"/>
      <c r="H157" s="74"/>
      <c r="I157" s="47">
        <v>11276</v>
      </c>
      <c r="J157" s="47">
        <v>23184</v>
      </c>
      <c r="K157" s="74">
        <v>0</v>
      </c>
      <c r="L157" s="224">
        <v>4779.37</v>
      </c>
      <c r="M157" s="224">
        <v>0</v>
      </c>
      <c r="N157" s="30">
        <v>0</v>
      </c>
      <c r="O157" s="30"/>
      <c r="P157" s="30"/>
      <c r="Q157" s="624"/>
      <c r="R157" s="545"/>
      <c r="S157" s="546">
        <f t="shared" si="36"/>
        <v>0</v>
      </c>
    </row>
    <row r="158" spans="1:19" ht="12.75">
      <c r="A158" s="728"/>
      <c r="B158" s="734"/>
      <c r="C158" s="47" t="s">
        <v>455</v>
      </c>
      <c r="D158" s="74"/>
      <c r="E158" s="74"/>
      <c r="F158" s="74"/>
      <c r="G158" s="74"/>
      <c r="H158" s="74"/>
      <c r="I158" s="47"/>
      <c r="J158" s="47"/>
      <c r="K158" s="74"/>
      <c r="L158" s="224"/>
      <c r="M158" s="224"/>
      <c r="N158" s="30"/>
      <c r="O158" s="30"/>
      <c r="P158" s="30">
        <v>202930</v>
      </c>
      <c r="Q158" s="624"/>
      <c r="R158" s="545"/>
      <c r="S158" s="546">
        <f t="shared" si="36"/>
        <v>202930</v>
      </c>
    </row>
    <row r="159" spans="1:19" ht="12.75">
      <c r="A159" s="728"/>
      <c r="B159" s="734"/>
      <c r="C159" s="47" t="s">
        <v>13</v>
      </c>
      <c r="D159" s="74"/>
      <c r="E159" s="74"/>
      <c r="F159" s="74"/>
      <c r="G159" s="74"/>
      <c r="H159" s="74">
        <v>2568</v>
      </c>
      <c r="I159" s="47">
        <v>2134</v>
      </c>
      <c r="J159" s="47"/>
      <c r="K159" s="74">
        <v>0</v>
      </c>
      <c r="L159" s="224">
        <v>240.97</v>
      </c>
      <c r="M159" s="224">
        <v>0</v>
      </c>
      <c r="N159" s="30">
        <v>0</v>
      </c>
      <c r="O159" s="30"/>
      <c r="P159" s="30"/>
      <c r="Q159" s="624"/>
      <c r="R159" s="545"/>
      <c r="S159" s="546">
        <f t="shared" si="36"/>
        <v>0</v>
      </c>
    </row>
    <row r="160" spans="1:19" ht="12.75">
      <c r="A160" s="728"/>
      <c r="B160" s="734"/>
      <c r="C160" s="47" t="s">
        <v>14</v>
      </c>
      <c r="D160" s="74"/>
      <c r="E160" s="74"/>
      <c r="F160" s="74"/>
      <c r="G160" s="74"/>
      <c r="H160" s="74"/>
      <c r="I160" s="47"/>
      <c r="J160" s="47"/>
      <c r="K160" s="74"/>
      <c r="L160" s="224">
        <v>8661.25</v>
      </c>
      <c r="M160" s="224"/>
      <c r="N160" s="30">
        <v>0</v>
      </c>
      <c r="O160" s="30"/>
      <c r="P160" s="30"/>
      <c r="Q160" s="624"/>
      <c r="R160" s="545"/>
      <c r="S160" s="546">
        <f t="shared" si="36"/>
        <v>0</v>
      </c>
    </row>
    <row r="161" spans="1:19" ht="12.75">
      <c r="A161" s="728"/>
      <c r="B161" s="734"/>
      <c r="C161" s="47" t="s">
        <v>393</v>
      </c>
      <c r="D161" s="74"/>
      <c r="E161" s="74"/>
      <c r="F161" s="74"/>
      <c r="G161" s="74"/>
      <c r="H161" s="74">
        <v>2166</v>
      </c>
      <c r="I161" s="47">
        <v>10924</v>
      </c>
      <c r="J161" s="47">
        <v>33868</v>
      </c>
      <c r="K161" s="74">
        <v>0</v>
      </c>
      <c r="L161" s="224"/>
      <c r="M161" s="224"/>
      <c r="N161" s="30">
        <v>0</v>
      </c>
      <c r="O161" s="30">
        <v>7756</v>
      </c>
      <c r="P161" s="30">
        <v>0</v>
      </c>
      <c r="Q161" s="624"/>
      <c r="R161" s="545"/>
      <c r="S161" s="546">
        <f t="shared" si="36"/>
        <v>0</v>
      </c>
    </row>
    <row r="162" spans="1:19" ht="13.5" thickBot="1">
      <c r="A162" s="729"/>
      <c r="B162" s="735"/>
      <c r="C162" s="46" t="s">
        <v>15</v>
      </c>
      <c r="D162" s="60"/>
      <c r="E162" s="60">
        <v>32530</v>
      </c>
      <c r="F162" s="60">
        <v>90188</v>
      </c>
      <c r="G162" s="60">
        <v>281664</v>
      </c>
      <c r="H162" s="60">
        <v>265629</v>
      </c>
      <c r="I162" s="46">
        <v>320909</v>
      </c>
      <c r="J162" s="46">
        <v>332920</v>
      </c>
      <c r="K162" s="60">
        <v>372804</v>
      </c>
      <c r="L162" s="253">
        <v>376617</v>
      </c>
      <c r="M162" s="253">
        <v>433451</v>
      </c>
      <c r="N162" s="48">
        <v>463409</v>
      </c>
      <c r="O162" s="48">
        <v>529566</v>
      </c>
      <c r="P162" s="48">
        <v>488890</v>
      </c>
      <c r="Q162" s="654">
        <v>-18596</v>
      </c>
      <c r="R162" s="589"/>
      <c r="S162" s="590">
        <f t="shared" si="36"/>
        <v>470294</v>
      </c>
    </row>
    <row r="163" spans="1:19" ht="15.75" hidden="1" thickBot="1">
      <c r="A163" s="324" t="s">
        <v>16</v>
      </c>
      <c r="B163" s="689" t="s">
        <v>17</v>
      </c>
      <c r="C163" s="705"/>
      <c r="D163" s="67">
        <v>14672</v>
      </c>
      <c r="E163" s="67">
        <v>18356</v>
      </c>
      <c r="F163" s="67">
        <v>24962</v>
      </c>
      <c r="G163" s="67">
        <v>26012</v>
      </c>
      <c r="H163" s="67">
        <v>24167</v>
      </c>
      <c r="I163" s="67">
        <f aca="true" t="shared" si="37" ref="I163:N163">SUM(I164:I167)</f>
        <v>21978</v>
      </c>
      <c r="J163" s="67">
        <f t="shared" si="37"/>
        <v>26182</v>
      </c>
      <c r="K163" s="67">
        <f t="shared" si="37"/>
        <v>16605</v>
      </c>
      <c r="L163" s="215">
        <f t="shared" si="37"/>
        <v>19312.66</v>
      </c>
      <c r="M163" s="215">
        <f t="shared" si="37"/>
        <v>17232.5</v>
      </c>
      <c r="N163" s="108">
        <f t="shared" si="37"/>
        <v>19393.890000000003</v>
      </c>
      <c r="O163" s="108">
        <f>SUM(O164:O166)</f>
        <v>0</v>
      </c>
      <c r="P163" s="108">
        <v>0</v>
      </c>
      <c r="Q163" s="639">
        <v>0</v>
      </c>
      <c r="R163" s="436">
        <v>0</v>
      </c>
      <c r="S163" s="470">
        <v>0</v>
      </c>
    </row>
    <row r="164" spans="1:19" ht="12.75" hidden="1">
      <c r="A164" s="740"/>
      <c r="B164" s="325">
        <v>610</v>
      </c>
      <c r="C164" s="72" t="s">
        <v>291</v>
      </c>
      <c r="D164" s="57"/>
      <c r="E164" s="57">
        <v>11817</v>
      </c>
      <c r="F164" s="57">
        <v>16331</v>
      </c>
      <c r="G164" s="57">
        <v>16188</v>
      </c>
      <c r="H164" s="57">
        <v>16639</v>
      </c>
      <c r="I164" s="57">
        <v>14808</v>
      </c>
      <c r="J164" s="57">
        <v>14984</v>
      </c>
      <c r="K164" s="57">
        <v>11095</v>
      </c>
      <c r="L164" s="119">
        <v>11946.75</v>
      </c>
      <c r="M164" s="119">
        <v>12156.96</v>
      </c>
      <c r="N164" s="22">
        <v>13480.65</v>
      </c>
      <c r="O164" s="22"/>
      <c r="P164" s="22">
        <v>0</v>
      </c>
      <c r="Q164" s="623"/>
      <c r="R164" s="543"/>
      <c r="S164" s="544">
        <f>P164+Q164+R164</f>
        <v>0</v>
      </c>
    </row>
    <row r="165" spans="1:19" ht="12.75" hidden="1">
      <c r="A165" s="741"/>
      <c r="B165" s="205">
        <v>620</v>
      </c>
      <c r="C165" s="43" t="s">
        <v>292</v>
      </c>
      <c r="D165" s="44"/>
      <c r="E165" s="44">
        <v>3983</v>
      </c>
      <c r="F165" s="44">
        <v>5610</v>
      </c>
      <c r="G165" s="44">
        <v>5689</v>
      </c>
      <c r="H165" s="44">
        <v>5822</v>
      </c>
      <c r="I165" s="44">
        <v>5320</v>
      </c>
      <c r="J165" s="44">
        <v>5972</v>
      </c>
      <c r="K165" s="44">
        <v>4227</v>
      </c>
      <c r="L165" s="206">
        <v>4902.95</v>
      </c>
      <c r="M165" s="206">
        <v>3941.03</v>
      </c>
      <c r="N165" s="26">
        <v>4701.62</v>
      </c>
      <c r="O165" s="26"/>
      <c r="P165" s="26">
        <v>0</v>
      </c>
      <c r="Q165" s="624"/>
      <c r="R165" s="545"/>
      <c r="S165" s="546">
        <f>P165+Q165+R165</f>
        <v>0</v>
      </c>
    </row>
    <row r="166" spans="1:19" ht="12.75" hidden="1">
      <c r="A166" s="741"/>
      <c r="B166" s="205">
        <v>630</v>
      </c>
      <c r="C166" s="43" t="s">
        <v>293</v>
      </c>
      <c r="D166" s="44"/>
      <c r="E166" s="44">
        <v>2556</v>
      </c>
      <c r="F166" s="44">
        <v>3021</v>
      </c>
      <c r="G166" s="44">
        <v>4135</v>
      </c>
      <c r="H166" s="44">
        <v>1706</v>
      </c>
      <c r="I166" s="44">
        <f>1591+259</f>
        <v>1850</v>
      </c>
      <c r="J166" s="44">
        <v>1495</v>
      </c>
      <c r="K166" s="44">
        <v>1200</v>
      </c>
      <c r="L166" s="206">
        <v>931.46</v>
      </c>
      <c r="M166" s="206">
        <v>1055.02</v>
      </c>
      <c r="N166" s="26">
        <v>1132.97</v>
      </c>
      <c r="O166" s="26"/>
      <c r="P166" s="26">
        <v>0</v>
      </c>
      <c r="Q166" s="624"/>
      <c r="R166" s="545"/>
      <c r="S166" s="546">
        <f>P166+Q166+R166</f>
        <v>0</v>
      </c>
    </row>
    <row r="167" spans="1:19" ht="13.5" hidden="1" thickBot="1">
      <c r="A167" s="742"/>
      <c r="B167" s="326">
        <v>640</v>
      </c>
      <c r="C167" s="46" t="s">
        <v>18</v>
      </c>
      <c r="D167" s="60"/>
      <c r="E167" s="60"/>
      <c r="F167" s="60"/>
      <c r="G167" s="60"/>
      <c r="H167" s="60"/>
      <c r="I167" s="60"/>
      <c r="J167" s="60">
        <v>3731</v>
      </c>
      <c r="K167" s="243">
        <v>83</v>
      </c>
      <c r="L167" s="117">
        <v>1531.5</v>
      </c>
      <c r="M167" s="117">
        <v>79.49</v>
      </c>
      <c r="N167" s="70">
        <v>78.65</v>
      </c>
      <c r="O167" s="70"/>
      <c r="P167" s="70"/>
      <c r="Q167" s="579"/>
      <c r="R167" s="556"/>
      <c r="S167" s="551">
        <f>P167+Q167+R167</f>
        <v>0</v>
      </c>
    </row>
    <row r="168" spans="1:19" ht="15.75" thickBot="1">
      <c r="A168" s="213" t="s">
        <v>19</v>
      </c>
      <c r="B168" s="689" t="s">
        <v>20</v>
      </c>
      <c r="C168" s="705"/>
      <c r="D168" s="67">
        <v>42988</v>
      </c>
      <c r="E168" s="67">
        <v>41924</v>
      </c>
      <c r="F168" s="67">
        <v>49127</v>
      </c>
      <c r="G168" s="67">
        <v>48507</v>
      </c>
      <c r="H168" s="67">
        <v>53865</v>
      </c>
      <c r="I168" s="67">
        <f aca="true" t="shared" si="38" ref="I168:S168">I169+I176+I175</f>
        <v>59113.2</v>
      </c>
      <c r="J168" s="67">
        <f t="shared" si="38"/>
        <v>51352</v>
      </c>
      <c r="K168" s="67">
        <f t="shared" si="38"/>
        <v>57413</v>
      </c>
      <c r="L168" s="215">
        <f t="shared" si="38"/>
        <v>142019.73</v>
      </c>
      <c r="M168" s="215">
        <f t="shared" si="38"/>
        <v>67235.89000000001</v>
      </c>
      <c r="N168" s="108">
        <f t="shared" si="38"/>
        <v>59484.65</v>
      </c>
      <c r="O168" s="108">
        <f t="shared" si="38"/>
        <v>64466</v>
      </c>
      <c r="P168" s="108">
        <f t="shared" si="38"/>
        <v>102212</v>
      </c>
      <c r="Q168" s="108">
        <f t="shared" si="38"/>
        <v>0</v>
      </c>
      <c r="R168" s="108">
        <f t="shared" si="38"/>
        <v>0</v>
      </c>
      <c r="S168" s="68">
        <f t="shared" si="38"/>
        <v>102212</v>
      </c>
    </row>
    <row r="169" spans="1:19" ht="13.5" thickBot="1">
      <c r="A169" s="727"/>
      <c r="B169" s="738" t="s">
        <v>21</v>
      </c>
      <c r="C169" s="739"/>
      <c r="D169" s="64">
        <v>39801</v>
      </c>
      <c r="E169" s="64">
        <v>41194</v>
      </c>
      <c r="F169" s="64">
        <v>47169</v>
      </c>
      <c r="G169" s="64">
        <v>47600</v>
      </c>
      <c r="H169" s="64">
        <v>53724</v>
      </c>
      <c r="I169" s="64">
        <f>SUM(I170:I172)</f>
        <v>56208.2</v>
      </c>
      <c r="J169" s="64">
        <f>SUM(J170:J172)</f>
        <v>47897</v>
      </c>
      <c r="K169" s="64">
        <f>SUM(K170:K173)</f>
        <v>54913</v>
      </c>
      <c r="L169" s="156">
        <f>SUM(L170:L173)</f>
        <v>59991.65</v>
      </c>
      <c r="M169" s="156">
        <f>SUM(M170:M173)</f>
        <v>64735.89000000001</v>
      </c>
      <c r="N169" s="99">
        <f>SUM(N170:N173)</f>
        <v>54463.6</v>
      </c>
      <c r="O169" s="99">
        <f>SUM(O170:O172)</f>
        <v>61446</v>
      </c>
      <c r="P169" s="99">
        <f>SUM(P170:P174)</f>
        <v>97212</v>
      </c>
      <c r="Q169" s="99">
        <f>SUM(Q170:Q174)</f>
        <v>0</v>
      </c>
      <c r="R169" s="99">
        <f>SUM(R170:R174)</f>
        <v>0</v>
      </c>
      <c r="S169" s="65">
        <f>SUM(S170:S174)</f>
        <v>97212</v>
      </c>
    </row>
    <row r="170" spans="1:19" ht="12.75">
      <c r="A170" s="728"/>
      <c r="B170" s="308">
        <v>610</v>
      </c>
      <c r="C170" s="72" t="s">
        <v>291</v>
      </c>
      <c r="D170" s="57"/>
      <c r="E170" s="57">
        <v>22141</v>
      </c>
      <c r="F170" s="57">
        <v>25294</v>
      </c>
      <c r="G170" s="57">
        <v>27320</v>
      </c>
      <c r="H170" s="57">
        <v>30945</v>
      </c>
      <c r="I170" s="57">
        <v>30403</v>
      </c>
      <c r="J170" s="57">
        <v>28630</v>
      </c>
      <c r="K170" s="57">
        <v>28741</v>
      </c>
      <c r="L170" s="119">
        <v>31950.86</v>
      </c>
      <c r="M170" s="119">
        <v>36896.54</v>
      </c>
      <c r="N170" s="22">
        <v>32643.72</v>
      </c>
      <c r="O170" s="22">
        <v>34798</v>
      </c>
      <c r="P170" s="22">
        <v>37615</v>
      </c>
      <c r="Q170" s="623"/>
      <c r="R170" s="543"/>
      <c r="S170" s="544">
        <f>P170+Q170+R170</f>
        <v>37615</v>
      </c>
    </row>
    <row r="171" spans="1:19" ht="12.75">
      <c r="A171" s="728"/>
      <c r="B171" s="231">
        <v>620</v>
      </c>
      <c r="C171" s="43" t="s">
        <v>292</v>
      </c>
      <c r="D171" s="44"/>
      <c r="E171" s="44">
        <v>8265</v>
      </c>
      <c r="F171" s="44">
        <v>9427</v>
      </c>
      <c r="G171" s="44">
        <v>10234</v>
      </c>
      <c r="H171" s="44">
        <v>11482</v>
      </c>
      <c r="I171" s="44">
        <f>11947-(14.4+22.4+180)</f>
        <v>11730.2</v>
      </c>
      <c r="J171" s="44">
        <v>10691</v>
      </c>
      <c r="K171" s="44">
        <v>10646</v>
      </c>
      <c r="L171" s="206">
        <v>12860.64</v>
      </c>
      <c r="M171" s="206">
        <v>12687.37</v>
      </c>
      <c r="N171" s="26">
        <v>12446.38</v>
      </c>
      <c r="O171" s="26">
        <v>13098</v>
      </c>
      <c r="P171" s="26">
        <v>14047</v>
      </c>
      <c r="Q171" s="624"/>
      <c r="R171" s="545"/>
      <c r="S171" s="546">
        <f>P171+Q171+R171</f>
        <v>14047</v>
      </c>
    </row>
    <row r="172" spans="1:19" ht="12.75">
      <c r="A172" s="728"/>
      <c r="B172" s="309">
        <v>630</v>
      </c>
      <c r="C172" s="47" t="s">
        <v>293</v>
      </c>
      <c r="D172" s="44"/>
      <c r="E172" s="44">
        <v>10788</v>
      </c>
      <c r="F172" s="44">
        <v>12448</v>
      </c>
      <c r="G172" s="44">
        <v>10046</v>
      </c>
      <c r="H172" s="44">
        <v>11297</v>
      </c>
      <c r="I172" s="44">
        <f>16682-(2550+28+110)+81</f>
        <v>14075</v>
      </c>
      <c r="J172" s="44">
        <f>11880-3455+151</f>
        <v>8576</v>
      </c>
      <c r="K172" s="44">
        <v>15451</v>
      </c>
      <c r="L172" s="115">
        <v>15180.15</v>
      </c>
      <c r="M172" s="115">
        <v>15023.18</v>
      </c>
      <c r="N172" s="26">
        <v>9257.17</v>
      </c>
      <c r="O172" s="26">
        <v>13550</v>
      </c>
      <c r="P172" s="26">
        <v>13550</v>
      </c>
      <c r="Q172" s="624"/>
      <c r="R172" s="545"/>
      <c r="S172" s="546">
        <f>P172+Q172+R172</f>
        <v>13550</v>
      </c>
    </row>
    <row r="173" spans="1:19" ht="12.75">
      <c r="A173" s="728"/>
      <c r="B173" s="205">
        <v>640</v>
      </c>
      <c r="C173" s="227" t="s">
        <v>294</v>
      </c>
      <c r="D173" s="207"/>
      <c r="E173" s="207"/>
      <c r="F173" s="207"/>
      <c r="G173" s="207"/>
      <c r="H173" s="207"/>
      <c r="I173" s="44"/>
      <c r="J173" s="44"/>
      <c r="K173" s="44">
        <v>75</v>
      </c>
      <c r="L173" s="26"/>
      <c r="M173" s="206">
        <v>128.8</v>
      </c>
      <c r="N173" s="26">
        <v>116.33</v>
      </c>
      <c r="O173" s="26"/>
      <c r="P173" s="26"/>
      <c r="Q173" s="624"/>
      <c r="R173" s="547"/>
      <c r="S173" s="548">
        <f>P173+Q173+R173</f>
        <v>0</v>
      </c>
    </row>
    <row r="174" spans="1:19" ht="13.5" thickBot="1">
      <c r="A174" s="728"/>
      <c r="B174" s="326">
        <v>630</v>
      </c>
      <c r="C174" s="299" t="s">
        <v>454</v>
      </c>
      <c r="D174" s="301"/>
      <c r="E174" s="301"/>
      <c r="F174" s="301"/>
      <c r="G174" s="301"/>
      <c r="H174" s="301"/>
      <c r="I174" s="60"/>
      <c r="J174" s="60"/>
      <c r="K174" s="60"/>
      <c r="L174" s="48"/>
      <c r="M174" s="253"/>
      <c r="N174" s="48"/>
      <c r="O174" s="48"/>
      <c r="P174" s="48">
        <v>32000</v>
      </c>
      <c r="Q174" s="608"/>
      <c r="R174" s="589"/>
      <c r="S174" s="590">
        <f>P174+Q174+R174</f>
        <v>32000</v>
      </c>
    </row>
    <row r="175" spans="1:19" ht="13.5" hidden="1" thickBot="1">
      <c r="A175" s="728"/>
      <c r="B175" s="311">
        <v>630</v>
      </c>
      <c r="C175" s="261" t="s">
        <v>201</v>
      </c>
      <c r="D175" s="297"/>
      <c r="E175" s="297"/>
      <c r="F175" s="297"/>
      <c r="G175" s="297"/>
      <c r="H175" s="297"/>
      <c r="I175" s="327"/>
      <c r="J175" s="327"/>
      <c r="K175" s="60"/>
      <c r="L175" s="212">
        <v>82028.08</v>
      </c>
      <c r="M175" s="77"/>
      <c r="N175" s="77"/>
      <c r="O175" s="77"/>
      <c r="P175" s="77"/>
      <c r="Q175" s="622">
        <v>0</v>
      </c>
      <c r="R175" s="561"/>
      <c r="S175" s="562"/>
    </row>
    <row r="176" spans="1:19" ht="13.5" thickBot="1">
      <c r="A176" s="728"/>
      <c r="B176" s="736" t="s">
        <v>22</v>
      </c>
      <c r="C176" s="737"/>
      <c r="D176" s="328">
        <v>3187</v>
      </c>
      <c r="E176" s="328">
        <v>730</v>
      </c>
      <c r="F176" s="328">
        <v>1958</v>
      </c>
      <c r="G176" s="328">
        <v>907</v>
      </c>
      <c r="H176" s="328">
        <v>141</v>
      </c>
      <c r="I176" s="327">
        <f aca="true" t="shared" si="39" ref="I176:S176">I177</f>
        <v>2905</v>
      </c>
      <c r="J176" s="327">
        <f t="shared" si="39"/>
        <v>3455</v>
      </c>
      <c r="K176" s="327">
        <f t="shared" si="39"/>
        <v>2500</v>
      </c>
      <c r="L176" s="327">
        <v>0</v>
      </c>
      <c r="M176" s="514">
        <f t="shared" si="39"/>
        <v>2500</v>
      </c>
      <c r="N176" s="327">
        <f t="shared" si="39"/>
        <v>5021.05</v>
      </c>
      <c r="O176" s="327">
        <f t="shared" si="39"/>
        <v>3020</v>
      </c>
      <c r="P176" s="327">
        <f t="shared" si="39"/>
        <v>5000</v>
      </c>
      <c r="Q176" s="327">
        <f t="shared" si="39"/>
        <v>0</v>
      </c>
      <c r="R176" s="327">
        <f t="shared" si="39"/>
        <v>0</v>
      </c>
      <c r="S176" s="643">
        <f t="shared" si="39"/>
        <v>5000</v>
      </c>
    </row>
    <row r="177" spans="1:19" ht="13.5" thickBot="1">
      <c r="A177" s="729"/>
      <c r="B177" s="329">
        <v>630</v>
      </c>
      <c r="C177" s="46" t="s">
        <v>293</v>
      </c>
      <c r="D177" s="60">
        <v>3187</v>
      </c>
      <c r="E177" s="60">
        <v>730</v>
      </c>
      <c r="F177" s="60">
        <v>1958</v>
      </c>
      <c r="G177" s="60">
        <v>907</v>
      </c>
      <c r="H177" s="60">
        <v>141</v>
      </c>
      <c r="I177" s="46">
        <v>2905</v>
      </c>
      <c r="J177" s="46">
        <v>3455</v>
      </c>
      <c r="K177" s="60">
        <v>2500</v>
      </c>
      <c r="L177" s="48">
        <v>0</v>
      </c>
      <c r="M177" s="253">
        <v>2500</v>
      </c>
      <c r="N177" s="48">
        <v>5021.05</v>
      </c>
      <c r="O177" s="48">
        <v>3020</v>
      </c>
      <c r="P177" s="48">
        <v>5000</v>
      </c>
      <c r="Q177" s="622"/>
      <c r="R177" s="554"/>
      <c r="S177" s="555">
        <f>P177+Q177+R177</f>
        <v>5000</v>
      </c>
    </row>
    <row r="178" spans="1:19" ht="15.75" thickBot="1">
      <c r="A178" s="330" t="s">
        <v>19</v>
      </c>
      <c r="B178" s="726" t="s">
        <v>23</v>
      </c>
      <c r="C178" s="711"/>
      <c r="D178" s="79">
        <v>90752</v>
      </c>
      <c r="E178" s="79">
        <v>96030</v>
      </c>
      <c r="F178" s="79">
        <v>117540</v>
      </c>
      <c r="G178" s="79">
        <v>141455</v>
      </c>
      <c r="H178" s="79">
        <f aca="true" t="shared" si="40" ref="H178:S178">SUM(H179:H183)</f>
        <v>157876</v>
      </c>
      <c r="I178" s="79">
        <f t="shared" si="40"/>
        <v>153798</v>
      </c>
      <c r="J178" s="79">
        <f t="shared" si="40"/>
        <v>141580</v>
      </c>
      <c r="K178" s="79">
        <f t="shared" si="40"/>
        <v>144793</v>
      </c>
      <c r="L178" s="80">
        <f t="shared" si="40"/>
        <v>138341.56</v>
      </c>
      <c r="M178" s="80">
        <f t="shared" si="40"/>
        <v>147764.81</v>
      </c>
      <c r="N178" s="393">
        <f t="shared" si="40"/>
        <v>187629.79</v>
      </c>
      <c r="O178" s="393">
        <f t="shared" si="40"/>
        <v>227824</v>
      </c>
      <c r="P178" s="393">
        <f t="shared" si="40"/>
        <v>240502</v>
      </c>
      <c r="Q178" s="393">
        <f t="shared" si="40"/>
        <v>0</v>
      </c>
      <c r="R178" s="393">
        <f t="shared" si="40"/>
        <v>0</v>
      </c>
      <c r="S178" s="642">
        <f t="shared" si="40"/>
        <v>240502</v>
      </c>
    </row>
    <row r="179" spans="1:19" ht="12.75">
      <c r="A179" s="727"/>
      <c r="B179" s="230">
        <v>610</v>
      </c>
      <c r="C179" s="41" t="s">
        <v>291</v>
      </c>
      <c r="D179" s="42"/>
      <c r="E179" s="42">
        <v>65691</v>
      </c>
      <c r="F179" s="42">
        <v>80097</v>
      </c>
      <c r="G179" s="42">
        <v>93395</v>
      </c>
      <c r="H179" s="42">
        <v>102238</v>
      </c>
      <c r="I179" s="41">
        <v>102422</v>
      </c>
      <c r="J179" s="42">
        <v>93404</v>
      </c>
      <c r="K179" s="42">
        <v>93846</v>
      </c>
      <c r="L179" s="204">
        <v>85213.93</v>
      </c>
      <c r="M179" s="152">
        <v>101710.97</v>
      </c>
      <c r="N179" s="94">
        <v>126027.75</v>
      </c>
      <c r="O179" s="94">
        <v>156816</v>
      </c>
      <c r="P179" s="94">
        <v>166659</v>
      </c>
      <c r="Q179" s="592"/>
      <c r="R179" s="587"/>
      <c r="S179" s="544">
        <f>P179+Q179+R179</f>
        <v>166659</v>
      </c>
    </row>
    <row r="180" spans="1:19" ht="12.75">
      <c r="A180" s="728"/>
      <c r="B180" s="231">
        <v>620</v>
      </c>
      <c r="C180" s="43" t="s">
        <v>292</v>
      </c>
      <c r="D180" s="44"/>
      <c r="E180" s="44">
        <v>22738</v>
      </c>
      <c r="F180" s="44">
        <v>27783</v>
      </c>
      <c r="G180" s="44">
        <v>32056</v>
      </c>
      <c r="H180" s="44">
        <v>35361</v>
      </c>
      <c r="I180" s="43">
        <v>35526</v>
      </c>
      <c r="J180" s="44">
        <v>32703</v>
      </c>
      <c r="K180" s="44">
        <v>32877</v>
      </c>
      <c r="L180" s="206">
        <v>32579.829999999994</v>
      </c>
      <c r="M180" s="115">
        <v>29560.18</v>
      </c>
      <c r="N180" s="26">
        <v>41405.87</v>
      </c>
      <c r="O180" s="26">
        <v>55238</v>
      </c>
      <c r="P180" s="26">
        <v>58643</v>
      </c>
      <c r="Q180" s="624"/>
      <c r="R180" s="545"/>
      <c r="S180" s="546">
        <f>P180+Q180+R180</f>
        <v>58643</v>
      </c>
    </row>
    <row r="181" spans="1:19" ht="12.75">
      <c r="A181" s="728"/>
      <c r="B181" s="309">
        <v>630</v>
      </c>
      <c r="C181" s="47" t="s">
        <v>293</v>
      </c>
      <c r="D181" s="74"/>
      <c r="E181" s="74">
        <v>7369</v>
      </c>
      <c r="F181" s="74">
        <v>8830</v>
      </c>
      <c r="G181" s="74">
        <v>15669</v>
      </c>
      <c r="H181" s="74">
        <v>19477</v>
      </c>
      <c r="I181" s="47">
        <v>15050</v>
      </c>
      <c r="J181" s="44">
        <v>14133</v>
      </c>
      <c r="K181" s="44">
        <v>17748</v>
      </c>
      <c r="L181" s="224">
        <v>20156.86</v>
      </c>
      <c r="M181" s="224">
        <v>15870.11</v>
      </c>
      <c r="N181" s="30">
        <v>19809.26</v>
      </c>
      <c r="O181" s="30">
        <v>15770</v>
      </c>
      <c r="P181" s="30">
        <v>15200</v>
      </c>
      <c r="Q181" s="624"/>
      <c r="R181" s="545"/>
      <c r="S181" s="546">
        <f>P181+Q181+R181</f>
        <v>15200</v>
      </c>
    </row>
    <row r="182" spans="1:19" ht="13.5" thickBot="1">
      <c r="A182" s="728"/>
      <c r="B182" s="251">
        <v>640</v>
      </c>
      <c r="C182" s="46" t="s">
        <v>294</v>
      </c>
      <c r="D182" s="60"/>
      <c r="E182" s="60"/>
      <c r="F182" s="60"/>
      <c r="G182" s="60"/>
      <c r="H182" s="60"/>
      <c r="I182" s="46"/>
      <c r="J182" s="60">
        <v>1340</v>
      </c>
      <c r="K182" s="60">
        <v>322</v>
      </c>
      <c r="L182" s="253">
        <v>390.94</v>
      </c>
      <c r="M182" s="253">
        <v>623.55</v>
      </c>
      <c r="N182" s="48">
        <v>386.91</v>
      </c>
      <c r="O182" s="48"/>
      <c r="P182" s="48"/>
      <c r="Q182" s="608"/>
      <c r="R182" s="589"/>
      <c r="S182" s="551">
        <f>P182+Q182+R182</f>
        <v>0</v>
      </c>
    </row>
    <row r="183" spans="1:19" ht="13.5" hidden="1" thickBot="1">
      <c r="A183" s="729"/>
      <c r="B183" s="233">
        <v>630</v>
      </c>
      <c r="C183" s="116" t="s">
        <v>24</v>
      </c>
      <c r="D183" s="211"/>
      <c r="E183" s="211">
        <v>232</v>
      </c>
      <c r="F183" s="211">
        <v>830</v>
      </c>
      <c r="G183" s="211">
        <v>335</v>
      </c>
      <c r="H183" s="211">
        <v>800</v>
      </c>
      <c r="I183" s="116">
        <v>800</v>
      </c>
      <c r="J183" s="116"/>
      <c r="K183" s="211"/>
      <c r="L183" s="77"/>
      <c r="M183" s="77"/>
      <c r="N183" s="77"/>
      <c r="O183" s="77"/>
      <c r="P183" s="77"/>
      <c r="Q183" s="622">
        <v>0</v>
      </c>
      <c r="R183" s="561"/>
      <c r="S183" s="562"/>
    </row>
    <row r="184" spans="1:19" ht="15.75" thickBot="1">
      <c r="A184" s="427" t="s">
        <v>25</v>
      </c>
      <c r="B184" s="726" t="s">
        <v>73</v>
      </c>
      <c r="C184" s="711"/>
      <c r="D184" s="267">
        <v>35152</v>
      </c>
      <c r="E184" s="267">
        <v>34654</v>
      </c>
      <c r="F184" s="267">
        <v>45741</v>
      </c>
      <c r="G184" s="267">
        <v>45381</v>
      </c>
      <c r="H184" s="79">
        <f>SUM(H185:H188)</f>
        <v>47758</v>
      </c>
      <c r="I184" s="79">
        <f>SUM(I185:I188)</f>
        <v>57427</v>
      </c>
      <c r="J184" s="79">
        <f>SUM(J185:J187)</f>
        <v>33860</v>
      </c>
      <c r="K184" s="79">
        <f>SUM(K185:K188)</f>
        <v>33843</v>
      </c>
      <c r="L184" s="80">
        <f>SUM(L185:L188)</f>
        <v>35020.590000000004</v>
      </c>
      <c r="M184" s="80">
        <f>SUM(M185:M188)</f>
        <v>40552.41</v>
      </c>
      <c r="N184" s="393">
        <f>SUM(N185:N188)</f>
        <v>37850.049999999996</v>
      </c>
      <c r="O184" s="393">
        <f>SUM(O185:O187)</f>
        <v>40597</v>
      </c>
      <c r="P184" s="393">
        <f>SUM(P185:P187)</f>
        <v>36904</v>
      </c>
      <c r="Q184" s="393">
        <f>SUM(Q185:Q187)</f>
        <v>0</v>
      </c>
      <c r="R184" s="393">
        <f>SUM(R185:R187)</f>
        <v>0</v>
      </c>
      <c r="S184" s="68">
        <f>SUM(S185:S187)</f>
        <v>36904</v>
      </c>
    </row>
    <row r="185" spans="1:19" ht="12.75">
      <c r="A185" s="730"/>
      <c r="B185" s="230">
        <v>610</v>
      </c>
      <c r="C185" s="225" t="s">
        <v>291</v>
      </c>
      <c r="D185" s="316"/>
      <c r="E185" s="316">
        <v>21277</v>
      </c>
      <c r="F185" s="316">
        <v>26622</v>
      </c>
      <c r="G185" s="316">
        <v>27938</v>
      </c>
      <c r="H185" s="316">
        <v>29205</v>
      </c>
      <c r="I185" s="42">
        <v>32982</v>
      </c>
      <c r="J185" s="42">
        <v>19537</v>
      </c>
      <c r="K185" s="42">
        <v>19331</v>
      </c>
      <c r="L185" s="204">
        <v>19931.3</v>
      </c>
      <c r="M185" s="204">
        <v>21474.28</v>
      </c>
      <c r="N185" s="94">
        <v>19698.37</v>
      </c>
      <c r="O185" s="94">
        <v>23566</v>
      </c>
      <c r="P185" s="94">
        <v>17130</v>
      </c>
      <c r="Q185" s="592"/>
      <c r="R185" s="587"/>
      <c r="S185" s="588">
        <f>P185+Q185+R185</f>
        <v>17130</v>
      </c>
    </row>
    <row r="186" spans="1:19" ht="12.75">
      <c r="A186" s="731"/>
      <c r="B186" s="231">
        <v>620</v>
      </c>
      <c r="C186" s="227" t="s">
        <v>292</v>
      </c>
      <c r="D186" s="207"/>
      <c r="E186" s="207">
        <v>8033</v>
      </c>
      <c r="F186" s="207">
        <v>9792</v>
      </c>
      <c r="G186" s="207">
        <v>10190</v>
      </c>
      <c r="H186" s="207">
        <v>10431</v>
      </c>
      <c r="I186" s="44">
        <v>13206</v>
      </c>
      <c r="J186" s="44">
        <v>7857</v>
      </c>
      <c r="K186" s="44">
        <v>7510</v>
      </c>
      <c r="L186" s="206">
        <v>8330.59</v>
      </c>
      <c r="M186" s="206">
        <v>7982.2</v>
      </c>
      <c r="N186" s="26">
        <v>7602.19</v>
      </c>
      <c r="O186" s="26">
        <v>8741</v>
      </c>
      <c r="P186" s="26">
        <v>6239</v>
      </c>
      <c r="Q186" s="624"/>
      <c r="R186" s="545"/>
      <c r="S186" s="546">
        <f>P186+Q186+R186</f>
        <v>6239</v>
      </c>
    </row>
    <row r="187" spans="1:19" ht="12.75">
      <c r="A187" s="731"/>
      <c r="B187" s="231">
        <v>630</v>
      </c>
      <c r="C187" s="227" t="s">
        <v>293</v>
      </c>
      <c r="D187" s="207"/>
      <c r="E187" s="207">
        <v>5344</v>
      </c>
      <c r="F187" s="207">
        <v>9327</v>
      </c>
      <c r="G187" s="207">
        <v>7253</v>
      </c>
      <c r="H187" s="207">
        <v>8122</v>
      </c>
      <c r="I187" s="44">
        <v>7483</v>
      </c>
      <c r="J187" s="44">
        <v>6466</v>
      </c>
      <c r="K187" s="44">
        <v>6899</v>
      </c>
      <c r="L187" s="206">
        <v>6669.76</v>
      </c>
      <c r="M187" s="206">
        <v>10990.38</v>
      </c>
      <c r="N187" s="26">
        <v>10449.24</v>
      </c>
      <c r="O187" s="26">
        <v>8290</v>
      </c>
      <c r="P187" s="26">
        <v>13535</v>
      </c>
      <c r="Q187" s="624"/>
      <c r="R187" s="545"/>
      <c r="S187" s="546">
        <f>P187+Q187+R187</f>
        <v>13535</v>
      </c>
    </row>
    <row r="188" spans="1:19" ht="13.5" thickBot="1">
      <c r="A188" s="732"/>
      <c r="B188" s="233">
        <v>640</v>
      </c>
      <c r="C188" s="261" t="s">
        <v>294</v>
      </c>
      <c r="D188" s="297"/>
      <c r="E188" s="297"/>
      <c r="F188" s="297"/>
      <c r="G188" s="297"/>
      <c r="H188" s="297"/>
      <c r="I188" s="211">
        <v>3756</v>
      </c>
      <c r="J188" s="211"/>
      <c r="K188" s="211">
        <v>103</v>
      </c>
      <c r="L188" s="331">
        <v>88.94</v>
      </c>
      <c r="M188" s="302">
        <v>105.55</v>
      </c>
      <c r="N188" s="48">
        <v>100.25</v>
      </c>
      <c r="O188" s="48"/>
      <c r="P188" s="48"/>
      <c r="Q188" s="608"/>
      <c r="R188" s="565"/>
      <c r="S188" s="566">
        <f>P188+Q188+R188</f>
        <v>0</v>
      </c>
    </row>
    <row r="189" spans="1:19" ht="45.75" customHeight="1" thickBot="1">
      <c r="A189" s="332" t="s">
        <v>26</v>
      </c>
      <c r="B189" s="721" t="s">
        <v>27</v>
      </c>
      <c r="C189" s="722"/>
      <c r="D189" s="333">
        <v>105855</v>
      </c>
      <c r="E189" s="333">
        <v>102071</v>
      </c>
      <c r="F189" s="333">
        <v>77475</v>
      </c>
      <c r="G189" s="333">
        <v>119794</v>
      </c>
      <c r="H189" s="334">
        <v>122484</v>
      </c>
      <c r="I189" s="334">
        <f>I190+I195+I196+I197+I198+I199+I201+I203+I200</f>
        <v>95592</v>
      </c>
      <c r="J189" s="334">
        <f>J190+J195+J196+J197+J198+J199+J201+J203+J200</f>
        <v>235945</v>
      </c>
      <c r="K189" s="334">
        <f>K190+K195+K196+K197+K198+K199+K201+K203+K200</f>
        <v>566990</v>
      </c>
      <c r="L189" s="335">
        <f>L190+L195+L196+L197+L198+L199+L201+L203+L200</f>
        <v>568843.26</v>
      </c>
      <c r="M189" s="335">
        <f>M190+M195+M198+M199+M200+M201-M200</f>
        <v>470939.2299999999</v>
      </c>
      <c r="N189" s="631">
        <f aca="true" t="shared" si="41" ref="N189:S189">SUM(N195:N203)+N190</f>
        <v>341351.46</v>
      </c>
      <c r="O189" s="631">
        <f t="shared" si="41"/>
        <v>284000</v>
      </c>
      <c r="P189" s="631">
        <f t="shared" si="41"/>
        <v>354956</v>
      </c>
      <c r="Q189" s="631">
        <f t="shared" si="41"/>
        <v>0</v>
      </c>
      <c r="R189" s="631">
        <f>SUM(R195:R203)+R190</f>
        <v>0</v>
      </c>
      <c r="S189" s="644">
        <f t="shared" si="41"/>
        <v>354956</v>
      </c>
    </row>
    <row r="190" spans="1:19" ht="26.25" customHeight="1" thickBot="1">
      <c r="A190" s="723"/>
      <c r="B190" s="724" t="s">
        <v>453</v>
      </c>
      <c r="C190" s="725"/>
      <c r="D190" s="336">
        <v>26024</v>
      </c>
      <c r="E190" s="336">
        <v>26422</v>
      </c>
      <c r="F190" s="336">
        <v>12381</v>
      </c>
      <c r="G190" s="336">
        <v>67096</v>
      </c>
      <c r="H190" s="337">
        <f aca="true" t="shared" si="42" ref="H190:S190">SUM(H191:H193)</f>
        <v>63788</v>
      </c>
      <c r="I190" s="337">
        <f t="shared" si="42"/>
        <v>2494</v>
      </c>
      <c r="J190" s="337">
        <f t="shared" si="42"/>
        <v>41385</v>
      </c>
      <c r="K190" s="337">
        <f>SUM(K191:K194)</f>
        <v>80229</v>
      </c>
      <c r="L190" s="338">
        <f>SUM(L191:L194)</f>
        <v>66952.96999999999</v>
      </c>
      <c r="M190" s="338">
        <f>SUM(M191:M194)</f>
        <v>85074.98</v>
      </c>
      <c r="N190" s="337">
        <f t="shared" si="42"/>
        <v>7365</v>
      </c>
      <c r="O190" s="337">
        <f t="shared" si="42"/>
        <v>4500</v>
      </c>
      <c r="P190" s="337">
        <f t="shared" si="42"/>
        <v>97832</v>
      </c>
      <c r="Q190" s="337">
        <f t="shared" si="42"/>
        <v>0</v>
      </c>
      <c r="R190" s="337">
        <f t="shared" si="42"/>
        <v>0</v>
      </c>
      <c r="S190" s="645">
        <f t="shared" si="42"/>
        <v>97832</v>
      </c>
    </row>
    <row r="191" spans="1:19" ht="12.75">
      <c r="A191" s="723"/>
      <c r="B191" s="203">
        <v>610</v>
      </c>
      <c r="C191" s="41" t="s">
        <v>291</v>
      </c>
      <c r="D191" s="42"/>
      <c r="E191" s="42">
        <v>16132</v>
      </c>
      <c r="F191" s="42">
        <v>7933</v>
      </c>
      <c r="G191" s="42">
        <v>43567</v>
      </c>
      <c r="H191" s="42">
        <v>42257</v>
      </c>
      <c r="I191" s="339">
        <v>2163</v>
      </c>
      <c r="J191" s="339">
        <v>27310</v>
      </c>
      <c r="K191" s="339">
        <v>54820</v>
      </c>
      <c r="L191" s="340">
        <v>43998.71</v>
      </c>
      <c r="M191" s="340">
        <v>61007.02</v>
      </c>
      <c r="N191" s="501">
        <v>1010.2</v>
      </c>
      <c r="O191" s="501">
        <v>0</v>
      </c>
      <c r="P191" s="501">
        <v>68681</v>
      </c>
      <c r="Q191" s="623"/>
      <c r="R191" s="543"/>
      <c r="S191" s="544">
        <f aca="true" t="shared" si="43" ref="S191:S203">P191+Q191+R191</f>
        <v>68681</v>
      </c>
    </row>
    <row r="192" spans="1:19" ht="12.75">
      <c r="A192" s="723"/>
      <c r="B192" s="205">
        <v>620</v>
      </c>
      <c r="C192" s="43" t="s">
        <v>292</v>
      </c>
      <c r="D192" s="44"/>
      <c r="E192" s="44">
        <v>5344</v>
      </c>
      <c r="F192" s="44">
        <v>2622</v>
      </c>
      <c r="G192" s="44">
        <v>14529</v>
      </c>
      <c r="H192" s="44">
        <v>14713</v>
      </c>
      <c r="I192" s="341">
        <v>323</v>
      </c>
      <c r="J192" s="341">
        <v>10254</v>
      </c>
      <c r="K192" s="341">
        <v>19614</v>
      </c>
      <c r="L192" s="342">
        <v>18142.44</v>
      </c>
      <c r="M192" s="342">
        <v>19303.48</v>
      </c>
      <c r="N192" s="343">
        <v>430.73</v>
      </c>
      <c r="O192" s="343">
        <v>0</v>
      </c>
      <c r="P192" s="343">
        <v>24651</v>
      </c>
      <c r="Q192" s="624"/>
      <c r="R192" s="545"/>
      <c r="S192" s="546">
        <f t="shared" si="43"/>
        <v>24651</v>
      </c>
    </row>
    <row r="193" spans="1:19" ht="12.75">
      <c r="A193" s="723"/>
      <c r="B193" s="205">
        <v>630</v>
      </c>
      <c r="C193" s="43" t="s">
        <v>293</v>
      </c>
      <c r="D193" s="44"/>
      <c r="E193" s="44">
        <v>4946</v>
      </c>
      <c r="F193" s="44">
        <v>1826</v>
      </c>
      <c r="G193" s="44">
        <v>9000</v>
      </c>
      <c r="H193" s="44">
        <v>6818</v>
      </c>
      <c r="I193" s="44">
        <v>8</v>
      </c>
      <c r="J193" s="44">
        <f>3526+295</f>
        <v>3821</v>
      </c>
      <c r="K193" s="341">
        <v>5011</v>
      </c>
      <c r="L193" s="342">
        <v>4277.15</v>
      </c>
      <c r="M193" s="342">
        <v>4479.7</v>
      </c>
      <c r="N193" s="343">
        <v>5924.07</v>
      </c>
      <c r="O193" s="343">
        <v>4500</v>
      </c>
      <c r="P193" s="343">
        <v>4500</v>
      </c>
      <c r="Q193" s="624"/>
      <c r="R193" s="545"/>
      <c r="S193" s="546">
        <f t="shared" si="43"/>
        <v>4500</v>
      </c>
    </row>
    <row r="194" spans="1:19" ht="13.5" thickBot="1">
      <c r="A194" s="723"/>
      <c r="B194" s="326"/>
      <c r="C194" s="299"/>
      <c r="D194" s="301"/>
      <c r="E194" s="301"/>
      <c r="F194" s="301"/>
      <c r="G194" s="301"/>
      <c r="H194" s="301"/>
      <c r="I194" s="301"/>
      <c r="J194" s="301"/>
      <c r="K194" s="344">
        <v>784</v>
      </c>
      <c r="L194" s="345">
        <v>534.67</v>
      </c>
      <c r="M194" s="345">
        <v>284.78</v>
      </c>
      <c r="N194" s="346"/>
      <c r="O194" s="346"/>
      <c r="P194" s="346"/>
      <c r="Q194" s="608"/>
      <c r="R194" s="565"/>
      <c r="S194" s="566">
        <f t="shared" si="43"/>
        <v>0</v>
      </c>
    </row>
    <row r="195" spans="1:19" ht="12.75">
      <c r="A195" s="723"/>
      <c r="B195" s="347"/>
      <c r="C195" s="319" t="s">
        <v>28</v>
      </c>
      <c r="D195" s="318"/>
      <c r="E195" s="318"/>
      <c r="F195" s="318"/>
      <c r="G195" s="318"/>
      <c r="H195" s="318"/>
      <c r="I195" s="319">
        <v>9265</v>
      </c>
      <c r="J195" s="207">
        <v>11343</v>
      </c>
      <c r="K195" s="44">
        <v>6313</v>
      </c>
      <c r="L195" s="119">
        <v>5404.14</v>
      </c>
      <c r="M195" s="119">
        <v>4327.68</v>
      </c>
      <c r="N195" s="22"/>
      <c r="O195" s="22">
        <v>7000</v>
      </c>
      <c r="P195" s="22">
        <v>7000</v>
      </c>
      <c r="Q195" s="623"/>
      <c r="R195" s="22"/>
      <c r="S195" s="544">
        <f t="shared" si="43"/>
        <v>7000</v>
      </c>
    </row>
    <row r="196" spans="1:19" ht="12.75">
      <c r="A196" s="723"/>
      <c r="B196" s="348"/>
      <c r="C196" s="227" t="s">
        <v>29</v>
      </c>
      <c r="D196" s="207"/>
      <c r="E196" s="207"/>
      <c r="F196" s="207"/>
      <c r="G196" s="207"/>
      <c r="H196" s="207"/>
      <c r="I196" s="227"/>
      <c r="J196" s="207"/>
      <c r="K196" s="44"/>
      <c r="L196" s="206"/>
      <c r="M196" s="26"/>
      <c r="N196" s="26">
        <v>0</v>
      </c>
      <c r="O196" s="26">
        <v>22376</v>
      </c>
      <c r="P196" s="26"/>
      <c r="Q196" s="624"/>
      <c r="R196" s="26"/>
      <c r="S196" s="546">
        <f t="shared" si="43"/>
        <v>0</v>
      </c>
    </row>
    <row r="197" spans="1:19" ht="12.75" customHeight="1">
      <c r="A197" s="723"/>
      <c r="B197" s="348">
        <v>630</v>
      </c>
      <c r="C197" s="227" t="s">
        <v>29</v>
      </c>
      <c r="D197" s="207"/>
      <c r="E197" s="207"/>
      <c r="F197" s="207"/>
      <c r="G197" s="207"/>
      <c r="H197" s="207"/>
      <c r="I197" s="227"/>
      <c r="J197" s="207"/>
      <c r="K197" s="44"/>
      <c r="L197" s="206"/>
      <c r="M197" s="26"/>
      <c r="N197" s="26">
        <v>0</v>
      </c>
      <c r="O197" s="26">
        <v>0</v>
      </c>
      <c r="P197" s="26"/>
      <c r="Q197" s="624"/>
      <c r="R197" s="26"/>
      <c r="S197" s="546">
        <f t="shared" si="43"/>
        <v>0</v>
      </c>
    </row>
    <row r="198" spans="1:19" ht="12.75" customHeight="1">
      <c r="A198" s="723"/>
      <c r="B198" s="348">
        <v>630</v>
      </c>
      <c r="C198" s="227" t="s">
        <v>30</v>
      </c>
      <c r="D198" s="207"/>
      <c r="E198" s="207"/>
      <c r="F198" s="207"/>
      <c r="G198" s="207"/>
      <c r="H198" s="207"/>
      <c r="I198" s="227">
        <v>66358</v>
      </c>
      <c r="J198" s="207">
        <v>95746</v>
      </c>
      <c r="K198" s="44">
        <f>5530+80179</f>
        <v>85709</v>
      </c>
      <c r="L198" s="206">
        <v>56320.98000000001</v>
      </c>
      <c r="M198" s="206">
        <v>47905.93</v>
      </c>
      <c r="N198" s="26">
        <v>34336.340000000004</v>
      </c>
      <c r="O198" s="26">
        <v>35000</v>
      </c>
      <c r="P198" s="26">
        <v>35000</v>
      </c>
      <c r="Q198" s="624"/>
      <c r="R198" s="26"/>
      <c r="S198" s="546">
        <f t="shared" si="43"/>
        <v>35000</v>
      </c>
    </row>
    <row r="199" spans="1:19" ht="12.75">
      <c r="A199" s="723"/>
      <c r="B199" s="348">
        <v>630</v>
      </c>
      <c r="C199" s="227"/>
      <c r="D199" s="207"/>
      <c r="E199" s="207"/>
      <c r="F199" s="207"/>
      <c r="G199" s="207"/>
      <c r="H199" s="207"/>
      <c r="I199" s="44">
        <v>642</v>
      </c>
      <c r="J199" s="207"/>
      <c r="K199" s="44"/>
      <c r="L199" s="206"/>
      <c r="M199" s="206">
        <v>323039.83999999997</v>
      </c>
      <c r="N199" s="26">
        <v>0</v>
      </c>
      <c r="O199" s="26">
        <v>0</v>
      </c>
      <c r="P199" s="26"/>
      <c r="Q199" s="624"/>
      <c r="R199" s="26"/>
      <c r="S199" s="546">
        <f t="shared" si="43"/>
        <v>0</v>
      </c>
    </row>
    <row r="200" spans="1:19" ht="12.75">
      <c r="A200" s="723"/>
      <c r="B200" s="348"/>
      <c r="C200" s="227" t="s">
        <v>196</v>
      </c>
      <c r="D200" s="207"/>
      <c r="E200" s="207"/>
      <c r="F200" s="207"/>
      <c r="G200" s="207"/>
      <c r="H200" s="207"/>
      <c r="I200" s="227"/>
      <c r="J200" s="207">
        <v>85602</v>
      </c>
      <c r="K200" s="44">
        <f>4915+388479</f>
        <v>393394</v>
      </c>
      <c r="L200" s="206">
        <v>426977.77</v>
      </c>
      <c r="M200" s="206">
        <v>6176.6</v>
      </c>
      <c r="N200" s="26">
        <v>281171.12</v>
      </c>
      <c r="O200" s="26">
        <v>192900</v>
      </c>
      <c r="P200" s="26">
        <v>192900</v>
      </c>
      <c r="Q200" s="624"/>
      <c r="R200" s="26"/>
      <c r="S200" s="546">
        <f t="shared" si="43"/>
        <v>192900</v>
      </c>
    </row>
    <row r="201" spans="1:19" ht="12.75">
      <c r="A201" s="723"/>
      <c r="B201" s="348">
        <v>630</v>
      </c>
      <c r="C201" s="227" t="s">
        <v>376</v>
      </c>
      <c r="D201" s="207"/>
      <c r="E201" s="207"/>
      <c r="F201" s="207"/>
      <c r="G201" s="207"/>
      <c r="H201" s="207"/>
      <c r="I201" s="227">
        <v>16833</v>
      </c>
      <c r="J201" s="207">
        <v>1809</v>
      </c>
      <c r="K201" s="44">
        <v>1345</v>
      </c>
      <c r="L201" s="206">
        <v>13077.4</v>
      </c>
      <c r="M201" s="206">
        <v>10590.8</v>
      </c>
      <c r="N201" s="26">
        <v>6654.32</v>
      </c>
      <c r="O201" s="26">
        <v>0</v>
      </c>
      <c r="P201" s="26"/>
      <c r="Q201" s="624"/>
      <c r="R201" s="26"/>
      <c r="S201" s="546">
        <f t="shared" si="43"/>
        <v>0</v>
      </c>
    </row>
    <row r="202" spans="1:19" ht="12.75">
      <c r="A202" s="723"/>
      <c r="B202" s="515"/>
      <c r="C202" s="227" t="s">
        <v>31</v>
      </c>
      <c r="D202" s="516"/>
      <c r="E202" s="516"/>
      <c r="F202" s="516"/>
      <c r="G202" s="516"/>
      <c r="H202" s="516"/>
      <c r="I202" s="409"/>
      <c r="J202" s="207"/>
      <c r="K202" s="44"/>
      <c r="L202" s="224"/>
      <c r="M202" s="224"/>
      <c r="N202" s="30">
        <v>9556.68</v>
      </c>
      <c r="O202" s="30">
        <v>20224</v>
      </c>
      <c r="P202" s="30">
        <v>20224</v>
      </c>
      <c r="Q202" s="579"/>
      <c r="R202" s="30"/>
      <c r="S202" s="551">
        <f t="shared" si="43"/>
        <v>20224</v>
      </c>
    </row>
    <row r="203" spans="1:19" ht="13.5" thickBot="1">
      <c r="A203" s="723"/>
      <c r="B203" s="349">
        <v>630</v>
      </c>
      <c r="C203" s="350" t="s">
        <v>32</v>
      </c>
      <c r="D203" s="351"/>
      <c r="E203" s="351"/>
      <c r="F203" s="351"/>
      <c r="G203" s="351"/>
      <c r="H203" s="351"/>
      <c r="I203" s="350"/>
      <c r="J203" s="207">
        <v>60</v>
      </c>
      <c r="K203" s="44"/>
      <c r="L203" s="224">
        <v>110</v>
      </c>
      <c r="M203" s="352"/>
      <c r="N203" s="352">
        <v>2268</v>
      </c>
      <c r="O203" s="352">
        <v>2000</v>
      </c>
      <c r="P203" s="352">
        <v>2000</v>
      </c>
      <c r="Q203" s="579"/>
      <c r="R203" s="549"/>
      <c r="S203" s="551">
        <f t="shared" si="43"/>
        <v>2000</v>
      </c>
    </row>
    <row r="204" spans="1:19" ht="17.25" thickBot="1" thickTop="1">
      <c r="A204" s="702" t="s">
        <v>463</v>
      </c>
      <c r="B204" s="703"/>
      <c r="C204" s="704"/>
      <c r="D204" s="102">
        <f aca="true" t="shared" si="44" ref="D204:M204">D4+D10+D14+D25+D27+D29+D34+D36+D41+D48+D54+D68+D72+D79+D84+D89+D108+D110+D120+D124+D139+D142+D147+D163+D168+D178+D184+D189+D113+D19+D43+D77</f>
        <v>5867125</v>
      </c>
      <c r="E204" s="102">
        <f t="shared" si="44"/>
        <v>6460200</v>
      </c>
      <c r="F204" s="102">
        <f t="shared" si="44"/>
        <v>7832271</v>
      </c>
      <c r="G204" s="102">
        <f t="shared" si="44"/>
        <v>8716285.43</v>
      </c>
      <c r="H204" s="102">
        <f t="shared" si="44"/>
        <v>9309387</v>
      </c>
      <c r="I204" s="102">
        <f t="shared" si="44"/>
        <v>8743512.2</v>
      </c>
      <c r="J204" s="102">
        <f t="shared" si="44"/>
        <v>8908071</v>
      </c>
      <c r="K204" s="102">
        <f t="shared" si="44"/>
        <v>8934542</v>
      </c>
      <c r="L204" s="353">
        <f t="shared" si="44"/>
        <v>9572545.38</v>
      </c>
      <c r="M204" s="353">
        <f t="shared" si="44"/>
        <v>9554914.799999999</v>
      </c>
      <c r="N204" s="462">
        <f aca="true" t="shared" si="45" ref="N204:S204">N4+N10+N14+N25+N27+N29+N34+N36+N41+N48+N54+N68+N72+N79+N84+N89+N108+N110+N120+N124+N139+N142+N147+N163+N168+N178+N184+N189+N113+N19+N43+N77</f>
        <v>9695081.340000002</v>
      </c>
      <c r="O204" s="462">
        <f t="shared" si="45"/>
        <v>10142244</v>
      </c>
      <c r="P204" s="462">
        <f t="shared" si="45"/>
        <v>10652920</v>
      </c>
      <c r="Q204" s="462">
        <f t="shared" si="45"/>
        <v>33403</v>
      </c>
      <c r="R204" s="462">
        <f>R4+R10+R14+R25+R27+R29+R34+R36+R41+R48+R54+R68+R72+R79+R84+R89+R108+R110+R120+R124+R139+R142+R147+R163+R168+R178+R184+R189+R113+R19+R43+R77</f>
        <v>0</v>
      </c>
      <c r="S204" s="103">
        <f t="shared" si="45"/>
        <v>10686323</v>
      </c>
    </row>
    <row r="205" ht="13.5" thickTop="1">
      <c r="Q205" s="632"/>
    </row>
    <row r="206" ht="12.75">
      <c r="Q206" s="632"/>
    </row>
    <row r="207" spans="17:18" ht="12.75">
      <c r="Q207" s="632"/>
      <c r="R207" s="567"/>
    </row>
    <row r="208" spans="17:18" ht="12.75">
      <c r="Q208" s="632"/>
      <c r="R208" s="567"/>
    </row>
    <row r="209" ht="12.75">
      <c r="Q209" s="632"/>
    </row>
    <row r="210" ht="12.75">
      <c r="Q210" s="632"/>
    </row>
    <row r="211" ht="12.75">
      <c r="Q211" s="632"/>
    </row>
    <row r="212" ht="12.75">
      <c r="Q212" s="632"/>
    </row>
    <row r="213" ht="12.75">
      <c r="Q213" s="632"/>
    </row>
    <row r="214" ht="12.75">
      <c r="Q214" s="632"/>
    </row>
    <row r="215" ht="12.75">
      <c r="Q215" s="632"/>
    </row>
    <row r="216" ht="12.75">
      <c r="Q216" s="632"/>
    </row>
    <row r="217" ht="12.75">
      <c r="Q217" s="632"/>
    </row>
    <row r="218" ht="12.75">
      <c r="Q218" s="632"/>
    </row>
    <row r="219" ht="12.75">
      <c r="Q219" s="632"/>
    </row>
    <row r="220" ht="12.75">
      <c r="Q220" s="632"/>
    </row>
    <row r="221" ht="12.75">
      <c r="Q221" s="632"/>
    </row>
    <row r="222" ht="12.75">
      <c r="Q222" s="632"/>
    </row>
    <row r="223" ht="12.75">
      <c r="Q223" s="632"/>
    </row>
    <row r="224" ht="12.75">
      <c r="Q224" s="632"/>
    </row>
    <row r="225" ht="12.75">
      <c r="Q225" s="632"/>
    </row>
    <row r="226" ht="12.75">
      <c r="Q226" s="632"/>
    </row>
    <row r="227" ht="12.75">
      <c r="Q227" s="632"/>
    </row>
    <row r="228" ht="12.75">
      <c r="Q228" s="632"/>
    </row>
    <row r="229" ht="12.75">
      <c r="Q229" s="632"/>
    </row>
    <row r="230" ht="12.75">
      <c r="Q230" s="632"/>
    </row>
    <row r="231" ht="12.75">
      <c r="Q231" s="632"/>
    </row>
    <row r="232" ht="12.75">
      <c r="Q232" s="632"/>
    </row>
    <row r="233" ht="12.75">
      <c r="Q233" s="632"/>
    </row>
    <row r="234" ht="12.75">
      <c r="Q234" s="632"/>
    </row>
    <row r="235" ht="12.75">
      <c r="Q235" s="632"/>
    </row>
    <row r="236" ht="12.75">
      <c r="Q236" s="632"/>
    </row>
    <row r="237" ht="12.75">
      <c r="Q237" s="632"/>
    </row>
    <row r="238" ht="12.75">
      <c r="Q238" s="632"/>
    </row>
    <row r="239" ht="12.75">
      <c r="Q239" s="632"/>
    </row>
    <row r="240" ht="12.75">
      <c r="Q240" s="632"/>
    </row>
  </sheetData>
  <sheetProtection/>
  <mergeCells count="86">
    <mergeCell ref="Q2:R2"/>
    <mergeCell ref="A15:A18"/>
    <mergeCell ref="B19:C19"/>
    <mergeCell ref="A20:A24"/>
    <mergeCell ref="B25:C25"/>
    <mergeCell ref="A2:A3"/>
    <mergeCell ref="B2:B3"/>
    <mergeCell ref="C2:C3"/>
    <mergeCell ref="A11:A13"/>
    <mergeCell ref="B10:C10"/>
    <mergeCell ref="B68:C68"/>
    <mergeCell ref="B108:C108"/>
    <mergeCell ref="P2:P3"/>
    <mergeCell ref="B4:C4"/>
    <mergeCell ref="I2:I3"/>
    <mergeCell ref="J2:J3"/>
    <mergeCell ref="K2:K3"/>
    <mergeCell ref="L2:L3"/>
    <mergeCell ref="H2:H3"/>
    <mergeCell ref="F2:F3"/>
    <mergeCell ref="A55:A67"/>
    <mergeCell ref="A69:A71"/>
    <mergeCell ref="B36:C36"/>
    <mergeCell ref="B14:C14"/>
    <mergeCell ref="B34:C34"/>
    <mergeCell ref="B113:C113"/>
    <mergeCell ref="B89:C89"/>
    <mergeCell ref="B55:C55"/>
    <mergeCell ref="B110:C110"/>
    <mergeCell ref="B72:C72"/>
    <mergeCell ref="B77:C77"/>
    <mergeCell ref="A90:A107"/>
    <mergeCell ref="A85:A88"/>
    <mergeCell ref="A37:A40"/>
    <mergeCell ref="B41:C41"/>
    <mergeCell ref="B43:C43"/>
    <mergeCell ref="B48:C48"/>
    <mergeCell ref="B79:C79"/>
    <mergeCell ref="A49:A53"/>
    <mergeCell ref="B54:C54"/>
    <mergeCell ref="A143:A146"/>
    <mergeCell ref="B143:B146"/>
    <mergeCell ref="B147:C147"/>
    <mergeCell ref="B139:C139"/>
    <mergeCell ref="B142:C142"/>
    <mergeCell ref="B120:C120"/>
    <mergeCell ref="A121:A123"/>
    <mergeCell ref="B124:C124"/>
    <mergeCell ref="A125:A138"/>
    <mergeCell ref="B154:B162"/>
    <mergeCell ref="B176:C176"/>
    <mergeCell ref="A148:A162"/>
    <mergeCell ref="B148:C148"/>
    <mergeCell ref="B153:C153"/>
    <mergeCell ref="B163:C163"/>
    <mergeCell ref="B169:C169"/>
    <mergeCell ref="A169:A177"/>
    <mergeCell ref="A164:A167"/>
    <mergeCell ref="B168:C168"/>
    <mergeCell ref="B189:C189"/>
    <mergeCell ref="A190:A203"/>
    <mergeCell ref="B190:C190"/>
    <mergeCell ref="B178:C178"/>
    <mergeCell ref="A179:A183"/>
    <mergeCell ref="B184:C184"/>
    <mergeCell ref="A185:A188"/>
    <mergeCell ref="A80:A83"/>
    <mergeCell ref="B84:C84"/>
    <mergeCell ref="S2:S3"/>
    <mergeCell ref="A30:A33"/>
    <mergeCell ref="B27:C27"/>
    <mergeCell ref="B29:C29"/>
    <mergeCell ref="A5:A9"/>
    <mergeCell ref="G2:G3"/>
    <mergeCell ref="E2:E3"/>
    <mergeCell ref="D2:D3"/>
    <mergeCell ref="A1:C1"/>
    <mergeCell ref="A204:C204"/>
    <mergeCell ref="O2:O3"/>
    <mergeCell ref="A44:A47"/>
    <mergeCell ref="A111:A112"/>
    <mergeCell ref="M2:M3"/>
    <mergeCell ref="A140:A141"/>
    <mergeCell ref="N2:N3"/>
    <mergeCell ref="A114:A119"/>
    <mergeCell ref="A73:A76"/>
  </mergeCells>
  <printOptions/>
  <pageMargins left="0.2362204724409449" right="0.31496062992125984" top="0.1968503937007874" bottom="0.1968503937007874" header="0.31496062992125984" footer="0.31496062992125984"/>
  <pageSetup horizontalDpi="600" verticalDpi="600" orientation="portrait" paperSize="9" scale="86" r:id="rId1"/>
  <rowBreaks count="2" manualBreakCount="2">
    <brk id="71" max="18" man="1"/>
    <brk id="162" max="18" man="1"/>
  </rowBreaks>
  <ignoredErrors>
    <ignoredError sqref="B69:M72 B74:B76" numberStoredAsText="1"/>
    <ignoredError sqref="L110:M110 L109 L112 S139:S142 S178 S110:S124 S84:S108 S72 S14:S36 S41:S55" formula="1"/>
    <ignoredError sqref="Q153:R153 P54:P55" formulaRange="1"/>
    <ignoredError sqref="S15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54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8.28125" style="0" customWidth="1"/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5" width="13.140625" style="0" customWidth="1"/>
    <col min="16" max="17" width="11.8515625" style="0" customWidth="1"/>
    <col min="18" max="18" width="12.421875" style="0" customWidth="1"/>
  </cols>
  <sheetData>
    <row r="1" spans="1:3" ht="15">
      <c r="A1" s="602" t="s">
        <v>459</v>
      </c>
      <c r="C1" s="602"/>
    </row>
    <row r="2" spans="1:3" ht="15.75" thickBot="1">
      <c r="A2" s="603" t="s">
        <v>460</v>
      </c>
      <c r="C2" s="603"/>
    </row>
    <row r="3" spans="1:18" ht="14.25" customHeight="1" thickTop="1">
      <c r="A3" s="682" t="s">
        <v>109</v>
      </c>
      <c r="B3" s="694" t="s">
        <v>110</v>
      </c>
      <c r="C3" s="686" t="s">
        <v>111</v>
      </c>
      <c r="D3" s="686" t="s">
        <v>210</v>
      </c>
      <c r="E3" s="686" t="s">
        <v>211</v>
      </c>
      <c r="F3" s="686" t="s">
        <v>212</v>
      </c>
      <c r="G3" s="686" t="s">
        <v>213</v>
      </c>
      <c r="H3" s="686" t="s">
        <v>214</v>
      </c>
      <c r="I3" s="686" t="s">
        <v>117</v>
      </c>
      <c r="J3" s="686" t="s">
        <v>118</v>
      </c>
      <c r="K3" s="686" t="s">
        <v>119</v>
      </c>
      <c r="L3" s="686" t="s">
        <v>120</v>
      </c>
      <c r="M3" s="686" t="s">
        <v>375</v>
      </c>
      <c r="N3" s="686" t="s">
        <v>410</v>
      </c>
      <c r="O3" s="686" t="s">
        <v>411</v>
      </c>
      <c r="P3" s="761" t="s">
        <v>465</v>
      </c>
      <c r="Q3" s="634" t="s">
        <v>467</v>
      </c>
      <c r="R3" s="759" t="s">
        <v>466</v>
      </c>
    </row>
    <row r="4" spans="1:18" ht="27.75" customHeight="1" thickBot="1">
      <c r="A4" s="683"/>
      <c r="B4" s="695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762"/>
      <c r="Q4" s="633" t="s">
        <v>122</v>
      </c>
      <c r="R4" s="760"/>
    </row>
    <row r="5" spans="1:18" ht="17.25" thickBot="1" thickTop="1">
      <c r="A5" s="104">
        <v>200</v>
      </c>
      <c r="B5" s="696" t="s">
        <v>140</v>
      </c>
      <c r="C5" s="697"/>
      <c r="D5" s="105">
        <f>D6</f>
        <v>355009</v>
      </c>
      <c r="E5" s="105">
        <f>E6</f>
        <v>311359</v>
      </c>
      <c r="F5" s="105">
        <f>F6</f>
        <v>955255</v>
      </c>
      <c r="G5" s="105">
        <f>G6</f>
        <v>1090339</v>
      </c>
      <c r="H5" s="105">
        <f>H6</f>
        <v>496614</v>
      </c>
      <c r="I5" s="105">
        <f aca="true" t="shared" si="0" ref="I5:R5">I6</f>
        <v>174771</v>
      </c>
      <c r="J5" s="105">
        <f t="shared" si="0"/>
        <v>74221</v>
      </c>
      <c r="K5" s="105">
        <f t="shared" si="0"/>
        <v>98051</v>
      </c>
      <c r="L5" s="105">
        <f t="shared" si="0"/>
        <v>223532.5</v>
      </c>
      <c r="M5" s="517">
        <f t="shared" si="0"/>
        <v>61991.15</v>
      </c>
      <c r="N5" s="105">
        <f t="shared" si="0"/>
        <v>87107.9</v>
      </c>
      <c r="O5" s="105">
        <f t="shared" si="0"/>
        <v>539018</v>
      </c>
      <c r="P5" s="105">
        <f>P6</f>
        <v>150000</v>
      </c>
      <c r="Q5" s="105">
        <f t="shared" si="0"/>
        <v>25500</v>
      </c>
      <c r="R5" s="106">
        <f t="shared" si="0"/>
        <v>175500</v>
      </c>
    </row>
    <row r="6" spans="1:18" ht="15.75" thickBot="1">
      <c r="A6" s="107">
        <v>230</v>
      </c>
      <c r="B6" s="688" t="s">
        <v>215</v>
      </c>
      <c r="C6" s="705"/>
      <c r="D6" s="108">
        <f aca="true" t="shared" si="1" ref="D6:K6">D7+D11</f>
        <v>355009</v>
      </c>
      <c r="E6" s="108">
        <f t="shared" si="1"/>
        <v>311359</v>
      </c>
      <c r="F6" s="108">
        <f t="shared" si="1"/>
        <v>955255</v>
      </c>
      <c r="G6" s="108">
        <f t="shared" si="1"/>
        <v>1090339</v>
      </c>
      <c r="H6" s="108">
        <f t="shared" si="1"/>
        <v>496614</v>
      </c>
      <c r="I6" s="108">
        <f t="shared" si="1"/>
        <v>174771</v>
      </c>
      <c r="J6" s="108">
        <f t="shared" si="1"/>
        <v>74221</v>
      </c>
      <c r="K6" s="108">
        <f t="shared" si="1"/>
        <v>98051</v>
      </c>
      <c r="L6" s="108">
        <f aca="true" t="shared" si="2" ref="L6:R6">L7+L11</f>
        <v>223532.5</v>
      </c>
      <c r="M6" s="511">
        <f t="shared" si="2"/>
        <v>61991.15</v>
      </c>
      <c r="N6" s="108">
        <f t="shared" si="2"/>
        <v>87107.9</v>
      </c>
      <c r="O6" s="108">
        <f t="shared" si="2"/>
        <v>539018</v>
      </c>
      <c r="P6" s="67">
        <f t="shared" si="2"/>
        <v>150000</v>
      </c>
      <c r="Q6" s="67">
        <f t="shared" si="2"/>
        <v>25500</v>
      </c>
      <c r="R6" s="68">
        <f t="shared" si="2"/>
        <v>175500</v>
      </c>
    </row>
    <row r="7" spans="1:18" ht="13.5" thickBot="1">
      <c r="A7" s="676"/>
      <c r="B7" s="109">
        <v>231</v>
      </c>
      <c r="C7" s="62" t="s">
        <v>216</v>
      </c>
      <c r="D7" s="99">
        <f aca="true" t="shared" si="3" ref="D7:P7">SUM(D8:D10)</f>
        <v>351125</v>
      </c>
      <c r="E7" s="99">
        <f t="shared" si="3"/>
        <v>106121</v>
      </c>
      <c r="F7" s="99">
        <f t="shared" si="3"/>
        <v>227246</v>
      </c>
      <c r="G7" s="99">
        <f t="shared" si="3"/>
        <v>45397</v>
      </c>
      <c r="H7" s="99">
        <f t="shared" si="3"/>
        <v>103200</v>
      </c>
      <c r="I7" s="99">
        <f t="shared" si="3"/>
        <v>85320</v>
      </c>
      <c r="J7" s="99">
        <f t="shared" si="3"/>
        <v>21933</v>
      </c>
      <c r="K7" s="99">
        <f t="shared" si="3"/>
        <v>32153</v>
      </c>
      <c r="L7" s="99">
        <f>SUM(L8:L10)</f>
        <v>84811.72</v>
      </c>
      <c r="M7" s="142">
        <f>SUM(M8:M10)</f>
        <v>23898.96</v>
      </c>
      <c r="N7" s="99">
        <f>SUM(N8:N10)</f>
        <v>33003</v>
      </c>
      <c r="O7" s="99">
        <f>SUM(O8:O10)</f>
        <v>318868</v>
      </c>
      <c r="P7" s="64">
        <f t="shared" si="3"/>
        <v>0</v>
      </c>
      <c r="Q7" s="64">
        <f>SUM(Q8:Q10)</f>
        <v>0</v>
      </c>
      <c r="R7" s="65">
        <f>SUM(R8:R10)</f>
        <v>0</v>
      </c>
    </row>
    <row r="8" spans="1:18" ht="12.75">
      <c r="A8" s="677"/>
      <c r="B8" s="679"/>
      <c r="C8" s="110" t="s">
        <v>217</v>
      </c>
      <c r="D8" s="111">
        <v>192923</v>
      </c>
      <c r="E8" s="111">
        <v>101839</v>
      </c>
      <c r="F8" s="111">
        <v>227246</v>
      </c>
      <c r="G8" s="111">
        <v>45397</v>
      </c>
      <c r="H8" s="111">
        <v>103200</v>
      </c>
      <c r="I8" s="88">
        <v>85320</v>
      </c>
      <c r="J8" s="21">
        <v>21933</v>
      </c>
      <c r="K8" s="22">
        <v>23657</v>
      </c>
      <c r="L8" s="22">
        <v>83346.52</v>
      </c>
      <c r="M8" s="119">
        <v>19336.16</v>
      </c>
      <c r="N8" s="22">
        <v>33003</v>
      </c>
      <c r="O8" s="22">
        <f>62968+250000</f>
        <v>312968</v>
      </c>
      <c r="P8" s="57"/>
      <c r="Q8" s="57"/>
      <c r="R8" s="23">
        <f>P8+Q8</f>
        <v>0</v>
      </c>
    </row>
    <row r="9" spans="1:18" ht="12.75">
      <c r="A9" s="677"/>
      <c r="B9" s="680"/>
      <c r="C9" s="43" t="s">
        <v>218</v>
      </c>
      <c r="D9" s="112"/>
      <c r="E9" s="112"/>
      <c r="F9" s="112"/>
      <c r="G9" s="112"/>
      <c r="H9" s="112"/>
      <c r="I9" s="113"/>
      <c r="J9" s="114"/>
      <c r="K9" s="70"/>
      <c r="L9" s="115"/>
      <c r="M9" s="119">
        <v>4562.8</v>
      </c>
      <c r="N9" s="22"/>
      <c r="O9" s="22">
        <v>5900</v>
      </c>
      <c r="P9" s="57"/>
      <c r="Q9" s="57"/>
      <c r="R9" s="23">
        <f>P9+Q9</f>
        <v>0</v>
      </c>
    </row>
    <row r="10" spans="1:18" ht="13.5" thickBot="1">
      <c r="A10" s="677"/>
      <c r="B10" s="681"/>
      <c r="C10" s="116" t="s">
        <v>219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70"/>
      <c r="P10" s="57"/>
      <c r="Q10" s="57"/>
      <c r="R10" s="23">
        <f>P10+Q10</f>
        <v>0</v>
      </c>
    </row>
    <row r="11" spans="1:18" ht="13.5" thickBot="1">
      <c r="A11" s="677"/>
      <c r="B11" s="118">
        <v>233</v>
      </c>
      <c r="C11" s="61" t="s">
        <v>220</v>
      </c>
      <c r="D11" s="99">
        <f aca="true" t="shared" si="4" ref="D11:P11">SUM(D12:D16)</f>
        <v>3884</v>
      </c>
      <c r="E11" s="99">
        <f t="shared" si="4"/>
        <v>205238</v>
      </c>
      <c r="F11" s="99">
        <f t="shared" si="4"/>
        <v>728009</v>
      </c>
      <c r="G11" s="99">
        <f t="shared" si="4"/>
        <v>1044942</v>
      </c>
      <c r="H11" s="99">
        <f t="shared" si="4"/>
        <v>393414</v>
      </c>
      <c r="I11" s="99">
        <f t="shared" si="4"/>
        <v>89451</v>
      </c>
      <c r="J11" s="99">
        <f t="shared" si="4"/>
        <v>52288</v>
      </c>
      <c r="K11" s="99">
        <f t="shared" si="4"/>
        <v>65898</v>
      </c>
      <c r="L11" s="99">
        <f t="shared" si="4"/>
        <v>138720.78</v>
      </c>
      <c r="M11" s="142">
        <f t="shared" si="4"/>
        <v>38092.19</v>
      </c>
      <c r="N11" s="99">
        <f t="shared" si="4"/>
        <v>54104.9</v>
      </c>
      <c r="O11" s="99">
        <f>SUM(O12:O16)</f>
        <v>220150</v>
      </c>
      <c r="P11" s="64">
        <f t="shared" si="4"/>
        <v>150000</v>
      </c>
      <c r="Q11" s="64">
        <f>SUM(Q12:Q16)</f>
        <v>25500</v>
      </c>
      <c r="R11" s="65">
        <f>SUM(R12:R16)</f>
        <v>175500</v>
      </c>
    </row>
    <row r="12" spans="1:18" ht="13.5" thickBot="1">
      <c r="A12" s="677"/>
      <c r="B12" s="679"/>
      <c r="C12" s="41" t="s">
        <v>221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18">
        <v>38092.19</v>
      </c>
      <c r="N12" s="528">
        <v>54104.9</v>
      </c>
      <c r="O12" s="528">
        <f>370150-150000</f>
        <v>220150</v>
      </c>
      <c r="P12" s="57">
        <v>150000</v>
      </c>
      <c r="Q12" s="57">
        <v>25500</v>
      </c>
      <c r="R12" s="23">
        <f>P12+Q12</f>
        <v>175500</v>
      </c>
    </row>
    <row r="13" spans="1:18" ht="13.5" hidden="1" thickBot="1">
      <c r="A13" s="677"/>
      <c r="B13" s="680"/>
      <c r="C13" s="120" t="s">
        <v>222</v>
      </c>
      <c r="D13" s="121"/>
      <c r="E13" s="121"/>
      <c r="F13" s="121"/>
      <c r="G13" s="121"/>
      <c r="H13" s="121"/>
      <c r="I13" s="121"/>
      <c r="J13" s="121"/>
      <c r="K13" s="97"/>
      <c r="L13" s="122"/>
      <c r="M13" s="122"/>
      <c r="N13" s="122"/>
      <c r="O13" s="122"/>
      <c r="P13" s="185"/>
      <c r="Q13" s="185"/>
      <c r="R13" s="123"/>
    </row>
    <row r="14" spans="1:18" ht="13.5" hidden="1" thickBot="1">
      <c r="A14" s="677"/>
      <c r="B14" s="680"/>
      <c r="C14" s="120" t="s">
        <v>223</v>
      </c>
      <c r="D14" s="121"/>
      <c r="E14" s="121"/>
      <c r="F14" s="121"/>
      <c r="G14" s="121"/>
      <c r="H14" s="121"/>
      <c r="I14" s="121"/>
      <c r="J14" s="121"/>
      <c r="K14" s="97"/>
      <c r="L14" s="119"/>
      <c r="M14" s="122"/>
      <c r="N14" s="122"/>
      <c r="O14" s="122"/>
      <c r="P14" s="185"/>
      <c r="Q14" s="185"/>
      <c r="R14" s="123"/>
    </row>
    <row r="15" spans="1:18" ht="13.5" hidden="1" thickBot="1">
      <c r="A15" s="677"/>
      <c r="B15" s="680"/>
      <c r="C15" s="120" t="s">
        <v>224</v>
      </c>
      <c r="D15" s="121"/>
      <c r="E15" s="121"/>
      <c r="F15" s="121"/>
      <c r="G15" s="121"/>
      <c r="H15" s="121"/>
      <c r="I15" s="121"/>
      <c r="J15" s="121"/>
      <c r="K15" s="97"/>
      <c r="L15" s="122"/>
      <c r="M15" s="122"/>
      <c r="N15" s="122"/>
      <c r="O15" s="122"/>
      <c r="P15" s="185"/>
      <c r="Q15" s="185"/>
      <c r="R15" s="123"/>
    </row>
    <row r="16" spans="1:18" ht="13.5" hidden="1" thickBot="1">
      <c r="A16" s="677"/>
      <c r="B16" s="681"/>
      <c r="C16" s="124" t="s">
        <v>225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70"/>
      <c r="P16" s="57"/>
      <c r="Q16" s="57"/>
      <c r="R16" s="23"/>
    </row>
    <row r="17" spans="1:18" ht="16.5" thickBot="1">
      <c r="A17" s="125">
        <v>300</v>
      </c>
      <c r="B17" s="708" t="s">
        <v>174</v>
      </c>
      <c r="C17" s="767"/>
      <c r="D17" s="126">
        <f>D18+D50</f>
        <v>1758083</v>
      </c>
      <c r="E17" s="126">
        <f>E18+E50</f>
        <v>706599</v>
      </c>
      <c r="F17" s="126">
        <f>F18+F50</f>
        <v>290114</v>
      </c>
      <c r="G17" s="126">
        <f>G18+G50</f>
        <v>3301074</v>
      </c>
      <c r="H17" s="126">
        <v>2959527</v>
      </c>
      <c r="I17" s="126">
        <f aca="true" t="shared" si="5" ref="I17:P17">I18+I50</f>
        <v>4474942</v>
      </c>
      <c r="J17" s="126">
        <f t="shared" si="5"/>
        <v>4428553.06</v>
      </c>
      <c r="K17" s="126">
        <f t="shared" si="5"/>
        <v>3580446</v>
      </c>
      <c r="L17" s="126">
        <f t="shared" si="5"/>
        <v>994806.09</v>
      </c>
      <c r="M17" s="519">
        <f t="shared" si="5"/>
        <v>690306.37</v>
      </c>
      <c r="N17" s="126">
        <f t="shared" si="5"/>
        <v>848428.28</v>
      </c>
      <c r="O17" s="126">
        <f>O18+O50</f>
        <v>980645</v>
      </c>
      <c r="P17" s="463">
        <f t="shared" si="5"/>
        <v>1091596</v>
      </c>
      <c r="Q17" s="463">
        <f>Q18+Q50</f>
        <v>505070</v>
      </c>
      <c r="R17" s="127">
        <f>R18+R50</f>
        <v>1596666</v>
      </c>
    </row>
    <row r="18" spans="1:18" ht="15.75" thickBot="1">
      <c r="A18" s="107">
        <v>320</v>
      </c>
      <c r="B18" s="688" t="s">
        <v>226</v>
      </c>
      <c r="C18" s="705"/>
      <c r="D18" s="128">
        <f>D19</f>
        <v>1758083</v>
      </c>
      <c r="E18" s="128">
        <f>E19</f>
        <v>706599</v>
      </c>
      <c r="F18" s="128">
        <f>F19</f>
        <v>290114</v>
      </c>
      <c r="G18" s="128">
        <f>G19</f>
        <v>3301074</v>
      </c>
      <c r="H18" s="128">
        <v>2959527</v>
      </c>
      <c r="I18" s="128">
        <f aca="true" t="shared" si="6" ref="I18:R18">I19</f>
        <v>4417142</v>
      </c>
      <c r="J18" s="128">
        <f t="shared" si="6"/>
        <v>4408068.06</v>
      </c>
      <c r="K18" s="128">
        <f t="shared" si="6"/>
        <v>3580446</v>
      </c>
      <c r="L18" s="128">
        <f t="shared" si="6"/>
        <v>994806.09</v>
      </c>
      <c r="M18" s="520">
        <f t="shared" si="6"/>
        <v>690306.37</v>
      </c>
      <c r="N18" s="464">
        <f t="shared" si="6"/>
        <v>848428.28</v>
      </c>
      <c r="O18" s="464">
        <f t="shared" si="6"/>
        <v>980645</v>
      </c>
      <c r="P18" s="464">
        <f t="shared" si="6"/>
        <v>1091596</v>
      </c>
      <c r="Q18" s="464">
        <f t="shared" si="6"/>
        <v>505070</v>
      </c>
      <c r="R18" s="129">
        <f t="shared" si="6"/>
        <v>1596666</v>
      </c>
    </row>
    <row r="19" spans="1:18" ht="13.5" customHeight="1" thickBot="1">
      <c r="A19" s="764"/>
      <c r="B19" s="118">
        <v>321</v>
      </c>
      <c r="C19" s="61" t="s">
        <v>176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0">
        <v>4417142</v>
      </c>
      <c r="J19" s="130">
        <v>4408068.06</v>
      </c>
      <c r="K19" s="130">
        <v>3580446</v>
      </c>
      <c r="L19" s="130">
        <v>994806.09</v>
      </c>
      <c r="M19" s="521">
        <f aca="true" t="shared" si="7" ref="M19:R19">SUM(M20:M49)</f>
        <v>690306.37</v>
      </c>
      <c r="N19" s="130">
        <f t="shared" si="7"/>
        <v>848428.28</v>
      </c>
      <c r="O19" s="130">
        <f t="shared" si="7"/>
        <v>980645</v>
      </c>
      <c r="P19" s="37">
        <f t="shared" si="7"/>
        <v>1091596</v>
      </c>
      <c r="Q19" s="37">
        <f t="shared" si="7"/>
        <v>505070</v>
      </c>
      <c r="R19" s="38">
        <f t="shared" si="7"/>
        <v>1596666</v>
      </c>
    </row>
    <row r="20" spans="1:18" ht="12.75" customHeight="1" hidden="1">
      <c r="A20" s="765"/>
      <c r="B20" s="763"/>
      <c r="C20" s="131" t="s">
        <v>227</v>
      </c>
      <c r="D20" s="88"/>
      <c r="E20" s="88"/>
      <c r="F20" s="88"/>
      <c r="G20" s="88"/>
      <c r="H20" s="88"/>
      <c r="I20" s="88"/>
      <c r="J20" s="88"/>
      <c r="K20" s="21"/>
      <c r="L20" s="132"/>
      <c r="M20" s="132">
        <v>66064.15</v>
      </c>
      <c r="N20" s="21"/>
      <c r="O20" s="21"/>
      <c r="P20" s="57"/>
      <c r="Q20" s="57"/>
      <c r="R20" s="23"/>
    </row>
    <row r="21" spans="1:18" ht="12.75" customHeight="1" hidden="1">
      <c r="A21" s="765"/>
      <c r="B21" s="763"/>
      <c r="C21" s="20" t="s">
        <v>205</v>
      </c>
      <c r="D21" s="88"/>
      <c r="E21" s="88"/>
      <c r="F21" s="88"/>
      <c r="G21" s="88"/>
      <c r="H21" s="88"/>
      <c r="I21" s="88"/>
      <c r="J21" s="88"/>
      <c r="K21" s="21"/>
      <c r="L21" s="132"/>
      <c r="M21" s="132">
        <v>58454.17</v>
      </c>
      <c r="N21" s="21"/>
      <c r="O21" s="21"/>
      <c r="P21" s="57"/>
      <c r="Q21" s="57"/>
      <c r="R21" s="23"/>
    </row>
    <row r="22" spans="1:18" ht="12.75" customHeight="1" hidden="1">
      <c r="A22" s="765"/>
      <c r="B22" s="763"/>
      <c r="C22" s="20" t="s">
        <v>228</v>
      </c>
      <c r="D22" s="56"/>
      <c r="E22" s="56"/>
      <c r="F22" s="56"/>
      <c r="G22" s="56"/>
      <c r="H22" s="56"/>
      <c r="I22" s="56"/>
      <c r="J22" s="56"/>
      <c r="K22" s="21"/>
      <c r="L22" s="132"/>
      <c r="M22" s="132"/>
      <c r="N22" s="21"/>
      <c r="O22" s="21"/>
      <c r="P22" s="57"/>
      <c r="Q22" s="57"/>
      <c r="R22" s="23"/>
    </row>
    <row r="23" spans="1:18" ht="15.75" customHeight="1">
      <c r="A23" s="765"/>
      <c r="B23" s="763"/>
      <c r="C23" s="20" t="s">
        <v>229</v>
      </c>
      <c r="D23" s="20"/>
      <c r="E23" s="20"/>
      <c r="F23" s="20"/>
      <c r="G23" s="20"/>
      <c r="H23" s="20">
        <v>341897</v>
      </c>
      <c r="I23" s="89">
        <v>341897</v>
      </c>
      <c r="J23" s="89">
        <v>344900</v>
      </c>
      <c r="K23" s="25">
        <v>341900</v>
      </c>
      <c r="L23" s="22">
        <v>341900</v>
      </c>
      <c r="M23" s="132">
        <v>340000</v>
      </c>
      <c r="N23" s="21">
        <v>340000</v>
      </c>
      <c r="O23" s="21">
        <v>500000</v>
      </c>
      <c r="P23" s="57">
        <v>500000</v>
      </c>
      <c r="Q23" s="57"/>
      <c r="R23" s="23">
        <f aca="true" t="shared" si="8" ref="R23:R46">P23+Q23</f>
        <v>500000</v>
      </c>
    </row>
    <row r="24" spans="1:18" ht="15.75" customHeight="1" hidden="1">
      <c r="A24" s="765"/>
      <c r="B24" s="763"/>
      <c r="C24" s="43" t="s">
        <v>230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2">
        <v>6610.12</v>
      </c>
      <c r="N24" s="21"/>
      <c r="O24" s="21"/>
      <c r="P24" s="57"/>
      <c r="Q24" s="57"/>
      <c r="R24" s="23">
        <f t="shared" si="8"/>
        <v>0</v>
      </c>
    </row>
    <row r="25" spans="1:18" ht="15" customHeight="1">
      <c r="A25" s="765"/>
      <c r="B25" s="763"/>
      <c r="C25" s="43" t="s">
        <v>407</v>
      </c>
      <c r="D25" s="58"/>
      <c r="E25" s="58"/>
      <c r="F25" s="58"/>
      <c r="G25" s="58"/>
      <c r="H25" s="58"/>
      <c r="I25" s="58"/>
      <c r="J25" s="58"/>
      <c r="K25" s="25"/>
      <c r="L25" s="132"/>
      <c r="M25" s="132">
        <v>9000</v>
      </c>
      <c r="N25" s="21"/>
      <c r="O25" s="21"/>
      <c r="P25" s="57"/>
      <c r="Q25" s="57">
        <f>363308+141762</f>
        <v>505070</v>
      </c>
      <c r="R25" s="23">
        <f t="shared" si="8"/>
        <v>505070</v>
      </c>
    </row>
    <row r="26" spans="1:18" ht="15.75" customHeight="1">
      <c r="A26" s="765"/>
      <c r="B26" s="763"/>
      <c r="C26" s="133" t="s">
        <v>202</v>
      </c>
      <c r="D26" s="134"/>
      <c r="E26" s="134"/>
      <c r="F26" s="134"/>
      <c r="G26" s="134"/>
      <c r="H26" s="134"/>
      <c r="I26" s="58"/>
      <c r="J26" s="58"/>
      <c r="K26" s="25"/>
      <c r="L26" s="132"/>
      <c r="M26" s="132">
        <v>8142.7</v>
      </c>
      <c r="N26" s="21"/>
      <c r="O26" s="21"/>
      <c r="P26" s="57"/>
      <c r="Q26" s="57"/>
      <c r="R26" s="23">
        <f t="shared" si="8"/>
        <v>0</v>
      </c>
    </row>
    <row r="27" spans="1:18" ht="16.5" customHeight="1">
      <c r="A27" s="765"/>
      <c r="B27" s="763"/>
      <c r="C27" s="43" t="s">
        <v>415</v>
      </c>
      <c r="D27" s="58"/>
      <c r="E27" s="58"/>
      <c r="F27" s="58"/>
      <c r="G27" s="58"/>
      <c r="H27" s="58"/>
      <c r="I27" s="58"/>
      <c r="J27" s="58"/>
      <c r="K27" s="25"/>
      <c r="L27" s="135"/>
      <c r="M27" s="25"/>
      <c r="N27" s="25">
        <v>5221.4</v>
      </c>
      <c r="O27" s="44">
        <f>1478075-343000-311898-42532-300000</f>
        <v>480645</v>
      </c>
      <c r="P27" s="44"/>
      <c r="Q27" s="44"/>
      <c r="R27" s="27">
        <f t="shared" si="8"/>
        <v>0</v>
      </c>
    </row>
    <row r="28" spans="1:18" ht="15" customHeight="1" hidden="1">
      <c r="A28" s="765"/>
      <c r="B28" s="763"/>
      <c r="C28" s="43" t="s">
        <v>377</v>
      </c>
      <c r="D28" s="58"/>
      <c r="E28" s="58"/>
      <c r="F28" s="58"/>
      <c r="G28" s="58"/>
      <c r="H28" s="58"/>
      <c r="I28" s="58"/>
      <c r="J28" s="58"/>
      <c r="K28" s="25"/>
      <c r="L28" s="135"/>
      <c r="M28" s="25"/>
      <c r="N28" s="25"/>
      <c r="O28" s="25"/>
      <c r="P28" s="44"/>
      <c r="Q28" s="44"/>
      <c r="R28" s="27">
        <f t="shared" si="8"/>
        <v>0</v>
      </c>
    </row>
    <row r="29" spans="1:18" ht="15" customHeight="1" hidden="1">
      <c r="A29" s="765"/>
      <c r="B29" s="763"/>
      <c r="C29" s="43" t="s">
        <v>233</v>
      </c>
      <c r="D29" s="58"/>
      <c r="E29" s="58"/>
      <c r="F29" s="58"/>
      <c r="G29" s="58"/>
      <c r="H29" s="58"/>
      <c r="I29" s="58"/>
      <c r="J29" s="58"/>
      <c r="K29" s="25"/>
      <c r="L29" s="135"/>
      <c r="M29" s="25"/>
      <c r="N29" s="25"/>
      <c r="O29" s="25"/>
      <c r="P29" s="44"/>
      <c r="Q29" s="44"/>
      <c r="R29" s="27">
        <f t="shared" si="8"/>
        <v>0</v>
      </c>
    </row>
    <row r="30" spans="1:18" ht="15" customHeight="1" hidden="1">
      <c r="A30" s="765"/>
      <c r="B30" s="763"/>
      <c r="C30" s="43" t="s">
        <v>234</v>
      </c>
      <c r="D30" s="58"/>
      <c r="E30" s="58"/>
      <c r="F30" s="58"/>
      <c r="G30" s="58"/>
      <c r="H30" s="58"/>
      <c r="I30" s="58"/>
      <c r="J30" s="58"/>
      <c r="K30" s="25"/>
      <c r="L30" s="135"/>
      <c r="M30" s="25"/>
      <c r="N30" s="25"/>
      <c r="O30" s="25"/>
      <c r="P30" s="44"/>
      <c r="Q30" s="44"/>
      <c r="R30" s="27">
        <f t="shared" si="8"/>
        <v>0</v>
      </c>
    </row>
    <row r="31" spans="1:18" ht="15" customHeight="1" hidden="1">
      <c r="A31" s="765"/>
      <c r="B31" s="763"/>
      <c r="C31" s="72" t="s">
        <v>235</v>
      </c>
      <c r="D31" s="66"/>
      <c r="E31" s="66"/>
      <c r="F31" s="66"/>
      <c r="G31" s="66"/>
      <c r="H31" s="66"/>
      <c r="I31" s="58"/>
      <c r="J31" s="58"/>
      <c r="K31" s="25"/>
      <c r="L31" s="135"/>
      <c r="M31" s="25"/>
      <c r="N31" s="25"/>
      <c r="O31" s="25"/>
      <c r="P31" s="115"/>
      <c r="Q31" s="115"/>
      <c r="R31" s="136">
        <f t="shared" si="8"/>
        <v>0</v>
      </c>
    </row>
    <row r="32" spans="1:18" ht="15" customHeight="1" hidden="1">
      <c r="A32" s="765"/>
      <c r="B32" s="763"/>
      <c r="C32" s="72" t="s">
        <v>236</v>
      </c>
      <c r="D32" s="56"/>
      <c r="E32" s="56"/>
      <c r="F32" s="56"/>
      <c r="G32" s="56"/>
      <c r="H32" s="56"/>
      <c r="I32" s="58"/>
      <c r="J32" s="58"/>
      <c r="K32" s="25"/>
      <c r="L32" s="135"/>
      <c r="M32" s="25"/>
      <c r="N32" s="25"/>
      <c r="O32" s="25"/>
      <c r="P32" s="115"/>
      <c r="Q32" s="115"/>
      <c r="R32" s="136">
        <f t="shared" si="8"/>
        <v>0</v>
      </c>
    </row>
    <row r="33" spans="1:18" ht="15" customHeight="1" hidden="1">
      <c r="A33" s="765"/>
      <c r="B33" s="763"/>
      <c r="C33" s="72" t="s">
        <v>268</v>
      </c>
      <c r="D33" s="58"/>
      <c r="E33" s="58"/>
      <c r="F33" s="58"/>
      <c r="G33" s="58"/>
      <c r="H33" s="58"/>
      <c r="I33" s="58"/>
      <c r="J33" s="58"/>
      <c r="K33" s="25">
        <v>0</v>
      </c>
      <c r="L33" s="135"/>
      <c r="M33" s="25"/>
      <c r="N33" s="25"/>
      <c r="O33" s="25"/>
      <c r="P33" s="115"/>
      <c r="Q33" s="115"/>
      <c r="R33" s="136">
        <f t="shared" si="8"/>
        <v>0</v>
      </c>
    </row>
    <row r="34" spans="1:18" ht="15" customHeight="1" hidden="1">
      <c r="A34" s="765"/>
      <c r="B34" s="763"/>
      <c r="C34" s="72" t="s">
        <v>269</v>
      </c>
      <c r="D34" s="58"/>
      <c r="E34" s="58"/>
      <c r="F34" s="58"/>
      <c r="G34" s="58"/>
      <c r="H34" s="58"/>
      <c r="I34" s="58"/>
      <c r="J34" s="58"/>
      <c r="K34" s="25">
        <v>0</v>
      </c>
      <c r="L34" s="135"/>
      <c r="M34" s="25"/>
      <c r="N34" s="25"/>
      <c r="O34" s="25"/>
      <c r="P34" s="115"/>
      <c r="Q34" s="115"/>
      <c r="R34" s="136">
        <f t="shared" si="8"/>
        <v>0</v>
      </c>
    </row>
    <row r="35" spans="1:18" ht="15" customHeight="1" hidden="1">
      <c r="A35" s="765"/>
      <c r="B35" s="763"/>
      <c r="C35" s="72" t="s">
        <v>270</v>
      </c>
      <c r="D35" s="58"/>
      <c r="E35" s="58"/>
      <c r="F35" s="58"/>
      <c r="G35" s="58"/>
      <c r="H35" s="58"/>
      <c r="I35" s="58"/>
      <c r="J35" s="58"/>
      <c r="K35" s="25"/>
      <c r="L35" s="135"/>
      <c r="M35" s="25"/>
      <c r="N35" s="25"/>
      <c r="O35" s="25"/>
      <c r="P35" s="115"/>
      <c r="Q35" s="115"/>
      <c r="R35" s="136">
        <f t="shared" si="8"/>
        <v>0</v>
      </c>
    </row>
    <row r="36" spans="1:18" ht="15" customHeight="1" hidden="1">
      <c r="A36" s="765"/>
      <c r="B36" s="763"/>
      <c r="C36" s="43" t="s">
        <v>271</v>
      </c>
      <c r="D36" s="58"/>
      <c r="E36" s="58"/>
      <c r="F36" s="58"/>
      <c r="G36" s="58"/>
      <c r="H36" s="58"/>
      <c r="I36" s="58"/>
      <c r="J36" s="58"/>
      <c r="K36" s="25"/>
      <c r="L36" s="135"/>
      <c r="M36" s="25"/>
      <c r="N36" s="25"/>
      <c r="O36" s="25"/>
      <c r="P36" s="115"/>
      <c r="Q36" s="115"/>
      <c r="R36" s="136">
        <f t="shared" si="8"/>
        <v>0</v>
      </c>
    </row>
    <row r="37" spans="1:18" ht="15" customHeight="1" hidden="1">
      <c r="A37" s="765"/>
      <c r="B37" s="763"/>
      <c r="C37" s="43" t="s">
        <v>272</v>
      </c>
      <c r="D37" s="58"/>
      <c r="E37" s="58"/>
      <c r="F37" s="58"/>
      <c r="G37" s="58"/>
      <c r="H37" s="58"/>
      <c r="I37" s="58"/>
      <c r="J37" s="58"/>
      <c r="K37" s="25"/>
      <c r="L37" s="135"/>
      <c r="M37" s="25"/>
      <c r="N37" s="25"/>
      <c r="O37" s="25"/>
      <c r="P37" s="115"/>
      <c r="Q37" s="115"/>
      <c r="R37" s="136">
        <f t="shared" si="8"/>
        <v>0</v>
      </c>
    </row>
    <row r="38" spans="1:18" ht="15" customHeight="1" hidden="1">
      <c r="A38" s="765"/>
      <c r="B38" s="763"/>
      <c r="C38" s="43" t="s">
        <v>273</v>
      </c>
      <c r="D38" s="58"/>
      <c r="E38" s="58"/>
      <c r="F38" s="58"/>
      <c r="G38" s="58"/>
      <c r="H38" s="58"/>
      <c r="I38" s="58"/>
      <c r="J38" s="58"/>
      <c r="K38" s="25"/>
      <c r="L38" s="135"/>
      <c r="M38" s="25"/>
      <c r="N38" s="25"/>
      <c r="O38" s="25"/>
      <c r="P38" s="115"/>
      <c r="Q38" s="115"/>
      <c r="R38" s="136">
        <f t="shared" si="8"/>
        <v>0</v>
      </c>
    </row>
    <row r="39" spans="1:18" ht="15" customHeight="1" hidden="1">
      <c r="A39" s="765"/>
      <c r="B39" s="763"/>
      <c r="C39" s="43" t="s">
        <v>274</v>
      </c>
      <c r="D39" s="58"/>
      <c r="E39" s="58"/>
      <c r="F39" s="58"/>
      <c r="G39" s="58"/>
      <c r="H39" s="58"/>
      <c r="I39" s="58"/>
      <c r="J39" s="58"/>
      <c r="K39" s="25"/>
      <c r="L39" s="135"/>
      <c r="M39" s="25">
        <v>136054.5</v>
      </c>
      <c r="N39" s="25"/>
      <c r="O39" s="25"/>
      <c r="P39" s="115"/>
      <c r="Q39" s="115"/>
      <c r="R39" s="136">
        <f t="shared" si="8"/>
        <v>0</v>
      </c>
    </row>
    <row r="40" spans="1:18" ht="15" customHeight="1" hidden="1">
      <c r="A40" s="765"/>
      <c r="B40" s="763"/>
      <c r="C40" s="43" t="s">
        <v>373</v>
      </c>
      <c r="D40" s="58"/>
      <c r="E40" s="58"/>
      <c r="F40" s="58"/>
      <c r="G40" s="58"/>
      <c r="H40" s="58"/>
      <c r="I40" s="58"/>
      <c r="J40" s="58"/>
      <c r="K40" s="25"/>
      <c r="L40" s="135"/>
      <c r="M40" s="135">
        <v>65980.73</v>
      </c>
      <c r="N40" s="25"/>
      <c r="O40" s="25"/>
      <c r="P40" s="44"/>
      <c r="Q40" s="44"/>
      <c r="R40" s="27">
        <f t="shared" si="8"/>
        <v>0</v>
      </c>
    </row>
    <row r="41" spans="1:18" ht="15" customHeight="1">
      <c r="A41" s="765"/>
      <c r="B41" s="763"/>
      <c r="C41" s="43" t="s">
        <v>381</v>
      </c>
      <c r="D41" s="58"/>
      <c r="E41" s="58"/>
      <c r="F41" s="58"/>
      <c r="G41" s="58"/>
      <c r="H41" s="58"/>
      <c r="I41" s="58"/>
      <c r="J41" s="58"/>
      <c r="K41" s="25"/>
      <c r="L41" s="135"/>
      <c r="M41" s="25"/>
      <c r="N41" s="25">
        <v>4000</v>
      </c>
      <c r="O41" s="25"/>
      <c r="P41" s="44"/>
      <c r="Q41" s="44"/>
      <c r="R41" s="27">
        <f t="shared" si="8"/>
        <v>0</v>
      </c>
    </row>
    <row r="42" spans="1:18" ht="15" customHeight="1">
      <c r="A42" s="765"/>
      <c r="B42" s="763"/>
      <c r="C42" s="43" t="s">
        <v>382</v>
      </c>
      <c r="D42" s="58"/>
      <c r="E42" s="58"/>
      <c r="F42" s="58"/>
      <c r="G42" s="58"/>
      <c r="H42" s="58"/>
      <c r="I42" s="58"/>
      <c r="J42" s="58"/>
      <c r="K42" s="25"/>
      <c r="L42" s="135"/>
      <c r="M42" s="25"/>
      <c r="N42" s="25">
        <v>15000</v>
      </c>
      <c r="O42" s="25"/>
      <c r="P42" s="44"/>
      <c r="Q42" s="44"/>
      <c r="R42" s="27">
        <f t="shared" si="8"/>
        <v>0</v>
      </c>
    </row>
    <row r="43" spans="1:18" ht="15" customHeight="1">
      <c r="A43" s="765"/>
      <c r="B43" s="763"/>
      <c r="C43" s="43" t="s">
        <v>395</v>
      </c>
      <c r="D43" s="58"/>
      <c r="E43" s="58"/>
      <c r="F43" s="58"/>
      <c r="G43" s="58"/>
      <c r="H43" s="58"/>
      <c r="I43" s="58"/>
      <c r="J43" s="58"/>
      <c r="K43" s="25"/>
      <c r="L43" s="135"/>
      <c r="M43" s="25"/>
      <c r="N43" s="25"/>
      <c r="O43" s="25"/>
      <c r="P43" s="44"/>
      <c r="Q43" s="44"/>
      <c r="R43" s="27">
        <f t="shared" si="8"/>
        <v>0</v>
      </c>
    </row>
    <row r="44" spans="1:18" ht="15" customHeight="1">
      <c r="A44" s="765"/>
      <c r="B44" s="763"/>
      <c r="C44" s="43" t="s">
        <v>369</v>
      </c>
      <c r="D44" s="58"/>
      <c r="E44" s="58"/>
      <c r="F44" s="58"/>
      <c r="G44" s="58"/>
      <c r="H44" s="58"/>
      <c r="I44" s="58"/>
      <c r="J44" s="58"/>
      <c r="K44" s="25"/>
      <c r="L44" s="135"/>
      <c r="M44" s="25"/>
      <c r="N44" s="25">
        <v>484206.88</v>
      </c>
      <c r="O44" s="25"/>
      <c r="P44" s="44"/>
      <c r="Q44" s="44"/>
      <c r="R44" s="27">
        <f t="shared" si="8"/>
        <v>0</v>
      </c>
    </row>
    <row r="45" spans="1:18" ht="15" customHeight="1">
      <c r="A45" s="765"/>
      <c r="B45" s="763"/>
      <c r="C45" s="43" t="s">
        <v>448</v>
      </c>
      <c r="D45" s="58"/>
      <c r="E45" s="58"/>
      <c r="F45" s="58"/>
      <c r="G45" s="58"/>
      <c r="H45" s="58"/>
      <c r="I45" s="58"/>
      <c r="J45" s="58"/>
      <c r="K45" s="25"/>
      <c r="L45" s="135"/>
      <c r="M45" s="25"/>
      <c r="N45" s="25"/>
      <c r="O45" s="25"/>
      <c r="P45" s="44"/>
      <c r="Q45" s="44"/>
      <c r="R45" s="27">
        <f t="shared" si="8"/>
        <v>0</v>
      </c>
    </row>
    <row r="46" spans="1:18" ht="15" customHeight="1" thickBot="1">
      <c r="A46" s="765"/>
      <c r="B46" s="763"/>
      <c r="C46" s="43" t="s">
        <v>393</v>
      </c>
      <c r="D46" s="58"/>
      <c r="E46" s="58"/>
      <c r="F46" s="58"/>
      <c r="G46" s="58"/>
      <c r="H46" s="58"/>
      <c r="I46" s="58"/>
      <c r="J46" s="58"/>
      <c r="K46" s="25"/>
      <c r="L46" s="135"/>
      <c r="M46" s="25"/>
      <c r="N46" s="25"/>
      <c r="O46" s="25"/>
      <c r="P46" s="44">
        <v>591596</v>
      </c>
      <c r="Q46" s="44"/>
      <c r="R46" s="27">
        <f t="shared" si="8"/>
        <v>591596</v>
      </c>
    </row>
    <row r="47" spans="1:18" ht="15" customHeight="1" hidden="1">
      <c r="A47" s="765"/>
      <c r="B47" s="763"/>
      <c r="C47" s="43" t="s">
        <v>399</v>
      </c>
      <c r="D47" s="58"/>
      <c r="E47" s="58"/>
      <c r="F47" s="58"/>
      <c r="G47" s="58"/>
      <c r="H47" s="58"/>
      <c r="I47" s="58"/>
      <c r="J47" s="58"/>
      <c r="K47" s="25"/>
      <c r="L47" s="135"/>
      <c r="M47" s="25"/>
      <c r="N47" s="25"/>
      <c r="O47" s="25"/>
      <c r="P47" s="44"/>
      <c r="Q47" s="44"/>
      <c r="R47" s="27"/>
    </row>
    <row r="48" spans="1:18" ht="15" customHeight="1" hidden="1">
      <c r="A48" s="765"/>
      <c r="B48" s="763"/>
      <c r="C48" s="43" t="s">
        <v>400</v>
      </c>
      <c r="D48" s="58"/>
      <c r="E48" s="58"/>
      <c r="F48" s="58"/>
      <c r="G48" s="58"/>
      <c r="H48" s="58"/>
      <c r="I48" s="58"/>
      <c r="J48" s="58"/>
      <c r="K48" s="25"/>
      <c r="L48" s="135"/>
      <c r="M48" s="25"/>
      <c r="N48" s="25"/>
      <c r="O48" s="25"/>
      <c r="P48" s="44"/>
      <c r="Q48" s="44"/>
      <c r="R48" s="27"/>
    </row>
    <row r="49" spans="1:18" ht="15.75" customHeight="1" hidden="1" thickBot="1">
      <c r="A49" s="766"/>
      <c r="B49" s="763"/>
      <c r="C49" s="43" t="s">
        <v>237</v>
      </c>
      <c r="D49" s="58"/>
      <c r="E49" s="58"/>
      <c r="F49" s="58"/>
      <c r="G49" s="58"/>
      <c r="H49" s="58"/>
      <c r="I49" s="58"/>
      <c r="J49" s="58"/>
      <c r="K49" s="25"/>
      <c r="L49" s="135"/>
      <c r="M49" s="25"/>
      <c r="N49" s="25"/>
      <c r="O49" s="25"/>
      <c r="P49" s="115"/>
      <c r="Q49" s="115"/>
      <c r="R49" s="136"/>
    </row>
    <row r="50" spans="1:18" ht="15.75" thickBot="1">
      <c r="A50" s="137">
        <v>330</v>
      </c>
      <c r="B50" s="688" t="s">
        <v>207</v>
      </c>
      <c r="C50" s="705"/>
      <c r="D50" s="138">
        <f aca="true" t="shared" si="9" ref="D50:R51">D51</f>
        <v>0</v>
      </c>
      <c r="E50" s="138">
        <f t="shared" si="9"/>
        <v>0</v>
      </c>
      <c r="F50" s="138">
        <f t="shared" si="9"/>
        <v>0</v>
      </c>
      <c r="G50" s="138">
        <f t="shared" si="9"/>
        <v>0</v>
      </c>
      <c r="H50" s="138">
        <f t="shared" si="9"/>
        <v>0</v>
      </c>
      <c r="I50" s="138">
        <f t="shared" si="9"/>
        <v>57800</v>
      </c>
      <c r="J50" s="139">
        <f t="shared" si="9"/>
        <v>20485</v>
      </c>
      <c r="K50" s="138">
        <f t="shared" si="9"/>
        <v>0</v>
      </c>
      <c r="L50" s="140"/>
      <c r="M50" s="138">
        <f t="shared" si="9"/>
        <v>0</v>
      </c>
      <c r="N50" s="138">
        <f t="shared" si="9"/>
        <v>0</v>
      </c>
      <c r="O50" s="138">
        <f t="shared" si="9"/>
        <v>0</v>
      </c>
      <c r="P50" s="465">
        <f t="shared" si="9"/>
        <v>0</v>
      </c>
      <c r="Q50" s="465">
        <f t="shared" si="9"/>
        <v>0</v>
      </c>
      <c r="R50" s="141">
        <f t="shared" si="9"/>
        <v>0</v>
      </c>
    </row>
    <row r="51" spans="1:18" ht="13.5" thickBot="1">
      <c r="A51" s="664"/>
      <c r="B51" s="118">
        <v>332</v>
      </c>
      <c r="C51" s="61" t="s">
        <v>275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>I52</f>
        <v>57800</v>
      </c>
      <c r="J51" s="99">
        <f>J52</f>
        <v>20485</v>
      </c>
      <c r="K51" s="62">
        <f>K52</f>
        <v>0</v>
      </c>
      <c r="L51" s="142"/>
      <c r="M51" s="62">
        <f>M52</f>
        <v>0</v>
      </c>
      <c r="N51" s="62">
        <f>N52</f>
        <v>0</v>
      </c>
      <c r="O51" s="62">
        <f>O52</f>
        <v>0</v>
      </c>
      <c r="P51" s="99">
        <f>P52</f>
        <v>0</v>
      </c>
      <c r="Q51" s="156"/>
      <c r="R51" s="143"/>
    </row>
    <row r="52" spans="1:18" ht="12.75">
      <c r="A52" s="665"/>
      <c r="B52" s="679"/>
      <c r="C52" s="131" t="s">
        <v>276</v>
      </c>
      <c r="D52" s="86"/>
      <c r="E52" s="86"/>
      <c r="F52" s="86"/>
      <c r="G52" s="86"/>
      <c r="H52" s="86"/>
      <c r="I52" s="86">
        <v>57800</v>
      </c>
      <c r="J52" s="144">
        <v>20485</v>
      </c>
      <c r="K52" s="144"/>
      <c r="L52" s="21"/>
      <c r="M52" s="21"/>
      <c r="N52" s="21"/>
      <c r="O52" s="21"/>
      <c r="P52" s="73"/>
      <c r="Q52" s="73"/>
      <c r="R52" s="145"/>
    </row>
    <row r="53" spans="1:18" ht="13.5" thickBot="1">
      <c r="A53" s="665"/>
      <c r="B53" s="680"/>
      <c r="C53" s="146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3"/>
      <c r="Q53" s="73"/>
      <c r="R53" s="145"/>
    </row>
    <row r="54" spans="1:18" ht="17.25" thickBot="1" thickTop="1">
      <c r="A54" s="147"/>
      <c r="B54" s="148"/>
      <c r="C54" s="149" t="s">
        <v>277</v>
      </c>
      <c r="D54" s="102">
        <f aca="true" t="shared" si="10" ref="D54:P54">D17+D5</f>
        <v>2113092</v>
      </c>
      <c r="E54" s="102">
        <f t="shared" si="10"/>
        <v>1017958</v>
      </c>
      <c r="F54" s="102">
        <f t="shared" si="10"/>
        <v>1245369</v>
      </c>
      <c r="G54" s="102">
        <f t="shared" si="10"/>
        <v>4391413</v>
      </c>
      <c r="H54" s="102">
        <f t="shared" si="10"/>
        <v>3456141</v>
      </c>
      <c r="I54" s="102">
        <f t="shared" si="10"/>
        <v>4649713</v>
      </c>
      <c r="J54" s="102">
        <f t="shared" si="10"/>
        <v>4502774.06</v>
      </c>
      <c r="K54" s="102">
        <f t="shared" si="10"/>
        <v>3678497</v>
      </c>
      <c r="L54" s="102">
        <f t="shared" si="10"/>
        <v>1218338.5899999999</v>
      </c>
      <c r="M54" s="353">
        <f t="shared" si="10"/>
        <v>752297.52</v>
      </c>
      <c r="N54" s="102">
        <f t="shared" si="10"/>
        <v>935536.18</v>
      </c>
      <c r="O54" s="102">
        <f>O17+O5</f>
        <v>1519663</v>
      </c>
      <c r="P54" s="102">
        <f t="shared" si="10"/>
        <v>1241596</v>
      </c>
      <c r="Q54" s="102">
        <f>Q17+Q5</f>
        <v>530570</v>
      </c>
      <c r="R54" s="103">
        <f>R17+R5</f>
        <v>1772166</v>
      </c>
    </row>
    <row r="55" ht="13.5" thickTop="1"/>
  </sheetData>
  <sheetProtection/>
  <mergeCells count="29"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D3:D4"/>
    <mergeCell ref="K3:K4"/>
    <mergeCell ref="L3:L4"/>
    <mergeCell ref="E3:E4"/>
    <mergeCell ref="F3:F4"/>
    <mergeCell ref="G3:G4"/>
    <mergeCell ref="H3:H4"/>
    <mergeCell ref="J3:J4"/>
    <mergeCell ref="A51:A53"/>
    <mergeCell ref="B52:B53"/>
    <mergeCell ref="B18:C18"/>
    <mergeCell ref="B20:B49"/>
    <mergeCell ref="B50:C50"/>
    <mergeCell ref="B12:B16"/>
    <mergeCell ref="M3:M4"/>
    <mergeCell ref="I3:I4"/>
    <mergeCell ref="N3:N4"/>
    <mergeCell ref="R3:R4"/>
    <mergeCell ref="P3:P4"/>
    <mergeCell ref="O3:O4"/>
  </mergeCells>
  <printOptions/>
  <pageMargins left="0.75" right="0.75" top="1" bottom="1" header="0.4921259845" footer="0.492125984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143"/>
  <sheetViews>
    <sheetView tabSelected="1" zoomScalePageLayoutView="0" workbookViewId="0" topLeftCell="A56">
      <selection activeCell="W23" sqref="W23"/>
    </sheetView>
  </sheetViews>
  <sheetFormatPr defaultColWidth="9.140625" defaultRowHeight="12.75"/>
  <cols>
    <col min="1" max="1" width="10.8515625" style="1" customWidth="1"/>
    <col min="2" max="2" width="8.28125" style="1" customWidth="1"/>
    <col min="3" max="3" width="35.421875" style="1" customWidth="1"/>
    <col min="4" max="11" width="9.140625" style="1" hidden="1" customWidth="1"/>
    <col min="12" max="12" width="14.421875" style="1" hidden="1" customWidth="1"/>
    <col min="13" max="13" width="14.7109375" style="1" hidden="1" customWidth="1"/>
    <col min="14" max="14" width="14.57421875" style="1" hidden="1" customWidth="1"/>
    <col min="15" max="15" width="12.57421875" style="1" customWidth="1"/>
    <col min="16" max="16" width="13.421875" style="1" customWidth="1"/>
    <col min="17" max="18" width="11.421875" style="1" customWidth="1"/>
    <col min="19" max="19" width="12.7109375" style="1" customWidth="1"/>
    <col min="20" max="21" width="9.140625" style="1" customWidth="1"/>
    <col min="22" max="22" width="11.28125" style="632" customWidth="1"/>
    <col min="23" max="16384" width="9.140625" style="1" customWidth="1"/>
  </cols>
  <sheetData>
    <row r="1" spans="1:10" ht="13.5" thickBot="1">
      <c r="A1" s="790" t="s">
        <v>417</v>
      </c>
      <c r="B1" s="790"/>
      <c r="C1" s="790"/>
      <c r="D1" s="790"/>
      <c r="E1" s="790"/>
      <c r="F1" s="790"/>
      <c r="G1" s="790"/>
      <c r="H1" s="790"/>
      <c r="I1" s="790"/>
      <c r="J1" s="790"/>
    </row>
    <row r="2" spans="1:19" ht="13.5" customHeight="1" thickBot="1" thickTop="1">
      <c r="A2" s="753" t="s">
        <v>65</v>
      </c>
      <c r="B2" s="788" t="s">
        <v>110</v>
      </c>
      <c r="C2" s="757" t="s">
        <v>66</v>
      </c>
      <c r="D2" s="686" t="s">
        <v>210</v>
      </c>
      <c r="E2" s="686" t="s">
        <v>211</v>
      </c>
      <c r="F2" s="686" t="s">
        <v>212</v>
      </c>
      <c r="G2" s="686" t="s">
        <v>213</v>
      </c>
      <c r="H2" s="686" t="s">
        <v>214</v>
      </c>
      <c r="I2" s="686" t="s">
        <v>117</v>
      </c>
      <c r="J2" s="686" t="s">
        <v>118</v>
      </c>
      <c r="K2" s="686" t="s">
        <v>119</v>
      </c>
      <c r="L2" s="686" t="s">
        <v>120</v>
      </c>
      <c r="M2" s="769" t="s">
        <v>121</v>
      </c>
      <c r="N2" s="769" t="s">
        <v>412</v>
      </c>
      <c r="O2" s="686" t="s">
        <v>411</v>
      </c>
      <c r="P2" s="686" t="s">
        <v>465</v>
      </c>
      <c r="Q2" s="751" t="s">
        <v>467</v>
      </c>
      <c r="R2" s="752"/>
      <c r="S2" s="684" t="s">
        <v>466</v>
      </c>
    </row>
    <row r="3" spans="1:19" ht="30" customHeight="1" thickBot="1">
      <c r="A3" s="754"/>
      <c r="B3" s="789"/>
      <c r="C3" s="758"/>
      <c r="D3" s="687"/>
      <c r="E3" s="687"/>
      <c r="F3" s="687"/>
      <c r="G3" s="687"/>
      <c r="H3" s="687"/>
      <c r="I3" s="687"/>
      <c r="J3" s="687"/>
      <c r="K3" s="687"/>
      <c r="L3" s="687"/>
      <c r="M3" s="770"/>
      <c r="N3" s="770"/>
      <c r="O3" s="687"/>
      <c r="P3" s="687"/>
      <c r="Q3" s="635" t="s">
        <v>283</v>
      </c>
      <c r="R3" s="636" t="s">
        <v>288</v>
      </c>
      <c r="S3" s="685"/>
    </row>
    <row r="4" spans="1:19" ht="16.5" thickBot="1" thickTop="1">
      <c r="A4" s="265" t="s">
        <v>289</v>
      </c>
      <c r="B4" s="768" t="s">
        <v>33</v>
      </c>
      <c r="C4" s="768"/>
      <c r="D4" s="354">
        <v>372735</v>
      </c>
      <c r="E4" s="354">
        <v>64629</v>
      </c>
      <c r="F4" s="354">
        <v>39833</v>
      </c>
      <c r="G4" s="354">
        <v>3383</v>
      </c>
      <c r="H4" s="354"/>
      <c r="I4" s="355">
        <v>18260</v>
      </c>
      <c r="J4" s="355">
        <v>0</v>
      </c>
      <c r="K4" s="355">
        <v>0</v>
      </c>
      <c r="L4" s="355">
        <v>0</v>
      </c>
      <c r="M4" s="355">
        <v>0</v>
      </c>
      <c r="N4" s="354">
        <f>N5+N8</f>
        <v>6946.8</v>
      </c>
      <c r="O4" s="354">
        <f>O5+O8+O6</f>
        <v>13044</v>
      </c>
      <c r="P4" s="354">
        <f>P5+P6+P8+P7</f>
        <v>31000</v>
      </c>
      <c r="Q4" s="354">
        <f>Q5+Q6+Q8+Q7</f>
        <v>0</v>
      </c>
      <c r="R4" s="354">
        <f>R5+R6+R8+R7</f>
        <v>0</v>
      </c>
      <c r="S4" s="646">
        <f>S5+S6+S8+S7</f>
        <v>31000</v>
      </c>
    </row>
    <row r="5" spans="1:19" ht="12.75">
      <c r="A5" s="715"/>
      <c r="B5" s="772"/>
      <c r="C5" s="72" t="s">
        <v>247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>
        <v>4510.8</v>
      </c>
      <c r="O5" s="22">
        <v>4500</v>
      </c>
      <c r="P5" s="57"/>
      <c r="Q5" s="73"/>
      <c r="R5" s="57"/>
      <c r="S5" s="23">
        <f>P5+Q5+R4:R5</f>
        <v>0</v>
      </c>
    </row>
    <row r="6" spans="1:19" ht="12.75">
      <c r="A6" s="718"/>
      <c r="B6" s="773"/>
      <c r="C6" s="72" t="s">
        <v>416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>
        <v>5544</v>
      </c>
      <c r="P6" s="57">
        <v>6000</v>
      </c>
      <c r="Q6" s="73"/>
      <c r="R6" s="57"/>
      <c r="S6" s="23">
        <f>P6+Q6+R5:R6</f>
        <v>6000</v>
      </c>
    </row>
    <row r="7" spans="1:19" ht="12.75">
      <c r="A7" s="718"/>
      <c r="B7" s="773"/>
      <c r="C7" s="72" t="s">
        <v>449</v>
      </c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57">
        <v>25000</v>
      </c>
      <c r="Q7" s="73"/>
      <c r="R7" s="57"/>
      <c r="S7" s="23">
        <f>P7+Q7+R6:R7</f>
        <v>25000</v>
      </c>
    </row>
    <row r="8" spans="1:19" ht="13.5" thickBot="1">
      <c r="A8" s="716"/>
      <c r="B8" s="774"/>
      <c r="C8" s="72" t="s">
        <v>383</v>
      </c>
      <c r="D8" s="22"/>
      <c r="E8" s="22"/>
      <c r="F8" s="22"/>
      <c r="G8" s="22"/>
      <c r="H8" s="56"/>
      <c r="I8" s="56"/>
      <c r="J8" s="56"/>
      <c r="K8" s="22"/>
      <c r="L8" s="22"/>
      <c r="M8" s="22"/>
      <c r="N8" s="22">
        <v>2436</v>
      </c>
      <c r="O8" s="22">
        <v>3000</v>
      </c>
      <c r="P8" s="57"/>
      <c r="Q8" s="73"/>
      <c r="R8" s="73"/>
      <c r="S8" s="23">
        <f>P8+Q8+R7:R8</f>
        <v>0</v>
      </c>
    </row>
    <row r="9" spans="1:19" ht="15.75" thickBot="1">
      <c r="A9" s="213" t="s">
        <v>89</v>
      </c>
      <c r="B9" s="771" t="s">
        <v>90</v>
      </c>
      <c r="C9" s="771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8">
        <v>3031</v>
      </c>
      <c r="J9" s="138">
        <v>0</v>
      </c>
      <c r="K9" s="67">
        <f>SUM(K10:K11)</f>
        <v>10398</v>
      </c>
      <c r="L9" s="67"/>
      <c r="M9" s="67">
        <f aca="true" t="shared" si="0" ref="M9:S9">SUM(M10:M11)</f>
        <v>0</v>
      </c>
      <c r="N9" s="67">
        <f t="shared" si="0"/>
        <v>5666.4</v>
      </c>
      <c r="O9" s="67">
        <f t="shared" si="0"/>
        <v>12000</v>
      </c>
      <c r="P9" s="67">
        <f t="shared" si="0"/>
        <v>0</v>
      </c>
      <c r="Q9" s="67">
        <f t="shared" si="0"/>
        <v>0</v>
      </c>
      <c r="R9" s="67">
        <f t="shared" si="0"/>
        <v>12500</v>
      </c>
      <c r="S9" s="68">
        <f t="shared" si="0"/>
        <v>12500</v>
      </c>
    </row>
    <row r="10" spans="1:19" ht="12.75">
      <c r="A10" s="715"/>
      <c r="B10" s="772"/>
      <c r="C10" s="41" t="s">
        <v>34</v>
      </c>
      <c r="D10" s="94"/>
      <c r="E10" s="94"/>
      <c r="F10" s="94"/>
      <c r="G10" s="94"/>
      <c r="H10" s="55"/>
      <c r="I10" s="55"/>
      <c r="J10" s="55"/>
      <c r="K10" s="94">
        <v>10398</v>
      </c>
      <c r="L10" s="94"/>
      <c r="M10" s="94"/>
      <c r="N10" s="94"/>
      <c r="O10" s="94">
        <v>12000</v>
      </c>
      <c r="P10" s="42"/>
      <c r="Q10" s="152"/>
      <c r="R10" s="42">
        <v>12500</v>
      </c>
      <c r="S10" s="95">
        <f>P10+Q10+R9:R10</f>
        <v>12500</v>
      </c>
    </row>
    <row r="11" spans="1:19" ht="13.5" thickBot="1">
      <c r="A11" s="716"/>
      <c r="B11" s="774"/>
      <c r="C11" s="146" t="s">
        <v>247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>
        <v>5666.4</v>
      </c>
      <c r="O11" s="70"/>
      <c r="P11" s="57"/>
      <c r="Q11" s="73"/>
      <c r="R11" s="57"/>
      <c r="S11" s="23">
        <f>P11+Q11+R10:R11</f>
        <v>0</v>
      </c>
    </row>
    <row r="12" spans="1:19" ht="15.75" thickBot="1">
      <c r="A12" s="213" t="s">
        <v>84</v>
      </c>
      <c r="B12" s="771" t="s">
        <v>85</v>
      </c>
      <c r="C12" s="771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8">
        <v>495900</v>
      </c>
      <c r="J12" s="235">
        <v>421522</v>
      </c>
      <c r="K12" s="67">
        <f>SUM(K13:K28)</f>
        <v>2058954</v>
      </c>
      <c r="L12" s="67">
        <v>108548.12</v>
      </c>
      <c r="M12" s="215">
        <f aca="true" t="shared" si="1" ref="M12:S12">SUM(M13:M28)</f>
        <v>187078.06</v>
      </c>
      <c r="N12" s="67">
        <f t="shared" si="1"/>
        <v>923357.06</v>
      </c>
      <c r="O12" s="67">
        <f t="shared" si="1"/>
        <v>660050</v>
      </c>
      <c r="P12" s="67">
        <f t="shared" si="1"/>
        <v>791407</v>
      </c>
      <c r="Q12" s="67">
        <f t="shared" si="1"/>
        <v>0</v>
      </c>
      <c r="R12" s="67">
        <f t="shared" si="1"/>
        <v>352610</v>
      </c>
      <c r="S12" s="68">
        <f t="shared" si="1"/>
        <v>1144017</v>
      </c>
    </row>
    <row r="13" spans="1:21" ht="12.75">
      <c r="A13" s="718"/>
      <c r="B13" s="778"/>
      <c r="C13" s="72" t="s">
        <v>35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9">
        <v>11397.78</v>
      </c>
      <c r="N13" s="22">
        <v>30293.6</v>
      </c>
      <c r="O13" s="22">
        <v>99478</v>
      </c>
      <c r="P13" s="57">
        <v>10000</v>
      </c>
      <c r="Q13" s="73"/>
      <c r="R13" s="57">
        <v>18620</v>
      </c>
      <c r="S13" s="23">
        <f aca="true" t="shared" si="2" ref="S13:S28">P13+Q13+R12:R13</f>
        <v>28620</v>
      </c>
      <c r="U13" s="567"/>
    </row>
    <row r="14" spans="1:19" ht="12.75" hidden="1">
      <c r="A14" s="718"/>
      <c r="B14" s="778"/>
      <c r="C14" s="72" t="s">
        <v>99</v>
      </c>
      <c r="D14" s="22"/>
      <c r="E14" s="22"/>
      <c r="F14" s="22"/>
      <c r="G14" s="22"/>
      <c r="H14" s="56"/>
      <c r="I14" s="56"/>
      <c r="J14" s="22"/>
      <c r="K14" s="22"/>
      <c r="L14" s="22"/>
      <c r="M14" s="119"/>
      <c r="N14" s="22"/>
      <c r="O14" s="22"/>
      <c r="P14" s="57"/>
      <c r="Q14" s="73"/>
      <c r="R14" s="57"/>
      <c r="S14" s="23">
        <f t="shared" si="2"/>
        <v>0</v>
      </c>
    </row>
    <row r="15" spans="1:19" ht="12.75">
      <c r="A15" s="718"/>
      <c r="B15" s="778"/>
      <c r="C15" s="43" t="s">
        <v>36</v>
      </c>
      <c r="D15" s="26"/>
      <c r="E15" s="26"/>
      <c r="F15" s="26"/>
      <c r="G15" s="26"/>
      <c r="H15" s="58"/>
      <c r="I15" s="58"/>
      <c r="J15" s="26"/>
      <c r="K15" s="26"/>
      <c r="L15" s="22"/>
      <c r="M15" s="119">
        <v>4562.8</v>
      </c>
      <c r="N15" s="22"/>
      <c r="O15" s="22"/>
      <c r="P15" s="57"/>
      <c r="Q15" s="73"/>
      <c r="R15" s="57"/>
      <c r="S15" s="23">
        <f t="shared" si="2"/>
        <v>0</v>
      </c>
    </row>
    <row r="16" spans="1:19" ht="12.75">
      <c r="A16" s="718"/>
      <c r="B16" s="778"/>
      <c r="C16" s="47" t="s">
        <v>98</v>
      </c>
      <c r="D16" s="30"/>
      <c r="E16" s="30"/>
      <c r="F16" s="30"/>
      <c r="G16" s="30"/>
      <c r="H16" s="66"/>
      <c r="I16" s="66"/>
      <c r="J16" s="30"/>
      <c r="K16" s="30"/>
      <c r="L16" s="22"/>
      <c r="M16" s="119"/>
      <c r="N16" s="22">
        <v>203363.5</v>
      </c>
      <c r="O16" s="22"/>
      <c r="P16" s="57">
        <v>500000</v>
      </c>
      <c r="Q16" s="73"/>
      <c r="R16" s="57"/>
      <c r="S16" s="23">
        <f t="shared" si="2"/>
        <v>500000</v>
      </c>
    </row>
    <row r="17" spans="1:19" ht="12.75">
      <c r="A17" s="718"/>
      <c r="B17" s="778"/>
      <c r="C17" s="47" t="s">
        <v>438</v>
      </c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5">
        <v>0</v>
      </c>
      <c r="N17" s="57"/>
      <c r="O17" s="57">
        <v>211971</v>
      </c>
      <c r="P17" s="57">
        <v>193206</v>
      </c>
      <c r="Q17" s="57"/>
      <c r="R17" s="57">
        <v>-25825</v>
      </c>
      <c r="S17" s="23">
        <f t="shared" si="2"/>
        <v>167381</v>
      </c>
    </row>
    <row r="18" spans="1:19" ht="12.75">
      <c r="A18" s="718"/>
      <c r="B18" s="778"/>
      <c r="C18" s="47" t="s">
        <v>451</v>
      </c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9"/>
      <c r="N18" s="22"/>
      <c r="O18" s="22"/>
      <c r="P18" s="57">
        <v>28000</v>
      </c>
      <c r="Q18" s="73"/>
      <c r="R18" s="57"/>
      <c r="S18" s="23">
        <f t="shared" si="2"/>
        <v>28000</v>
      </c>
    </row>
    <row r="19" spans="1:19" ht="12.75">
      <c r="A19" s="718"/>
      <c r="B19" s="778"/>
      <c r="C19" s="43" t="s">
        <v>371</v>
      </c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9">
        <v>13200</v>
      </c>
      <c r="N19" s="22"/>
      <c r="O19" s="22"/>
      <c r="P19" s="57"/>
      <c r="Q19" s="73"/>
      <c r="R19" s="57">
        <v>11000</v>
      </c>
      <c r="S19" s="23">
        <f t="shared" si="2"/>
        <v>11000</v>
      </c>
    </row>
    <row r="20" spans="1:19" ht="12.75">
      <c r="A20" s="718"/>
      <c r="B20" s="778"/>
      <c r="C20" s="43" t="s">
        <v>486</v>
      </c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9"/>
      <c r="N20" s="22">
        <v>2799.96</v>
      </c>
      <c r="O20" s="22"/>
      <c r="P20" s="57"/>
      <c r="Q20" s="73"/>
      <c r="R20" s="57">
        <v>5000</v>
      </c>
      <c r="S20" s="23">
        <f t="shared" si="2"/>
        <v>5000</v>
      </c>
    </row>
    <row r="21" spans="1:19" ht="12.75">
      <c r="A21" s="718"/>
      <c r="B21" s="778"/>
      <c r="C21" s="43" t="s">
        <v>274</v>
      </c>
      <c r="D21" s="26"/>
      <c r="E21" s="26"/>
      <c r="F21" s="26"/>
      <c r="G21" s="26"/>
      <c r="H21" s="58"/>
      <c r="I21" s="58"/>
      <c r="J21" s="26"/>
      <c r="K21" s="26"/>
      <c r="L21" s="22"/>
      <c r="M21" s="119">
        <v>144897.48</v>
      </c>
      <c r="N21" s="22"/>
      <c r="O21" s="22">
        <v>105487</v>
      </c>
      <c r="P21" s="57"/>
      <c r="Q21" s="73"/>
      <c r="R21" s="57"/>
      <c r="S21" s="23">
        <f t="shared" si="2"/>
        <v>0</v>
      </c>
    </row>
    <row r="22" spans="1:19" ht="12.75" hidden="1">
      <c r="A22" s="718"/>
      <c r="B22" s="778"/>
      <c r="C22" s="43" t="s">
        <v>238</v>
      </c>
      <c r="D22" s="26"/>
      <c r="E22" s="26"/>
      <c r="F22" s="26"/>
      <c r="G22" s="26"/>
      <c r="H22" s="58"/>
      <c r="I22" s="58"/>
      <c r="J22" s="26"/>
      <c r="K22" s="26"/>
      <c r="L22" s="22"/>
      <c r="M22" s="119"/>
      <c r="N22" s="22"/>
      <c r="O22" s="22"/>
      <c r="P22" s="57"/>
      <c r="Q22" s="73"/>
      <c r="R22" s="57"/>
      <c r="S22" s="23">
        <f t="shared" si="2"/>
        <v>0</v>
      </c>
    </row>
    <row r="23" spans="1:19" ht="12.75">
      <c r="A23" s="718"/>
      <c r="B23" s="778"/>
      <c r="C23" s="43" t="s">
        <v>371</v>
      </c>
      <c r="D23" s="26"/>
      <c r="E23" s="26"/>
      <c r="F23" s="26"/>
      <c r="G23" s="26"/>
      <c r="H23" s="58"/>
      <c r="I23" s="58"/>
      <c r="J23" s="26"/>
      <c r="K23" s="26"/>
      <c r="L23" s="26"/>
      <c r="M23" s="206"/>
      <c r="N23" s="26">
        <v>681900</v>
      </c>
      <c r="O23" s="26">
        <v>36000</v>
      </c>
      <c r="P23" s="26">
        <f>36000+24201</f>
        <v>60201</v>
      </c>
      <c r="Q23" s="73"/>
      <c r="R23" s="44">
        <v>343815</v>
      </c>
      <c r="S23" s="27">
        <f t="shared" si="2"/>
        <v>404016</v>
      </c>
    </row>
    <row r="24" spans="1:19" ht="12.75">
      <c r="A24" s="718"/>
      <c r="B24" s="778"/>
      <c r="C24" s="43" t="s">
        <v>372</v>
      </c>
      <c r="D24" s="26"/>
      <c r="E24" s="26"/>
      <c r="F24" s="26"/>
      <c r="G24" s="26"/>
      <c r="H24" s="58"/>
      <c r="I24" s="58"/>
      <c r="J24" s="26"/>
      <c r="K24" s="26"/>
      <c r="L24" s="26"/>
      <c r="M24" s="206">
        <v>1500</v>
      </c>
      <c r="N24" s="26">
        <v>5000</v>
      </c>
      <c r="O24" s="26"/>
      <c r="P24" s="44"/>
      <c r="Q24" s="115"/>
      <c r="R24" s="44"/>
      <c r="S24" s="27">
        <f t="shared" si="2"/>
        <v>0</v>
      </c>
    </row>
    <row r="25" spans="1:19" ht="12.75">
      <c r="A25" s="718"/>
      <c r="B25" s="778"/>
      <c r="C25" s="43" t="s">
        <v>402</v>
      </c>
      <c r="D25" s="26"/>
      <c r="E25" s="26"/>
      <c r="F25" s="26"/>
      <c r="G25" s="26"/>
      <c r="H25" s="58"/>
      <c r="I25" s="58"/>
      <c r="J25" s="26"/>
      <c r="K25" s="26"/>
      <c r="L25" s="26"/>
      <c r="M25" s="206"/>
      <c r="N25" s="26"/>
      <c r="O25" s="26">
        <v>131114</v>
      </c>
      <c r="P25" s="44"/>
      <c r="Q25" s="115"/>
      <c r="R25" s="57"/>
      <c r="S25" s="23">
        <f t="shared" si="2"/>
        <v>0</v>
      </c>
    </row>
    <row r="26" spans="1:19" ht="12.75" hidden="1">
      <c r="A26" s="718"/>
      <c r="B26" s="778"/>
      <c r="C26" s="43" t="s">
        <v>396</v>
      </c>
      <c r="D26" s="26"/>
      <c r="E26" s="26"/>
      <c r="F26" s="26"/>
      <c r="G26" s="26"/>
      <c r="H26" s="58"/>
      <c r="I26" s="58"/>
      <c r="J26" s="26"/>
      <c r="K26" s="26"/>
      <c r="L26" s="26"/>
      <c r="M26" s="206"/>
      <c r="N26" s="26"/>
      <c r="O26" s="26"/>
      <c r="P26" s="44"/>
      <c r="Q26" s="115"/>
      <c r="R26" s="57"/>
      <c r="S26" s="23">
        <f t="shared" si="2"/>
        <v>0</v>
      </c>
    </row>
    <row r="27" spans="1:19" ht="13.5" thickBot="1">
      <c r="A27" s="718"/>
      <c r="B27" s="778"/>
      <c r="C27" s="43" t="s">
        <v>237</v>
      </c>
      <c r="D27" s="26"/>
      <c r="E27" s="26"/>
      <c r="F27" s="26"/>
      <c r="G27" s="26"/>
      <c r="H27" s="58"/>
      <c r="I27" s="58"/>
      <c r="J27" s="26"/>
      <c r="K27" s="26"/>
      <c r="L27" s="26"/>
      <c r="M27" s="206"/>
      <c r="N27" s="26"/>
      <c r="O27" s="26">
        <v>76000</v>
      </c>
      <c r="P27" s="44"/>
      <c r="Q27" s="115"/>
      <c r="R27" s="57"/>
      <c r="S27" s="23">
        <f t="shared" si="2"/>
        <v>0</v>
      </c>
    </row>
    <row r="28" spans="1:19" ht="13.5" hidden="1" thickBot="1">
      <c r="A28" s="716"/>
      <c r="B28" s="779"/>
      <c r="C28" s="146" t="s">
        <v>231</v>
      </c>
      <c r="D28" s="70"/>
      <c r="E28" s="70"/>
      <c r="F28" s="70"/>
      <c r="G28" s="70"/>
      <c r="H28" s="69"/>
      <c r="I28" s="69"/>
      <c r="J28" s="70"/>
      <c r="K28" s="70">
        <v>748471</v>
      </c>
      <c r="L28" s="70"/>
      <c r="M28" s="117">
        <v>11520</v>
      </c>
      <c r="N28" s="70"/>
      <c r="O28" s="70"/>
      <c r="P28" s="57"/>
      <c r="Q28" s="73"/>
      <c r="R28" s="57"/>
      <c r="S28" s="23">
        <f t="shared" si="2"/>
        <v>0</v>
      </c>
    </row>
    <row r="29" spans="1:21" ht="15.75" thickBot="1">
      <c r="A29" s="357" t="s">
        <v>254</v>
      </c>
      <c r="B29" s="688" t="s">
        <v>37</v>
      </c>
      <c r="C29" s="705"/>
      <c r="D29" s="235">
        <v>154053</v>
      </c>
      <c r="E29" s="235">
        <v>194317</v>
      </c>
      <c r="F29" s="235">
        <v>340238</v>
      </c>
      <c r="G29" s="235">
        <v>484191</v>
      </c>
      <c r="H29" s="235">
        <v>181309</v>
      </c>
      <c r="I29" s="138">
        <v>33695</v>
      </c>
      <c r="J29" s="235">
        <v>79908</v>
      </c>
      <c r="K29" s="67">
        <f>SUM(K30:K49)</f>
        <v>0</v>
      </c>
      <c r="L29" s="67">
        <f>SUM(L30:L49)</f>
        <v>75693</v>
      </c>
      <c r="M29" s="215">
        <f>SUM(M30:M44)</f>
        <v>86855.21999999999</v>
      </c>
      <c r="N29" s="67">
        <f>SUM(N30:N45)</f>
        <v>206988.84</v>
      </c>
      <c r="O29" s="67">
        <f>SUM(O30:O45)</f>
        <v>476334</v>
      </c>
      <c r="P29" s="67">
        <f>SUM(P30:P49)</f>
        <v>613304</v>
      </c>
      <c r="Q29" s="67">
        <f>SUM(Q30:Q49)</f>
        <v>-12900</v>
      </c>
      <c r="R29" s="67">
        <f>SUM(R30:R49)</f>
        <v>-158956</v>
      </c>
      <c r="S29" s="68">
        <f>SUM(S30:S49)</f>
        <v>441448</v>
      </c>
      <c r="U29" s="567"/>
    </row>
    <row r="30" spans="1:19" ht="12.75">
      <c r="A30" s="715"/>
      <c r="B30" s="772"/>
      <c r="C30" s="43" t="s">
        <v>420</v>
      </c>
      <c r="D30" s="26"/>
      <c r="E30" s="26"/>
      <c r="F30" s="26"/>
      <c r="G30" s="26"/>
      <c r="H30" s="58"/>
      <c r="I30" s="359"/>
      <c r="J30" s="360"/>
      <c r="K30" s="26"/>
      <c r="L30" s="22">
        <v>23757.12</v>
      </c>
      <c r="M30" s="119"/>
      <c r="N30" s="22"/>
      <c r="O30" s="22">
        <v>37000</v>
      </c>
      <c r="P30" s="57"/>
      <c r="Q30" s="73"/>
      <c r="R30" s="57"/>
      <c r="S30" s="23">
        <f aca="true" t="shared" si="3" ref="S30:S49">P30+Q30+R29:R30</f>
        <v>0</v>
      </c>
    </row>
    <row r="31" spans="1:19" ht="12.75">
      <c r="A31" s="718"/>
      <c r="B31" s="773"/>
      <c r="C31" s="43" t="s">
        <v>442</v>
      </c>
      <c r="D31" s="26"/>
      <c r="E31" s="26"/>
      <c r="F31" s="26"/>
      <c r="G31" s="26"/>
      <c r="H31" s="58"/>
      <c r="I31" s="359"/>
      <c r="J31" s="360"/>
      <c r="K31" s="26"/>
      <c r="L31" s="22"/>
      <c r="M31" s="119"/>
      <c r="N31" s="22"/>
      <c r="O31" s="22"/>
      <c r="P31" s="57">
        <v>32900</v>
      </c>
      <c r="Q31" s="57">
        <v>-16900</v>
      </c>
      <c r="R31" s="57"/>
      <c r="S31" s="23">
        <f t="shared" si="3"/>
        <v>16000</v>
      </c>
    </row>
    <row r="32" spans="1:21" ht="14.25" customHeight="1">
      <c r="A32" s="718"/>
      <c r="B32" s="773"/>
      <c r="C32" s="43" t="s">
        <v>107</v>
      </c>
      <c r="D32" s="26"/>
      <c r="E32" s="26"/>
      <c r="F32" s="26"/>
      <c r="G32" s="26"/>
      <c r="H32" s="58"/>
      <c r="I32" s="359"/>
      <c r="J32" s="360"/>
      <c r="K32" s="26"/>
      <c r="L32" s="22"/>
      <c r="M32" s="119"/>
      <c r="N32" s="22">
        <v>23667.99</v>
      </c>
      <c r="O32" s="22"/>
      <c r="P32" s="57"/>
      <c r="Q32" s="73"/>
      <c r="R32" s="57"/>
      <c r="S32" s="23">
        <f t="shared" si="3"/>
        <v>0</v>
      </c>
      <c r="U32" s="567"/>
    </row>
    <row r="33" spans="1:19" ht="12.75">
      <c r="A33" s="718"/>
      <c r="B33" s="773"/>
      <c r="C33" s="43" t="s">
        <v>108</v>
      </c>
      <c r="D33" s="26"/>
      <c r="E33" s="26"/>
      <c r="F33" s="26"/>
      <c r="G33" s="26"/>
      <c r="H33" s="58"/>
      <c r="I33" s="359"/>
      <c r="J33" s="360"/>
      <c r="K33" s="26"/>
      <c r="L33" s="22"/>
      <c r="M33" s="119"/>
      <c r="N33" s="22">
        <v>52202.27</v>
      </c>
      <c r="O33" s="22"/>
      <c r="P33" s="57"/>
      <c r="Q33" s="73"/>
      <c r="R33" s="57"/>
      <c r="S33" s="23">
        <f t="shared" si="3"/>
        <v>0</v>
      </c>
    </row>
    <row r="34" spans="1:21" ht="12.75">
      <c r="A34" s="718"/>
      <c r="B34" s="773"/>
      <c r="C34" s="43" t="s">
        <v>397</v>
      </c>
      <c r="D34" s="26"/>
      <c r="E34" s="26"/>
      <c r="F34" s="26"/>
      <c r="G34" s="26"/>
      <c r="H34" s="58"/>
      <c r="I34" s="359"/>
      <c r="J34" s="360"/>
      <c r="K34" s="26"/>
      <c r="L34" s="22"/>
      <c r="M34" s="119"/>
      <c r="N34" s="22"/>
      <c r="O34" s="22">
        <v>19400</v>
      </c>
      <c r="P34" s="57"/>
      <c r="Q34" s="73"/>
      <c r="R34" s="57"/>
      <c r="S34" s="23">
        <f t="shared" si="3"/>
        <v>0</v>
      </c>
      <c r="U34" s="567"/>
    </row>
    <row r="35" spans="1:19" ht="12.75">
      <c r="A35" s="718"/>
      <c r="B35" s="773"/>
      <c r="C35" s="43" t="s">
        <v>206</v>
      </c>
      <c r="D35" s="26"/>
      <c r="E35" s="26"/>
      <c r="F35" s="26"/>
      <c r="G35" s="26"/>
      <c r="H35" s="58"/>
      <c r="I35" s="359"/>
      <c r="J35" s="360"/>
      <c r="K35" s="26"/>
      <c r="L35" s="22"/>
      <c r="M35" s="119"/>
      <c r="N35" s="22">
        <v>11718.320000000007</v>
      </c>
      <c r="O35" s="22">
        <v>136934</v>
      </c>
      <c r="P35" s="57"/>
      <c r="Q35" s="73"/>
      <c r="R35" s="57"/>
      <c r="S35" s="23">
        <f t="shared" si="3"/>
        <v>0</v>
      </c>
    </row>
    <row r="36" spans="1:19" ht="12.75">
      <c r="A36" s="718"/>
      <c r="B36" s="773"/>
      <c r="C36" s="43" t="s">
        <v>408</v>
      </c>
      <c r="D36" s="26"/>
      <c r="E36" s="26"/>
      <c r="F36" s="26"/>
      <c r="G36" s="26"/>
      <c r="H36" s="58"/>
      <c r="I36" s="359"/>
      <c r="J36" s="360"/>
      <c r="K36" s="26"/>
      <c r="L36" s="22"/>
      <c r="M36" s="119"/>
      <c r="N36" s="22"/>
      <c r="O36" s="22">
        <v>275000</v>
      </c>
      <c r="P36" s="57">
        <v>275000</v>
      </c>
      <c r="Q36" s="73"/>
      <c r="R36" s="57">
        <v>-233160</v>
      </c>
      <c r="S36" s="23">
        <f t="shared" si="3"/>
        <v>41840</v>
      </c>
    </row>
    <row r="37" spans="1:19" ht="12.75">
      <c r="A37" s="718"/>
      <c r="B37" s="773"/>
      <c r="C37" s="43" t="s">
        <v>398</v>
      </c>
      <c r="D37" s="26"/>
      <c r="E37" s="26"/>
      <c r="F37" s="26"/>
      <c r="G37" s="26"/>
      <c r="H37" s="58"/>
      <c r="I37" s="359"/>
      <c r="J37" s="360"/>
      <c r="K37" s="26"/>
      <c r="L37" s="22"/>
      <c r="M37" s="119"/>
      <c r="N37" s="22"/>
      <c r="O37" s="22">
        <v>8000</v>
      </c>
      <c r="P37" s="57"/>
      <c r="Q37" s="73"/>
      <c r="R37" s="57"/>
      <c r="S37" s="23">
        <f t="shared" si="3"/>
        <v>0</v>
      </c>
    </row>
    <row r="38" spans="1:19" ht="12.75">
      <c r="A38" s="718"/>
      <c r="B38" s="773"/>
      <c r="C38" s="43" t="s">
        <v>445</v>
      </c>
      <c r="D38" s="26"/>
      <c r="E38" s="26"/>
      <c r="F38" s="26"/>
      <c r="G38" s="26"/>
      <c r="H38" s="58"/>
      <c r="I38" s="359"/>
      <c r="J38" s="360"/>
      <c r="K38" s="26"/>
      <c r="L38" s="22"/>
      <c r="M38" s="119"/>
      <c r="N38" s="22"/>
      <c r="O38" s="22"/>
      <c r="P38" s="57">
        <v>4820</v>
      </c>
      <c r="Q38" s="73"/>
      <c r="R38" s="57"/>
      <c r="S38" s="23">
        <f t="shared" si="3"/>
        <v>4820</v>
      </c>
    </row>
    <row r="39" spans="1:19" ht="12.75">
      <c r="A39" s="718"/>
      <c r="B39" s="773"/>
      <c r="C39" s="43" t="s">
        <v>444</v>
      </c>
      <c r="D39" s="26"/>
      <c r="E39" s="26"/>
      <c r="F39" s="26"/>
      <c r="G39" s="26"/>
      <c r="H39" s="58"/>
      <c r="I39" s="359"/>
      <c r="J39" s="360"/>
      <c r="K39" s="26"/>
      <c r="L39" s="22">
        <v>29104.44</v>
      </c>
      <c r="M39" s="119"/>
      <c r="N39" s="22"/>
      <c r="O39" s="22"/>
      <c r="P39" s="57">
        <v>38584</v>
      </c>
      <c r="Q39" s="73"/>
      <c r="R39" s="57"/>
      <c r="S39" s="23">
        <f t="shared" si="3"/>
        <v>38584</v>
      </c>
    </row>
    <row r="40" spans="1:19" ht="12.75">
      <c r="A40" s="718"/>
      <c r="B40" s="773"/>
      <c r="C40" s="43" t="s">
        <v>479</v>
      </c>
      <c r="D40" s="26"/>
      <c r="E40" s="26"/>
      <c r="F40" s="26"/>
      <c r="G40" s="26"/>
      <c r="H40" s="58"/>
      <c r="I40" s="359"/>
      <c r="J40" s="360"/>
      <c r="K40" s="26"/>
      <c r="L40" s="22"/>
      <c r="M40" s="119">
        <v>35969.53</v>
      </c>
      <c r="N40" s="22"/>
      <c r="O40" s="22"/>
      <c r="P40" s="57"/>
      <c r="Q40" s="73"/>
      <c r="R40" s="57">
        <v>7188</v>
      </c>
      <c r="S40" s="23">
        <f t="shared" si="3"/>
        <v>7188</v>
      </c>
    </row>
    <row r="41" spans="1:19" ht="12.75" customHeight="1">
      <c r="A41" s="718"/>
      <c r="B41" s="773"/>
      <c r="C41" s="43" t="s">
        <v>38</v>
      </c>
      <c r="D41" s="30"/>
      <c r="E41" s="30"/>
      <c r="F41" s="30"/>
      <c r="G41" s="30"/>
      <c r="H41" s="66"/>
      <c r="I41" s="361"/>
      <c r="J41" s="362"/>
      <c r="K41" s="30"/>
      <c r="L41" s="30"/>
      <c r="M41" s="119">
        <v>2200</v>
      </c>
      <c r="N41" s="22"/>
      <c r="O41" s="22"/>
      <c r="P41" s="57"/>
      <c r="Q41" s="73"/>
      <c r="R41" s="57"/>
      <c r="S41" s="23">
        <f t="shared" si="3"/>
        <v>0</v>
      </c>
    </row>
    <row r="42" spans="1:21" ht="12.75" customHeight="1">
      <c r="A42" s="718"/>
      <c r="B42" s="773"/>
      <c r="C42" s="43" t="s">
        <v>477</v>
      </c>
      <c r="D42" s="30"/>
      <c r="E42" s="30"/>
      <c r="F42" s="30"/>
      <c r="G42" s="30"/>
      <c r="H42" s="66"/>
      <c r="I42" s="361"/>
      <c r="J42" s="362"/>
      <c r="K42" s="30"/>
      <c r="L42" s="30"/>
      <c r="M42" s="119">
        <v>28928.71</v>
      </c>
      <c r="N42" s="22"/>
      <c r="O42" s="22"/>
      <c r="P42" s="57"/>
      <c r="Q42" s="57">
        <v>4000</v>
      </c>
      <c r="R42" s="57"/>
      <c r="S42" s="23">
        <f t="shared" si="3"/>
        <v>4000</v>
      </c>
      <c r="U42" s="567"/>
    </row>
    <row r="43" spans="1:19" ht="12.75" customHeight="1">
      <c r="A43" s="718"/>
      <c r="B43" s="773"/>
      <c r="C43" s="43" t="s">
        <v>488</v>
      </c>
      <c r="D43" s="30"/>
      <c r="E43" s="30"/>
      <c r="F43" s="30"/>
      <c r="G43" s="30"/>
      <c r="H43" s="66"/>
      <c r="I43" s="361"/>
      <c r="J43" s="362"/>
      <c r="K43" s="30"/>
      <c r="L43" s="30"/>
      <c r="M43" s="206">
        <v>19756.98</v>
      </c>
      <c r="N43" s="22"/>
      <c r="O43" s="22"/>
      <c r="P43" s="57"/>
      <c r="Q43" s="57"/>
      <c r="R43" s="57">
        <v>38266</v>
      </c>
      <c r="S43" s="23">
        <f t="shared" si="3"/>
        <v>38266</v>
      </c>
    </row>
    <row r="44" spans="1:19" ht="12.75" hidden="1">
      <c r="A44" s="718"/>
      <c r="B44" s="773"/>
      <c r="C44" s="43" t="s">
        <v>39</v>
      </c>
      <c r="D44" s="30"/>
      <c r="E44" s="30"/>
      <c r="F44" s="30"/>
      <c r="G44" s="30"/>
      <c r="H44" s="66"/>
      <c r="I44" s="361"/>
      <c r="J44" s="362"/>
      <c r="K44" s="30"/>
      <c r="L44" s="30">
        <v>22831.440000000002</v>
      </c>
      <c r="M44" s="26">
        <v>0</v>
      </c>
      <c r="N44" s="22">
        <v>114400.26</v>
      </c>
      <c r="O44" s="22"/>
      <c r="P44" s="57"/>
      <c r="Q44" s="57"/>
      <c r="R44" s="57"/>
      <c r="S44" s="23">
        <f t="shared" si="3"/>
        <v>0</v>
      </c>
    </row>
    <row r="45" spans="1:19" ht="12.75" hidden="1">
      <c r="A45" s="718"/>
      <c r="B45" s="773"/>
      <c r="C45" s="43" t="s">
        <v>384</v>
      </c>
      <c r="D45" s="30"/>
      <c r="E45" s="30"/>
      <c r="F45" s="30"/>
      <c r="G45" s="30"/>
      <c r="H45" s="66"/>
      <c r="I45" s="361"/>
      <c r="J45" s="362"/>
      <c r="K45" s="30"/>
      <c r="L45" s="30"/>
      <c r="M45" s="26"/>
      <c r="N45" s="22">
        <v>5000</v>
      </c>
      <c r="O45" s="22"/>
      <c r="P45" s="57"/>
      <c r="Q45" s="57"/>
      <c r="R45" s="57"/>
      <c r="S45" s="23">
        <f t="shared" si="3"/>
        <v>0</v>
      </c>
    </row>
    <row r="46" spans="1:19" ht="12.75">
      <c r="A46" s="718"/>
      <c r="B46" s="773"/>
      <c r="C46" s="43" t="s">
        <v>476</v>
      </c>
      <c r="D46" s="30"/>
      <c r="E46" s="30"/>
      <c r="F46" s="30"/>
      <c r="G46" s="30"/>
      <c r="H46" s="66"/>
      <c r="I46" s="361"/>
      <c r="J46" s="362"/>
      <c r="K46" s="30"/>
      <c r="L46" s="30"/>
      <c r="M46" s="30"/>
      <c r="N46" s="22"/>
      <c r="O46" s="22"/>
      <c r="P46" s="57"/>
      <c r="Q46" s="57"/>
      <c r="R46" s="57">
        <v>2900</v>
      </c>
      <c r="S46" s="23">
        <f>P46+Q46+R46:R46</f>
        <v>2900</v>
      </c>
    </row>
    <row r="47" spans="1:19" ht="12.75">
      <c r="A47" s="718"/>
      <c r="B47" s="773"/>
      <c r="C47" s="43" t="s">
        <v>443</v>
      </c>
      <c r="D47" s="30"/>
      <c r="E47" s="30"/>
      <c r="F47" s="30"/>
      <c r="G47" s="30"/>
      <c r="H47" s="66"/>
      <c r="I47" s="361"/>
      <c r="J47" s="362"/>
      <c r="K47" s="30"/>
      <c r="L47" s="30"/>
      <c r="M47" s="30"/>
      <c r="N47" s="26"/>
      <c r="O47" s="44"/>
      <c r="P47" s="57">
        <v>16000</v>
      </c>
      <c r="Q47" s="57"/>
      <c r="R47" s="57"/>
      <c r="S47" s="23">
        <f>P47+Q47+R45:R47</f>
        <v>16000</v>
      </c>
    </row>
    <row r="48" spans="1:19" ht="12.75">
      <c r="A48" s="718"/>
      <c r="B48" s="773"/>
      <c r="C48" s="43" t="s">
        <v>419</v>
      </c>
      <c r="D48" s="30"/>
      <c r="E48" s="30"/>
      <c r="F48" s="30"/>
      <c r="G48" s="30"/>
      <c r="H48" s="66"/>
      <c r="I48" s="361"/>
      <c r="J48" s="362"/>
      <c r="K48" s="30"/>
      <c r="L48" s="30"/>
      <c r="M48" s="30"/>
      <c r="N48" s="26"/>
      <c r="O48" s="44"/>
      <c r="P48" s="57">
        <v>100000</v>
      </c>
      <c r="Q48" s="57"/>
      <c r="R48" s="57"/>
      <c r="S48" s="23">
        <f t="shared" si="3"/>
        <v>100000</v>
      </c>
    </row>
    <row r="49" spans="1:19" ht="13.5" thickBot="1">
      <c r="A49" s="716"/>
      <c r="B49" s="774"/>
      <c r="C49" s="46" t="s">
        <v>418</v>
      </c>
      <c r="D49" s="48"/>
      <c r="E49" s="48"/>
      <c r="F49" s="48"/>
      <c r="G49" s="48"/>
      <c r="H49" s="59"/>
      <c r="I49" s="391"/>
      <c r="J49" s="392"/>
      <c r="K49" s="48"/>
      <c r="L49" s="48"/>
      <c r="M49" s="48"/>
      <c r="N49" s="48"/>
      <c r="O49" s="60"/>
      <c r="P49" s="211">
        <v>146000</v>
      </c>
      <c r="Q49" s="211"/>
      <c r="R49" s="211">
        <f>12750+13100</f>
        <v>25850</v>
      </c>
      <c r="S49" s="78">
        <f t="shared" si="3"/>
        <v>171850</v>
      </c>
    </row>
    <row r="50" spans="1:19" ht="15.75" thickBot="1">
      <c r="A50" s="363" t="s">
        <v>91</v>
      </c>
      <c r="B50" s="688" t="s">
        <v>40</v>
      </c>
      <c r="C50" s="705"/>
      <c r="D50" s="364">
        <v>80894</v>
      </c>
      <c r="E50" s="235">
        <v>8298</v>
      </c>
      <c r="F50" s="235">
        <v>71666</v>
      </c>
      <c r="G50" s="235">
        <v>1330064</v>
      </c>
      <c r="H50" s="235">
        <v>2147096</v>
      </c>
      <c r="I50" s="138">
        <v>8121</v>
      </c>
      <c r="J50" s="235">
        <v>93729</v>
      </c>
      <c r="K50" s="67">
        <f aca="true" t="shared" si="4" ref="K50:S50">SUM(K51:K56)</f>
        <v>28919</v>
      </c>
      <c r="L50" s="67">
        <f t="shared" si="4"/>
        <v>0</v>
      </c>
      <c r="M50" s="215">
        <f t="shared" si="4"/>
        <v>69453.41</v>
      </c>
      <c r="N50" s="67">
        <f t="shared" si="4"/>
        <v>5501</v>
      </c>
      <c r="O50" s="67">
        <f t="shared" si="4"/>
        <v>551998</v>
      </c>
      <c r="P50" s="67">
        <f t="shared" si="4"/>
        <v>0</v>
      </c>
      <c r="Q50" s="67">
        <f t="shared" si="4"/>
        <v>1912</v>
      </c>
      <c r="R50" s="67">
        <f t="shared" si="4"/>
        <v>147311</v>
      </c>
      <c r="S50" s="68">
        <f t="shared" si="4"/>
        <v>149223</v>
      </c>
    </row>
    <row r="51" spans="1:19" ht="12.75">
      <c r="A51" s="715"/>
      <c r="B51" s="772"/>
      <c r="C51" s="41" t="s">
        <v>421</v>
      </c>
      <c r="D51" s="94"/>
      <c r="E51" s="94"/>
      <c r="F51" s="94"/>
      <c r="G51" s="94"/>
      <c r="H51" s="55"/>
      <c r="I51" s="365"/>
      <c r="J51" s="366"/>
      <c r="K51" s="94">
        <v>28919</v>
      </c>
      <c r="L51" s="22"/>
      <c r="M51" s="119"/>
      <c r="N51" s="22">
        <v>5501</v>
      </c>
      <c r="O51" s="22"/>
      <c r="P51" s="57"/>
      <c r="Q51" s="57"/>
      <c r="R51" s="57"/>
      <c r="S51" s="23">
        <f aca="true" t="shared" si="5" ref="S51:S56">P51+Q51+R50:R51</f>
        <v>0</v>
      </c>
    </row>
    <row r="52" spans="1:19" ht="12.75" customHeight="1" hidden="1">
      <c r="A52" s="718"/>
      <c r="B52" s="773"/>
      <c r="C52" s="72" t="s">
        <v>373</v>
      </c>
      <c r="D52" s="22"/>
      <c r="E52" s="22"/>
      <c r="F52" s="22"/>
      <c r="G52" s="22"/>
      <c r="H52" s="56"/>
      <c r="I52" s="367"/>
      <c r="J52" s="368"/>
      <c r="K52" s="22"/>
      <c r="L52" s="22"/>
      <c r="M52" s="119">
        <v>69453.41</v>
      </c>
      <c r="N52" s="22"/>
      <c r="O52" s="22"/>
      <c r="P52" s="57"/>
      <c r="Q52" s="57"/>
      <c r="R52" s="57"/>
      <c r="S52" s="23">
        <f t="shared" si="5"/>
        <v>0</v>
      </c>
    </row>
    <row r="53" spans="1:19" ht="12.75">
      <c r="A53" s="718"/>
      <c r="B53" s="773"/>
      <c r="C53" s="43" t="s">
        <v>407</v>
      </c>
      <c r="D53" s="22"/>
      <c r="E53" s="22"/>
      <c r="F53" s="22"/>
      <c r="G53" s="22"/>
      <c r="H53" s="56"/>
      <c r="I53" s="367"/>
      <c r="J53" s="368"/>
      <c r="K53" s="22"/>
      <c r="L53" s="22"/>
      <c r="M53" s="22"/>
      <c r="N53" s="22"/>
      <c r="O53" s="22">
        <v>531998</v>
      </c>
      <c r="P53" s="57"/>
      <c r="Q53" s="57">
        <v>1912</v>
      </c>
      <c r="R53" s="57">
        <f>149223-1912</f>
        <v>147311</v>
      </c>
      <c r="S53" s="23">
        <f t="shared" si="5"/>
        <v>149223</v>
      </c>
    </row>
    <row r="54" spans="1:19" ht="12.75" hidden="1">
      <c r="A54" s="718"/>
      <c r="B54" s="773"/>
      <c r="C54" s="43" t="s">
        <v>400</v>
      </c>
      <c r="D54" s="26"/>
      <c r="E54" s="26"/>
      <c r="F54" s="26"/>
      <c r="G54" s="26"/>
      <c r="H54" s="58"/>
      <c r="I54" s="359"/>
      <c r="J54" s="360"/>
      <c r="K54" s="26"/>
      <c r="L54" s="26"/>
      <c r="M54" s="26"/>
      <c r="N54" s="26"/>
      <c r="O54" s="26"/>
      <c r="P54" s="44"/>
      <c r="Q54" s="44"/>
      <c r="R54" s="44"/>
      <c r="S54" s="27">
        <f t="shared" si="5"/>
        <v>0</v>
      </c>
    </row>
    <row r="55" spans="1:19" ht="12.75" customHeight="1" hidden="1">
      <c r="A55" s="718"/>
      <c r="B55" s="773"/>
      <c r="C55" s="43" t="s">
        <v>41</v>
      </c>
      <c r="D55" s="26"/>
      <c r="E55" s="26"/>
      <c r="F55" s="26"/>
      <c r="G55" s="26"/>
      <c r="H55" s="58"/>
      <c r="I55" s="359"/>
      <c r="J55" s="360"/>
      <c r="K55" s="26"/>
      <c r="L55" s="26"/>
      <c r="M55" s="26"/>
      <c r="N55" s="26"/>
      <c r="O55" s="26"/>
      <c r="P55" s="44"/>
      <c r="Q55" s="44"/>
      <c r="R55" s="44"/>
      <c r="S55" s="27">
        <f t="shared" si="5"/>
        <v>0</v>
      </c>
    </row>
    <row r="56" spans="1:19" ht="13.5" thickBot="1">
      <c r="A56" s="716"/>
      <c r="B56" s="774"/>
      <c r="C56" s="72" t="s">
        <v>426</v>
      </c>
      <c r="D56" s="70"/>
      <c r="E56" s="70"/>
      <c r="F56" s="70"/>
      <c r="G56" s="70"/>
      <c r="H56" s="69"/>
      <c r="I56" s="369"/>
      <c r="J56" s="370"/>
      <c r="K56" s="77"/>
      <c r="L56" s="70"/>
      <c r="M56" s="70"/>
      <c r="N56" s="70"/>
      <c r="O56" s="70">
        <v>20000</v>
      </c>
      <c r="P56" s="243"/>
      <c r="Q56" s="243"/>
      <c r="R56" s="243"/>
      <c r="S56" s="71">
        <f t="shared" si="5"/>
        <v>0</v>
      </c>
    </row>
    <row r="57" spans="1:19" ht="15.75" hidden="1" thickBot="1">
      <c r="A57" s="371" t="s">
        <v>266</v>
      </c>
      <c r="B57" s="771" t="s">
        <v>267</v>
      </c>
      <c r="C57" s="771"/>
      <c r="D57" s="372"/>
      <c r="E57" s="372"/>
      <c r="F57" s="372"/>
      <c r="G57" s="372"/>
      <c r="H57" s="373">
        <v>182399</v>
      </c>
      <c r="I57" s="373"/>
      <c r="J57" s="374"/>
      <c r="K57" s="108"/>
      <c r="L57" s="108"/>
      <c r="M57" s="108"/>
      <c r="N57" s="108"/>
      <c r="O57" s="108"/>
      <c r="P57" s="67"/>
      <c r="Q57" s="67"/>
      <c r="R57" s="67"/>
      <c r="S57" s="68"/>
    </row>
    <row r="58" spans="1:19" ht="13.5" hidden="1" thickBot="1">
      <c r="A58" s="356"/>
      <c r="B58" s="358"/>
      <c r="C58" s="69"/>
      <c r="D58" s="70"/>
      <c r="E58" s="70"/>
      <c r="F58" s="70"/>
      <c r="G58" s="70"/>
      <c r="H58" s="69"/>
      <c r="I58" s="369"/>
      <c r="J58" s="370"/>
      <c r="K58" s="70"/>
      <c r="L58" s="70"/>
      <c r="M58" s="70"/>
      <c r="N58" s="70"/>
      <c r="O58" s="70"/>
      <c r="P58" s="243"/>
      <c r="Q58" s="243"/>
      <c r="R58" s="243"/>
      <c r="S58" s="71">
        <f>P58+Q58+R57:R58</f>
        <v>0</v>
      </c>
    </row>
    <row r="59" spans="1:19" ht="15.75" thickBot="1">
      <c r="A59" s="213" t="s">
        <v>68</v>
      </c>
      <c r="B59" s="688" t="s">
        <v>69</v>
      </c>
      <c r="C59" s="705"/>
      <c r="D59" s="214">
        <v>0</v>
      </c>
      <c r="E59" s="214">
        <v>0</v>
      </c>
      <c r="F59" s="214">
        <v>6639</v>
      </c>
      <c r="G59" s="214">
        <v>113606</v>
      </c>
      <c r="H59" s="214">
        <v>254005</v>
      </c>
      <c r="I59" s="278">
        <v>2699311</v>
      </c>
      <c r="J59" s="214">
        <v>3603230</v>
      </c>
      <c r="K59" s="67">
        <f>SUM(K66:K66)</f>
        <v>1781346</v>
      </c>
      <c r="L59" s="67">
        <f aca="true" t="shared" si="6" ref="L59:Q59">SUM(L60:L66)</f>
        <v>11891.04</v>
      </c>
      <c r="M59" s="215">
        <f t="shared" si="6"/>
        <v>1099.52</v>
      </c>
      <c r="N59" s="67">
        <f t="shared" si="6"/>
        <v>9688.17</v>
      </c>
      <c r="O59" s="67">
        <f t="shared" si="6"/>
        <v>116304</v>
      </c>
      <c r="P59" s="67">
        <f t="shared" si="6"/>
        <v>12000</v>
      </c>
      <c r="Q59" s="67">
        <f t="shared" si="6"/>
        <v>-12000</v>
      </c>
      <c r="R59" s="67">
        <f>R63+R61+R65</f>
        <v>27344</v>
      </c>
      <c r="S59" s="68">
        <f>S63+S61+S65</f>
        <v>27344</v>
      </c>
    </row>
    <row r="60" spans="1:19" ht="15" hidden="1">
      <c r="A60" s="713"/>
      <c r="B60" s="780"/>
      <c r="C60" s="375" t="s">
        <v>232</v>
      </c>
      <c r="D60" s="376"/>
      <c r="E60" s="376"/>
      <c r="F60" s="376"/>
      <c r="G60" s="376"/>
      <c r="H60" s="375"/>
      <c r="I60" s="377"/>
      <c r="J60" s="378"/>
      <c r="K60" s="304"/>
      <c r="L60" s="87">
        <v>11891.04</v>
      </c>
      <c r="M60" s="379">
        <v>1099.52</v>
      </c>
      <c r="N60" s="379"/>
      <c r="O60" s="379"/>
      <c r="P60" s="87"/>
      <c r="Q60" s="87"/>
      <c r="R60" s="466"/>
      <c r="S60" s="380">
        <f aca="true" t="shared" si="7" ref="S60:S66">P60+Q60+R59:R60</f>
        <v>0</v>
      </c>
    </row>
    <row r="61" spans="1:19" ht="15">
      <c r="A61" s="717"/>
      <c r="B61" s="781"/>
      <c r="C61" s="381" t="s">
        <v>480</v>
      </c>
      <c r="D61" s="382"/>
      <c r="E61" s="382"/>
      <c r="F61" s="382"/>
      <c r="G61" s="382"/>
      <c r="H61" s="381"/>
      <c r="I61" s="383"/>
      <c r="J61" s="384"/>
      <c r="K61" s="306"/>
      <c r="L61" s="89"/>
      <c r="M61" s="482"/>
      <c r="N61" s="482"/>
      <c r="O61" s="89">
        <v>20000</v>
      </c>
      <c r="P61" s="89"/>
      <c r="Q61" s="89"/>
      <c r="R61" s="89">
        <v>21194</v>
      </c>
      <c r="S61" s="426">
        <f t="shared" si="7"/>
        <v>21194</v>
      </c>
    </row>
    <row r="62" spans="1:19" ht="15" hidden="1">
      <c r="A62" s="717"/>
      <c r="B62" s="781"/>
      <c r="C62" s="381" t="s">
        <v>385</v>
      </c>
      <c r="D62" s="382"/>
      <c r="E62" s="382"/>
      <c r="F62" s="382"/>
      <c r="G62" s="382"/>
      <c r="H62" s="381"/>
      <c r="I62" s="383"/>
      <c r="J62" s="384"/>
      <c r="K62" s="306"/>
      <c r="L62" s="306"/>
      <c r="M62" s="89"/>
      <c r="N62" s="89">
        <v>5467.2</v>
      </c>
      <c r="O62" s="89"/>
      <c r="P62" s="89"/>
      <c r="Q62" s="89"/>
      <c r="R62" s="89"/>
      <c r="S62" s="426">
        <f t="shared" si="7"/>
        <v>0</v>
      </c>
    </row>
    <row r="63" spans="1:19" ht="15">
      <c r="A63" s="717"/>
      <c r="B63" s="781"/>
      <c r="C63" s="381" t="s">
        <v>404</v>
      </c>
      <c r="D63" s="382"/>
      <c r="E63" s="382"/>
      <c r="F63" s="382"/>
      <c r="G63" s="382"/>
      <c r="H63" s="381"/>
      <c r="I63" s="383"/>
      <c r="J63" s="384"/>
      <c r="K63" s="306"/>
      <c r="L63" s="306"/>
      <c r="M63" s="306"/>
      <c r="N63" s="534">
        <v>4220.97</v>
      </c>
      <c r="O63" s="89"/>
      <c r="P63" s="89">
        <v>12000</v>
      </c>
      <c r="Q63" s="89">
        <v>-12000</v>
      </c>
      <c r="R63" s="534"/>
      <c r="S63" s="535">
        <f t="shared" si="7"/>
        <v>0</v>
      </c>
    </row>
    <row r="64" spans="1:19" ht="15" hidden="1">
      <c r="A64" s="717"/>
      <c r="B64" s="781"/>
      <c r="C64" s="385"/>
      <c r="D64" s="386"/>
      <c r="E64" s="386"/>
      <c r="F64" s="386"/>
      <c r="G64" s="386"/>
      <c r="H64" s="385"/>
      <c r="I64" s="387"/>
      <c r="J64" s="388"/>
      <c r="K64" s="389"/>
      <c r="L64" s="389"/>
      <c r="M64" s="389"/>
      <c r="N64" s="389"/>
      <c r="O64" s="389"/>
      <c r="P64" s="581"/>
      <c r="Q64" s="508"/>
      <c r="R64" s="389"/>
      <c r="S64" s="390">
        <f t="shared" si="7"/>
        <v>0</v>
      </c>
    </row>
    <row r="65" spans="1:21" ht="15">
      <c r="A65" s="717"/>
      <c r="B65" s="781"/>
      <c r="C65" s="385" t="s">
        <v>478</v>
      </c>
      <c r="D65" s="386"/>
      <c r="E65" s="386"/>
      <c r="F65" s="386"/>
      <c r="G65" s="386"/>
      <c r="H65" s="385"/>
      <c r="I65" s="387"/>
      <c r="J65" s="388"/>
      <c r="K65" s="389"/>
      <c r="L65" s="389"/>
      <c r="M65" s="389"/>
      <c r="N65" s="389"/>
      <c r="O65" s="389"/>
      <c r="P65" s="581"/>
      <c r="Q65" s="508"/>
      <c r="R65" s="91">
        <v>6150</v>
      </c>
      <c r="S65" s="479">
        <f t="shared" si="7"/>
        <v>6150</v>
      </c>
      <c r="U65" s="567"/>
    </row>
    <row r="66" spans="1:19" ht="13.5" thickBot="1">
      <c r="A66" s="714"/>
      <c r="B66" s="782"/>
      <c r="C66" s="46" t="s">
        <v>422</v>
      </c>
      <c r="D66" s="48"/>
      <c r="E66" s="48"/>
      <c r="F66" s="48"/>
      <c r="G66" s="48"/>
      <c r="H66" s="59"/>
      <c r="I66" s="391"/>
      <c r="J66" s="392"/>
      <c r="K66" s="48">
        <v>1781346</v>
      </c>
      <c r="L66" s="77"/>
      <c r="M66" s="77"/>
      <c r="N66" s="77"/>
      <c r="O66" s="77">
        <v>96304</v>
      </c>
      <c r="P66" s="211"/>
      <c r="Q66" s="331"/>
      <c r="R66" s="211"/>
      <c r="S66" s="78">
        <f t="shared" si="7"/>
        <v>0</v>
      </c>
    </row>
    <row r="67" spans="1:19" ht="15.75" thickBot="1">
      <c r="A67" s="357" t="s">
        <v>370</v>
      </c>
      <c r="B67" s="771" t="s">
        <v>369</v>
      </c>
      <c r="C67" s="771"/>
      <c r="D67" s="235">
        <v>38040</v>
      </c>
      <c r="E67" s="235">
        <v>144792</v>
      </c>
      <c r="F67" s="235">
        <v>36414</v>
      </c>
      <c r="G67" s="235">
        <v>3228</v>
      </c>
      <c r="H67" s="235">
        <v>15058</v>
      </c>
      <c r="I67" s="373"/>
      <c r="J67" s="374"/>
      <c r="K67" s="108">
        <f aca="true" t="shared" si="8" ref="K67:S67">SUM(K68:K70)</f>
        <v>5000</v>
      </c>
      <c r="L67" s="108">
        <f t="shared" si="8"/>
        <v>35480.8</v>
      </c>
      <c r="M67" s="511">
        <f t="shared" si="8"/>
        <v>555131.6</v>
      </c>
      <c r="N67" s="108">
        <f t="shared" si="8"/>
        <v>10197.6</v>
      </c>
      <c r="O67" s="108">
        <f t="shared" si="8"/>
        <v>0</v>
      </c>
      <c r="P67" s="108">
        <f t="shared" si="8"/>
        <v>0</v>
      </c>
      <c r="Q67" s="108">
        <f t="shared" si="8"/>
        <v>0</v>
      </c>
      <c r="R67" s="108">
        <f t="shared" si="8"/>
        <v>0</v>
      </c>
      <c r="S67" s="68">
        <f t="shared" si="8"/>
        <v>0</v>
      </c>
    </row>
    <row r="68" spans="1:19" ht="14.25" hidden="1">
      <c r="A68" s="713"/>
      <c r="B68" s="775"/>
      <c r="C68" s="41" t="s">
        <v>42</v>
      </c>
      <c r="D68" s="94"/>
      <c r="E68" s="94"/>
      <c r="F68" s="94"/>
      <c r="G68" s="94"/>
      <c r="H68" s="55"/>
      <c r="I68" s="365"/>
      <c r="J68" s="366"/>
      <c r="K68" s="394">
        <v>5000</v>
      </c>
      <c r="L68" s="394">
        <v>20503.12</v>
      </c>
      <c r="M68" s="523"/>
      <c r="N68" s="394"/>
      <c r="O68" s="394"/>
      <c r="P68" s="467"/>
      <c r="Q68" s="481"/>
      <c r="R68" s="467"/>
      <c r="S68" s="395">
        <f>P68+Q68+R67:R68</f>
        <v>0</v>
      </c>
    </row>
    <row r="69" spans="1:19" ht="15" thickBot="1">
      <c r="A69" s="717"/>
      <c r="B69" s="776"/>
      <c r="C69" s="72" t="s">
        <v>378</v>
      </c>
      <c r="D69" s="70"/>
      <c r="E69" s="70"/>
      <c r="F69" s="70"/>
      <c r="G69" s="70"/>
      <c r="H69" s="69"/>
      <c r="I69" s="369"/>
      <c r="J69" s="370"/>
      <c r="K69" s="522"/>
      <c r="L69" s="569"/>
      <c r="M69" s="570">
        <v>555131.6</v>
      </c>
      <c r="N69" s="26">
        <v>10197.6</v>
      </c>
      <c r="O69" s="569"/>
      <c r="P69" s="571"/>
      <c r="Q69" s="572"/>
      <c r="R69" s="571"/>
      <c r="S69" s="573">
        <f>P69+Q69+R68:R69</f>
        <v>0</v>
      </c>
    </row>
    <row r="70" spans="1:19" ht="13.5" hidden="1" thickBot="1">
      <c r="A70" s="714"/>
      <c r="B70" s="777"/>
      <c r="C70" s="43" t="s">
        <v>43</v>
      </c>
      <c r="D70" s="70"/>
      <c r="E70" s="70"/>
      <c r="F70" s="70"/>
      <c r="G70" s="70"/>
      <c r="H70" s="69"/>
      <c r="I70" s="369"/>
      <c r="J70" s="370"/>
      <c r="K70" s="70"/>
      <c r="L70" s="70">
        <v>14977.68</v>
      </c>
      <c r="M70" s="117"/>
      <c r="N70" s="70"/>
      <c r="O70" s="70"/>
      <c r="P70" s="243"/>
      <c r="Q70" s="480"/>
      <c r="R70" s="243"/>
      <c r="S70" s="71">
        <f>P70+Q70+R69:R70</f>
        <v>0</v>
      </c>
    </row>
    <row r="71" spans="1:19" ht="15.75" thickBot="1">
      <c r="A71" s="357" t="s">
        <v>81</v>
      </c>
      <c r="B71" s="771" t="s">
        <v>352</v>
      </c>
      <c r="C71" s="771"/>
      <c r="D71" s="235">
        <v>326960</v>
      </c>
      <c r="E71" s="235">
        <v>144858</v>
      </c>
      <c r="F71" s="235">
        <v>123880</v>
      </c>
      <c r="G71" s="235">
        <v>20761</v>
      </c>
      <c r="H71" s="235">
        <v>158221</v>
      </c>
      <c r="I71" s="138">
        <v>92051</v>
      </c>
      <c r="J71" s="235">
        <v>68225</v>
      </c>
      <c r="K71" s="67">
        <f aca="true" t="shared" si="9" ref="K71:S71">SUM(K72:K92)</f>
        <v>16198</v>
      </c>
      <c r="L71" s="67">
        <f t="shared" si="9"/>
        <v>1305435.64</v>
      </c>
      <c r="M71" s="215">
        <f t="shared" si="9"/>
        <v>139207.66</v>
      </c>
      <c r="N71" s="67">
        <f t="shared" si="9"/>
        <v>44614.21</v>
      </c>
      <c r="O71" s="67">
        <f t="shared" si="9"/>
        <v>58100</v>
      </c>
      <c r="P71" s="67">
        <f t="shared" si="9"/>
        <v>0</v>
      </c>
      <c r="Q71" s="67">
        <f t="shared" si="9"/>
        <v>0</v>
      </c>
      <c r="R71" s="67">
        <f t="shared" si="9"/>
        <v>116800</v>
      </c>
      <c r="S71" s="68">
        <f t="shared" si="9"/>
        <v>116800</v>
      </c>
    </row>
    <row r="72" spans="1:19" ht="12.75" hidden="1">
      <c r="A72" s="715"/>
      <c r="B72" s="772"/>
      <c r="C72" s="396" t="s">
        <v>44</v>
      </c>
      <c r="D72" s="397"/>
      <c r="E72" s="397"/>
      <c r="F72" s="397"/>
      <c r="G72" s="397"/>
      <c r="H72" s="398"/>
      <c r="I72" s="399"/>
      <c r="J72" s="400"/>
      <c r="K72" s="94"/>
      <c r="L72" s="94"/>
      <c r="M72" s="204">
        <v>1289.08</v>
      </c>
      <c r="N72" s="94"/>
      <c r="O72" s="94"/>
      <c r="P72" s="42"/>
      <c r="Q72" s="152"/>
      <c r="R72" s="42"/>
      <c r="S72" s="95">
        <f aca="true" t="shared" si="10" ref="S72:S92">P72+Q72+R71:R72</f>
        <v>0</v>
      </c>
    </row>
    <row r="73" spans="1:19" ht="12.75">
      <c r="A73" s="718"/>
      <c r="B73" s="773"/>
      <c r="C73" s="227" t="s">
        <v>427</v>
      </c>
      <c r="D73" s="401"/>
      <c r="E73" s="401"/>
      <c r="F73" s="401"/>
      <c r="G73" s="401"/>
      <c r="H73" s="402"/>
      <c r="I73" s="403"/>
      <c r="J73" s="287"/>
      <c r="K73" s="26"/>
      <c r="L73" s="22"/>
      <c r="M73" s="119">
        <v>0</v>
      </c>
      <c r="N73" s="22"/>
      <c r="O73" s="22">
        <v>2200</v>
      </c>
      <c r="P73" s="44"/>
      <c r="Q73" s="115"/>
      <c r="R73" s="44"/>
      <c r="S73" s="27">
        <f t="shared" si="10"/>
        <v>0</v>
      </c>
    </row>
    <row r="74" spans="1:19" ht="12.75">
      <c r="A74" s="718"/>
      <c r="B74" s="773"/>
      <c r="C74" s="227" t="s">
        <v>428</v>
      </c>
      <c r="D74" s="401"/>
      <c r="E74" s="401"/>
      <c r="F74" s="401"/>
      <c r="G74" s="401"/>
      <c r="H74" s="402"/>
      <c r="I74" s="403"/>
      <c r="J74" s="287"/>
      <c r="K74" s="26"/>
      <c r="L74" s="22"/>
      <c r="M74" s="119">
        <v>0</v>
      </c>
      <c r="N74" s="22"/>
      <c r="O74" s="22">
        <v>1000</v>
      </c>
      <c r="P74" s="44"/>
      <c r="Q74" s="115"/>
      <c r="R74" s="44"/>
      <c r="S74" s="27">
        <f t="shared" si="10"/>
        <v>0</v>
      </c>
    </row>
    <row r="75" spans="1:19" ht="12.75">
      <c r="A75" s="718"/>
      <c r="B75" s="773"/>
      <c r="C75" s="227" t="s">
        <v>484</v>
      </c>
      <c r="D75" s="401"/>
      <c r="E75" s="401"/>
      <c r="F75" s="401"/>
      <c r="G75" s="401"/>
      <c r="H75" s="402"/>
      <c r="I75" s="403"/>
      <c r="J75" s="287"/>
      <c r="K75" s="26"/>
      <c r="L75" s="22"/>
      <c r="M75" s="119">
        <v>0</v>
      </c>
      <c r="N75" s="22"/>
      <c r="O75" s="22">
        <v>4800</v>
      </c>
      <c r="P75" s="44"/>
      <c r="Q75" s="115"/>
      <c r="R75" s="44">
        <v>64300</v>
      </c>
      <c r="S75" s="27">
        <f t="shared" si="10"/>
        <v>64300</v>
      </c>
    </row>
    <row r="76" spans="1:19" ht="12.75">
      <c r="A76" s="718"/>
      <c r="B76" s="773"/>
      <c r="C76" s="227" t="s">
        <v>429</v>
      </c>
      <c r="D76" s="401"/>
      <c r="E76" s="401"/>
      <c r="F76" s="401"/>
      <c r="G76" s="401"/>
      <c r="H76" s="402"/>
      <c r="I76" s="403"/>
      <c r="J76" s="287"/>
      <c r="K76" s="26"/>
      <c r="L76" s="22"/>
      <c r="M76" s="119">
        <v>0</v>
      </c>
      <c r="N76" s="26"/>
      <c r="O76" s="44">
        <v>25600</v>
      </c>
      <c r="P76" s="44"/>
      <c r="Q76" s="115"/>
      <c r="R76" s="44"/>
      <c r="S76" s="27">
        <f t="shared" si="10"/>
        <v>0</v>
      </c>
    </row>
    <row r="77" spans="1:19" ht="12.75">
      <c r="A77" s="718"/>
      <c r="B77" s="773"/>
      <c r="C77" s="404" t="s">
        <v>430</v>
      </c>
      <c r="D77" s="405"/>
      <c r="E77" s="405"/>
      <c r="F77" s="405"/>
      <c r="G77" s="405"/>
      <c r="H77" s="406"/>
      <c r="I77" s="407"/>
      <c r="J77" s="408"/>
      <c r="K77" s="30"/>
      <c r="L77" s="70"/>
      <c r="M77" s="117">
        <v>0</v>
      </c>
      <c r="N77" s="26"/>
      <c r="O77" s="44">
        <v>6630</v>
      </c>
      <c r="P77" s="44"/>
      <c r="Q77" s="115"/>
      <c r="R77" s="44"/>
      <c r="S77" s="27">
        <f>P77+Q77+R76:R77</f>
        <v>0</v>
      </c>
    </row>
    <row r="78" spans="1:19" ht="12.75">
      <c r="A78" s="718"/>
      <c r="B78" s="773"/>
      <c r="C78" s="409" t="s">
        <v>386</v>
      </c>
      <c r="D78" s="410"/>
      <c r="E78" s="410"/>
      <c r="F78" s="410"/>
      <c r="G78" s="410"/>
      <c r="H78" s="411"/>
      <c r="I78" s="412"/>
      <c r="J78" s="413"/>
      <c r="K78" s="30"/>
      <c r="L78" s="70"/>
      <c r="M78" s="117">
        <v>0</v>
      </c>
      <c r="N78" s="26"/>
      <c r="O78" s="44">
        <v>15870</v>
      </c>
      <c r="P78" s="44"/>
      <c r="Q78" s="115"/>
      <c r="R78" s="44"/>
      <c r="S78" s="27">
        <f aca="true" t="shared" si="11" ref="S78:S83">P78+Q78+R76:R78</f>
        <v>0</v>
      </c>
    </row>
    <row r="79" spans="1:19" ht="12.75">
      <c r="A79" s="718"/>
      <c r="B79" s="773"/>
      <c r="C79" s="227" t="s">
        <v>483</v>
      </c>
      <c r="D79" s="410"/>
      <c r="E79" s="410"/>
      <c r="F79" s="410"/>
      <c r="G79" s="410"/>
      <c r="H79" s="411"/>
      <c r="I79" s="412"/>
      <c r="J79" s="413"/>
      <c r="K79" s="30"/>
      <c r="L79" s="70"/>
      <c r="M79" s="117">
        <v>0</v>
      </c>
      <c r="N79" s="26"/>
      <c r="O79" s="44"/>
      <c r="P79" s="44"/>
      <c r="Q79" s="115"/>
      <c r="R79" s="44">
        <v>21000</v>
      </c>
      <c r="S79" s="27">
        <f t="shared" si="11"/>
        <v>21000</v>
      </c>
    </row>
    <row r="80" spans="1:19" ht="12.75" hidden="1">
      <c r="A80" s="718"/>
      <c r="B80" s="773"/>
      <c r="C80" s="43" t="s">
        <v>46</v>
      </c>
      <c r="D80" s="26"/>
      <c r="E80" s="26"/>
      <c r="F80" s="26"/>
      <c r="G80" s="26"/>
      <c r="H80" s="58"/>
      <c r="I80" s="359"/>
      <c r="J80" s="360"/>
      <c r="K80" s="26"/>
      <c r="L80" s="26"/>
      <c r="M80" s="206">
        <v>0</v>
      </c>
      <c r="N80" s="26"/>
      <c r="O80" s="44"/>
      <c r="P80" s="44"/>
      <c r="Q80" s="115"/>
      <c r="R80" s="44"/>
      <c r="S80" s="27">
        <f t="shared" si="11"/>
        <v>0</v>
      </c>
    </row>
    <row r="81" spans="1:19" ht="12.75" hidden="1">
      <c r="A81" s="718"/>
      <c r="B81" s="773"/>
      <c r="C81" s="43" t="s">
        <v>47</v>
      </c>
      <c r="D81" s="26"/>
      <c r="E81" s="26"/>
      <c r="F81" s="26"/>
      <c r="G81" s="26"/>
      <c r="H81" s="58"/>
      <c r="I81" s="359"/>
      <c r="J81" s="360"/>
      <c r="K81" s="26">
        <v>7632</v>
      </c>
      <c r="L81" s="26"/>
      <c r="M81" s="206">
        <v>0</v>
      </c>
      <c r="N81" s="26"/>
      <c r="O81" s="44"/>
      <c r="P81" s="44"/>
      <c r="Q81" s="115"/>
      <c r="R81" s="44"/>
      <c r="S81" s="27">
        <f t="shared" si="11"/>
        <v>0</v>
      </c>
    </row>
    <row r="82" spans="1:19" ht="12.75">
      <c r="A82" s="718"/>
      <c r="B82" s="773"/>
      <c r="C82" s="43" t="s">
        <v>470</v>
      </c>
      <c r="D82" s="26"/>
      <c r="E82" s="26"/>
      <c r="F82" s="26"/>
      <c r="G82" s="26"/>
      <c r="H82" s="58"/>
      <c r="I82" s="359"/>
      <c r="J82" s="360"/>
      <c r="K82" s="26"/>
      <c r="L82" s="26"/>
      <c r="M82" s="206"/>
      <c r="N82" s="26"/>
      <c r="O82" s="44"/>
      <c r="P82" s="44"/>
      <c r="Q82" s="115"/>
      <c r="R82" s="44">
        <v>6000</v>
      </c>
      <c r="S82" s="27">
        <f t="shared" si="11"/>
        <v>6000</v>
      </c>
    </row>
    <row r="83" spans="1:19" ht="12.75" hidden="1">
      <c r="A83" s="718"/>
      <c r="B83" s="773"/>
      <c r="C83" s="43" t="s">
        <v>247</v>
      </c>
      <c r="D83" s="26"/>
      <c r="E83" s="26"/>
      <c r="F83" s="26"/>
      <c r="G83" s="26"/>
      <c r="H83" s="58"/>
      <c r="I83" s="359"/>
      <c r="J83" s="360"/>
      <c r="K83" s="26"/>
      <c r="L83" s="26"/>
      <c r="M83" s="206">
        <v>0</v>
      </c>
      <c r="N83" s="26">
        <v>11867.59</v>
      </c>
      <c r="O83" s="44"/>
      <c r="P83" s="44"/>
      <c r="Q83" s="115"/>
      <c r="R83" s="44"/>
      <c r="S83" s="27">
        <f t="shared" si="11"/>
        <v>0</v>
      </c>
    </row>
    <row r="84" spans="1:19" ht="12.75" hidden="1">
      <c r="A84" s="718"/>
      <c r="B84" s="773"/>
      <c r="C84" s="43" t="s">
        <v>423</v>
      </c>
      <c r="D84" s="26"/>
      <c r="E84" s="26"/>
      <c r="F84" s="26"/>
      <c r="G84" s="26"/>
      <c r="H84" s="58"/>
      <c r="I84" s="359"/>
      <c r="J84" s="360"/>
      <c r="K84" s="26">
        <v>0</v>
      </c>
      <c r="L84" s="26"/>
      <c r="M84" s="206">
        <v>0</v>
      </c>
      <c r="N84" s="26"/>
      <c r="O84" s="26"/>
      <c r="P84" s="44"/>
      <c r="Q84" s="115"/>
      <c r="R84" s="44"/>
      <c r="S84" s="27">
        <f t="shared" si="10"/>
        <v>0</v>
      </c>
    </row>
    <row r="85" spans="1:19" ht="12.75" hidden="1">
      <c r="A85" s="718"/>
      <c r="B85" s="773"/>
      <c r="C85" s="43" t="s">
        <v>48</v>
      </c>
      <c r="D85" s="26"/>
      <c r="E85" s="26"/>
      <c r="F85" s="26"/>
      <c r="G85" s="26"/>
      <c r="H85" s="58"/>
      <c r="I85" s="359"/>
      <c r="J85" s="360"/>
      <c r="K85" s="26">
        <v>0</v>
      </c>
      <c r="L85" s="26">
        <v>1302435.64</v>
      </c>
      <c r="M85" s="206">
        <v>95467.84</v>
      </c>
      <c r="N85" s="26"/>
      <c r="O85" s="26"/>
      <c r="P85" s="44"/>
      <c r="Q85" s="115"/>
      <c r="R85" s="44"/>
      <c r="S85" s="27">
        <f t="shared" si="10"/>
        <v>0</v>
      </c>
    </row>
    <row r="86" spans="1:19" ht="12.75" hidden="1">
      <c r="A86" s="718"/>
      <c r="B86" s="773"/>
      <c r="C86" s="43" t="s">
        <v>49</v>
      </c>
      <c r="D86" s="26"/>
      <c r="E86" s="26"/>
      <c r="F86" s="26"/>
      <c r="G86" s="26"/>
      <c r="H86" s="58"/>
      <c r="I86" s="359"/>
      <c r="J86" s="360"/>
      <c r="K86" s="26"/>
      <c r="L86" s="26"/>
      <c r="M86" s="206">
        <v>38905.74</v>
      </c>
      <c r="N86" s="26"/>
      <c r="O86" s="26"/>
      <c r="P86" s="44"/>
      <c r="Q86" s="115"/>
      <c r="R86" s="44"/>
      <c r="S86" s="27">
        <f t="shared" si="10"/>
        <v>0</v>
      </c>
    </row>
    <row r="87" spans="1:19" ht="12.75" hidden="1">
      <c r="A87" s="718"/>
      <c r="B87" s="773"/>
      <c r="C87" s="43" t="s">
        <v>50</v>
      </c>
      <c r="D87" s="26"/>
      <c r="E87" s="26"/>
      <c r="F87" s="26"/>
      <c r="G87" s="26"/>
      <c r="H87" s="58"/>
      <c r="I87" s="359"/>
      <c r="J87" s="360"/>
      <c r="K87" s="26"/>
      <c r="L87" s="26"/>
      <c r="M87" s="206">
        <v>0</v>
      </c>
      <c r="N87" s="26"/>
      <c r="O87" s="26"/>
      <c r="P87" s="44"/>
      <c r="Q87" s="115"/>
      <c r="R87" s="44"/>
      <c r="S87" s="27">
        <f t="shared" si="10"/>
        <v>0</v>
      </c>
    </row>
    <row r="88" spans="1:19" ht="12.75" hidden="1">
      <c r="A88" s="718"/>
      <c r="B88" s="773"/>
      <c r="C88" s="43" t="s">
        <v>51</v>
      </c>
      <c r="D88" s="26"/>
      <c r="E88" s="26"/>
      <c r="F88" s="26"/>
      <c r="G88" s="26"/>
      <c r="H88" s="58"/>
      <c r="I88" s="359"/>
      <c r="J88" s="360"/>
      <c r="K88" s="26"/>
      <c r="L88" s="26"/>
      <c r="M88" s="206">
        <v>0</v>
      </c>
      <c r="N88" s="26"/>
      <c r="O88" s="26"/>
      <c r="P88" s="44"/>
      <c r="Q88" s="115"/>
      <c r="R88" s="44"/>
      <c r="S88" s="27">
        <f t="shared" si="10"/>
        <v>0</v>
      </c>
    </row>
    <row r="89" spans="1:19" ht="12.75" hidden="1">
      <c r="A89" s="718"/>
      <c r="B89" s="773"/>
      <c r="C89" s="43" t="s">
        <v>52</v>
      </c>
      <c r="D89" s="26"/>
      <c r="E89" s="26"/>
      <c r="F89" s="26"/>
      <c r="G89" s="26"/>
      <c r="H89" s="58"/>
      <c r="I89" s="359"/>
      <c r="J89" s="360"/>
      <c r="K89" s="26">
        <v>8090</v>
      </c>
      <c r="L89" s="26"/>
      <c r="M89" s="206">
        <v>0</v>
      </c>
      <c r="N89" s="26"/>
      <c r="O89" s="26"/>
      <c r="P89" s="44"/>
      <c r="Q89" s="115"/>
      <c r="R89" s="44"/>
      <c r="S89" s="27">
        <f t="shared" si="10"/>
        <v>0</v>
      </c>
    </row>
    <row r="90" spans="1:19" ht="12.75" hidden="1">
      <c r="A90" s="718"/>
      <c r="B90" s="773"/>
      <c r="C90" s="43" t="s">
        <v>386</v>
      </c>
      <c r="D90" s="26"/>
      <c r="E90" s="26"/>
      <c r="F90" s="26"/>
      <c r="G90" s="26"/>
      <c r="H90" s="58"/>
      <c r="I90" s="359"/>
      <c r="J90" s="360"/>
      <c r="K90" s="26"/>
      <c r="L90" s="26"/>
      <c r="M90" s="206"/>
      <c r="N90" s="26">
        <v>8453.97</v>
      </c>
      <c r="O90" s="26"/>
      <c r="P90" s="44"/>
      <c r="Q90" s="115"/>
      <c r="R90" s="44"/>
      <c r="S90" s="27">
        <f t="shared" si="10"/>
        <v>0</v>
      </c>
    </row>
    <row r="91" spans="1:19" ht="12.75" hidden="1">
      <c r="A91" s="718"/>
      <c r="B91" s="773"/>
      <c r="C91" s="43" t="s">
        <v>387</v>
      </c>
      <c r="D91" s="30"/>
      <c r="E91" s="30"/>
      <c r="F91" s="30"/>
      <c r="G91" s="30"/>
      <c r="H91" s="66"/>
      <c r="I91" s="361"/>
      <c r="J91" s="362"/>
      <c r="K91" s="30"/>
      <c r="L91" s="30"/>
      <c r="M91" s="224"/>
      <c r="N91" s="30">
        <v>24292.65</v>
      </c>
      <c r="O91" s="30"/>
      <c r="P91" s="44"/>
      <c r="Q91" s="115"/>
      <c r="R91" s="44"/>
      <c r="S91" s="27">
        <f t="shared" si="10"/>
        <v>0</v>
      </c>
    </row>
    <row r="92" spans="1:19" ht="13.5" thickBot="1">
      <c r="A92" s="716"/>
      <c r="B92" s="774"/>
      <c r="C92" s="116" t="s">
        <v>45</v>
      </c>
      <c r="D92" s="48"/>
      <c r="E92" s="48"/>
      <c r="F92" s="48"/>
      <c r="G92" s="48"/>
      <c r="H92" s="59"/>
      <c r="I92" s="391"/>
      <c r="J92" s="392"/>
      <c r="K92" s="48">
        <v>476</v>
      </c>
      <c r="L92" s="48">
        <v>3000</v>
      </c>
      <c r="M92" s="253">
        <v>3545</v>
      </c>
      <c r="N92" s="48"/>
      <c r="O92" s="48">
        <v>2000</v>
      </c>
      <c r="P92" s="60"/>
      <c r="Q92" s="302"/>
      <c r="R92" s="60">
        <v>25500</v>
      </c>
      <c r="S92" s="49">
        <f t="shared" si="10"/>
        <v>25500</v>
      </c>
    </row>
    <row r="93" spans="1:19" ht="15.75" hidden="1" thickBot="1">
      <c r="A93" s="291" t="s">
        <v>53</v>
      </c>
      <c r="B93" s="710" t="s">
        <v>0</v>
      </c>
      <c r="C93" s="711"/>
      <c r="D93" s="414"/>
      <c r="E93" s="414"/>
      <c r="F93" s="414"/>
      <c r="G93" s="414"/>
      <c r="H93" s="266"/>
      <c r="I93" s="415"/>
      <c r="J93" s="416"/>
      <c r="K93" s="393"/>
      <c r="L93" s="393"/>
      <c r="M93" s="393"/>
      <c r="N93" s="393"/>
      <c r="O93" s="393"/>
      <c r="P93" s="79"/>
      <c r="Q93" s="80">
        <f>IF(O93=0,0,P93/O93)</f>
        <v>0</v>
      </c>
      <c r="R93" s="79"/>
      <c r="S93" s="642"/>
    </row>
    <row r="94" spans="1:19" ht="13.5" hidden="1" thickBot="1">
      <c r="A94" s="356"/>
      <c r="B94" s="358"/>
      <c r="C94" s="43" t="s">
        <v>54</v>
      </c>
      <c r="D94" s="26"/>
      <c r="E94" s="26"/>
      <c r="F94" s="26"/>
      <c r="G94" s="26"/>
      <c r="H94" s="58"/>
      <c r="I94" s="359"/>
      <c r="J94" s="360"/>
      <c r="K94" s="26"/>
      <c r="L94" s="26"/>
      <c r="M94" s="26"/>
      <c r="N94" s="26"/>
      <c r="O94" s="26"/>
      <c r="P94" s="44"/>
      <c r="Q94" s="115">
        <f>IF(O94=0,0,P94/O94)</f>
        <v>0</v>
      </c>
      <c r="R94" s="44"/>
      <c r="S94" s="27"/>
    </row>
    <row r="95" spans="1:19" ht="13.5" hidden="1" thickBot="1">
      <c r="A95" s="356"/>
      <c r="B95" s="358"/>
      <c r="C95" s="43"/>
      <c r="D95" s="26"/>
      <c r="E95" s="26"/>
      <c r="F95" s="26"/>
      <c r="G95" s="26"/>
      <c r="H95" s="58"/>
      <c r="I95" s="359"/>
      <c r="J95" s="360"/>
      <c r="K95" s="26"/>
      <c r="L95" s="26"/>
      <c r="M95" s="26"/>
      <c r="N95" s="26"/>
      <c r="O95" s="26"/>
      <c r="P95" s="44"/>
      <c r="Q95" s="115">
        <f>IF(O95=0,0,P95/O95)</f>
        <v>0</v>
      </c>
      <c r="R95" s="44"/>
      <c r="S95" s="27"/>
    </row>
    <row r="96" spans="1:19" ht="13.5" hidden="1" thickBot="1">
      <c r="A96" s="356"/>
      <c r="B96" s="358"/>
      <c r="C96" s="47"/>
      <c r="D96" s="30"/>
      <c r="E96" s="30"/>
      <c r="F96" s="30"/>
      <c r="G96" s="30"/>
      <c r="H96" s="66"/>
      <c r="I96" s="361"/>
      <c r="J96" s="362"/>
      <c r="K96" s="30"/>
      <c r="L96" s="30"/>
      <c r="M96" s="30"/>
      <c r="N96" s="30"/>
      <c r="O96" s="30"/>
      <c r="P96" s="74"/>
      <c r="Q96" s="252">
        <f>IF(O96=0,0,P96/O96)</f>
        <v>0</v>
      </c>
      <c r="R96" s="74"/>
      <c r="S96" s="31"/>
    </row>
    <row r="97" spans="1:19" ht="15.75" thickBot="1">
      <c r="A97" s="357" t="s">
        <v>264</v>
      </c>
      <c r="B97" s="771" t="s">
        <v>265</v>
      </c>
      <c r="C97" s="771"/>
      <c r="D97" s="235">
        <v>8298</v>
      </c>
      <c r="E97" s="235">
        <v>3983</v>
      </c>
      <c r="F97" s="235">
        <v>175065</v>
      </c>
      <c r="G97" s="235">
        <v>138049</v>
      </c>
      <c r="H97" s="235">
        <v>127764</v>
      </c>
      <c r="I97" s="138">
        <v>149292</v>
      </c>
      <c r="J97" s="235">
        <v>3000</v>
      </c>
      <c r="K97" s="67">
        <f>SUM(K102:K104)</f>
        <v>6455</v>
      </c>
      <c r="L97" s="67">
        <f aca="true" t="shared" si="12" ref="L97:S97">SUM(L98:L104)</f>
        <v>131475.39</v>
      </c>
      <c r="M97" s="215">
        <f t="shared" si="12"/>
        <v>1775474.1500000001</v>
      </c>
      <c r="N97" s="67">
        <f t="shared" si="12"/>
        <v>12967.75</v>
      </c>
      <c r="O97" s="67">
        <f t="shared" si="12"/>
        <v>2000</v>
      </c>
      <c r="P97" s="67">
        <f t="shared" si="12"/>
        <v>2400</v>
      </c>
      <c r="Q97" s="67">
        <f t="shared" si="12"/>
        <v>0</v>
      </c>
      <c r="R97" s="67">
        <f t="shared" si="12"/>
        <v>137399</v>
      </c>
      <c r="S97" s="68">
        <f t="shared" si="12"/>
        <v>139799</v>
      </c>
    </row>
    <row r="98" spans="1:19" ht="12.75" hidden="1">
      <c r="A98" s="713"/>
      <c r="B98" s="780"/>
      <c r="C98" s="375" t="s">
        <v>228</v>
      </c>
      <c r="D98" s="417"/>
      <c r="E98" s="417"/>
      <c r="F98" s="417"/>
      <c r="G98" s="417"/>
      <c r="H98" s="418"/>
      <c r="I98" s="419"/>
      <c r="J98" s="420"/>
      <c r="K98" s="144"/>
      <c r="L98" s="144">
        <v>123141.28</v>
      </c>
      <c r="M98" s="218">
        <v>1602434.8900000001</v>
      </c>
      <c r="N98" s="144">
        <v>7569.59</v>
      </c>
      <c r="O98" s="144"/>
      <c r="P98" s="87"/>
      <c r="Q98" s="379"/>
      <c r="R98" s="87"/>
      <c r="S98" s="421">
        <f aca="true" t="shared" si="13" ref="S98:S104">P98+Q98+R97:R98</f>
        <v>0</v>
      </c>
    </row>
    <row r="99" spans="1:19" ht="12.75">
      <c r="A99" s="717"/>
      <c r="B99" s="781"/>
      <c r="C99" s="381" t="s">
        <v>481</v>
      </c>
      <c r="D99" s="422"/>
      <c r="E99" s="422"/>
      <c r="F99" s="422"/>
      <c r="G99" s="422"/>
      <c r="H99" s="423"/>
      <c r="I99" s="424"/>
      <c r="J99" s="425"/>
      <c r="K99" s="21"/>
      <c r="L99" s="21"/>
      <c r="M99" s="132">
        <v>18092.39</v>
      </c>
      <c r="N99" s="21">
        <v>3400</v>
      </c>
      <c r="O99" s="21">
        <v>2000</v>
      </c>
      <c r="P99" s="89">
        <v>2400</v>
      </c>
      <c r="Q99" s="482"/>
      <c r="R99" s="89">
        <v>19500</v>
      </c>
      <c r="S99" s="426">
        <f t="shared" si="13"/>
        <v>21900</v>
      </c>
    </row>
    <row r="100" spans="1:19" ht="12.75">
      <c r="A100" s="717"/>
      <c r="B100" s="781"/>
      <c r="C100" s="381" t="s">
        <v>471</v>
      </c>
      <c r="D100" s="422"/>
      <c r="E100" s="422"/>
      <c r="F100" s="422"/>
      <c r="G100" s="422"/>
      <c r="H100" s="423"/>
      <c r="I100" s="424"/>
      <c r="J100" s="425"/>
      <c r="K100" s="21"/>
      <c r="L100" s="21"/>
      <c r="M100" s="132">
        <v>16624.5</v>
      </c>
      <c r="N100" s="21"/>
      <c r="O100" s="21"/>
      <c r="P100" s="89"/>
      <c r="Q100" s="482"/>
      <c r="R100" s="89">
        <f>100000+17899</f>
        <v>117899</v>
      </c>
      <c r="S100" s="426">
        <f t="shared" si="13"/>
        <v>117899</v>
      </c>
    </row>
    <row r="101" spans="1:19" ht="12.75" hidden="1">
      <c r="A101" s="717"/>
      <c r="B101" s="781"/>
      <c r="C101" s="381" t="s">
        <v>55</v>
      </c>
      <c r="D101" s="422"/>
      <c r="E101" s="422"/>
      <c r="F101" s="422"/>
      <c r="G101" s="422"/>
      <c r="H101" s="423"/>
      <c r="I101" s="424"/>
      <c r="J101" s="425"/>
      <c r="K101" s="21"/>
      <c r="L101" s="21"/>
      <c r="M101" s="132">
        <v>120000</v>
      </c>
      <c r="N101" s="21"/>
      <c r="O101" s="21"/>
      <c r="P101" s="89"/>
      <c r="Q101" s="482"/>
      <c r="R101" s="89"/>
      <c r="S101" s="426">
        <f t="shared" si="13"/>
        <v>0</v>
      </c>
    </row>
    <row r="102" spans="1:19" ht="12.75" hidden="1">
      <c r="A102" s="717"/>
      <c r="B102" s="781"/>
      <c r="C102" s="72" t="s">
        <v>56</v>
      </c>
      <c r="D102" s="22"/>
      <c r="E102" s="22"/>
      <c r="F102" s="22"/>
      <c r="G102" s="22"/>
      <c r="H102" s="56"/>
      <c r="I102" s="367"/>
      <c r="J102" s="368"/>
      <c r="K102" s="22">
        <v>6455</v>
      </c>
      <c r="L102" s="22"/>
      <c r="M102" s="119">
        <v>14992.37</v>
      </c>
      <c r="N102" s="22"/>
      <c r="O102" s="22"/>
      <c r="P102" s="57"/>
      <c r="Q102" s="73"/>
      <c r="R102" s="57"/>
      <c r="S102" s="23">
        <f t="shared" si="13"/>
        <v>0</v>
      </c>
    </row>
    <row r="103" spans="1:19" ht="12.75" hidden="1">
      <c r="A103" s="717"/>
      <c r="B103" s="781"/>
      <c r="C103" s="146" t="s">
        <v>57</v>
      </c>
      <c r="D103" s="70"/>
      <c r="E103" s="70"/>
      <c r="F103" s="70"/>
      <c r="G103" s="70"/>
      <c r="H103" s="69"/>
      <c r="I103" s="369"/>
      <c r="J103" s="370"/>
      <c r="K103" s="70"/>
      <c r="L103" s="44"/>
      <c r="M103" s="206"/>
      <c r="N103" s="22"/>
      <c r="O103" s="22"/>
      <c r="P103" s="57"/>
      <c r="Q103" s="73"/>
      <c r="R103" s="57"/>
      <c r="S103" s="23">
        <f t="shared" si="13"/>
        <v>0</v>
      </c>
    </row>
    <row r="104" spans="1:19" ht="13.5" thickBot="1">
      <c r="A104" s="714"/>
      <c r="B104" s="782"/>
      <c r="C104" s="46" t="s">
        <v>58</v>
      </c>
      <c r="D104" s="48"/>
      <c r="E104" s="48"/>
      <c r="F104" s="48"/>
      <c r="G104" s="48"/>
      <c r="H104" s="59"/>
      <c r="I104" s="391"/>
      <c r="J104" s="392"/>
      <c r="K104" s="48"/>
      <c r="L104" s="77">
        <v>8334.11</v>
      </c>
      <c r="M104" s="212">
        <v>3330</v>
      </c>
      <c r="N104" s="77">
        <v>1998.16</v>
      </c>
      <c r="O104" s="77"/>
      <c r="P104" s="211"/>
      <c r="Q104" s="331"/>
      <c r="R104" s="211"/>
      <c r="S104" s="78">
        <f t="shared" si="13"/>
        <v>0</v>
      </c>
    </row>
    <row r="105" spans="1:19" ht="15.75" thickBot="1">
      <c r="A105" s="357" t="s">
        <v>75</v>
      </c>
      <c r="B105" s="771" t="s">
        <v>96</v>
      </c>
      <c r="C105" s="771"/>
      <c r="D105" s="235"/>
      <c r="E105" s="235">
        <v>22472</v>
      </c>
      <c r="F105" s="235">
        <v>20713</v>
      </c>
      <c r="G105" s="235">
        <v>11074</v>
      </c>
      <c r="H105" s="235">
        <v>15914</v>
      </c>
      <c r="I105" s="138">
        <v>116842</v>
      </c>
      <c r="J105" s="235">
        <v>38905</v>
      </c>
      <c r="K105" s="67">
        <f aca="true" t="shared" si="14" ref="K105:S105">SUM(K106:K111)</f>
        <v>15848</v>
      </c>
      <c r="L105" s="67">
        <f t="shared" si="14"/>
        <v>26915.190000000002</v>
      </c>
      <c r="M105" s="215">
        <f t="shared" si="14"/>
        <v>9771.24</v>
      </c>
      <c r="N105" s="67">
        <f t="shared" si="14"/>
        <v>62531.63</v>
      </c>
      <c r="O105" s="67">
        <f t="shared" si="14"/>
        <v>210900</v>
      </c>
      <c r="P105" s="67">
        <f t="shared" si="14"/>
        <v>0</v>
      </c>
      <c r="Q105" s="67">
        <f t="shared" si="14"/>
        <v>0</v>
      </c>
      <c r="R105" s="67">
        <f t="shared" si="14"/>
        <v>5000</v>
      </c>
      <c r="S105" s="68">
        <f t="shared" si="14"/>
        <v>5000</v>
      </c>
    </row>
    <row r="106" spans="1:19" ht="13.5" customHeight="1">
      <c r="A106" s="715"/>
      <c r="B106" s="772"/>
      <c r="C106" s="41" t="s">
        <v>59</v>
      </c>
      <c r="D106" s="94"/>
      <c r="E106" s="94"/>
      <c r="F106" s="94"/>
      <c r="G106" s="94"/>
      <c r="H106" s="55"/>
      <c r="I106" s="365"/>
      <c r="J106" s="366"/>
      <c r="K106" s="94">
        <v>7000</v>
      </c>
      <c r="L106" s="94">
        <v>16662.2</v>
      </c>
      <c r="M106" s="204"/>
      <c r="N106" s="94"/>
      <c r="O106" s="94">
        <v>9000</v>
      </c>
      <c r="P106" s="42"/>
      <c r="Q106" s="152"/>
      <c r="R106" s="42">
        <v>5000</v>
      </c>
      <c r="S106" s="95">
        <f>P106+Q106+R105:R106</f>
        <v>5000</v>
      </c>
    </row>
    <row r="107" spans="1:19" ht="13.5" customHeight="1">
      <c r="A107" s="718"/>
      <c r="B107" s="773"/>
      <c r="C107" s="43" t="s">
        <v>388</v>
      </c>
      <c r="D107" s="26"/>
      <c r="E107" s="26"/>
      <c r="F107" s="26"/>
      <c r="G107" s="26"/>
      <c r="H107" s="58"/>
      <c r="I107" s="359"/>
      <c r="J107" s="360"/>
      <c r="K107" s="26"/>
      <c r="L107" s="26"/>
      <c r="M107" s="206"/>
      <c r="N107" s="26">
        <v>62531.63</v>
      </c>
      <c r="O107" s="26">
        <v>4000</v>
      </c>
      <c r="P107" s="44"/>
      <c r="Q107" s="73"/>
      <c r="R107" s="57"/>
      <c r="S107" s="23">
        <f>P107+Q107+R106:R107</f>
        <v>0</v>
      </c>
    </row>
    <row r="108" spans="1:19" ht="13.5" customHeight="1">
      <c r="A108" s="718"/>
      <c r="B108" s="773"/>
      <c r="C108" s="43" t="s">
        <v>431</v>
      </c>
      <c r="D108" s="26"/>
      <c r="E108" s="26"/>
      <c r="F108" s="26"/>
      <c r="G108" s="26"/>
      <c r="H108" s="58"/>
      <c r="I108" s="359"/>
      <c r="J108" s="360"/>
      <c r="K108" s="26"/>
      <c r="L108" s="26"/>
      <c r="M108" s="206"/>
      <c r="N108" s="26"/>
      <c r="O108" s="26">
        <v>131640</v>
      </c>
      <c r="P108" s="44"/>
      <c r="Q108" s="115"/>
      <c r="R108" s="44"/>
      <c r="S108" s="27">
        <f>P108+Q108+R107:R108</f>
        <v>0</v>
      </c>
    </row>
    <row r="109" spans="1:19" ht="13.5" customHeight="1" thickBot="1">
      <c r="A109" s="718"/>
      <c r="B109" s="773"/>
      <c r="C109" s="43" t="s">
        <v>432</v>
      </c>
      <c r="D109" s="26"/>
      <c r="E109" s="26"/>
      <c r="F109" s="26"/>
      <c r="G109" s="26"/>
      <c r="H109" s="58"/>
      <c r="I109" s="359"/>
      <c r="J109" s="360"/>
      <c r="K109" s="26"/>
      <c r="L109" s="26"/>
      <c r="M109" s="206"/>
      <c r="N109" s="26"/>
      <c r="O109" s="26">
        <v>66260</v>
      </c>
      <c r="P109" s="44"/>
      <c r="Q109" s="115"/>
      <c r="R109" s="44"/>
      <c r="S109" s="27">
        <f>P109+Q109+R108:R109</f>
        <v>0</v>
      </c>
    </row>
    <row r="110" spans="1:19" ht="13.5" hidden="1" thickBot="1">
      <c r="A110" s="718"/>
      <c r="B110" s="773"/>
      <c r="C110" s="46" t="s">
        <v>202</v>
      </c>
      <c r="D110" s="48"/>
      <c r="E110" s="48"/>
      <c r="F110" s="48"/>
      <c r="G110" s="48"/>
      <c r="H110" s="59"/>
      <c r="I110" s="391"/>
      <c r="J110" s="392"/>
      <c r="K110" s="48"/>
      <c r="L110" s="48"/>
      <c r="M110" s="253">
        <v>9771.24</v>
      </c>
      <c r="N110" s="48"/>
      <c r="O110" s="48"/>
      <c r="P110" s="276"/>
      <c r="Q110" s="597">
        <f>IF(O110=0,0,P110/O110)</f>
        <v>0</v>
      </c>
      <c r="R110" s="276"/>
      <c r="S110" s="598"/>
    </row>
    <row r="111" spans="1:19" ht="13.5" hidden="1" thickBot="1">
      <c r="A111" s="716"/>
      <c r="B111" s="774"/>
      <c r="C111" s="116" t="s">
        <v>60</v>
      </c>
      <c r="D111" s="77"/>
      <c r="E111" s="77"/>
      <c r="F111" s="77"/>
      <c r="G111" s="77"/>
      <c r="H111" s="76"/>
      <c r="I111" s="595"/>
      <c r="J111" s="596"/>
      <c r="K111" s="77">
        <v>8848</v>
      </c>
      <c r="L111" s="77">
        <v>10252.99</v>
      </c>
      <c r="M111" s="212"/>
      <c r="N111" s="77"/>
      <c r="O111" s="77"/>
      <c r="P111" s="211"/>
      <c r="Q111" s="331">
        <f>IF(O111=0,0,P111/O111)</f>
        <v>0</v>
      </c>
      <c r="R111" s="211"/>
      <c r="S111" s="78"/>
    </row>
    <row r="112" spans="1:19" ht="17.25" customHeight="1" thickBot="1">
      <c r="A112" s="357" t="s">
        <v>61</v>
      </c>
      <c r="B112" s="688" t="s">
        <v>2</v>
      </c>
      <c r="C112" s="705"/>
      <c r="D112" s="611"/>
      <c r="E112" s="611"/>
      <c r="F112" s="611"/>
      <c r="G112" s="611"/>
      <c r="H112" s="601"/>
      <c r="I112" s="612"/>
      <c r="J112" s="139"/>
      <c r="K112" s="108">
        <v>5500</v>
      </c>
      <c r="L112" s="108"/>
      <c r="M112" s="108">
        <f>M113</f>
        <v>0</v>
      </c>
      <c r="N112" s="108"/>
      <c r="O112" s="108">
        <v>10000</v>
      </c>
      <c r="P112" s="67">
        <f>P113</f>
        <v>0</v>
      </c>
      <c r="Q112" s="67">
        <f>Q113</f>
        <v>0</v>
      </c>
      <c r="R112" s="67">
        <f>R113</f>
        <v>2367</v>
      </c>
      <c r="S112" s="68">
        <f>S113</f>
        <v>2367</v>
      </c>
    </row>
    <row r="113" spans="1:19" ht="17.25" customHeight="1" thickBot="1">
      <c r="A113" s="356"/>
      <c r="B113" s="358"/>
      <c r="C113" s="116" t="s">
        <v>482</v>
      </c>
      <c r="D113" s="70"/>
      <c r="E113" s="70"/>
      <c r="F113" s="70"/>
      <c r="G113" s="70"/>
      <c r="H113" s="69"/>
      <c r="I113" s="369"/>
      <c r="J113" s="370"/>
      <c r="K113" s="70">
        <v>5500</v>
      </c>
      <c r="L113" s="70"/>
      <c r="M113" s="70"/>
      <c r="N113" s="70"/>
      <c r="O113" s="70">
        <v>10000</v>
      </c>
      <c r="P113" s="44"/>
      <c r="Q113" s="115"/>
      <c r="R113" s="44">
        <v>2367</v>
      </c>
      <c r="S113" s="27">
        <f>P113+Q113+R112:R113</f>
        <v>2367</v>
      </c>
    </row>
    <row r="114" spans="1:19" ht="17.25" customHeight="1" thickBot="1">
      <c r="A114" s="427" t="s">
        <v>6</v>
      </c>
      <c r="B114" s="785" t="s">
        <v>7</v>
      </c>
      <c r="C114" s="785"/>
      <c r="D114" s="235">
        <v>666567</v>
      </c>
      <c r="E114" s="235">
        <v>223164</v>
      </c>
      <c r="F114" s="235">
        <v>527019</v>
      </c>
      <c r="G114" s="235">
        <v>279677</v>
      </c>
      <c r="H114" s="235">
        <v>1160065</v>
      </c>
      <c r="I114" s="428">
        <v>2097438</v>
      </c>
      <c r="J114" s="235">
        <v>344577</v>
      </c>
      <c r="K114" s="67">
        <f aca="true" t="shared" si="15" ref="K114:R114">SUM(K115:K131)</f>
        <v>11076</v>
      </c>
      <c r="L114" s="67">
        <f t="shared" si="15"/>
        <v>22611.84</v>
      </c>
      <c r="M114" s="215">
        <f t="shared" si="15"/>
        <v>52135.36</v>
      </c>
      <c r="N114" s="67">
        <f t="shared" si="15"/>
        <v>60359.19</v>
      </c>
      <c r="O114" s="67">
        <f t="shared" si="15"/>
        <v>712217</v>
      </c>
      <c r="P114" s="67">
        <f t="shared" si="15"/>
        <v>639148</v>
      </c>
      <c r="Q114" s="67">
        <f t="shared" si="15"/>
        <v>-16415</v>
      </c>
      <c r="R114" s="67">
        <f t="shared" si="15"/>
        <v>121500</v>
      </c>
      <c r="S114" s="68">
        <f>SUM(S115:S131)</f>
        <v>744233</v>
      </c>
    </row>
    <row r="115" spans="1:19" ht="12.75" hidden="1">
      <c r="A115" s="715"/>
      <c r="B115" s="772"/>
      <c r="C115" s="43" t="s">
        <v>389</v>
      </c>
      <c r="D115" s="58"/>
      <c r="E115" s="58"/>
      <c r="F115" s="58"/>
      <c r="G115" s="58"/>
      <c r="H115" s="58"/>
      <c r="I115" s="359"/>
      <c r="J115" s="360"/>
      <c r="K115" s="26">
        <v>11076</v>
      </c>
      <c r="L115" s="22"/>
      <c r="M115" s="22"/>
      <c r="N115" s="22">
        <v>9779.19</v>
      </c>
      <c r="O115" s="22"/>
      <c r="P115" s="57"/>
      <c r="Q115" s="73"/>
      <c r="R115" s="57"/>
      <c r="S115" s="23">
        <f aca="true" t="shared" si="16" ref="S115:S131">P115+Q115+R114:R115</f>
        <v>0</v>
      </c>
    </row>
    <row r="116" spans="1:19" ht="12.75" hidden="1">
      <c r="A116" s="718"/>
      <c r="B116" s="773"/>
      <c r="C116" s="43" t="s">
        <v>390</v>
      </c>
      <c r="D116" s="58"/>
      <c r="E116" s="58"/>
      <c r="F116" s="58"/>
      <c r="G116" s="58"/>
      <c r="H116" s="58"/>
      <c r="I116" s="359"/>
      <c r="J116" s="360"/>
      <c r="K116" s="26"/>
      <c r="L116" s="22"/>
      <c r="M116" s="22"/>
      <c r="N116" s="22">
        <v>19000</v>
      </c>
      <c r="O116" s="22"/>
      <c r="P116" s="57"/>
      <c r="Q116" s="73"/>
      <c r="R116" s="57"/>
      <c r="S116" s="23">
        <f t="shared" si="16"/>
        <v>0</v>
      </c>
    </row>
    <row r="117" spans="1:19" ht="12.75" hidden="1">
      <c r="A117" s="718"/>
      <c r="B117" s="773"/>
      <c r="C117" s="43" t="s">
        <v>424</v>
      </c>
      <c r="D117" s="58"/>
      <c r="E117" s="58"/>
      <c r="F117" s="58"/>
      <c r="G117" s="58"/>
      <c r="H117" s="58"/>
      <c r="I117" s="359"/>
      <c r="J117" s="360"/>
      <c r="K117" s="26"/>
      <c r="L117" s="22"/>
      <c r="M117" s="22"/>
      <c r="N117" s="22">
        <v>3480</v>
      </c>
      <c r="O117" s="22"/>
      <c r="P117" s="57"/>
      <c r="Q117" s="73"/>
      <c r="R117" s="57"/>
      <c r="S117" s="23">
        <f t="shared" si="16"/>
        <v>0</v>
      </c>
    </row>
    <row r="118" spans="1:19" ht="12.75">
      <c r="A118" s="718"/>
      <c r="B118" s="773"/>
      <c r="C118" s="43" t="s">
        <v>424</v>
      </c>
      <c r="D118" s="58"/>
      <c r="E118" s="58"/>
      <c r="F118" s="58"/>
      <c r="G118" s="58"/>
      <c r="H118" s="58"/>
      <c r="I118" s="359"/>
      <c r="J118" s="360"/>
      <c r="K118" s="26"/>
      <c r="L118" s="22"/>
      <c r="M118" s="22"/>
      <c r="N118" s="22"/>
      <c r="O118" s="22">
        <v>2984</v>
      </c>
      <c r="P118" s="57"/>
      <c r="Q118" s="73"/>
      <c r="R118" s="57"/>
      <c r="S118" s="23">
        <f t="shared" si="16"/>
        <v>0</v>
      </c>
    </row>
    <row r="119" spans="1:19" ht="12.75">
      <c r="A119" s="718"/>
      <c r="B119" s="773"/>
      <c r="C119" s="43" t="s">
        <v>393</v>
      </c>
      <c r="D119" s="58"/>
      <c r="E119" s="58"/>
      <c r="F119" s="58"/>
      <c r="G119" s="58"/>
      <c r="H119" s="58"/>
      <c r="I119" s="359"/>
      <c r="J119" s="360"/>
      <c r="K119" s="26"/>
      <c r="L119" s="22"/>
      <c r="M119" s="22"/>
      <c r="N119" s="22"/>
      <c r="O119" s="22">
        <v>622733</v>
      </c>
      <c r="P119" s="57">
        <v>622733</v>
      </c>
      <c r="Q119" s="73"/>
      <c r="R119" s="57"/>
      <c r="S119" s="23">
        <f t="shared" si="16"/>
        <v>622733</v>
      </c>
    </row>
    <row r="120" spans="1:19" ht="12.75">
      <c r="A120" s="718"/>
      <c r="B120" s="773"/>
      <c r="C120" s="43" t="s">
        <v>468</v>
      </c>
      <c r="D120" s="58"/>
      <c r="E120" s="58"/>
      <c r="F120" s="58"/>
      <c r="G120" s="58"/>
      <c r="H120" s="58"/>
      <c r="I120" s="359"/>
      <c r="J120" s="360"/>
      <c r="K120" s="26"/>
      <c r="L120" s="22"/>
      <c r="M120" s="22"/>
      <c r="N120" s="22"/>
      <c r="O120" s="22"/>
      <c r="P120" s="57"/>
      <c r="Q120" s="73"/>
      <c r="R120" s="57">
        <v>25000</v>
      </c>
      <c r="S120" s="23">
        <f t="shared" si="16"/>
        <v>25000</v>
      </c>
    </row>
    <row r="121" spans="1:19" ht="12.75">
      <c r="A121" s="718"/>
      <c r="B121" s="773"/>
      <c r="C121" s="43" t="s">
        <v>433</v>
      </c>
      <c r="D121" s="58"/>
      <c r="E121" s="58"/>
      <c r="F121" s="58"/>
      <c r="G121" s="58"/>
      <c r="H121" s="58"/>
      <c r="I121" s="359"/>
      <c r="J121" s="360"/>
      <c r="K121" s="26"/>
      <c r="L121" s="22"/>
      <c r="M121" s="22"/>
      <c r="N121" s="22"/>
      <c r="O121" s="22"/>
      <c r="P121" s="57">
        <v>5798</v>
      </c>
      <c r="Q121" s="57">
        <v>-5798</v>
      </c>
      <c r="R121" s="57"/>
      <c r="S121" s="23">
        <f>P121+Q121+R119:R121</f>
        <v>0</v>
      </c>
    </row>
    <row r="122" spans="1:19" ht="12.75">
      <c r="A122" s="718"/>
      <c r="B122" s="773"/>
      <c r="C122" s="43" t="s">
        <v>434</v>
      </c>
      <c r="D122" s="58"/>
      <c r="E122" s="58"/>
      <c r="F122" s="58"/>
      <c r="G122" s="58"/>
      <c r="H122" s="58"/>
      <c r="I122" s="359"/>
      <c r="J122" s="360"/>
      <c r="K122" s="26"/>
      <c r="L122" s="22"/>
      <c r="M122" s="22"/>
      <c r="N122" s="22"/>
      <c r="O122" s="22"/>
      <c r="P122" s="57">
        <v>6398</v>
      </c>
      <c r="Q122" s="57">
        <v>-6398</v>
      </c>
      <c r="R122" s="57"/>
      <c r="S122" s="23">
        <f t="shared" si="16"/>
        <v>0</v>
      </c>
    </row>
    <row r="123" spans="1:19" ht="12.75">
      <c r="A123" s="718"/>
      <c r="B123" s="773"/>
      <c r="C123" s="43" t="s">
        <v>435</v>
      </c>
      <c r="D123" s="58"/>
      <c r="E123" s="58"/>
      <c r="F123" s="58"/>
      <c r="G123" s="58"/>
      <c r="H123" s="58"/>
      <c r="I123" s="359"/>
      <c r="J123" s="360"/>
      <c r="K123" s="26"/>
      <c r="L123" s="22">
        <v>22611.84</v>
      </c>
      <c r="M123" s="119"/>
      <c r="N123" s="22"/>
      <c r="O123" s="22"/>
      <c r="P123" s="57">
        <v>4219</v>
      </c>
      <c r="Q123" s="57">
        <v>-4219</v>
      </c>
      <c r="R123" s="57"/>
      <c r="S123" s="23">
        <f t="shared" si="16"/>
        <v>0</v>
      </c>
    </row>
    <row r="124" spans="1:19" ht="12.75">
      <c r="A124" s="718"/>
      <c r="B124" s="773"/>
      <c r="C124" s="43" t="s">
        <v>469</v>
      </c>
      <c r="D124" s="58"/>
      <c r="E124" s="58"/>
      <c r="F124" s="58"/>
      <c r="G124" s="58"/>
      <c r="H124" s="58"/>
      <c r="I124" s="359"/>
      <c r="J124" s="360"/>
      <c r="K124" s="26"/>
      <c r="L124" s="22"/>
      <c r="M124" s="119"/>
      <c r="N124" s="22"/>
      <c r="O124" s="22"/>
      <c r="P124" s="57"/>
      <c r="Q124" s="57"/>
      <c r="R124" s="57">
        <v>10000</v>
      </c>
      <c r="S124" s="23">
        <f t="shared" si="16"/>
        <v>10000</v>
      </c>
    </row>
    <row r="125" spans="1:19" ht="12.75">
      <c r="A125" s="718"/>
      <c r="B125" s="773"/>
      <c r="C125" s="43" t="s">
        <v>436</v>
      </c>
      <c r="D125" s="58"/>
      <c r="E125" s="58"/>
      <c r="F125" s="58"/>
      <c r="G125" s="58"/>
      <c r="H125" s="58"/>
      <c r="I125" s="359"/>
      <c r="J125" s="360"/>
      <c r="K125" s="26"/>
      <c r="L125" s="22"/>
      <c r="M125" s="119"/>
      <c r="N125" s="22"/>
      <c r="O125" s="22">
        <v>84000</v>
      </c>
      <c r="P125" s="57"/>
      <c r="Q125" s="73"/>
      <c r="R125" s="57"/>
      <c r="S125" s="23">
        <f>P125+Q125+R123:R125</f>
        <v>0</v>
      </c>
    </row>
    <row r="126" spans="1:19" ht="12.75">
      <c r="A126" s="718"/>
      <c r="B126" s="773"/>
      <c r="C126" s="43" t="s">
        <v>472</v>
      </c>
      <c r="D126" s="58"/>
      <c r="E126" s="58"/>
      <c r="F126" s="58"/>
      <c r="G126" s="58"/>
      <c r="H126" s="58"/>
      <c r="I126" s="359"/>
      <c r="J126" s="360"/>
      <c r="K126" s="26"/>
      <c r="L126" s="22"/>
      <c r="M126" s="119">
        <v>31200</v>
      </c>
      <c r="N126" s="22"/>
      <c r="O126" s="22"/>
      <c r="P126" s="57"/>
      <c r="Q126" s="73"/>
      <c r="R126" s="57">
        <f>69000+17500</f>
        <v>86500</v>
      </c>
      <c r="S126" s="23">
        <f t="shared" si="16"/>
        <v>86500</v>
      </c>
    </row>
    <row r="127" spans="1:19" ht="12.75">
      <c r="A127" s="718"/>
      <c r="B127" s="773"/>
      <c r="C127" s="43" t="s">
        <v>374</v>
      </c>
      <c r="D127" s="58"/>
      <c r="E127" s="58"/>
      <c r="F127" s="58"/>
      <c r="G127" s="58"/>
      <c r="H127" s="58"/>
      <c r="I127" s="359"/>
      <c r="J127" s="360"/>
      <c r="K127" s="26"/>
      <c r="L127" s="22"/>
      <c r="M127" s="119">
        <v>12085.36</v>
      </c>
      <c r="N127" s="22"/>
      <c r="O127" s="22"/>
      <c r="P127" s="57"/>
      <c r="Q127" s="73"/>
      <c r="R127" s="57"/>
      <c r="S127" s="23">
        <f t="shared" si="16"/>
        <v>0</v>
      </c>
    </row>
    <row r="128" spans="1:19" ht="13.5" thickBot="1">
      <c r="A128" s="718"/>
      <c r="B128" s="773"/>
      <c r="C128" s="43" t="s">
        <v>437</v>
      </c>
      <c r="D128" s="66"/>
      <c r="E128" s="66"/>
      <c r="F128" s="66"/>
      <c r="G128" s="66"/>
      <c r="H128" s="66"/>
      <c r="I128" s="361"/>
      <c r="J128" s="362"/>
      <c r="K128" s="30"/>
      <c r="L128" s="22"/>
      <c r="M128" s="119"/>
      <c r="N128" s="22"/>
      <c r="O128" s="22">
        <v>2500</v>
      </c>
      <c r="P128" s="57"/>
      <c r="Q128" s="73"/>
      <c r="R128" s="57"/>
      <c r="S128" s="23">
        <f t="shared" si="16"/>
        <v>0</v>
      </c>
    </row>
    <row r="129" spans="1:19" ht="12.75" hidden="1">
      <c r="A129" s="718"/>
      <c r="B129" s="773"/>
      <c r="C129" s="43" t="s">
        <v>379</v>
      </c>
      <c r="D129" s="66"/>
      <c r="E129" s="66"/>
      <c r="F129" s="66"/>
      <c r="G129" s="66"/>
      <c r="H129" s="66"/>
      <c r="I129" s="361"/>
      <c r="J129" s="362"/>
      <c r="K129" s="30"/>
      <c r="L129" s="26"/>
      <c r="M129" s="206">
        <v>8850</v>
      </c>
      <c r="N129" s="44"/>
      <c r="O129" s="57"/>
      <c r="P129" s="57"/>
      <c r="Q129" s="73"/>
      <c r="R129" s="57"/>
      <c r="S129" s="23">
        <f t="shared" si="16"/>
        <v>0</v>
      </c>
    </row>
    <row r="130" spans="1:19" ht="12.75" hidden="1">
      <c r="A130" s="718"/>
      <c r="B130" s="773"/>
      <c r="C130" s="47" t="s">
        <v>246</v>
      </c>
      <c r="D130" s="66"/>
      <c r="E130" s="66"/>
      <c r="F130" s="66"/>
      <c r="G130" s="66"/>
      <c r="H130" s="66"/>
      <c r="I130" s="361"/>
      <c r="J130" s="362"/>
      <c r="K130" s="30"/>
      <c r="L130" s="70"/>
      <c r="M130" s="117"/>
      <c r="N130" s="70">
        <v>250</v>
      </c>
      <c r="O130" s="70"/>
      <c r="P130" s="57"/>
      <c r="Q130" s="73"/>
      <c r="R130" s="57"/>
      <c r="S130" s="23">
        <f t="shared" si="16"/>
        <v>0</v>
      </c>
    </row>
    <row r="131" spans="1:19" ht="13.5" hidden="1" thickBot="1">
      <c r="A131" s="716"/>
      <c r="B131" s="774"/>
      <c r="C131" s="47" t="s">
        <v>391</v>
      </c>
      <c r="D131" s="66"/>
      <c r="E131" s="66"/>
      <c r="F131" s="66"/>
      <c r="G131" s="66"/>
      <c r="H131" s="66"/>
      <c r="I131" s="361"/>
      <c r="J131" s="362"/>
      <c r="K131" s="30"/>
      <c r="L131" s="30"/>
      <c r="M131" s="224"/>
      <c r="N131" s="30">
        <v>27850</v>
      </c>
      <c r="O131" s="30"/>
      <c r="P131" s="44"/>
      <c r="Q131" s="115"/>
      <c r="R131" s="44"/>
      <c r="S131" s="27">
        <f t="shared" si="16"/>
        <v>0</v>
      </c>
    </row>
    <row r="132" spans="1:19" ht="15.75" hidden="1" thickBot="1">
      <c r="A132" s="213" t="s">
        <v>19</v>
      </c>
      <c r="B132" s="688" t="s">
        <v>20</v>
      </c>
      <c r="C132" s="705"/>
      <c r="D132" s="6"/>
      <c r="E132" s="6"/>
      <c r="F132" s="6"/>
      <c r="G132" s="6"/>
      <c r="H132" s="6"/>
      <c r="I132" s="278">
        <v>104542</v>
      </c>
      <c r="J132" s="214">
        <v>66000</v>
      </c>
      <c r="K132" s="67">
        <f>K133+K134</f>
        <v>0</v>
      </c>
      <c r="L132" s="108"/>
      <c r="M132" s="108"/>
      <c r="N132" s="108"/>
      <c r="O132" s="108"/>
      <c r="P132" s="67"/>
      <c r="Q132" s="67">
        <f>IF(O132=0,0,P132/O132)</f>
        <v>0</v>
      </c>
      <c r="R132" s="67"/>
      <c r="S132" s="68"/>
    </row>
    <row r="133" spans="1:19" ht="13.5" hidden="1" thickBot="1">
      <c r="A133" s="429"/>
      <c r="B133" s="430"/>
      <c r="C133" s="529"/>
      <c r="D133" s="430"/>
      <c r="E133" s="430"/>
      <c r="F133" s="430"/>
      <c r="G133" s="430"/>
      <c r="H133" s="430"/>
      <c r="I133" s="430"/>
      <c r="J133" s="430"/>
      <c r="K133" s="430"/>
      <c r="L133" s="530"/>
      <c r="M133" s="529"/>
      <c r="N133" s="531"/>
      <c r="O133" s="531"/>
      <c r="P133" s="529"/>
      <c r="Q133" s="655">
        <f>IF(O133=0,0,P133/O133)</f>
        <v>0</v>
      </c>
      <c r="R133" s="529"/>
      <c r="S133" s="532"/>
    </row>
    <row r="134" spans="1:19" ht="13.5" hidden="1" thickBot="1">
      <c r="A134" s="356"/>
      <c r="B134" s="358"/>
      <c r="C134" s="146" t="s">
        <v>62</v>
      </c>
      <c r="D134" s="69"/>
      <c r="E134" s="69"/>
      <c r="F134" s="69"/>
      <c r="G134" s="69"/>
      <c r="H134" s="69"/>
      <c r="I134" s="69"/>
      <c r="J134" s="69"/>
      <c r="K134" s="70"/>
      <c r="L134" s="70"/>
      <c r="M134" s="70"/>
      <c r="N134" s="70"/>
      <c r="O134" s="70"/>
      <c r="P134" s="243"/>
      <c r="Q134" s="243"/>
      <c r="R134" s="243"/>
      <c r="S134" s="71">
        <f>P134+Q134+R133:R134</f>
        <v>0</v>
      </c>
    </row>
    <row r="135" spans="1:19" ht="13.5" thickBot="1">
      <c r="A135" s="432" t="s">
        <v>63</v>
      </c>
      <c r="B135" s="786" t="s">
        <v>495</v>
      </c>
      <c r="C135" s="787"/>
      <c r="D135" s="433"/>
      <c r="E135" s="433"/>
      <c r="F135" s="433"/>
      <c r="G135" s="433"/>
      <c r="H135" s="433"/>
      <c r="I135" s="130">
        <f>I136</f>
        <v>0</v>
      </c>
      <c r="J135" s="130">
        <f>J136</f>
        <v>0</v>
      </c>
      <c r="K135" s="130">
        <f>K136</f>
        <v>0</v>
      </c>
      <c r="L135" s="130">
        <f>L136</f>
        <v>82887.77</v>
      </c>
      <c r="M135" s="521">
        <v>7399.64</v>
      </c>
      <c r="N135" s="468">
        <f>N136</f>
        <v>0</v>
      </c>
      <c r="O135" s="468">
        <f>O136</f>
        <v>0</v>
      </c>
      <c r="P135" s="468">
        <f>P136</f>
        <v>0</v>
      </c>
      <c r="Q135" s="37">
        <f>Q136</f>
        <v>6000</v>
      </c>
      <c r="R135" s="468"/>
      <c r="S135" s="434">
        <f>P135+Q135+R134:R135</f>
        <v>6000</v>
      </c>
    </row>
    <row r="136" spans="1:19" ht="13.5" thickBot="1">
      <c r="A136" s="356"/>
      <c r="B136" s="358"/>
      <c r="C136" s="430" t="s">
        <v>230</v>
      </c>
      <c r="D136" s="430"/>
      <c r="E136" s="430"/>
      <c r="F136" s="430"/>
      <c r="G136" s="430"/>
      <c r="H136" s="430"/>
      <c r="I136" s="69"/>
      <c r="J136" s="69"/>
      <c r="K136" s="70"/>
      <c r="L136" s="70">
        <v>82887.77</v>
      </c>
      <c r="M136" s="117">
        <v>7399.64</v>
      </c>
      <c r="N136" s="70"/>
      <c r="O136" s="70"/>
      <c r="P136" s="243"/>
      <c r="Q136" s="243">
        <v>6000</v>
      </c>
      <c r="R136" s="243"/>
      <c r="S136" s="71"/>
    </row>
    <row r="137" spans="1:19" ht="17.25" thickBot="1" thickTop="1">
      <c r="A137" s="783" t="s">
        <v>64</v>
      </c>
      <c r="B137" s="784"/>
      <c r="C137" s="784"/>
      <c r="D137" s="102">
        <v>2988050</v>
      </c>
      <c r="E137" s="102">
        <v>1793069</v>
      </c>
      <c r="F137" s="102">
        <v>2942409</v>
      </c>
      <c r="G137" s="102">
        <v>4880528</v>
      </c>
      <c r="H137" s="102">
        <f aca="true" t="shared" si="17" ref="H137:R137">H114+H97+H105+H93+H71+H67+H59+H57+H50+H29+H12+H9+H4+H112+H132+H135</f>
        <v>5977301</v>
      </c>
      <c r="I137" s="102">
        <f t="shared" si="17"/>
        <v>5818483</v>
      </c>
      <c r="J137" s="102">
        <f t="shared" si="17"/>
        <v>4719096</v>
      </c>
      <c r="K137" s="102">
        <f t="shared" si="17"/>
        <v>3939694</v>
      </c>
      <c r="L137" s="102">
        <f t="shared" si="17"/>
        <v>1800938.79</v>
      </c>
      <c r="M137" s="353">
        <f t="shared" si="17"/>
        <v>2883605.860000001</v>
      </c>
      <c r="N137" s="102">
        <f t="shared" si="17"/>
        <v>1348818.6500000001</v>
      </c>
      <c r="O137" s="102">
        <f t="shared" si="17"/>
        <v>2822947</v>
      </c>
      <c r="P137" s="102">
        <f t="shared" si="17"/>
        <v>2089259</v>
      </c>
      <c r="Q137" s="102">
        <f>Q114+Q97+Q105+Q93+Q71+Q67+Q59+Q57+Q50+Q29+Q12+Q9+Q4+Q112+Q132+Q135</f>
        <v>-33403</v>
      </c>
      <c r="R137" s="102">
        <f t="shared" si="17"/>
        <v>763875</v>
      </c>
      <c r="S137" s="103">
        <f>S114+S97+S105+S93+S71+S67+S59+S57+S50+S29+S12+S9+S4+S112+S132+S135</f>
        <v>2819731</v>
      </c>
    </row>
    <row r="138" ht="13.5" thickTop="1"/>
    <row r="140" spans="16:19" ht="12.75">
      <c r="P140" s="567"/>
      <c r="R140" s="567"/>
      <c r="S140" s="567"/>
    </row>
    <row r="143" spans="16:19" ht="12.75">
      <c r="P143" s="567"/>
      <c r="Q143" s="567"/>
      <c r="R143" s="567"/>
      <c r="S143" s="567"/>
    </row>
  </sheetData>
  <sheetProtection/>
  <mergeCells count="58">
    <mergeCell ref="Q2:R2"/>
    <mergeCell ref="A2:A3"/>
    <mergeCell ref="B2:B3"/>
    <mergeCell ref="C2:C3"/>
    <mergeCell ref="A1:J1"/>
    <mergeCell ref="I2:I3"/>
    <mergeCell ref="J2:J3"/>
    <mergeCell ref="K2:K3"/>
    <mergeCell ref="L2:L3"/>
    <mergeCell ref="D2:D3"/>
    <mergeCell ref="M2:M3"/>
    <mergeCell ref="H2:H3"/>
    <mergeCell ref="F2:F3"/>
    <mergeCell ref="G2:G3"/>
    <mergeCell ref="E2:E3"/>
    <mergeCell ref="B135:C135"/>
    <mergeCell ref="B132:C132"/>
    <mergeCell ref="B9:C9"/>
    <mergeCell ref="A5:A8"/>
    <mergeCell ref="B5:B8"/>
    <mergeCell ref="B10:B11"/>
    <mergeCell ref="B29:C29"/>
    <mergeCell ref="B59:C59"/>
    <mergeCell ref="B12:C12"/>
    <mergeCell ref="A13:A28"/>
    <mergeCell ref="A51:A56"/>
    <mergeCell ref="B51:B56"/>
    <mergeCell ref="A10:A11"/>
    <mergeCell ref="A137:C137"/>
    <mergeCell ref="B112:C112"/>
    <mergeCell ref="B114:C114"/>
    <mergeCell ref="A115:A131"/>
    <mergeCell ref="B115:B131"/>
    <mergeCell ref="B50:C50"/>
    <mergeCell ref="A60:A66"/>
    <mergeCell ref="B60:B66"/>
    <mergeCell ref="A68:A70"/>
    <mergeCell ref="B57:C57"/>
    <mergeCell ref="A106:A111"/>
    <mergeCell ref="B106:B111"/>
    <mergeCell ref="B13:B28"/>
    <mergeCell ref="B71:C71"/>
    <mergeCell ref="B97:C97"/>
    <mergeCell ref="A98:A104"/>
    <mergeCell ref="B98:B104"/>
    <mergeCell ref="A72:A92"/>
    <mergeCell ref="A30:A49"/>
    <mergeCell ref="B30:B49"/>
    <mergeCell ref="P2:P3"/>
    <mergeCell ref="B4:C4"/>
    <mergeCell ref="O2:O3"/>
    <mergeCell ref="N2:N3"/>
    <mergeCell ref="S2:S3"/>
    <mergeCell ref="B105:C105"/>
    <mergeCell ref="B67:C67"/>
    <mergeCell ref="B93:C93"/>
    <mergeCell ref="B72:B92"/>
    <mergeCell ref="B68:B70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portrait" paperSize="9" scale="88" r:id="rId1"/>
  <rowBreaks count="1" manualBreakCount="1">
    <brk id="96" max="255" man="1"/>
  </rowBreaks>
  <ignoredErrors>
    <ignoredError sqref="S9 S12:S14 S22:S29 S60:S71 S114 S105" formula="1"/>
    <ignoredError sqref="S119:S127 S35:S45 S108 S74:S78 S91" formulaRange="1"/>
    <ignoredError sqref="S15:S21 S47:S5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W18"/>
  <sheetViews>
    <sheetView workbookViewId="0" topLeftCell="A1">
      <selection activeCell="Q11" sqref="Q11"/>
    </sheetView>
  </sheetViews>
  <sheetFormatPr defaultColWidth="9.140625" defaultRowHeight="12.75"/>
  <cols>
    <col min="2" max="2" width="7.00390625" style="0" customWidth="1"/>
    <col min="3" max="3" width="35.14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3" width="13.57421875" style="0" hidden="1" customWidth="1"/>
    <col min="14" max="14" width="14.57421875" style="0" hidden="1" customWidth="1"/>
    <col min="15" max="15" width="14.00390625" style="0" customWidth="1"/>
    <col min="16" max="16" width="13.57421875" style="0" customWidth="1"/>
    <col min="17" max="17" width="12.28125" style="0" customWidth="1"/>
    <col min="18" max="18" width="13.28125" style="0" customWidth="1"/>
  </cols>
  <sheetData>
    <row r="1" ht="12.75">
      <c r="A1" s="604" t="s">
        <v>461</v>
      </c>
    </row>
    <row r="2" ht="13.5" thickBot="1">
      <c r="A2" s="605" t="s">
        <v>462</v>
      </c>
    </row>
    <row r="3" spans="1:18" ht="14.25" customHeight="1" thickBot="1" thickTop="1">
      <c r="A3" s="682" t="s">
        <v>109</v>
      </c>
      <c r="B3" s="694" t="s">
        <v>110</v>
      </c>
      <c r="C3" s="686" t="s">
        <v>111</v>
      </c>
      <c r="D3" s="686" t="s">
        <v>210</v>
      </c>
      <c r="E3" s="686" t="s">
        <v>211</v>
      </c>
      <c r="F3" s="686" t="s">
        <v>212</v>
      </c>
      <c r="G3" s="686" t="s">
        <v>213</v>
      </c>
      <c r="H3" s="686" t="s">
        <v>214</v>
      </c>
      <c r="I3" s="686" t="s">
        <v>117</v>
      </c>
      <c r="J3" s="686" t="s">
        <v>118</v>
      </c>
      <c r="K3" s="686" t="s">
        <v>119</v>
      </c>
      <c r="L3" s="686" t="s">
        <v>120</v>
      </c>
      <c r="M3" s="686" t="s">
        <v>375</v>
      </c>
      <c r="N3" s="686" t="s">
        <v>410</v>
      </c>
      <c r="O3" s="686" t="s">
        <v>411</v>
      </c>
      <c r="P3" s="761" t="s">
        <v>465</v>
      </c>
      <c r="Q3" s="648" t="s">
        <v>467</v>
      </c>
      <c r="R3" s="759" t="s">
        <v>466</v>
      </c>
    </row>
    <row r="4" spans="1:18" ht="27.75" customHeight="1" thickBot="1">
      <c r="A4" s="683"/>
      <c r="B4" s="695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762"/>
      <c r="Q4" s="635" t="s">
        <v>283</v>
      </c>
      <c r="R4" s="760"/>
    </row>
    <row r="5" spans="1:18" ht="14.25" thickBot="1" thickTop="1">
      <c r="A5" s="39">
        <v>519</v>
      </c>
      <c r="B5" s="797" t="s">
        <v>74</v>
      </c>
      <c r="C5" s="798"/>
      <c r="D5" s="16">
        <f aca="true" t="shared" si="0" ref="D5:M5">SUM(D6:D7)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50">
        <f t="shared" si="0"/>
        <v>1041848.1</v>
      </c>
      <c r="M5" s="150">
        <f t="shared" si="0"/>
        <v>1842801.75</v>
      </c>
      <c r="N5" s="16">
        <f>SUM(N6:N7)</f>
        <v>1578149.94</v>
      </c>
      <c r="O5" s="16">
        <f>SUM(O6:O7)</f>
        <v>949829</v>
      </c>
      <c r="P5" s="16">
        <f>SUM(P6:P7)</f>
        <v>264297</v>
      </c>
      <c r="Q5" s="16">
        <f>SUM(Q6:Q7)</f>
        <v>-225547</v>
      </c>
      <c r="R5" s="17">
        <f>SUM(R6:R7)</f>
        <v>38750</v>
      </c>
    </row>
    <row r="6" spans="1:18" ht="12.75">
      <c r="A6" s="676"/>
      <c r="B6" s="151"/>
      <c r="C6" s="41" t="s">
        <v>279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2">
        <v>96973.2</v>
      </c>
      <c r="M6" s="152">
        <v>633655.25</v>
      </c>
      <c r="N6" s="42">
        <v>1495900</v>
      </c>
      <c r="O6" s="42">
        <f>343000+42532+300000</f>
        <v>685532</v>
      </c>
      <c r="P6" s="42"/>
      <c r="Q6" s="152"/>
      <c r="R6" s="95">
        <f>P6+Q6</f>
        <v>0</v>
      </c>
    </row>
    <row r="7" spans="1:21" ht="13.5" thickBot="1">
      <c r="A7" s="678"/>
      <c r="B7" s="153"/>
      <c r="C7" s="46" t="s">
        <v>280</v>
      </c>
      <c r="D7" s="46"/>
      <c r="E7" s="46"/>
      <c r="F7" s="46">
        <v>806731</v>
      </c>
      <c r="G7" s="46">
        <v>1745394</v>
      </c>
      <c r="H7" s="46">
        <v>115857</v>
      </c>
      <c r="I7" s="46">
        <v>660081</v>
      </c>
      <c r="J7" s="60">
        <v>563477</v>
      </c>
      <c r="K7" s="154">
        <v>250321</v>
      </c>
      <c r="L7" s="155">
        <v>944874.9</v>
      </c>
      <c r="M7" s="155">
        <v>1209146.5</v>
      </c>
      <c r="N7" s="154">
        <v>82249.94</v>
      </c>
      <c r="O7" s="154">
        <v>264297</v>
      </c>
      <c r="P7" s="60">
        <f>31137+233160</f>
        <v>264297</v>
      </c>
      <c r="Q7" s="60">
        <f>-233160+7613</f>
        <v>-225547</v>
      </c>
      <c r="R7" s="23">
        <f>P7+Q7</f>
        <v>38750</v>
      </c>
      <c r="U7" s="2"/>
    </row>
    <row r="8" spans="1:18" ht="13.5" thickBot="1">
      <c r="A8" s="18">
        <v>450</v>
      </c>
      <c r="B8" s="795" t="s">
        <v>169</v>
      </c>
      <c r="C8" s="739"/>
      <c r="D8" s="64">
        <f>SUM(D9:D16)</f>
        <v>499436</v>
      </c>
      <c r="E8" s="64">
        <v>313085</v>
      </c>
      <c r="F8" s="64">
        <v>834018</v>
      </c>
      <c r="G8" s="64">
        <f aca="true" t="shared" si="1" ref="G8:M8">SUM(G9:G16)</f>
        <v>822908</v>
      </c>
      <c r="H8" s="64">
        <f t="shared" si="1"/>
        <v>3260676</v>
      </c>
      <c r="I8" s="64">
        <f t="shared" si="1"/>
        <v>553863</v>
      </c>
      <c r="J8" s="64">
        <f t="shared" si="1"/>
        <v>509280</v>
      </c>
      <c r="K8" s="64">
        <f t="shared" si="1"/>
        <v>620269</v>
      </c>
      <c r="L8" s="156">
        <f t="shared" si="1"/>
        <v>259121.03000000003</v>
      </c>
      <c r="M8" s="156">
        <f t="shared" si="1"/>
        <v>923759.61</v>
      </c>
      <c r="N8" s="64">
        <f>SUM(N9:N16)</f>
        <v>913983.99</v>
      </c>
      <c r="O8" s="64">
        <f>SUM(O9:O16)</f>
        <v>619198</v>
      </c>
      <c r="P8" s="64">
        <f>SUM(P9:P16)</f>
        <v>466785</v>
      </c>
      <c r="Q8" s="64">
        <f>SUM(Q9:Q16)</f>
        <v>817543</v>
      </c>
      <c r="R8" s="65">
        <f>SUM(R9:R16)</f>
        <v>1284328</v>
      </c>
    </row>
    <row r="9" spans="1:18" ht="12.75">
      <c r="A9" s="676"/>
      <c r="B9" s="151"/>
      <c r="C9" s="157" t="s">
        <v>77</v>
      </c>
      <c r="D9" s="157">
        <v>190367</v>
      </c>
      <c r="E9" s="157"/>
      <c r="F9" s="157"/>
      <c r="G9" s="42">
        <f>265551+398</f>
        <v>265949</v>
      </c>
      <c r="H9" s="157">
        <v>1534133</v>
      </c>
      <c r="I9" s="157">
        <v>43800</v>
      </c>
      <c r="J9" s="158"/>
      <c r="K9" s="159">
        <v>9775</v>
      </c>
      <c r="L9" s="160">
        <v>16185.64</v>
      </c>
      <c r="M9" s="160"/>
      <c r="N9" s="159">
        <v>191699.89</v>
      </c>
      <c r="O9" s="159"/>
      <c r="P9" s="42"/>
      <c r="Q9" s="42"/>
      <c r="R9" s="95">
        <f aca="true" t="shared" si="2" ref="R9:R16">P9+Q9</f>
        <v>0</v>
      </c>
    </row>
    <row r="10" spans="1:18" ht="12.75">
      <c r="A10" s="677"/>
      <c r="B10" s="161"/>
      <c r="C10" s="162" t="s">
        <v>78</v>
      </c>
      <c r="D10" s="162"/>
      <c r="E10" s="162"/>
      <c r="F10" s="162"/>
      <c r="G10" s="57"/>
      <c r="H10" s="162">
        <v>921499</v>
      </c>
      <c r="I10" s="162">
        <v>220604</v>
      </c>
      <c r="J10" s="163">
        <v>192501</v>
      </c>
      <c r="K10" s="164">
        <v>494</v>
      </c>
      <c r="L10" s="165">
        <v>208144.39</v>
      </c>
      <c r="M10" s="165">
        <v>907789.61</v>
      </c>
      <c r="N10" s="164">
        <v>686557.48</v>
      </c>
      <c r="O10" s="164">
        <v>140649</v>
      </c>
      <c r="P10" s="57">
        <f>229206-35435</f>
        <v>193771</v>
      </c>
      <c r="Q10" s="57">
        <f>69000+10000+343815</f>
        <v>422815</v>
      </c>
      <c r="R10" s="23">
        <f t="shared" si="2"/>
        <v>616586</v>
      </c>
    </row>
    <row r="11" spans="1:18" ht="12.75">
      <c r="A11" s="677"/>
      <c r="B11" s="161"/>
      <c r="C11" s="162" t="s">
        <v>494</v>
      </c>
      <c r="D11" s="162"/>
      <c r="E11" s="162"/>
      <c r="F11" s="162"/>
      <c r="G11" s="57">
        <v>545044</v>
      </c>
      <c r="H11" s="162">
        <v>545044</v>
      </c>
      <c r="I11" s="162"/>
      <c r="J11" s="163"/>
      <c r="K11" s="164"/>
      <c r="L11" s="165"/>
      <c r="M11" s="165">
        <v>12870</v>
      </c>
      <c r="N11" s="164">
        <v>1275.2</v>
      </c>
      <c r="O11" s="164"/>
      <c r="P11" s="57"/>
      <c r="Q11" s="57">
        <v>38266</v>
      </c>
      <c r="R11" s="23">
        <f t="shared" si="2"/>
        <v>38266</v>
      </c>
    </row>
    <row r="12" spans="1:18" ht="12.75">
      <c r="A12" s="677"/>
      <c r="B12" s="161"/>
      <c r="C12" s="162" t="s">
        <v>425</v>
      </c>
      <c r="D12" s="162"/>
      <c r="E12" s="162"/>
      <c r="F12" s="162"/>
      <c r="G12" s="57"/>
      <c r="H12" s="162"/>
      <c r="I12" s="162"/>
      <c r="J12" s="163"/>
      <c r="K12" s="164"/>
      <c r="L12" s="165"/>
      <c r="M12" s="165"/>
      <c r="N12" s="164">
        <v>34451.42</v>
      </c>
      <c r="O12" s="164">
        <v>0</v>
      </c>
      <c r="P12" s="57"/>
      <c r="Q12" s="57"/>
      <c r="R12" s="23">
        <f t="shared" si="2"/>
        <v>0</v>
      </c>
    </row>
    <row r="13" spans="1:23" ht="12.75">
      <c r="A13" s="677"/>
      <c r="B13" s="161"/>
      <c r="C13" s="162" t="s">
        <v>79</v>
      </c>
      <c r="D13" s="162">
        <v>309069</v>
      </c>
      <c r="E13" s="162"/>
      <c r="F13" s="162"/>
      <c r="G13" s="57"/>
      <c r="H13" s="162">
        <v>260000</v>
      </c>
      <c r="I13" s="162">
        <v>277803</v>
      </c>
      <c r="J13" s="163">
        <v>316779</v>
      </c>
      <c r="K13" s="164">
        <v>610000</v>
      </c>
      <c r="L13" s="165">
        <v>34791</v>
      </c>
      <c r="M13" s="165">
        <v>3100</v>
      </c>
      <c r="N13" s="164"/>
      <c r="O13" s="164">
        <v>448549</v>
      </c>
      <c r="P13" s="57">
        <f>231174+41840</f>
        <v>273014</v>
      </c>
      <c r="Q13" s="57">
        <f>222720+2500+5000+114549+17899+4000+11000-54500+5800+12750+13100-19454-8000-152+6150+21000+2100</f>
        <v>356462</v>
      </c>
      <c r="R13" s="23">
        <f t="shared" si="2"/>
        <v>629476</v>
      </c>
      <c r="T13" s="2"/>
      <c r="V13" s="2"/>
      <c r="W13" s="2"/>
    </row>
    <row r="14" spans="1:18" ht="12.75">
      <c r="A14" s="677"/>
      <c r="B14" s="161"/>
      <c r="C14" s="162" t="s">
        <v>439</v>
      </c>
      <c r="D14" s="162"/>
      <c r="E14" s="162"/>
      <c r="F14" s="162"/>
      <c r="G14" s="162">
        <v>11915</v>
      </c>
      <c r="H14" s="162"/>
      <c r="I14" s="162">
        <v>11656</v>
      </c>
      <c r="J14" s="163"/>
      <c r="K14" s="57"/>
      <c r="L14" s="73"/>
      <c r="M14" s="73">
        <v>0</v>
      </c>
      <c r="N14" s="57"/>
      <c r="O14" s="57">
        <v>30000</v>
      </c>
      <c r="P14" s="57"/>
      <c r="Q14" s="57"/>
      <c r="R14" s="23">
        <f t="shared" si="2"/>
        <v>0</v>
      </c>
    </row>
    <row r="15" spans="1:18" ht="12.75">
      <c r="A15" s="677"/>
      <c r="B15" s="166"/>
      <c r="C15" s="167"/>
      <c r="D15" s="167"/>
      <c r="E15" s="167"/>
      <c r="F15" s="167"/>
      <c r="G15" s="167"/>
      <c r="H15" s="167"/>
      <c r="I15" s="167"/>
      <c r="J15" s="167"/>
      <c r="K15" s="44"/>
      <c r="L15" s="115"/>
      <c r="M15" s="115"/>
      <c r="N15" s="44"/>
      <c r="O15" s="44"/>
      <c r="P15" s="44"/>
      <c r="Q15" s="44"/>
      <c r="R15" s="27">
        <f t="shared" si="2"/>
        <v>0</v>
      </c>
    </row>
    <row r="16" spans="1:18" ht="13.5" thickBot="1">
      <c r="A16" s="796"/>
      <c r="B16" s="166"/>
      <c r="C16" s="167"/>
      <c r="D16" s="167"/>
      <c r="E16" s="167"/>
      <c r="F16" s="167"/>
      <c r="G16" s="167"/>
      <c r="H16" s="167"/>
      <c r="I16" s="167"/>
      <c r="J16" s="167"/>
      <c r="K16" s="44"/>
      <c r="L16" s="115"/>
      <c r="M16" s="115"/>
      <c r="N16" s="44"/>
      <c r="O16" s="44"/>
      <c r="P16" s="44"/>
      <c r="Q16" s="44"/>
      <c r="R16" s="27">
        <f t="shared" si="2"/>
        <v>0</v>
      </c>
    </row>
    <row r="17" spans="1:18" ht="14.25" thickBot="1" thickTop="1">
      <c r="A17" s="791" t="s">
        <v>281</v>
      </c>
      <c r="B17" s="792"/>
      <c r="C17" s="793"/>
      <c r="D17" s="168">
        <f aca="true" t="shared" si="3" ref="D17:M17">D8+D5</f>
        <v>499436</v>
      </c>
      <c r="E17" s="168">
        <f t="shared" si="3"/>
        <v>313085</v>
      </c>
      <c r="F17" s="168">
        <f t="shared" si="3"/>
        <v>1640749</v>
      </c>
      <c r="G17" s="168">
        <f t="shared" si="3"/>
        <v>2754938</v>
      </c>
      <c r="H17" s="168">
        <f t="shared" si="3"/>
        <v>4479434</v>
      </c>
      <c r="I17" s="168">
        <f t="shared" si="3"/>
        <v>2266668</v>
      </c>
      <c r="J17" s="168">
        <f t="shared" si="3"/>
        <v>1305406</v>
      </c>
      <c r="K17" s="168">
        <f t="shared" si="3"/>
        <v>1509534</v>
      </c>
      <c r="L17" s="169">
        <f t="shared" si="3"/>
        <v>1300969.13</v>
      </c>
      <c r="M17" s="169">
        <f t="shared" si="3"/>
        <v>2766561.36</v>
      </c>
      <c r="N17" s="168">
        <f>N8+N5</f>
        <v>2492133.9299999997</v>
      </c>
      <c r="O17" s="168">
        <f>O8+O5</f>
        <v>1569027</v>
      </c>
      <c r="P17" s="168">
        <f>P8+P5</f>
        <v>731082</v>
      </c>
      <c r="Q17" s="168">
        <f>Q8+Q5</f>
        <v>591996</v>
      </c>
      <c r="R17" s="170">
        <f>R8+R5</f>
        <v>1323078</v>
      </c>
    </row>
    <row r="18" spans="1:17" ht="13.5" thickTop="1">
      <c r="A18" s="794"/>
      <c r="B18" s="794"/>
      <c r="C18" s="794"/>
      <c r="D18" s="794"/>
      <c r="E18" s="794"/>
      <c r="F18" s="794"/>
      <c r="G18" s="794"/>
      <c r="H18" s="794"/>
      <c r="I18" s="794"/>
      <c r="J18" s="794"/>
      <c r="K18" s="171"/>
      <c r="L18" s="171"/>
      <c r="M18" s="171"/>
      <c r="N18" s="171"/>
      <c r="O18" s="171"/>
      <c r="P18" s="172"/>
      <c r="Q18" s="172"/>
    </row>
  </sheetData>
  <sheetProtection/>
  <mergeCells count="23">
    <mergeCell ref="R3:R4"/>
    <mergeCell ref="G3:G4"/>
    <mergeCell ref="H3:H4"/>
    <mergeCell ref="K3:K4"/>
    <mergeCell ref="P3:P4"/>
    <mergeCell ref="O3:O4"/>
    <mergeCell ref="A17:C17"/>
    <mergeCell ref="A18:J18"/>
    <mergeCell ref="B8:C8"/>
    <mergeCell ref="A9:A16"/>
    <mergeCell ref="F3:F4"/>
    <mergeCell ref="A6:A7"/>
    <mergeCell ref="B5:C5"/>
    <mergeCell ref="I3:I4"/>
    <mergeCell ref="J3:J4"/>
    <mergeCell ref="A3:A4"/>
    <mergeCell ref="B3:B4"/>
    <mergeCell ref="C3:C4"/>
    <mergeCell ref="D3:D4"/>
    <mergeCell ref="N3:N4"/>
    <mergeCell ref="L3:L4"/>
    <mergeCell ref="M3:M4"/>
    <mergeCell ref="E3:E4"/>
  </mergeCells>
  <printOptions/>
  <pageMargins left="0.35433070866141736" right="0.35433070866141736" top="0.1968503937007874" bottom="0.984251968503937" header="0.11811023622047245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U12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9.7109375" style="0" customWidth="1"/>
    <col min="2" max="2" width="9.00390625" style="0" customWidth="1"/>
    <col min="3" max="3" width="35.57421875" style="0" customWidth="1"/>
    <col min="4" max="11" width="0" style="0" hidden="1" customWidth="1"/>
    <col min="12" max="13" width="11.7109375" style="0" hidden="1" customWidth="1"/>
    <col min="14" max="14" width="13.8515625" style="0" hidden="1" customWidth="1"/>
    <col min="15" max="16" width="11.57421875" style="0" customWidth="1"/>
    <col min="17" max="18" width="9.8515625" style="0" customWidth="1"/>
    <col min="19" max="19" width="11.421875" style="0" customWidth="1"/>
    <col min="21" max="21" width="10.140625" style="0" bestFit="1" customWidth="1"/>
  </cols>
  <sheetData>
    <row r="1" spans="1:17" ht="13.5" thickBot="1">
      <c r="A1" s="790" t="s">
        <v>282</v>
      </c>
      <c r="B1" s="790"/>
      <c r="C1" s="790"/>
      <c r="D1" s="790"/>
      <c r="E1" s="790"/>
      <c r="F1" s="790"/>
      <c r="G1" s="790"/>
      <c r="H1" s="790"/>
      <c r="I1" s="790"/>
      <c r="J1" s="790"/>
      <c r="K1" s="173"/>
      <c r="L1" s="173"/>
      <c r="M1" s="173"/>
      <c r="N1" s="173"/>
      <c r="O1" s="173"/>
      <c r="P1" s="172"/>
      <c r="Q1" s="172"/>
    </row>
    <row r="2" spans="1:19" ht="14.25" customHeight="1" thickBot="1" thickTop="1">
      <c r="A2" s="802" t="s">
        <v>65</v>
      </c>
      <c r="B2" s="788" t="s">
        <v>110</v>
      </c>
      <c r="C2" s="757" t="s">
        <v>66</v>
      </c>
      <c r="D2" s="686" t="s">
        <v>210</v>
      </c>
      <c r="E2" s="686" t="s">
        <v>211</v>
      </c>
      <c r="F2" s="686" t="s">
        <v>212</v>
      </c>
      <c r="G2" s="686" t="s">
        <v>213</v>
      </c>
      <c r="H2" s="686" t="s">
        <v>214</v>
      </c>
      <c r="I2" s="686" t="s">
        <v>117</v>
      </c>
      <c r="J2" s="686" t="s">
        <v>118</v>
      </c>
      <c r="K2" s="686" t="s">
        <v>119</v>
      </c>
      <c r="L2" s="686" t="s">
        <v>120</v>
      </c>
      <c r="M2" s="686" t="s">
        <v>375</v>
      </c>
      <c r="N2" s="686" t="s">
        <v>410</v>
      </c>
      <c r="O2" s="686" t="s">
        <v>411</v>
      </c>
      <c r="P2" s="761" t="s">
        <v>465</v>
      </c>
      <c r="Q2" s="751" t="s">
        <v>467</v>
      </c>
      <c r="R2" s="752"/>
      <c r="S2" s="759" t="s">
        <v>466</v>
      </c>
    </row>
    <row r="3" spans="1:19" ht="25.5" customHeight="1" thickBot="1">
      <c r="A3" s="803"/>
      <c r="B3" s="789"/>
      <c r="C3" s="758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762"/>
      <c r="Q3" s="635" t="s">
        <v>283</v>
      </c>
      <c r="R3" s="636" t="s">
        <v>278</v>
      </c>
      <c r="S3" s="760"/>
    </row>
    <row r="4" spans="1:19" ht="14.25" thickBot="1" thickTop="1">
      <c r="A4" s="174" t="s">
        <v>82</v>
      </c>
      <c r="B4" s="797" t="s">
        <v>74</v>
      </c>
      <c r="C4" s="798"/>
      <c r="D4" s="175">
        <f aca="true" t="shared" si="0" ref="D4:P4">SUM(D5:D11)</f>
        <v>477793</v>
      </c>
      <c r="E4" s="175">
        <f t="shared" si="0"/>
        <v>470856</v>
      </c>
      <c r="F4" s="175">
        <f t="shared" si="0"/>
        <v>334085</v>
      </c>
      <c r="G4" s="175">
        <f t="shared" si="0"/>
        <v>1303204</v>
      </c>
      <c r="H4" s="175">
        <f t="shared" si="0"/>
        <v>978096</v>
      </c>
      <c r="I4" s="175">
        <f t="shared" si="0"/>
        <v>1356608</v>
      </c>
      <c r="J4" s="175">
        <f t="shared" si="0"/>
        <v>1191263</v>
      </c>
      <c r="K4" s="175">
        <f t="shared" si="0"/>
        <v>977990</v>
      </c>
      <c r="L4" s="176">
        <f t="shared" si="0"/>
        <v>439019.94999999995</v>
      </c>
      <c r="M4" s="176">
        <f t="shared" si="0"/>
        <v>540080.3</v>
      </c>
      <c r="N4" s="613">
        <f>SUM(N5:N11)</f>
        <v>2548753.6599999997</v>
      </c>
      <c r="O4" s="615">
        <f>SUM(O5:O11)</f>
        <v>414000</v>
      </c>
      <c r="P4" s="614">
        <f t="shared" si="0"/>
        <v>465000</v>
      </c>
      <c r="Q4" s="614">
        <f>SUM(Q5:Q11)</f>
        <v>0</v>
      </c>
      <c r="R4" s="175">
        <f>SUM(R5:R11)</f>
        <v>363308</v>
      </c>
      <c r="S4" s="177">
        <f>SUM(S5:S11)</f>
        <v>828308</v>
      </c>
    </row>
    <row r="5" spans="1:21" ht="12.75">
      <c r="A5" s="799"/>
      <c r="B5" s="178"/>
      <c r="C5" s="178" t="s">
        <v>284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181">
        <v>233161.19</v>
      </c>
      <c r="N5" s="524">
        <v>1839260.43</v>
      </c>
      <c r="O5" s="524">
        <v>335000</v>
      </c>
      <c r="P5" s="484">
        <f>341000+35000</f>
        <v>376000</v>
      </c>
      <c r="Q5" s="617"/>
      <c r="R5" s="484"/>
      <c r="S5" s="182">
        <f>P5+Q5+R5</f>
        <v>376000</v>
      </c>
      <c r="U5" s="437"/>
    </row>
    <row r="6" spans="1:19" ht="12.75">
      <c r="A6" s="800"/>
      <c r="B6" s="183"/>
      <c r="C6" s="184" t="s">
        <v>285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187">
        <v>233027.7</v>
      </c>
      <c r="N6" s="525">
        <v>497600.75</v>
      </c>
      <c r="O6" s="525">
        <v>0</v>
      </c>
      <c r="P6" s="96"/>
      <c r="Q6" s="618"/>
      <c r="R6" s="96">
        <v>363308</v>
      </c>
      <c r="S6" s="98">
        <f aca="true" t="shared" si="1" ref="S6:S11">P6+Q6+R6</f>
        <v>363308</v>
      </c>
    </row>
    <row r="7" spans="1:19" ht="12.75">
      <c r="A7" s="800"/>
      <c r="B7" s="188"/>
      <c r="C7" s="120" t="s">
        <v>286</v>
      </c>
      <c r="D7" s="120"/>
      <c r="E7" s="120"/>
      <c r="F7" s="120"/>
      <c r="G7" s="120"/>
      <c r="H7" s="120">
        <v>52527</v>
      </c>
      <c r="I7" s="120">
        <v>53214</v>
      </c>
      <c r="J7" s="96">
        <v>53736</v>
      </c>
      <c r="K7" s="186">
        <v>54692</v>
      </c>
      <c r="L7" s="187">
        <v>59829.25</v>
      </c>
      <c r="M7" s="187">
        <v>73891.41</v>
      </c>
      <c r="N7" s="525">
        <v>74759.43</v>
      </c>
      <c r="O7" s="525">
        <v>74000</v>
      </c>
      <c r="P7" s="186">
        <v>75000</v>
      </c>
      <c r="Q7" s="619"/>
      <c r="R7" s="186"/>
      <c r="S7" s="189">
        <f t="shared" si="1"/>
        <v>75000</v>
      </c>
    </row>
    <row r="8" spans="1:21" ht="12.75">
      <c r="A8" s="800"/>
      <c r="B8" s="190"/>
      <c r="C8" s="580" t="s">
        <v>440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6"/>
      <c r="L8" s="193"/>
      <c r="M8" s="193"/>
      <c r="N8" s="97">
        <v>114400.25</v>
      </c>
      <c r="O8" s="97"/>
      <c r="P8" s="96"/>
      <c r="Q8" s="618"/>
      <c r="R8" s="96"/>
      <c r="S8" s="98">
        <f t="shared" si="1"/>
        <v>0</v>
      </c>
      <c r="U8" s="2"/>
    </row>
    <row r="9" spans="1:21" ht="12.75">
      <c r="A9" s="800"/>
      <c r="B9" s="190"/>
      <c r="C9" s="580" t="s">
        <v>441</v>
      </c>
      <c r="D9" s="191"/>
      <c r="E9" s="191"/>
      <c r="F9" s="191"/>
      <c r="G9" s="191"/>
      <c r="H9" s="191"/>
      <c r="I9" s="191"/>
      <c r="J9" s="192"/>
      <c r="K9" s="96"/>
      <c r="L9" s="193"/>
      <c r="M9" s="193"/>
      <c r="N9" s="97">
        <v>11332.8</v>
      </c>
      <c r="O9" s="97">
        <v>5000</v>
      </c>
      <c r="P9" s="96">
        <v>14000</v>
      </c>
      <c r="Q9" s="618"/>
      <c r="R9" s="96"/>
      <c r="S9" s="98">
        <f t="shared" si="1"/>
        <v>14000</v>
      </c>
      <c r="U9" s="2"/>
    </row>
    <row r="10" spans="1:19" ht="12.75">
      <c r="A10" s="800"/>
      <c r="B10" s="188"/>
      <c r="C10" s="188" t="s">
        <v>287</v>
      </c>
      <c r="D10" s="188"/>
      <c r="E10" s="188">
        <v>275178</v>
      </c>
      <c r="F10" s="188"/>
      <c r="G10" s="188">
        <v>903120</v>
      </c>
      <c r="H10" s="188">
        <v>212559</v>
      </c>
      <c r="I10" s="188">
        <v>174964</v>
      </c>
      <c r="J10" s="194">
        <v>281599</v>
      </c>
      <c r="K10" s="194">
        <v>85203</v>
      </c>
      <c r="L10" s="195">
        <v>34320.1</v>
      </c>
      <c r="M10" s="195">
        <v>0</v>
      </c>
      <c r="N10" s="526"/>
      <c r="O10" s="526"/>
      <c r="P10" s="194"/>
      <c r="Q10" s="620"/>
      <c r="R10" s="194"/>
      <c r="S10" s="196">
        <f t="shared" si="1"/>
        <v>0</v>
      </c>
    </row>
    <row r="11" spans="1:19" ht="13.5" thickBot="1">
      <c r="A11" s="801"/>
      <c r="B11" s="197"/>
      <c r="C11" s="188" t="s">
        <v>425</v>
      </c>
      <c r="D11" s="197">
        <v>167430</v>
      </c>
      <c r="E11" s="197">
        <v>0</v>
      </c>
      <c r="F11" s="197">
        <v>119363</v>
      </c>
      <c r="G11" s="197"/>
      <c r="H11" s="197"/>
      <c r="I11" s="197"/>
      <c r="J11" s="198"/>
      <c r="K11" s="198"/>
      <c r="L11" s="199"/>
      <c r="M11" s="199">
        <v>0</v>
      </c>
      <c r="N11" s="527">
        <v>11400</v>
      </c>
      <c r="O11" s="527"/>
      <c r="P11" s="198">
        <v>0</v>
      </c>
      <c r="Q11" s="621"/>
      <c r="R11" s="198"/>
      <c r="S11" s="443">
        <f t="shared" si="1"/>
        <v>0</v>
      </c>
    </row>
    <row r="12" spans="1:19" ht="14.25" thickBot="1" thickTop="1">
      <c r="A12" s="791" t="s">
        <v>281</v>
      </c>
      <c r="B12" s="792"/>
      <c r="C12" s="793"/>
      <c r="D12" s="168">
        <f aca="true" t="shared" si="2" ref="D12:P12">D4</f>
        <v>477793</v>
      </c>
      <c r="E12" s="168">
        <f t="shared" si="2"/>
        <v>470856</v>
      </c>
      <c r="F12" s="168">
        <f t="shared" si="2"/>
        <v>334085</v>
      </c>
      <c r="G12" s="168">
        <f t="shared" si="2"/>
        <v>1303204</v>
      </c>
      <c r="H12" s="168">
        <f t="shared" si="2"/>
        <v>978096</v>
      </c>
      <c r="I12" s="168">
        <f t="shared" si="2"/>
        <v>1356608</v>
      </c>
      <c r="J12" s="168">
        <f t="shared" si="2"/>
        <v>1191263</v>
      </c>
      <c r="K12" s="168">
        <f t="shared" si="2"/>
        <v>977990</v>
      </c>
      <c r="L12" s="169">
        <f t="shared" si="2"/>
        <v>439019.94999999995</v>
      </c>
      <c r="M12" s="169">
        <f t="shared" si="2"/>
        <v>540080.3</v>
      </c>
      <c r="N12" s="616">
        <f t="shared" si="2"/>
        <v>2548753.6599999997</v>
      </c>
      <c r="O12" s="168">
        <f t="shared" si="2"/>
        <v>414000</v>
      </c>
      <c r="P12" s="168">
        <f t="shared" si="2"/>
        <v>465000</v>
      </c>
      <c r="Q12" s="168">
        <f>Q4</f>
        <v>0</v>
      </c>
      <c r="R12" s="168">
        <f>R4</f>
        <v>363308</v>
      </c>
      <c r="S12" s="170">
        <f>S4</f>
        <v>828308</v>
      </c>
    </row>
    <row r="13" ht="13.5" thickTop="1"/>
  </sheetData>
  <sheetProtection/>
  <mergeCells count="22">
    <mergeCell ref="A12:C12"/>
    <mergeCell ref="B4:C4"/>
    <mergeCell ref="M2:M3"/>
    <mergeCell ref="A2:A3"/>
    <mergeCell ref="B2:B3"/>
    <mergeCell ref="C2:C3"/>
    <mergeCell ref="F2:F3"/>
    <mergeCell ref="D2:D3"/>
    <mergeCell ref="S2:S3"/>
    <mergeCell ref="A5:A11"/>
    <mergeCell ref="G2:G3"/>
    <mergeCell ref="N2:N3"/>
    <mergeCell ref="I2:I3"/>
    <mergeCell ref="Q2:R2"/>
    <mergeCell ref="A1:J1"/>
    <mergeCell ref="H2:H3"/>
    <mergeCell ref="P2:P3"/>
    <mergeCell ref="L2:L3"/>
    <mergeCell ref="J2:J3"/>
    <mergeCell ref="K2:K3"/>
    <mergeCell ref="E2:E3"/>
    <mergeCell ref="O2:O3"/>
  </mergeCells>
  <printOptions/>
  <pageMargins left="0.35433070866141736" right="0.35433070866141736" top="0.3937007874015748" bottom="0.984251968503937" header="0.31496062992125984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X82"/>
  <sheetViews>
    <sheetView zoomScalePageLayoutView="0" workbookViewId="0" topLeftCell="N1">
      <selection activeCell="U12" sqref="U12"/>
    </sheetView>
  </sheetViews>
  <sheetFormatPr defaultColWidth="9.140625" defaultRowHeight="12.75"/>
  <cols>
    <col min="1" max="1" width="48.57421875" style="0" customWidth="1"/>
    <col min="2" max="11" width="14.421875" style="0" hidden="1" customWidth="1"/>
    <col min="12" max="12" width="15.28125" style="0" hidden="1" customWidth="1"/>
    <col min="13" max="14" width="15.28125" style="0" customWidth="1"/>
    <col min="15" max="17" width="11.28125" style="0" customWidth="1"/>
    <col min="18" max="18" width="16.57421875" style="0" customWidth="1"/>
    <col min="20" max="21" width="10.140625" style="0" bestFit="1" customWidth="1"/>
    <col min="23" max="23" width="12.140625" style="0" customWidth="1"/>
  </cols>
  <sheetData>
    <row r="1" spans="1:18" ht="15">
      <c r="A1" s="804" t="s">
        <v>359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</row>
    <row r="2" spans="1:16" ht="13.5" thickBot="1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171"/>
      <c r="M2" s="171"/>
      <c r="N2" s="172"/>
      <c r="O2" s="172"/>
      <c r="P2" s="172"/>
    </row>
    <row r="3" spans="1:18" ht="13.5" customHeight="1" thickTop="1">
      <c r="A3" s="806" t="s">
        <v>111</v>
      </c>
      <c r="B3" s="686" t="s">
        <v>210</v>
      </c>
      <c r="C3" s="686" t="s">
        <v>211</v>
      </c>
      <c r="D3" s="686" t="s">
        <v>212</v>
      </c>
      <c r="E3" s="686" t="s">
        <v>213</v>
      </c>
      <c r="F3" s="686" t="s">
        <v>214</v>
      </c>
      <c r="G3" s="686" t="s">
        <v>117</v>
      </c>
      <c r="H3" s="686" t="s">
        <v>118</v>
      </c>
      <c r="I3" s="686" t="s">
        <v>119</v>
      </c>
      <c r="J3" s="686" t="s">
        <v>120</v>
      </c>
      <c r="K3" s="686" t="s">
        <v>375</v>
      </c>
      <c r="L3" s="686" t="s">
        <v>410</v>
      </c>
      <c r="M3" s="686" t="s">
        <v>411</v>
      </c>
      <c r="N3" s="761" t="s">
        <v>80</v>
      </c>
      <c r="O3" s="690" t="s">
        <v>467</v>
      </c>
      <c r="P3" s="834"/>
      <c r="Q3" s="769"/>
      <c r="R3" s="759" t="s">
        <v>80</v>
      </c>
    </row>
    <row r="4" spans="1:18" ht="12.75">
      <c r="A4" s="807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21"/>
      <c r="O4" s="835" t="s">
        <v>122</v>
      </c>
      <c r="P4" s="836"/>
      <c r="Q4" s="837"/>
      <c r="R4" s="820"/>
    </row>
    <row r="5" spans="1:18" ht="13.5" thickBot="1">
      <c r="A5" s="807"/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762"/>
      <c r="O5" s="649" t="s">
        <v>283</v>
      </c>
      <c r="P5" s="647" t="s">
        <v>288</v>
      </c>
      <c r="Q5" s="650" t="s">
        <v>278</v>
      </c>
      <c r="R5" s="760"/>
    </row>
    <row r="6" spans="1:23" ht="13.5" thickTop="1">
      <c r="A6" s="439" t="s">
        <v>360</v>
      </c>
      <c r="B6" s="440">
        <f>'Bežné príjmy'!D110</f>
        <v>7125871</v>
      </c>
      <c r="C6" s="440">
        <f>'Bežné príjmy'!E110</f>
        <v>7561840</v>
      </c>
      <c r="D6" s="440">
        <f>'Bežné príjmy'!F110</f>
        <v>9082354</v>
      </c>
      <c r="E6" s="440">
        <f>'Bežné príjmy'!G110</f>
        <v>9080838</v>
      </c>
      <c r="F6" s="440">
        <f>'Bežné príjmy'!H110</f>
        <v>8537685</v>
      </c>
      <c r="G6" s="440">
        <f>'Bežné príjmy'!I110</f>
        <v>9096722</v>
      </c>
      <c r="H6" s="440">
        <f>'Bežné príjmy'!J110</f>
        <v>9201831</v>
      </c>
      <c r="I6" s="440">
        <f>'Bežné príjmy'!K110</f>
        <v>9722622</v>
      </c>
      <c r="J6" s="440">
        <f>'Bežné príjmy'!L110</f>
        <v>9640328.239999998</v>
      </c>
      <c r="K6" s="474">
        <f>'Bežné príjmy'!M110</f>
        <v>10178626.01</v>
      </c>
      <c r="L6" s="474">
        <f>'Bežné príjmy'!N110</f>
        <v>10784511.560000002</v>
      </c>
      <c r="M6" s="440">
        <f>'Bežné príjmy'!O110</f>
        <v>10638416</v>
      </c>
      <c r="N6" s="440">
        <f>'Bežné príjmy'!P110</f>
        <v>11234501</v>
      </c>
      <c r="O6" s="822">
        <f>'Bežné príjmy'!Q110</f>
        <v>4617</v>
      </c>
      <c r="P6" s="823"/>
      <c r="Q6" s="824"/>
      <c r="R6" s="441">
        <f>'Bežné príjmy'!R110</f>
        <v>11239118</v>
      </c>
      <c r="S6" s="2"/>
      <c r="T6" s="2"/>
      <c r="U6" s="2"/>
      <c r="W6" s="2"/>
    </row>
    <row r="7" spans="1:23" ht="13.5" thickBot="1">
      <c r="A7" s="442" t="s">
        <v>361</v>
      </c>
      <c r="B7" s="198">
        <f>'bežné výdavky'!D204</f>
        <v>5867125</v>
      </c>
      <c r="C7" s="198">
        <f>'bežné výdavky'!E204</f>
        <v>6460200</v>
      </c>
      <c r="D7" s="198">
        <f>'bežné výdavky'!F204</f>
        <v>7832271</v>
      </c>
      <c r="E7" s="198">
        <f>'bežné výdavky'!G204</f>
        <v>8716285.43</v>
      </c>
      <c r="F7" s="198">
        <f>'bežné výdavky'!H204</f>
        <v>9309387</v>
      </c>
      <c r="G7" s="198">
        <f>'bežné výdavky'!I204</f>
        <v>8743512.2</v>
      </c>
      <c r="H7" s="198">
        <f>'bežné výdavky'!J204</f>
        <v>8908071</v>
      </c>
      <c r="I7" s="198">
        <f>'bežné výdavky'!K204</f>
        <v>8934542</v>
      </c>
      <c r="J7" s="198">
        <f>'bežné výdavky'!L204</f>
        <v>9572545.38</v>
      </c>
      <c r="K7" s="199">
        <f>'bežné výdavky'!M204</f>
        <v>9554914.799999999</v>
      </c>
      <c r="L7" s="199">
        <f>'bežné výdavky'!N204</f>
        <v>9695081.340000002</v>
      </c>
      <c r="M7" s="198">
        <f>'bežné výdavky'!O204</f>
        <v>10142244</v>
      </c>
      <c r="N7" s="198">
        <f>'bežné výdavky'!P204</f>
        <v>10652920</v>
      </c>
      <c r="O7" s="198">
        <f>'bežné výdavky'!Q204</f>
        <v>33403</v>
      </c>
      <c r="P7" s="198">
        <f>'bežné výdavky'!R204</f>
        <v>0</v>
      </c>
      <c r="Q7" s="198"/>
      <c r="R7" s="443">
        <f>'bežné výdavky'!S204</f>
        <v>10686323</v>
      </c>
      <c r="S7" s="2"/>
      <c r="T7" s="2"/>
      <c r="U7" s="2"/>
      <c r="W7" s="2"/>
    </row>
    <row r="8" spans="1:21" ht="15.75" thickBot="1">
      <c r="A8" s="444" t="s">
        <v>362</v>
      </c>
      <c r="B8" s="445">
        <f aca="true" t="shared" si="0" ref="B8:K8">B6-B7</f>
        <v>1258746</v>
      </c>
      <c r="C8" s="445">
        <f t="shared" si="0"/>
        <v>1101640</v>
      </c>
      <c r="D8" s="445">
        <f t="shared" si="0"/>
        <v>1250083</v>
      </c>
      <c r="E8" s="445">
        <f t="shared" si="0"/>
        <v>364552.5700000003</v>
      </c>
      <c r="F8" s="445">
        <f t="shared" si="0"/>
        <v>-771702</v>
      </c>
      <c r="G8" s="445">
        <f t="shared" si="0"/>
        <v>353209.80000000075</v>
      </c>
      <c r="H8" s="445">
        <f t="shared" si="0"/>
        <v>293760</v>
      </c>
      <c r="I8" s="445">
        <f t="shared" si="0"/>
        <v>788080</v>
      </c>
      <c r="J8" s="446">
        <f t="shared" si="0"/>
        <v>67782.85999999754</v>
      </c>
      <c r="K8" s="446">
        <f t="shared" si="0"/>
        <v>623711.2100000009</v>
      </c>
      <c r="L8" s="446">
        <f>L6-L7</f>
        <v>1089430.2200000007</v>
      </c>
      <c r="M8" s="445">
        <f>M6-M7</f>
        <v>496172</v>
      </c>
      <c r="N8" s="445">
        <f>N6-N7</f>
        <v>581581</v>
      </c>
      <c r="O8" s="831">
        <f>O6-O7-P7</f>
        <v>-28786</v>
      </c>
      <c r="P8" s="832"/>
      <c r="Q8" s="833"/>
      <c r="R8" s="447">
        <f>R6-R7</f>
        <v>552795</v>
      </c>
      <c r="T8" s="2"/>
      <c r="U8" s="2"/>
    </row>
    <row r="9" spans="1:21" ht="14.25" thickBot="1" thickTop="1">
      <c r="A9" s="817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9"/>
      <c r="T9" s="2"/>
      <c r="U9" s="2"/>
    </row>
    <row r="10" spans="1:23" ht="13.5" thickTop="1">
      <c r="A10" s="439" t="s">
        <v>363</v>
      </c>
      <c r="B10" s="440">
        <f>'Kapitálové príjmy'!D54</f>
        <v>2113092</v>
      </c>
      <c r="C10" s="440">
        <f>'Kapitálové príjmy'!E54</f>
        <v>1017958</v>
      </c>
      <c r="D10" s="440">
        <f>'Kapitálové príjmy'!F54</f>
        <v>1245369</v>
      </c>
      <c r="E10" s="440">
        <f>'Kapitálové príjmy'!G54</f>
        <v>4391413</v>
      </c>
      <c r="F10" s="440">
        <f>'Kapitálové príjmy'!H54</f>
        <v>3456141</v>
      </c>
      <c r="G10" s="440">
        <f>'Kapitálové príjmy'!I54</f>
        <v>4649713</v>
      </c>
      <c r="H10" s="440">
        <f>'Kapitálové príjmy'!J54</f>
        <v>4502774.06</v>
      </c>
      <c r="I10" s="440">
        <f>'Kapitálové príjmy'!K54</f>
        <v>3678497</v>
      </c>
      <c r="J10" s="440">
        <f>'Kapitálové príjmy'!L54</f>
        <v>1218338.5899999999</v>
      </c>
      <c r="K10" s="474">
        <f>'Kapitálové príjmy'!M54</f>
        <v>752297.52</v>
      </c>
      <c r="L10" s="474">
        <f>'Kapitálové príjmy'!N54</f>
        <v>935536.18</v>
      </c>
      <c r="M10" s="440">
        <f>'Kapitálové príjmy'!O54</f>
        <v>1519663</v>
      </c>
      <c r="N10" s="440">
        <f>'Kapitálové príjmy'!P54</f>
        <v>1241596</v>
      </c>
      <c r="O10" s="822">
        <f>'Kapitálové príjmy'!Q54</f>
        <v>530570</v>
      </c>
      <c r="P10" s="823"/>
      <c r="Q10" s="824"/>
      <c r="R10" s="441">
        <f>'Kapitálové príjmy'!R54</f>
        <v>1772166</v>
      </c>
      <c r="T10" s="2"/>
      <c r="U10" s="2"/>
      <c r="V10" s="2"/>
      <c r="W10" s="2"/>
    </row>
    <row r="11" spans="1:23" ht="13.5" thickBot="1">
      <c r="A11" s="442" t="s">
        <v>364</v>
      </c>
      <c r="B11" s="198">
        <f>'Kapitálové výdavky'!D137</f>
        <v>2988050</v>
      </c>
      <c r="C11" s="198">
        <f>'Kapitálové výdavky'!E137</f>
        <v>1793069</v>
      </c>
      <c r="D11" s="198">
        <f>'Kapitálové výdavky'!F137</f>
        <v>2942409</v>
      </c>
      <c r="E11" s="198">
        <f>'Kapitálové výdavky'!G137</f>
        <v>4880528</v>
      </c>
      <c r="F11" s="198">
        <f>'Kapitálové výdavky'!H137</f>
        <v>5977301</v>
      </c>
      <c r="G11" s="198">
        <f>'Kapitálové výdavky'!I137</f>
        <v>5818483</v>
      </c>
      <c r="H11" s="198">
        <f>'Kapitálové výdavky'!J137</f>
        <v>4719096</v>
      </c>
      <c r="I11" s="198">
        <f>'Kapitálové výdavky'!K137</f>
        <v>3939694</v>
      </c>
      <c r="J11" s="198">
        <f>'Kapitálové výdavky'!L137</f>
        <v>1800938.79</v>
      </c>
      <c r="K11" s="199">
        <f>'Kapitálové výdavky'!M137</f>
        <v>2883605.860000001</v>
      </c>
      <c r="L11" s="199">
        <f>'Kapitálové výdavky'!N137</f>
        <v>1348818.6500000001</v>
      </c>
      <c r="M11" s="198">
        <f>'Kapitálové výdavky'!O137</f>
        <v>2822947</v>
      </c>
      <c r="N11" s="198">
        <f>'Kapitálové výdavky'!P137</f>
        <v>2089259</v>
      </c>
      <c r="O11" s="198">
        <f>'Kapitálové výdavky'!Q137</f>
        <v>-33403</v>
      </c>
      <c r="P11" s="198">
        <f>'Kapitálové výdavky'!R137</f>
        <v>763875</v>
      </c>
      <c r="Q11" s="198"/>
      <c r="R11" s="443">
        <f>'Kapitálové výdavky'!S137</f>
        <v>2819731</v>
      </c>
      <c r="T11" s="2"/>
      <c r="U11" s="2"/>
      <c r="V11" s="2"/>
      <c r="W11" s="2"/>
    </row>
    <row r="12" spans="1:24" ht="15.75" thickBot="1">
      <c r="A12" s="448" t="s">
        <v>365</v>
      </c>
      <c r="B12" s="449">
        <f aca="true" t="shared" si="1" ref="B12:K12">B10-B11</f>
        <v>-874958</v>
      </c>
      <c r="C12" s="449">
        <f t="shared" si="1"/>
        <v>-775111</v>
      </c>
      <c r="D12" s="449">
        <f t="shared" si="1"/>
        <v>-1697040</v>
      </c>
      <c r="E12" s="449">
        <f t="shared" si="1"/>
        <v>-489115</v>
      </c>
      <c r="F12" s="449">
        <f t="shared" si="1"/>
        <v>-2521160</v>
      </c>
      <c r="G12" s="449">
        <f t="shared" si="1"/>
        <v>-1168770</v>
      </c>
      <c r="H12" s="449">
        <f t="shared" si="1"/>
        <v>-216321.9400000004</v>
      </c>
      <c r="I12" s="449">
        <f t="shared" si="1"/>
        <v>-261197</v>
      </c>
      <c r="J12" s="450">
        <f t="shared" si="1"/>
        <v>-582600.2000000002</v>
      </c>
      <c r="K12" s="450">
        <f t="shared" si="1"/>
        <v>-2131308.340000001</v>
      </c>
      <c r="L12" s="450">
        <f>L10-L11</f>
        <v>-413282.4700000001</v>
      </c>
      <c r="M12" s="449">
        <f>M10-M11</f>
        <v>-1303284</v>
      </c>
      <c r="N12" s="449">
        <f>N10-N11</f>
        <v>-847663</v>
      </c>
      <c r="O12" s="828">
        <f>O10-O11-P11</f>
        <v>-199902</v>
      </c>
      <c r="P12" s="829"/>
      <c r="Q12" s="830"/>
      <c r="R12" s="451">
        <f>R10-R11</f>
        <v>-1047565</v>
      </c>
      <c r="T12" s="2"/>
      <c r="U12" s="2">
        <f>R12-'Finančné operácie - výdavky'!R6</f>
        <v>-1410873</v>
      </c>
      <c r="W12" s="2"/>
      <c r="X12" s="2"/>
    </row>
    <row r="13" spans="1:21" ht="14.25" thickBot="1" thickTop="1">
      <c r="A13" s="817"/>
      <c r="B13" s="818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9"/>
      <c r="T13" s="2"/>
      <c r="U13" s="2"/>
    </row>
    <row r="14" spans="1:23" ht="13.5" thickTop="1">
      <c r="A14" s="439" t="s">
        <v>366</v>
      </c>
      <c r="B14" s="440">
        <f>'Fin operácie - príjmy'!D17</f>
        <v>499436</v>
      </c>
      <c r="C14" s="440">
        <f>'Fin operácie - príjmy'!E17</f>
        <v>313085</v>
      </c>
      <c r="D14" s="440">
        <f>'Fin operácie - príjmy'!F17</f>
        <v>1640749</v>
      </c>
      <c r="E14" s="440">
        <f>'Fin operácie - príjmy'!G17</f>
        <v>2754938</v>
      </c>
      <c r="F14" s="440">
        <f>'Fin operácie - príjmy'!H17</f>
        <v>4479434</v>
      </c>
      <c r="G14" s="440">
        <f>'Fin operácie - príjmy'!I17</f>
        <v>2266668</v>
      </c>
      <c r="H14" s="440">
        <f>'Fin operácie - príjmy'!J17</f>
        <v>1305406</v>
      </c>
      <c r="I14" s="440">
        <f>'Fin operácie - príjmy'!K17</f>
        <v>1509534</v>
      </c>
      <c r="J14" s="440">
        <f>'Fin operácie - príjmy'!L17</f>
        <v>1300969.13</v>
      </c>
      <c r="K14" s="474">
        <f>'Fin operácie - príjmy'!M17</f>
        <v>2766561.36</v>
      </c>
      <c r="L14" s="474">
        <f>'Fin operácie - príjmy'!N17</f>
        <v>2492133.9299999997</v>
      </c>
      <c r="M14" s="440">
        <f>'Fin operácie - príjmy'!O17</f>
        <v>1569027</v>
      </c>
      <c r="N14" s="440">
        <f>'Fin operácie - príjmy'!P17</f>
        <v>731082</v>
      </c>
      <c r="O14" s="822">
        <f>'Fin operácie - príjmy'!Q17</f>
        <v>591996</v>
      </c>
      <c r="P14" s="823"/>
      <c r="Q14" s="824"/>
      <c r="R14" s="441">
        <f>'Fin operácie - príjmy'!R17</f>
        <v>1323078</v>
      </c>
      <c r="T14" s="2"/>
      <c r="U14" s="2"/>
      <c r="V14" s="2"/>
      <c r="W14" s="2"/>
    </row>
    <row r="15" spans="1:23" ht="13.5" thickBot="1">
      <c r="A15" s="442" t="s">
        <v>367</v>
      </c>
      <c r="B15" s="198">
        <f>'Finančné operácie - výdavky'!D12</f>
        <v>477793</v>
      </c>
      <c r="C15" s="198">
        <f>'Finančné operácie - výdavky'!E12</f>
        <v>470856</v>
      </c>
      <c r="D15" s="198">
        <f>'Finančné operácie - výdavky'!F12</f>
        <v>334085</v>
      </c>
      <c r="E15" s="198">
        <f>'Finančné operácie - výdavky'!G12</f>
        <v>1303204</v>
      </c>
      <c r="F15" s="198">
        <f>'Finančné operácie - výdavky'!H12</f>
        <v>978096</v>
      </c>
      <c r="G15" s="198">
        <f>'Finančné operácie - výdavky'!I12</f>
        <v>1356608</v>
      </c>
      <c r="H15" s="198">
        <f>'Finančné operácie - výdavky'!J12</f>
        <v>1191263</v>
      </c>
      <c r="I15" s="198">
        <f>'Finančné operácie - výdavky'!K12</f>
        <v>977990</v>
      </c>
      <c r="J15" s="198">
        <f>'Finančné operácie - výdavky'!L12</f>
        <v>439019.94999999995</v>
      </c>
      <c r="K15" s="199">
        <f>'Finančné operácie - výdavky'!M12</f>
        <v>540080.3</v>
      </c>
      <c r="L15" s="199">
        <f>'Finančné operácie - výdavky'!N12</f>
        <v>2548753.6599999997</v>
      </c>
      <c r="M15" s="198">
        <f>'Finančné operácie - výdavky'!O12</f>
        <v>414000</v>
      </c>
      <c r="N15" s="198">
        <f>'Finančné operácie - výdavky'!P12</f>
        <v>465000</v>
      </c>
      <c r="O15" s="198">
        <f>'Finančné operácie - výdavky'!Q12</f>
        <v>0</v>
      </c>
      <c r="P15" s="198"/>
      <c r="Q15" s="198">
        <f>'Finančné operácie - výdavky'!R12</f>
        <v>363308</v>
      </c>
      <c r="R15" s="443">
        <f>'Finančné operácie - výdavky'!S12</f>
        <v>828308</v>
      </c>
      <c r="T15" s="2"/>
      <c r="U15" s="2"/>
      <c r="V15" s="2"/>
      <c r="W15" s="2"/>
    </row>
    <row r="16" spans="1:22" ht="15.75" thickBot="1">
      <c r="A16" s="448" t="s">
        <v>258</v>
      </c>
      <c r="B16" s="449">
        <f aca="true" t="shared" si="2" ref="B16:K16">B14-B15</f>
        <v>21643</v>
      </c>
      <c r="C16" s="449">
        <f t="shared" si="2"/>
        <v>-157771</v>
      </c>
      <c r="D16" s="449">
        <f t="shared" si="2"/>
        <v>1306664</v>
      </c>
      <c r="E16" s="449">
        <f t="shared" si="2"/>
        <v>1451734</v>
      </c>
      <c r="F16" s="449">
        <f t="shared" si="2"/>
        <v>3501338</v>
      </c>
      <c r="G16" s="449">
        <f t="shared" si="2"/>
        <v>910060</v>
      </c>
      <c r="H16" s="449">
        <f t="shared" si="2"/>
        <v>114143</v>
      </c>
      <c r="I16" s="449">
        <f t="shared" si="2"/>
        <v>531544</v>
      </c>
      <c r="J16" s="450">
        <f t="shared" si="2"/>
        <v>861949.1799999999</v>
      </c>
      <c r="K16" s="450">
        <f t="shared" si="2"/>
        <v>2226481.0599999996</v>
      </c>
      <c r="L16" s="450">
        <f>L14-L15</f>
        <v>-56619.72999999998</v>
      </c>
      <c r="M16" s="449">
        <f>M14-M15</f>
        <v>1155027</v>
      </c>
      <c r="N16" s="449">
        <f>N14-N15</f>
        <v>266082</v>
      </c>
      <c r="O16" s="828">
        <f>O14-O15-Q15</f>
        <v>228688</v>
      </c>
      <c r="P16" s="829"/>
      <c r="Q16" s="830"/>
      <c r="R16" s="451">
        <f>R14-R15</f>
        <v>494770</v>
      </c>
      <c r="U16" s="2"/>
      <c r="V16" s="2"/>
    </row>
    <row r="17" spans="1:23" ht="14.25" thickBot="1" thickTop="1">
      <c r="A17" s="814"/>
      <c r="B17" s="815"/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15"/>
      <c r="R17" s="816"/>
      <c r="T17" s="2"/>
      <c r="V17" s="2"/>
      <c r="W17" s="2"/>
    </row>
    <row r="18" spans="1:23" ht="16.5" customHeight="1" thickTop="1">
      <c r="A18" s="808" t="s">
        <v>259</v>
      </c>
      <c r="B18" s="809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10"/>
      <c r="T18" s="2"/>
      <c r="U18" s="2"/>
      <c r="V18" s="2"/>
      <c r="W18" s="2"/>
    </row>
    <row r="19" spans="1:18" ht="13.5" thickBot="1">
      <c r="A19" s="811"/>
      <c r="B19" s="812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3"/>
    </row>
    <row r="20" spans="1:18" ht="17.25" thickBot="1" thickTop="1">
      <c r="A20" s="452" t="s">
        <v>260</v>
      </c>
      <c r="B20" s="453">
        <f aca="true" t="shared" si="3" ref="B20:J20">B8+B12+B16</f>
        <v>405431</v>
      </c>
      <c r="C20" s="453">
        <f t="shared" si="3"/>
        <v>168758</v>
      </c>
      <c r="D20" s="453">
        <f t="shared" si="3"/>
        <v>859707</v>
      </c>
      <c r="E20" s="453">
        <f t="shared" si="3"/>
        <v>1327171.5700000003</v>
      </c>
      <c r="F20" s="453">
        <f t="shared" si="3"/>
        <v>208476</v>
      </c>
      <c r="G20" s="453">
        <f t="shared" si="3"/>
        <v>94499.80000000075</v>
      </c>
      <c r="H20" s="453">
        <f t="shared" si="3"/>
        <v>191581.0599999996</v>
      </c>
      <c r="I20" s="453">
        <f t="shared" si="3"/>
        <v>1058427</v>
      </c>
      <c r="J20" s="454">
        <f t="shared" si="3"/>
        <v>347131.8399999973</v>
      </c>
      <c r="K20" s="454">
        <f>K8+K12+K16</f>
        <v>718883.9299999997</v>
      </c>
      <c r="L20" s="454">
        <f>L8+L12+L16</f>
        <v>619528.0200000006</v>
      </c>
      <c r="M20" s="453">
        <f>M8+M12+M16</f>
        <v>347915</v>
      </c>
      <c r="N20" s="486">
        <f>N16+N12+N8</f>
        <v>0</v>
      </c>
      <c r="O20" s="825">
        <f>O8+O12+O16</f>
        <v>0</v>
      </c>
      <c r="P20" s="826"/>
      <c r="Q20" s="827"/>
      <c r="R20" s="485">
        <f>R16+R12+R8</f>
        <v>0</v>
      </c>
    </row>
    <row r="21" ht="13.5" thickTop="1"/>
    <row r="22" ht="12.75">
      <c r="T22" s="2"/>
    </row>
    <row r="23" spans="13:17" ht="17.25" customHeight="1">
      <c r="M23" s="542"/>
      <c r="P23" s="542"/>
      <c r="Q23" s="2"/>
    </row>
    <row r="24" spans="1:20" ht="15.75" customHeight="1">
      <c r="A24" t="s">
        <v>491</v>
      </c>
      <c r="L24" s="2"/>
      <c r="M24" s="2"/>
      <c r="N24" s="2"/>
      <c r="O24" s="2"/>
      <c r="P24" s="542"/>
      <c r="Q24" s="542"/>
      <c r="S24" s="2"/>
      <c r="T24" s="2"/>
    </row>
    <row r="25" spans="1:17" ht="15.75">
      <c r="A25" t="s">
        <v>492</v>
      </c>
      <c r="L25" s="2"/>
      <c r="M25" s="2"/>
      <c r="N25" s="2"/>
      <c r="O25" s="2"/>
      <c r="P25" s="542"/>
      <c r="Q25" s="542"/>
    </row>
    <row r="26" spans="12:17" ht="15.75">
      <c r="L26" s="2"/>
      <c r="M26" s="2"/>
      <c r="N26" s="2"/>
      <c r="O26" s="2"/>
      <c r="P26" s="542"/>
      <c r="Q26" s="542"/>
    </row>
    <row r="27" spans="1:17" ht="12.75">
      <c r="A27" t="s">
        <v>493</v>
      </c>
      <c r="L27" s="2"/>
      <c r="Q27" s="2"/>
    </row>
    <row r="29" spans="14:17" ht="12.75">
      <c r="N29" s="656" t="s">
        <v>489</v>
      </c>
      <c r="Q29" s="2"/>
    </row>
    <row r="30" spans="11:17" ht="12.75">
      <c r="K30" s="2"/>
      <c r="L30" s="2"/>
      <c r="N30" s="656" t="s">
        <v>490</v>
      </c>
      <c r="Q30" s="2"/>
    </row>
    <row r="31" spans="11:16" ht="12.75">
      <c r="K31" s="2"/>
      <c r="L31" s="2"/>
      <c r="P31" s="2"/>
    </row>
    <row r="34" ht="12.75">
      <c r="J34" s="2"/>
    </row>
    <row r="69" ht="12.75">
      <c r="J69">
        <f>SUM(J55:J68)</f>
        <v>0</v>
      </c>
    </row>
    <row r="73" spans="1:10" ht="12.75">
      <c r="A73" s="533" t="s">
        <v>394</v>
      </c>
      <c r="J73">
        <v>12000</v>
      </c>
    </row>
    <row r="74" ht="12.75">
      <c r="J74">
        <v>5000</v>
      </c>
    </row>
    <row r="75" ht="12.75">
      <c r="J75">
        <v>5000</v>
      </c>
    </row>
    <row r="76" ht="12.75">
      <c r="J76">
        <v>7000</v>
      </c>
    </row>
    <row r="82" ht="12.75">
      <c r="J82">
        <f>SUM(J73:J81)</f>
        <v>29000</v>
      </c>
    </row>
  </sheetData>
  <sheetProtection/>
  <mergeCells count="29">
    <mergeCell ref="O20:Q20"/>
    <mergeCell ref="O16:Q16"/>
    <mergeCell ref="O12:Q12"/>
    <mergeCell ref="O8:Q8"/>
    <mergeCell ref="K3:K5"/>
    <mergeCell ref="M3:M5"/>
    <mergeCell ref="O3:Q3"/>
    <mergeCell ref="O4:Q4"/>
    <mergeCell ref="O6:Q6"/>
    <mergeCell ref="O10:Q10"/>
    <mergeCell ref="A18:R19"/>
    <mergeCell ref="A17:R17"/>
    <mergeCell ref="A9:R9"/>
    <mergeCell ref="A13:R13"/>
    <mergeCell ref="R3:R5"/>
    <mergeCell ref="L3:L5"/>
    <mergeCell ref="N3:N5"/>
    <mergeCell ref="E3:E5"/>
    <mergeCell ref="O14:Q14"/>
    <mergeCell ref="A1:R1"/>
    <mergeCell ref="I3:I5"/>
    <mergeCell ref="H3:H5"/>
    <mergeCell ref="A3:A5"/>
    <mergeCell ref="B3:B5"/>
    <mergeCell ref="D3:D5"/>
    <mergeCell ref="C3:C5"/>
    <mergeCell ref="J3:J5"/>
    <mergeCell ref="F3:F5"/>
    <mergeCell ref="G3:G5"/>
  </mergeCells>
  <printOptions/>
  <pageMargins left="0.35433070866141736" right="0.1968503937007874" top="0.3937007874015748" bottom="0.5905511811023623" header="0.31496062992125984" footer="0.5118110236220472"/>
  <pageSetup horizontalDpi="600" verticalDpi="600" orientation="landscape" paperSize="9" r:id="rId1"/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X142"/>
  <sheetViews>
    <sheetView zoomScalePageLayoutView="0" workbookViewId="0" topLeftCell="A7">
      <selection activeCell="P137" sqref="P137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40.421875" style="1" customWidth="1"/>
    <col min="4" max="11" width="9.140625" style="1" hidden="1" customWidth="1"/>
    <col min="12" max="21" width="12.28125" style="1" customWidth="1"/>
    <col min="22" max="16384" width="9.140625" style="1" customWidth="1"/>
  </cols>
  <sheetData>
    <row r="1" spans="1:21" ht="24.75" customHeight="1">
      <c r="A1" s="838" t="s">
        <v>450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</row>
    <row r="2" ht="0.75" customHeight="1" thickBot="1"/>
    <row r="3" spans="1:21" ht="13.5" customHeight="1" thickBot="1" thickTop="1">
      <c r="A3" s="851" t="s">
        <v>65</v>
      </c>
      <c r="B3" s="853" t="s">
        <v>110</v>
      </c>
      <c r="C3" s="855" t="s">
        <v>66</v>
      </c>
      <c r="D3" s="849" t="s">
        <v>210</v>
      </c>
      <c r="E3" s="849" t="s">
        <v>211</v>
      </c>
      <c r="F3" s="849" t="s">
        <v>212</v>
      </c>
      <c r="G3" s="849" t="s">
        <v>213</v>
      </c>
      <c r="H3" s="849" t="s">
        <v>214</v>
      </c>
      <c r="I3" s="849" t="s">
        <v>117</v>
      </c>
      <c r="J3" s="849" t="s">
        <v>118</v>
      </c>
      <c r="K3" s="849" t="s">
        <v>119</v>
      </c>
      <c r="L3" s="849" t="s">
        <v>473</v>
      </c>
      <c r="M3" s="841" t="s">
        <v>100</v>
      </c>
      <c r="N3" s="841"/>
      <c r="O3" s="841"/>
      <c r="P3" s="841"/>
      <c r="Q3" s="841"/>
      <c r="R3" s="841"/>
      <c r="S3" s="841"/>
      <c r="T3" s="841"/>
      <c r="U3" s="842" t="s">
        <v>76</v>
      </c>
    </row>
    <row r="4" spans="1:21" ht="41.25" customHeight="1" thickBot="1">
      <c r="A4" s="852"/>
      <c r="B4" s="854"/>
      <c r="C4" s="856"/>
      <c r="D4" s="850"/>
      <c r="E4" s="850"/>
      <c r="F4" s="850"/>
      <c r="G4" s="850"/>
      <c r="H4" s="850"/>
      <c r="I4" s="850"/>
      <c r="J4" s="850"/>
      <c r="K4" s="850"/>
      <c r="L4" s="850"/>
      <c r="M4" s="487" t="s">
        <v>101</v>
      </c>
      <c r="N4" s="541" t="s">
        <v>102</v>
      </c>
      <c r="O4" s="541" t="s">
        <v>103</v>
      </c>
      <c r="P4" s="541" t="s">
        <v>104</v>
      </c>
      <c r="Q4" s="541" t="s">
        <v>401</v>
      </c>
      <c r="R4" s="541" t="s">
        <v>105</v>
      </c>
      <c r="S4" s="541" t="s">
        <v>464</v>
      </c>
      <c r="T4" s="541" t="s">
        <v>106</v>
      </c>
      <c r="U4" s="843"/>
    </row>
    <row r="5" spans="1:21" ht="16.5" thickBot="1" thickTop="1">
      <c r="A5" s="494" t="s">
        <v>289</v>
      </c>
      <c r="B5" s="847" t="str">
        <f>'Kapitálové výdavky'!B4:C4</f>
        <v>Verejná správa</v>
      </c>
      <c r="C5" s="847"/>
      <c r="D5" s="354">
        <v>372735</v>
      </c>
      <c r="E5" s="354">
        <v>64629</v>
      </c>
      <c r="F5" s="354">
        <v>39833</v>
      </c>
      <c r="G5" s="354">
        <v>3383</v>
      </c>
      <c r="H5" s="354"/>
      <c r="I5" s="355">
        <v>18260</v>
      </c>
      <c r="J5" s="355">
        <v>0</v>
      </c>
      <c r="K5" s="355">
        <v>0</v>
      </c>
      <c r="L5" s="488">
        <f>L6+L7+L8</f>
        <v>31000</v>
      </c>
      <c r="M5" s="488">
        <f>M6+M7+M8</f>
        <v>31000</v>
      </c>
      <c r="N5" s="488">
        <f aca="true" t="shared" si="0" ref="N5:S5">N6+N7</f>
        <v>0</v>
      </c>
      <c r="O5" s="488">
        <f t="shared" si="0"/>
        <v>0</v>
      </c>
      <c r="P5" s="488">
        <f t="shared" si="0"/>
        <v>0</v>
      </c>
      <c r="Q5" s="488">
        <f t="shared" si="0"/>
        <v>0</v>
      </c>
      <c r="R5" s="488">
        <f t="shared" si="0"/>
        <v>0</v>
      </c>
      <c r="S5" s="488">
        <f t="shared" si="0"/>
        <v>0</v>
      </c>
      <c r="T5" s="488">
        <f>T6+T7</f>
        <v>0</v>
      </c>
      <c r="U5" s="495">
        <f>U6+U7+U8</f>
        <v>31000</v>
      </c>
    </row>
    <row r="6" spans="1:21" ht="12.75" hidden="1">
      <c r="A6" s="715"/>
      <c r="B6" s="772"/>
      <c r="C6" s="72" t="str">
        <f>'Kapitálové výdavky'!C5</f>
        <v>auto</v>
      </c>
      <c r="D6" s="22"/>
      <c r="E6" s="22"/>
      <c r="F6" s="22"/>
      <c r="G6" s="22"/>
      <c r="H6" s="56"/>
      <c r="I6" s="56"/>
      <c r="J6" s="56"/>
      <c r="K6" s="22"/>
      <c r="L6" s="57">
        <f>'Kapitálové výdavky'!P5</f>
        <v>0</v>
      </c>
      <c r="M6" s="57"/>
      <c r="N6" s="57"/>
      <c r="O6" s="57"/>
      <c r="P6" s="57"/>
      <c r="Q6" s="57"/>
      <c r="R6" s="57"/>
      <c r="S6" s="57"/>
      <c r="T6" s="57"/>
      <c r="U6" s="23">
        <f>SUM(M6:T6)</f>
        <v>0</v>
      </c>
    </row>
    <row r="7" spans="1:21" ht="12.75">
      <c r="A7" s="718"/>
      <c r="B7" s="773"/>
      <c r="C7" s="72" t="str">
        <f>'Kapitálové výdavky'!C6</f>
        <v>Software</v>
      </c>
      <c r="D7" s="22"/>
      <c r="E7" s="22"/>
      <c r="F7" s="22"/>
      <c r="G7" s="22"/>
      <c r="H7" s="56"/>
      <c r="I7" s="56"/>
      <c r="J7" s="56"/>
      <c r="K7" s="22"/>
      <c r="L7" s="57">
        <f>'Kapitálové výdavky'!P6</f>
        <v>6000</v>
      </c>
      <c r="M7" s="57">
        <v>6000</v>
      </c>
      <c r="N7" s="57"/>
      <c r="O7" s="57"/>
      <c r="P7" s="57"/>
      <c r="Q7" s="57"/>
      <c r="R7" s="57"/>
      <c r="S7" s="57"/>
      <c r="T7" s="57"/>
      <c r="U7" s="23">
        <f>SUM(M7:T7)</f>
        <v>6000</v>
      </c>
    </row>
    <row r="8" spans="1:21" ht="13.5" thickBot="1">
      <c r="A8" s="716"/>
      <c r="B8" s="599"/>
      <c r="C8" s="72" t="str">
        <f>'Kapitálové výdavky'!C7</f>
        <v>server</v>
      </c>
      <c r="D8" s="70"/>
      <c r="E8" s="70"/>
      <c r="F8" s="70"/>
      <c r="G8" s="70"/>
      <c r="H8" s="69"/>
      <c r="I8" s="69"/>
      <c r="J8" s="69"/>
      <c r="K8" s="70"/>
      <c r="L8" s="57">
        <f>'Kapitálové výdavky'!P7</f>
        <v>25000</v>
      </c>
      <c r="M8" s="243">
        <v>25000</v>
      </c>
      <c r="N8" s="243"/>
      <c r="O8" s="243"/>
      <c r="P8" s="243"/>
      <c r="Q8" s="243"/>
      <c r="R8" s="243"/>
      <c r="S8" s="243"/>
      <c r="T8" s="243"/>
      <c r="U8" s="23">
        <f>SUM(M8:T8)</f>
        <v>25000</v>
      </c>
    </row>
    <row r="9" spans="1:24" ht="15.75" thickBot="1">
      <c r="A9" s="492" t="s">
        <v>89</v>
      </c>
      <c r="B9" s="844" t="str">
        <f>'Kapitálové výdavky'!B9:C9</f>
        <v>Policajné služby</v>
      </c>
      <c r="C9" s="844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8">
        <v>3031</v>
      </c>
      <c r="J9" s="138">
        <v>0</v>
      </c>
      <c r="K9" s="67">
        <f>SUM(K10:K11)</f>
        <v>10398</v>
      </c>
      <c r="L9" s="489">
        <f>SUM(L10:L11)</f>
        <v>12500</v>
      </c>
      <c r="M9" s="489">
        <f aca="true" t="shared" si="1" ref="M9:U9">SUM(M10:M11)</f>
        <v>0</v>
      </c>
      <c r="N9" s="489">
        <f t="shared" si="1"/>
        <v>0</v>
      </c>
      <c r="O9" s="489">
        <f>SUM(O10:O11)</f>
        <v>0</v>
      </c>
      <c r="P9" s="489">
        <f t="shared" si="1"/>
        <v>0</v>
      </c>
      <c r="Q9" s="489">
        <f t="shared" si="1"/>
        <v>10000</v>
      </c>
      <c r="R9" s="489">
        <f t="shared" si="1"/>
        <v>0</v>
      </c>
      <c r="S9" s="489">
        <f>SUM(S10:S11)</f>
        <v>2500</v>
      </c>
      <c r="T9" s="489">
        <f t="shared" si="1"/>
        <v>0</v>
      </c>
      <c r="U9" s="496">
        <f t="shared" si="1"/>
        <v>12500</v>
      </c>
      <c r="W9" s="567"/>
      <c r="X9" s="567"/>
    </row>
    <row r="10" spans="1:24" ht="13.5" thickBot="1">
      <c r="A10" s="715"/>
      <c r="B10" s="772"/>
      <c r="C10" s="72" t="str">
        <f>'Kapitálové výdavky'!C10</f>
        <v>kamerový systém</v>
      </c>
      <c r="D10" s="94"/>
      <c r="E10" s="94"/>
      <c r="F10" s="94"/>
      <c r="G10" s="94"/>
      <c r="H10" s="55"/>
      <c r="I10" s="55"/>
      <c r="J10" s="55"/>
      <c r="K10" s="94">
        <v>10398</v>
      </c>
      <c r="L10" s="42">
        <v>12500</v>
      </c>
      <c r="M10" s="42"/>
      <c r="N10" s="42"/>
      <c r="O10" s="42"/>
      <c r="P10" s="42"/>
      <c r="Q10" s="42">
        <v>10000</v>
      </c>
      <c r="R10" s="42"/>
      <c r="S10" s="42">
        <v>2500</v>
      </c>
      <c r="T10" s="42"/>
      <c r="U10" s="95">
        <f>SUM(M10:T10)</f>
        <v>12500</v>
      </c>
      <c r="X10" s="567"/>
    </row>
    <row r="11" spans="1:21" ht="13.5" hidden="1" thickBot="1">
      <c r="A11" s="716"/>
      <c r="B11" s="773"/>
      <c r="C11" s="146" t="str">
        <f>'Kapitálové výdavky'!C11</f>
        <v>auto</v>
      </c>
      <c r="D11" s="70"/>
      <c r="E11" s="70"/>
      <c r="F11" s="70"/>
      <c r="G11" s="70"/>
      <c r="H11" s="69"/>
      <c r="I11" s="69"/>
      <c r="J11" s="69"/>
      <c r="K11" s="70"/>
      <c r="L11" s="57">
        <f>'Kapitálové výdavky'!P11</f>
        <v>0</v>
      </c>
      <c r="M11" s="57"/>
      <c r="N11" s="57"/>
      <c r="O11" s="57"/>
      <c r="P11" s="57"/>
      <c r="Q11" s="57"/>
      <c r="R11" s="57"/>
      <c r="S11" s="57"/>
      <c r="T11" s="57"/>
      <c r="U11" s="23">
        <f>SUM(M11:T11)</f>
        <v>0</v>
      </c>
    </row>
    <row r="12" spans="1:24" ht="15.75" thickBot="1">
      <c r="A12" s="492" t="s">
        <v>84</v>
      </c>
      <c r="B12" s="844" t="str">
        <f>'Kapitálové výdavky'!B12:C12</f>
        <v>Výstavba</v>
      </c>
      <c r="C12" s="844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8">
        <v>495900</v>
      </c>
      <c r="J12" s="235">
        <v>421522</v>
      </c>
      <c r="K12" s="67">
        <f aca="true" t="shared" si="2" ref="K12:U12">SUM(K13:K29)</f>
        <v>1310483</v>
      </c>
      <c r="L12" s="489">
        <f>SUM(L13:L29)</f>
        <v>1144017</v>
      </c>
      <c r="M12" s="489">
        <f t="shared" si="2"/>
        <v>43811</v>
      </c>
      <c r="N12" s="489">
        <f t="shared" si="2"/>
        <v>0</v>
      </c>
      <c r="O12" s="489">
        <f t="shared" si="2"/>
        <v>0</v>
      </c>
      <c r="P12" s="489">
        <f t="shared" si="2"/>
        <v>500000</v>
      </c>
      <c r="Q12" s="489">
        <f t="shared" si="2"/>
        <v>537586</v>
      </c>
      <c r="R12" s="489">
        <f t="shared" si="2"/>
        <v>0</v>
      </c>
      <c r="S12" s="489">
        <f t="shared" si="2"/>
        <v>62620</v>
      </c>
      <c r="T12" s="489">
        <f t="shared" si="2"/>
        <v>0</v>
      </c>
      <c r="U12" s="496">
        <f t="shared" si="2"/>
        <v>1144017</v>
      </c>
      <c r="X12" s="567"/>
    </row>
    <row r="13" spans="1:24" ht="12.75">
      <c r="A13" s="718"/>
      <c r="B13" s="778"/>
      <c r="C13" s="72" t="str">
        <f>'Kapitálové výdavky'!C13</f>
        <v>Projektová dokumentácia</v>
      </c>
      <c r="D13" s="22"/>
      <c r="E13" s="22"/>
      <c r="F13" s="22"/>
      <c r="G13" s="22"/>
      <c r="H13" s="56"/>
      <c r="I13" s="56"/>
      <c r="J13" s="22"/>
      <c r="K13" s="22">
        <v>47371</v>
      </c>
      <c r="L13" s="57">
        <v>28620</v>
      </c>
      <c r="M13" s="57">
        <v>10000</v>
      </c>
      <c r="N13" s="57"/>
      <c r="O13" s="57"/>
      <c r="P13" s="57"/>
      <c r="Q13" s="57"/>
      <c r="R13" s="57"/>
      <c r="S13" s="57">
        <v>18620</v>
      </c>
      <c r="T13" s="57"/>
      <c r="U13" s="23">
        <f aca="true" t="shared" si="3" ref="U13:U29">SUM(M13:T13)</f>
        <v>28620</v>
      </c>
      <c r="X13" s="567"/>
    </row>
    <row r="14" spans="1:24" ht="12.75">
      <c r="A14" s="718"/>
      <c r="B14" s="778"/>
      <c r="C14" s="72" t="s">
        <v>371</v>
      </c>
      <c r="D14" s="22"/>
      <c r="E14" s="22"/>
      <c r="F14" s="22"/>
      <c r="G14" s="22"/>
      <c r="H14" s="56"/>
      <c r="I14" s="56"/>
      <c r="J14" s="22"/>
      <c r="K14" s="22"/>
      <c r="L14" s="57">
        <v>354815</v>
      </c>
      <c r="M14" s="57"/>
      <c r="N14" s="57"/>
      <c r="O14" s="57"/>
      <c r="P14" s="57"/>
      <c r="Q14" s="57">
        <v>343815</v>
      </c>
      <c r="R14" s="57"/>
      <c r="S14" s="57">
        <v>11000</v>
      </c>
      <c r="T14" s="57"/>
      <c r="U14" s="23">
        <f t="shared" si="3"/>
        <v>354815</v>
      </c>
      <c r="X14" s="567"/>
    </row>
    <row r="15" spans="1:24" ht="12.75" customHeight="1">
      <c r="A15" s="718"/>
      <c r="B15" s="778"/>
      <c r="C15" s="72" t="s">
        <v>487</v>
      </c>
      <c r="D15" s="26"/>
      <c r="E15" s="26"/>
      <c r="F15" s="26"/>
      <c r="G15" s="26"/>
      <c r="H15" s="58"/>
      <c r="I15" s="58"/>
      <c r="J15" s="26"/>
      <c r="K15" s="26"/>
      <c r="L15" s="57">
        <v>5000</v>
      </c>
      <c r="M15" s="57"/>
      <c r="N15" s="57"/>
      <c r="O15" s="57"/>
      <c r="P15" s="57"/>
      <c r="Q15" s="57"/>
      <c r="R15" s="57"/>
      <c r="S15" s="57">
        <v>5000</v>
      </c>
      <c r="T15" s="57"/>
      <c r="U15" s="23">
        <f t="shared" si="3"/>
        <v>5000</v>
      </c>
      <c r="X15" s="567"/>
    </row>
    <row r="16" spans="1:24" ht="12.75">
      <c r="A16" s="718"/>
      <c r="B16" s="778"/>
      <c r="C16" s="72" t="str">
        <f>'Kapitálové výdavky'!C16</f>
        <v>Na  obnovu kult. Pamiatok</v>
      </c>
      <c r="D16" s="30"/>
      <c r="E16" s="30"/>
      <c r="F16" s="30"/>
      <c r="G16" s="30"/>
      <c r="H16" s="66"/>
      <c r="I16" s="66"/>
      <c r="J16" s="30"/>
      <c r="K16" s="30"/>
      <c r="L16" s="57">
        <v>500000</v>
      </c>
      <c r="M16" s="57"/>
      <c r="N16" s="57"/>
      <c r="O16" s="57"/>
      <c r="P16" s="57">
        <v>500000</v>
      </c>
      <c r="Q16" s="57"/>
      <c r="R16" s="57"/>
      <c r="S16" s="57"/>
      <c r="T16" s="57"/>
      <c r="U16" s="23">
        <f t="shared" si="3"/>
        <v>500000</v>
      </c>
      <c r="X16" s="567"/>
    </row>
    <row r="17" spans="1:24" ht="12.75">
      <c r="A17" s="718"/>
      <c r="B17" s="778"/>
      <c r="C17" s="72" t="str">
        <f>'Kapitálové výdavky'!C17</f>
        <v>Košická ul. Č. 26</v>
      </c>
      <c r="D17" s="30"/>
      <c r="E17" s="30"/>
      <c r="F17" s="30"/>
      <c r="G17" s="30"/>
      <c r="H17" s="66"/>
      <c r="I17" s="66"/>
      <c r="J17" s="30"/>
      <c r="K17" s="30">
        <v>282056</v>
      </c>
      <c r="L17" s="57">
        <v>167381</v>
      </c>
      <c r="M17" s="57">
        <f>15981-6371</f>
        <v>9610</v>
      </c>
      <c r="N17" s="57"/>
      <c r="O17" s="57"/>
      <c r="P17" s="57"/>
      <c r="Q17" s="57">
        <v>157771</v>
      </c>
      <c r="R17" s="57"/>
      <c r="S17" s="57"/>
      <c r="T17" s="57"/>
      <c r="U17" s="23">
        <f>SUM(M17:T17)</f>
        <v>167381</v>
      </c>
      <c r="X17" s="567"/>
    </row>
    <row r="18" spans="1:24" ht="12.75">
      <c r="A18" s="718"/>
      <c r="B18" s="778"/>
      <c r="C18" s="72" t="str">
        <f>'Kapitálové výdavky'!C18</f>
        <v>Košická ul. Č. 26 II. Etapa</v>
      </c>
      <c r="D18" s="26"/>
      <c r="E18" s="26"/>
      <c r="F18" s="26"/>
      <c r="G18" s="26"/>
      <c r="H18" s="58"/>
      <c r="I18" s="58"/>
      <c r="J18" s="26"/>
      <c r="K18" s="26">
        <v>881052</v>
      </c>
      <c r="L18" s="57">
        <v>28000</v>
      </c>
      <c r="M18" s="57"/>
      <c r="N18" s="57"/>
      <c r="O18" s="57"/>
      <c r="P18" s="57"/>
      <c r="Q18" s="57"/>
      <c r="R18" s="57"/>
      <c r="S18" s="57">
        <v>28000</v>
      </c>
      <c r="T18" s="57"/>
      <c r="U18" s="23">
        <f>SUM(M18:T18)</f>
        <v>28000</v>
      </c>
      <c r="W18" s="567"/>
      <c r="X18" s="567"/>
    </row>
    <row r="19" spans="1:24" ht="12.75" hidden="1">
      <c r="A19" s="718"/>
      <c r="B19" s="778"/>
      <c r="C19" s="72" t="str">
        <f>'Kapitálové výdavky'!C19</f>
        <v>Kostol sv. Jakuba - veža</v>
      </c>
      <c r="D19" s="26"/>
      <c r="E19" s="26"/>
      <c r="F19" s="26"/>
      <c r="G19" s="26"/>
      <c r="H19" s="58"/>
      <c r="I19" s="58"/>
      <c r="J19" s="26"/>
      <c r="K19" s="26">
        <v>100004</v>
      </c>
      <c r="L19" s="57">
        <v>0</v>
      </c>
      <c r="M19" s="57"/>
      <c r="N19" s="57"/>
      <c r="O19" s="57"/>
      <c r="P19" s="57"/>
      <c r="Q19" s="57"/>
      <c r="R19" s="57"/>
      <c r="S19" s="57"/>
      <c r="T19" s="57"/>
      <c r="U19" s="23">
        <f t="shared" si="3"/>
        <v>0</v>
      </c>
      <c r="X19" s="567"/>
    </row>
    <row r="20" spans="1:24" ht="12.75" hidden="1">
      <c r="A20" s="718"/>
      <c r="B20" s="778"/>
      <c r="C20" s="72" t="str">
        <f>'Kapitálové výdavky'!C20</f>
        <v>rekonštrukcia chodníka veža baziliky </v>
      </c>
      <c r="D20" s="26"/>
      <c r="E20" s="26"/>
      <c r="F20" s="26"/>
      <c r="G20" s="26"/>
      <c r="H20" s="58"/>
      <c r="I20" s="58"/>
      <c r="J20" s="26"/>
      <c r="K20" s="26">
        <v>0</v>
      </c>
      <c r="L20" s="57">
        <v>0</v>
      </c>
      <c r="M20" s="57"/>
      <c r="N20" s="57"/>
      <c r="O20" s="57"/>
      <c r="P20" s="57"/>
      <c r="Q20" s="57"/>
      <c r="R20" s="57"/>
      <c r="S20" s="57"/>
      <c r="T20" s="57"/>
      <c r="U20" s="23">
        <f t="shared" si="3"/>
        <v>0</v>
      </c>
      <c r="X20" s="567"/>
    </row>
    <row r="21" spans="1:24" ht="12.75" hidden="1">
      <c r="A21" s="718"/>
      <c r="B21" s="778"/>
      <c r="C21" s="72" t="str">
        <f>'Kapitálové výdavky'!C21</f>
        <v>NMP č.4</v>
      </c>
      <c r="D21" s="26"/>
      <c r="E21" s="26"/>
      <c r="F21" s="26"/>
      <c r="G21" s="26"/>
      <c r="H21" s="58"/>
      <c r="I21" s="58"/>
      <c r="J21" s="26"/>
      <c r="K21" s="26"/>
      <c r="L21" s="57">
        <v>0</v>
      </c>
      <c r="M21" s="57"/>
      <c r="N21" s="57"/>
      <c r="O21" s="57"/>
      <c r="P21" s="57"/>
      <c r="Q21" s="57"/>
      <c r="R21" s="57"/>
      <c r="S21" s="57"/>
      <c r="T21" s="57"/>
      <c r="U21" s="23">
        <f t="shared" si="3"/>
        <v>0</v>
      </c>
      <c r="X21" s="567"/>
    </row>
    <row r="22" spans="1:24" ht="12.75" hidden="1">
      <c r="A22" s="718"/>
      <c r="B22" s="778"/>
      <c r="C22" s="72" t="str">
        <f>'Kapitálové výdavky'!C22</f>
        <v>PD Košická ulica č. 26 </v>
      </c>
      <c r="D22" s="26"/>
      <c r="E22" s="26"/>
      <c r="F22" s="26"/>
      <c r="G22" s="26"/>
      <c r="H22" s="58"/>
      <c r="I22" s="58"/>
      <c r="J22" s="26"/>
      <c r="K22" s="26"/>
      <c r="L22" s="57">
        <v>0</v>
      </c>
      <c r="M22" s="57"/>
      <c r="N22" s="57"/>
      <c r="O22" s="57"/>
      <c r="P22" s="57"/>
      <c r="Q22" s="57"/>
      <c r="R22" s="57"/>
      <c r="S22" s="57"/>
      <c r="T22" s="57"/>
      <c r="U22" s="23">
        <f t="shared" si="3"/>
        <v>0</v>
      </c>
      <c r="X22" s="567"/>
    </row>
    <row r="23" spans="1:24" ht="13.5" thickBot="1">
      <c r="A23" s="718"/>
      <c r="B23" s="778"/>
      <c r="C23" s="72" t="str">
        <f>'Kapitálové výdavky'!C23</f>
        <v>Kostol sv. Jakuba - veža</v>
      </c>
      <c r="D23" s="26"/>
      <c r="E23" s="26"/>
      <c r="F23" s="26"/>
      <c r="G23" s="26"/>
      <c r="H23" s="58"/>
      <c r="I23" s="58"/>
      <c r="J23" s="26"/>
      <c r="K23" s="26"/>
      <c r="L23" s="26">
        <v>60201</v>
      </c>
      <c r="M23" s="26">
        <v>24201</v>
      </c>
      <c r="N23" s="26"/>
      <c r="O23" s="26"/>
      <c r="P23" s="26"/>
      <c r="Q23" s="26">
        <v>36000</v>
      </c>
      <c r="R23" s="26"/>
      <c r="S23" s="26"/>
      <c r="T23" s="26"/>
      <c r="U23" s="27">
        <f t="shared" si="3"/>
        <v>60201</v>
      </c>
      <c r="X23" s="567"/>
    </row>
    <row r="24" spans="1:24" ht="13.5" hidden="1" thickBot="1">
      <c r="A24" s="718"/>
      <c r="B24" s="778"/>
      <c r="C24" s="72"/>
      <c r="D24" s="26"/>
      <c r="E24" s="26"/>
      <c r="F24" s="26"/>
      <c r="G24" s="26"/>
      <c r="H24" s="58"/>
      <c r="I24" s="58"/>
      <c r="J24" s="26"/>
      <c r="K24" s="26"/>
      <c r="L24" s="44"/>
      <c r="M24" s="44"/>
      <c r="N24" s="44"/>
      <c r="O24" s="44"/>
      <c r="P24" s="44"/>
      <c r="Q24" s="44"/>
      <c r="R24" s="44"/>
      <c r="S24" s="44"/>
      <c r="T24" s="44"/>
      <c r="U24" s="27">
        <f t="shared" si="3"/>
        <v>0</v>
      </c>
      <c r="X24" s="567"/>
    </row>
    <row r="25" spans="1:24" ht="13.5" hidden="1" thickBot="1">
      <c r="A25" s="718"/>
      <c r="B25" s="778"/>
      <c r="C25" s="72" t="str">
        <f>'Kapitálové výdavky'!C24</f>
        <v>Klietka hamby</v>
      </c>
      <c r="D25" s="26"/>
      <c r="E25" s="26"/>
      <c r="F25" s="26"/>
      <c r="G25" s="26"/>
      <c r="H25" s="58"/>
      <c r="I25" s="58"/>
      <c r="J25" s="26"/>
      <c r="K25" s="26"/>
      <c r="L25" s="44">
        <f>'Kapitálové výdavky'!P24</f>
        <v>0</v>
      </c>
      <c r="M25" s="44"/>
      <c r="N25" s="44"/>
      <c r="O25" s="44"/>
      <c r="P25" s="44"/>
      <c r="Q25" s="44"/>
      <c r="R25" s="44"/>
      <c r="S25" s="44"/>
      <c r="T25" s="44"/>
      <c r="U25" s="27">
        <f t="shared" si="3"/>
        <v>0</v>
      </c>
      <c r="X25" s="567"/>
    </row>
    <row r="26" spans="1:24" ht="13.5" hidden="1" thickBot="1">
      <c r="A26" s="718"/>
      <c r="B26" s="778"/>
      <c r="C26" s="72" t="str">
        <f>'Kapitálové výdavky'!C25</f>
        <v>Fontána dobročinnosti</v>
      </c>
      <c r="D26" s="26"/>
      <c r="E26" s="26"/>
      <c r="F26" s="26"/>
      <c r="G26" s="26"/>
      <c r="H26" s="58"/>
      <c r="I26" s="58"/>
      <c r="J26" s="26"/>
      <c r="K26" s="26"/>
      <c r="L26" s="44">
        <f>'Kapitálové výdavky'!P25</f>
        <v>0</v>
      </c>
      <c r="M26" s="44"/>
      <c r="N26" s="44"/>
      <c r="O26" s="44"/>
      <c r="P26" s="44"/>
      <c r="Q26" s="44"/>
      <c r="R26" s="44"/>
      <c r="S26" s="44"/>
      <c r="T26" s="44"/>
      <c r="U26" s="27">
        <f t="shared" si="3"/>
        <v>0</v>
      </c>
      <c r="X26" s="567"/>
    </row>
    <row r="27" spans="1:24" ht="13.5" hidden="1" thickBot="1">
      <c r="A27" s="718"/>
      <c r="B27" s="778"/>
      <c r="C27" s="72" t="str">
        <f>'Kapitálové výdavky'!C26</f>
        <v>Fasáda NMP 50</v>
      </c>
      <c r="D27" s="26"/>
      <c r="E27" s="26"/>
      <c r="F27" s="26"/>
      <c r="G27" s="26"/>
      <c r="H27" s="58"/>
      <c r="I27" s="58"/>
      <c r="J27" s="26"/>
      <c r="K27" s="26"/>
      <c r="L27" s="44">
        <f>'Kapitálové výdavky'!P26</f>
        <v>0</v>
      </c>
      <c r="M27" s="44"/>
      <c r="N27" s="44"/>
      <c r="O27" s="44"/>
      <c r="P27" s="44"/>
      <c r="Q27" s="44"/>
      <c r="R27" s="44"/>
      <c r="S27" s="44"/>
      <c r="T27" s="44"/>
      <c r="U27" s="27">
        <f t="shared" si="3"/>
        <v>0</v>
      </c>
      <c r="W27" s="567"/>
      <c r="X27" s="567"/>
    </row>
    <row r="28" spans="1:24" ht="13.5" hidden="1" thickBot="1">
      <c r="A28" s="718"/>
      <c r="B28" s="778"/>
      <c r="C28" s="72" t="str">
        <f>'Kapitálové výdavky'!C27</f>
        <v>Hradby</v>
      </c>
      <c r="D28" s="26"/>
      <c r="E28" s="26"/>
      <c r="F28" s="26"/>
      <c r="G28" s="26"/>
      <c r="H28" s="58"/>
      <c r="I28" s="58"/>
      <c r="J28" s="26"/>
      <c r="K28" s="26"/>
      <c r="L28" s="44">
        <f>'Kapitálové výdavky'!P27</f>
        <v>0</v>
      </c>
      <c r="M28" s="44"/>
      <c r="N28" s="44"/>
      <c r="O28" s="44"/>
      <c r="P28" s="44"/>
      <c r="Q28" s="44"/>
      <c r="R28" s="44"/>
      <c r="S28" s="44"/>
      <c r="T28" s="44"/>
      <c r="U28" s="27">
        <f t="shared" si="3"/>
        <v>0</v>
      </c>
      <c r="X28" s="567"/>
    </row>
    <row r="29" spans="1:24" ht="13.5" hidden="1" thickBot="1">
      <c r="A29" s="718"/>
      <c r="B29" s="778"/>
      <c r="C29" s="72" t="str">
        <f>'Kapitálové výdavky'!C28</f>
        <v>Radnica a Zvonica NMP 2</v>
      </c>
      <c r="D29" s="26"/>
      <c r="E29" s="26"/>
      <c r="F29" s="26"/>
      <c r="G29" s="26"/>
      <c r="H29" s="58"/>
      <c r="I29" s="58"/>
      <c r="J29" s="26"/>
      <c r="K29" s="26"/>
      <c r="L29" s="44">
        <f>'Kapitálové výdavky'!P28</f>
        <v>0</v>
      </c>
      <c r="M29" s="44"/>
      <c r="N29" s="44"/>
      <c r="O29" s="44"/>
      <c r="P29" s="44"/>
      <c r="Q29" s="44"/>
      <c r="R29" s="44"/>
      <c r="S29" s="44"/>
      <c r="T29" s="44"/>
      <c r="U29" s="27">
        <f t="shared" si="3"/>
        <v>0</v>
      </c>
      <c r="X29" s="567"/>
    </row>
    <row r="30" spans="1:24" ht="15.75" thickBot="1">
      <c r="A30" s="491" t="s">
        <v>254</v>
      </c>
      <c r="B30" s="844" t="str">
        <f>'Kapitálové výdavky'!B29:C29</f>
        <v>Doprava-výstavba a oprava ciest</v>
      </c>
      <c r="C30" s="844"/>
      <c r="D30" s="235">
        <v>154053</v>
      </c>
      <c r="E30" s="235">
        <v>194317</v>
      </c>
      <c r="F30" s="235">
        <v>340238</v>
      </c>
      <c r="G30" s="235">
        <v>484191</v>
      </c>
      <c r="H30" s="235">
        <v>181309</v>
      </c>
      <c r="I30" s="138">
        <v>33695</v>
      </c>
      <c r="J30" s="235">
        <v>79908</v>
      </c>
      <c r="K30" s="67">
        <f aca="true" t="shared" si="4" ref="K30:U30">SUM(K31:K51)</f>
        <v>0</v>
      </c>
      <c r="L30" s="489">
        <f t="shared" si="4"/>
        <v>441448</v>
      </c>
      <c r="M30" s="489">
        <f t="shared" si="4"/>
        <v>4584</v>
      </c>
      <c r="N30" s="489">
        <f>SUM(N31:N51)</f>
        <v>150000</v>
      </c>
      <c r="O30" s="489">
        <f t="shared" si="4"/>
        <v>0</v>
      </c>
      <c r="P30" s="489">
        <f t="shared" si="4"/>
        <v>0</v>
      </c>
      <c r="Q30" s="489">
        <f t="shared" si="4"/>
        <v>0</v>
      </c>
      <c r="R30" s="489">
        <f t="shared" si="4"/>
        <v>0</v>
      </c>
      <c r="S30" s="489">
        <f>SUM(S31:S51)</f>
        <v>279251</v>
      </c>
      <c r="T30" s="489">
        <f t="shared" si="4"/>
        <v>7613</v>
      </c>
      <c r="U30" s="496">
        <f t="shared" si="4"/>
        <v>441448</v>
      </c>
      <c r="X30" s="567"/>
    </row>
    <row r="31" spans="1:24" ht="12.75" hidden="1">
      <c r="A31" s="715"/>
      <c r="B31" s="772"/>
      <c r="C31" s="72" t="str">
        <f>'Kapitálové výdavky'!C30</f>
        <v>Cesta ul. Okružná</v>
      </c>
      <c r="D31" s="72">
        <f>'Kapitálové výdavky'!D30</f>
        <v>0</v>
      </c>
      <c r="E31" s="72">
        <f>'Kapitálové výdavky'!E30</f>
        <v>0</v>
      </c>
      <c r="F31" s="72">
        <f>'Kapitálové výdavky'!F30</f>
        <v>0</v>
      </c>
      <c r="G31" s="72">
        <f>'Kapitálové výdavky'!G30</f>
        <v>0</v>
      </c>
      <c r="H31" s="72">
        <f>'Kapitálové výdavky'!H30</f>
        <v>0</v>
      </c>
      <c r="I31" s="72">
        <f>'Kapitálové výdavky'!I30</f>
        <v>0</v>
      </c>
      <c r="J31" s="72">
        <f>'Kapitálové výdavky'!J30</f>
        <v>0</v>
      </c>
      <c r="K31" s="72">
        <f>'Kapitálové výdavky'!K30</f>
        <v>0</v>
      </c>
      <c r="L31" s="57">
        <f>'Kapitálové výdavky'!P30</f>
        <v>0</v>
      </c>
      <c r="M31" s="57"/>
      <c r="N31" s="57"/>
      <c r="O31" s="57"/>
      <c r="P31" s="57"/>
      <c r="Q31" s="57"/>
      <c r="R31" s="57"/>
      <c r="S31" s="57"/>
      <c r="T31" s="57"/>
      <c r="U31" s="23">
        <f aca="true" t="shared" si="5" ref="U31:U51">SUM(M31:T31)</f>
        <v>0</v>
      </c>
      <c r="X31" s="567"/>
    </row>
    <row r="32" spans="1:24" ht="12.75">
      <c r="A32" s="718"/>
      <c r="B32" s="773"/>
      <c r="C32" s="72" t="str">
        <f>'Kapitálové výdavky'!C31</f>
        <v>Prístupový chodník/schodisko Pod vinicou</v>
      </c>
      <c r="D32" s="26"/>
      <c r="E32" s="26"/>
      <c r="F32" s="26"/>
      <c r="G32" s="26"/>
      <c r="H32" s="58"/>
      <c r="I32" s="359"/>
      <c r="J32" s="360"/>
      <c r="K32" s="26"/>
      <c r="L32" s="57">
        <v>16000</v>
      </c>
      <c r="M32" s="57"/>
      <c r="N32" s="57"/>
      <c r="O32" s="57"/>
      <c r="P32" s="57"/>
      <c r="Q32" s="57"/>
      <c r="R32" s="57"/>
      <c r="S32" s="57">
        <v>16000</v>
      </c>
      <c r="T32" s="57"/>
      <c r="U32" s="23">
        <f t="shared" si="5"/>
        <v>16000</v>
      </c>
      <c r="X32" s="567"/>
    </row>
    <row r="33" spans="1:24" ht="12.75" hidden="1">
      <c r="A33" s="718"/>
      <c r="B33" s="773"/>
      <c r="C33" s="72" t="str">
        <f>'Kapitálové výdavky'!C32</f>
        <v>PD - cesta Mariánska hora</v>
      </c>
      <c r="D33" s="26"/>
      <c r="E33" s="26"/>
      <c r="F33" s="26"/>
      <c r="G33" s="26"/>
      <c r="H33" s="58"/>
      <c r="I33" s="359"/>
      <c r="J33" s="360"/>
      <c r="K33" s="26"/>
      <c r="L33" s="57">
        <v>0</v>
      </c>
      <c r="M33" s="57"/>
      <c r="N33" s="57"/>
      <c r="O33" s="57"/>
      <c r="P33" s="57"/>
      <c r="Q33" s="57"/>
      <c r="R33" s="57"/>
      <c r="S33" s="57"/>
      <c r="T33" s="57"/>
      <c r="U33" s="23">
        <f t="shared" si="5"/>
        <v>0</v>
      </c>
      <c r="X33" s="567"/>
    </row>
    <row r="34" spans="1:24" ht="12.75" hidden="1">
      <c r="A34" s="718"/>
      <c r="B34" s="773"/>
      <c r="C34" s="72" t="str">
        <f>'Kapitálové výdavky'!C33</f>
        <v>MPV  - cesta Mariánska hora</v>
      </c>
      <c r="D34" s="26"/>
      <c r="E34" s="26"/>
      <c r="F34" s="26"/>
      <c r="G34" s="26"/>
      <c r="H34" s="58"/>
      <c r="I34" s="359"/>
      <c r="J34" s="360"/>
      <c r="K34" s="26"/>
      <c r="L34" s="57">
        <v>0</v>
      </c>
      <c r="M34" s="57"/>
      <c r="N34" s="57"/>
      <c r="O34" s="57"/>
      <c r="P34" s="57"/>
      <c r="Q34" s="57"/>
      <c r="R34" s="57"/>
      <c r="S34" s="57"/>
      <c r="T34" s="57"/>
      <c r="U34" s="23">
        <f t="shared" si="5"/>
        <v>0</v>
      </c>
      <c r="X34" s="567"/>
    </row>
    <row r="35" spans="1:24" ht="12.75" hidden="1">
      <c r="A35" s="718"/>
      <c r="B35" s="773"/>
      <c r="C35" s="72" t="str">
        <f>'Kapitálové výdavky'!C34</f>
        <v>cesta Mariánska hora</v>
      </c>
      <c r="D35" s="26"/>
      <c r="E35" s="26"/>
      <c r="F35" s="26"/>
      <c r="G35" s="26"/>
      <c r="H35" s="58"/>
      <c r="I35" s="359"/>
      <c r="J35" s="360"/>
      <c r="K35" s="26"/>
      <c r="L35" s="57">
        <v>0</v>
      </c>
      <c r="M35" s="57"/>
      <c r="N35" s="57"/>
      <c r="O35" s="57"/>
      <c r="P35" s="57"/>
      <c r="Q35" s="57"/>
      <c r="R35" s="57"/>
      <c r="S35" s="57"/>
      <c r="T35" s="57"/>
      <c r="U35" s="23">
        <f t="shared" si="5"/>
        <v>0</v>
      </c>
      <c r="X35" s="567"/>
    </row>
    <row r="36" spans="1:24" ht="12.75" hidden="1">
      <c r="A36" s="718"/>
      <c r="B36" s="773"/>
      <c r="C36" s="72" t="str">
        <f>'Kapitálové výdavky'!C35</f>
        <v>ostatné</v>
      </c>
      <c r="D36" s="26"/>
      <c r="E36" s="26"/>
      <c r="F36" s="26"/>
      <c r="G36" s="26"/>
      <c r="H36" s="58"/>
      <c r="I36" s="359"/>
      <c r="J36" s="360"/>
      <c r="K36" s="26"/>
      <c r="L36" s="57">
        <v>0</v>
      </c>
      <c r="M36" s="57"/>
      <c r="N36" s="57"/>
      <c r="O36" s="57"/>
      <c r="P36" s="57"/>
      <c r="Q36" s="57"/>
      <c r="R36" s="57"/>
      <c r="S36" s="57"/>
      <c r="T36" s="57"/>
      <c r="U36" s="23">
        <f t="shared" si="5"/>
        <v>0</v>
      </c>
      <c r="X36" s="567"/>
    </row>
    <row r="37" spans="1:24" ht="12.75">
      <c r="A37" s="718"/>
      <c r="B37" s="773"/>
      <c r="C37" s="72" t="str">
        <f>'Kapitálové výdavky'!C36</f>
        <v>Štúrova ulica</v>
      </c>
      <c r="D37" s="26"/>
      <c r="E37" s="26"/>
      <c r="F37" s="26"/>
      <c r="G37" s="26"/>
      <c r="H37" s="58"/>
      <c r="I37" s="359"/>
      <c r="J37" s="360"/>
      <c r="K37" s="26"/>
      <c r="L37" s="57">
        <v>41840</v>
      </c>
      <c r="M37" s="57"/>
      <c r="N37" s="57"/>
      <c r="O37" s="57"/>
      <c r="P37" s="57"/>
      <c r="Q37" s="57"/>
      <c r="R37" s="57"/>
      <c r="S37" s="57">
        <f>41840-7613</f>
        <v>34227</v>
      </c>
      <c r="T37" s="57">
        <v>7613</v>
      </c>
      <c r="U37" s="23">
        <f t="shared" si="5"/>
        <v>41840</v>
      </c>
      <c r="X37" s="567"/>
    </row>
    <row r="38" spans="1:24" ht="12.75" hidden="1">
      <c r="A38" s="718"/>
      <c r="B38" s="773"/>
      <c r="C38" s="72" t="str">
        <f>'Kapitálové výdavky'!C37</f>
        <v>Chodník - mestský cintorín</v>
      </c>
      <c r="D38" s="26"/>
      <c r="E38" s="26"/>
      <c r="F38" s="26"/>
      <c r="G38" s="26"/>
      <c r="H38" s="58"/>
      <c r="I38" s="359"/>
      <c r="J38" s="360"/>
      <c r="K38" s="26"/>
      <c r="L38" s="57">
        <v>0</v>
      </c>
      <c r="M38" s="57"/>
      <c r="N38" s="57"/>
      <c r="O38" s="57"/>
      <c r="P38" s="57"/>
      <c r="Q38" s="57"/>
      <c r="R38" s="57"/>
      <c r="S38" s="57"/>
      <c r="T38" s="57"/>
      <c r="U38" s="23">
        <f t="shared" si="5"/>
        <v>0</v>
      </c>
      <c r="X38" s="567"/>
    </row>
    <row r="39" spans="1:24" ht="12.75">
      <c r="A39" s="718"/>
      <c r="B39" s="773"/>
      <c r="C39" s="72" t="str">
        <f>'Kapitálové výdavky'!C38</f>
        <v>Autobusové zastávky Lev. Lúky</v>
      </c>
      <c r="D39" s="26"/>
      <c r="E39" s="26"/>
      <c r="F39" s="26"/>
      <c r="G39" s="26"/>
      <c r="H39" s="58"/>
      <c r="I39" s="359"/>
      <c r="J39" s="360"/>
      <c r="K39" s="26"/>
      <c r="L39" s="57">
        <v>4820</v>
      </c>
      <c r="M39" s="57"/>
      <c r="N39" s="57"/>
      <c r="O39" s="57"/>
      <c r="P39" s="57"/>
      <c r="Q39" s="57"/>
      <c r="R39" s="57"/>
      <c r="S39" s="57">
        <v>4820</v>
      </c>
      <c r="T39" s="57"/>
      <c r="U39" s="23">
        <f t="shared" si="5"/>
        <v>4820</v>
      </c>
      <c r="X39" s="567"/>
    </row>
    <row r="40" spans="1:24" ht="12.75">
      <c r="A40" s="718"/>
      <c r="B40" s="773"/>
      <c r="C40" s="72" t="str">
        <f>'Kapitálové výdavky'!C39</f>
        <v>Prístupová cesta - Garáže Západ</v>
      </c>
      <c r="D40" s="26"/>
      <c r="E40" s="26"/>
      <c r="F40" s="26"/>
      <c r="G40" s="26"/>
      <c r="H40" s="58"/>
      <c r="I40" s="359"/>
      <c r="J40" s="360"/>
      <c r="K40" s="26"/>
      <c r="L40" s="57">
        <v>38584</v>
      </c>
      <c r="M40" s="57"/>
      <c r="N40" s="57">
        <v>38584</v>
      </c>
      <c r="O40" s="57"/>
      <c r="P40" s="57"/>
      <c r="Q40" s="57"/>
      <c r="R40" s="57"/>
      <c r="S40" s="57"/>
      <c r="T40" s="57"/>
      <c r="U40" s="23">
        <f t="shared" si="5"/>
        <v>38584</v>
      </c>
      <c r="X40" s="567"/>
    </row>
    <row r="41" spans="1:24" ht="12.75">
      <c r="A41" s="718"/>
      <c r="B41" s="773"/>
      <c r="C41" s="72" t="str">
        <f>'Kapitálové výdavky'!C40</f>
        <v>Príspevok pre TS hydraulický agregát</v>
      </c>
      <c r="D41" s="26"/>
      <c r="E41" s="26"/>
      <c r="F41" s="26"/>
      <c r="G41" s="26"/>
      <c r="H41" s="58"/>
      <c r="I41" s="359"/>
      <c r="J41" s="360"/>
      <c r="K41" s="26"/>
      <c r="L41" s="57">
        <v>7188</v>
      </c>
      <c r="M41" s="57"/>
      <c r="N41" s="57"/>
      <c r="O41" s="57"/>
      <c r="P41" s="57"/>
      <c r="Q41" s="57"/>
      <c r="R41" s="57"/>
      <c r="S41" s="57">
        <v>7188</v>
      </c>
      <c r="T41" s="57"/>
      <c r="U41" s="23">
        <f t="shared" si="5"/>
        <v>7188</v>
      </c>
      <c r="X41" s="567"/>
    </row>
    <row r="42" spans="1:24" ht="12.75" hidden="1">
      <c r="A42" s="718"/>
      <c r="B42" s="773"/>
      <c r="C42" s="72" t="str">
        <f>'Kapitálové výdavky'!C41</f>
        <v>Zábradlie Križný potok</v>
      </c>
      <c r="D42" s="26"/>
      <c r="E42" s="26"/>
      <c r="F42" s="26"/>
      <c r="G42" s="26"/>
      <c r="H42" s="58"/>
      <c r="I42" s="359"/>
      <c r="J42" s="360"/>
      <c r="K42" s="26"/>
      <c r="L42" s="57">
        <v>0</v>
      </c>
      <c r="M42" s="57"/>
      <c r="N42" s="57"/>
      <c r="O42" s="57"/>
      <c r="P42" s="57"/>
      <c r="Q42" s="57"/>
      <c r="R42" s="57"/>
      <c r="S42" s="57"/>
      <c r="T42" s="57"/>
      <c r="U42" s="23">
        <f t="shared" si="5"/>
        <v>0</v>
      </c>
      <c r="X42" s="567"/>
    </row>
    <row r="43" spans="1:24" ht="12.75">
      <c r="A43" s="718"/>
      <c r="B43" s="773"/>
      <c r="C43" s="72" t="str">
        <f>'Kapitálové výdavky'!C42</f>
        <v>odvodnenie cesty Ovocinárka ul.</v>
      </c>
      <c r="D43" s="26"/>
      <c r="E43" s="26"/>
      <c r="F43" s="26"/>
      <c r="G43" s="26"/>
      <c r="H43" s="58"/>
      <c r="I43" s="359"/>
      <c r="J43" s="360"/>
      <c r="K43" s="26"/>
      <c r="L43" s="57">
        <v>4000</v>
      </c>
      <c r="M43" s="57"/>
      <c r="N43" s="57"/>
      <c r="O43" s="57"/>
      <c r="P43" s="57"/>
      <c r="Q43" s="57"/>
      <c r="R43" s="57"/>
      <c r="S43" s="57">
        <v>4000</v>
      </c>
      <c r="T43" s="57"/>
      <c r="U43" s="23">
        <f t="shared" si="5"/>
        <v>4000</v>
      </c>
      <c r="X43" s="567"/>
    </row>
    <row r="44" spans="1:24" ht="12.75">
      <c r="A44" s="718"/>
      <c r="B44" s="773"/>
      <c r="C44" s="72" t="s">
        <v>488</v>
      </c>
      <c r="D44" s="26"/>
      <c r="E44" s="26"/>
      <c r="F44" s="26"/>
      <c r="G44" s="26"/>
      <c r="H44" s="58"/>
      <c r="I44" s="359"/>
      <c r="J44" s="360"/>
      <c r="K44" s="26"/>
      <c r="L44" s="57">
        <v>38266</v>
      </c>
      <c r="M44" s="57"/>
      <c r="N44" s="57"/>
      <c r="O44" s="57"/>
      <c r="P44" s="57"/>
      <c r="Q44" s="57"/>
      <c r="R44" s="57"/>
      <c r="S44" s="57">
        <v>38266</v>
      </c>
      <c r="T44" s="57"/>
      <c r="U44" s="23">
        <f t="shared" si="5"/>
        <v>38266</v>
      </c>
      <c r="X44" s="567"/>
    </row>
    <row r="45" spans="1:24" ht="12.75" hidden="1">
      <c r="A45" s="718"/>
      <c r="B45" s="773"/>
      <c r="C45" s="72" t="s">
        <v>475</v>
      </c>
      <c r="D45" s="26"/>
      <c r="E45" s="26"/>
      <c r="F45" s="26"/>
      <c r="G45" s="26"/>
      <c r="H45" s="58"/>
      <c r="I45" s="359"/>
      <c r="J45" s="360"/>
      <c r="K45" s="26"/>
      <c r="L45" s="57"/>
      <c r="M45" s="57"/>
      <c r="N45" s="57"/>
      <c r="O45" s="57"/>
      <c r="P45" s="57"/>
      <c r="Q45" s="57"/>
      <c r="R45" s="57"/>
      <c r="S45" s="57"/>
      <c r="T45" s="57"/>
      <c r="U45" s="23">
        <f t="shared" si="5"/>
        <v>0</v>
      </c>
      <c r="X45" s="567"/>
    </row>
    <row r="46" spans="1:24" ht="12.75" hidden="1">
      <c r="A46" s="718"/>
      <c r="B46" s="773"/>
      <c r="C46" s="72" t="s">
        <v>474</v>
      </c>
      <c r="D46" s="26"/>
      <c r="E46" s="26"/>
      <c r="F46" s="26"/>
      <c r="G46" s="26"/>
      <c r="H46" s="58"/>
      <c r="I46" s="359"/>
      <c r="J46" s="360"/>
      <c r="K46" s="26"/>
      <c r="L46" s="57"/>
      <c r="M46" s="57"/>
      <c r="N46" s="57"/>
      <c r="O46" s="57"/>
      <c r="P46" s="57"/>
      <c r="Q46" s="57"/>
      <c r="R46" s="57"/>
      <c r="S46" s="57"/>
      <c r="T46" s="57"/>
      <c r="U46" s="23">
        <f t="shared" si="5"/>
        <v>0</v>
      </c>
      <c r="X46" s="567"/>
    </row>
    <row r="47" spans="1:24" ht="12.75" hidden="1">
      <c r="A47" s="718"/>
      <c r="B47" s="773"/>
      <c r="C47" s="72" t="s">
        <v>474</v>
      </c>
      <c r="D47" s="26"/>
      <c r="E47" s="26"/>
      <c r="F47" s="26"/>
      <c r="G47" s="26"/>
      <c r="H47" s="58"/>
      <c r="I47" s="359"/>
      <c r="J47" s="360"/>
      <c r="K47" s="26"/>
      <c r="L47" s="57"/>
      <c r="M47" s="57"/>
      <c r="N47" s="57"/>
      <c r="O47" s="57"/>
      <c r="P47" s="57"/>
      <c r="Q47" s="57"/>
      <c r="R47" s="57"/>
      <c r="S47" s="57"/>
      <c r="T47" s="57"/>
      <c r="U47" s="23">
        <f t="shared" si="5"/>
        <v>0</v>
      </c>
      <c r="X47" s="567"/>
    </row>
    <row r="48" spans="1:24" ht="12.75">
      <c r="A48" s="718"/>
      <c r="B48" s="773"/>
      <c r="C48" s="72" t="s">
        <v>476</v>
      </c>
      <c r="D48" s="30"/>
      <c r="E48" s="30"/>
      <c r="F48" s="30"/>
      <c r="G48" s="30"/>
      <c r="H48" s="66"/>
      <c r="I48" s="361"/>
      <c r="J48" s="362"/>
      <c r="K48" s="30"/>
      <c r="L48" s="57">
        <v>2900</v>
      </c>
      <c r="M48" s="57"/>
      <c r="N48" s="57"/>
      <c r="O48" s="57"/>
      <c r="P48" s="57"/>
      <c r="Q48" s="57"/>
      <c r="R48" s="57"/>
      <c r="S48" s="57">
        <v>2900</v>
      </c>
      <c r="T48" s="57"/>
      <c r="U48" s="23">
        <f t="shared" si="5"/>
        <v>2900</v>
      </c>
      <c r="X48" s="567"/>
    </row>
    <row r="49" spans="1:24" ht="12.75">
      <c r="A49" s="718"/>
      <c r="B49" s="773"/>
      <c r="C49" s="72" t="str">
        <f>'Kapitálové výdavky'!C47</f>
        <v>Železničný riadok - cesta - garáže</v>
      </c>
      <c r="D49" s="30"/>
      <c r="E49" s="30"/>
      <c r="F49" s="30"/>
      <c r="G49" s="30"/>
      <c r="H49" s="66"/>
      <c r="I49" s="361"/>
      <c r="J49" s="362"/>
      <c r="K49" s="30"/>
      <c r="L49" s="57">
        <v>16000</v>
      </c>
      <c r="M49" s="57">
        <v>4584</v>
      </c>
      <c r="N49" s="57">
        <v>11416</v>
      </c>
      <c r="O49" s="57"/>
      <c r="P49" s="57"/>
      <c r="Q49" s="57"/>
      <c r="R49" s="57"/>
      <c r="S49" s="57"/>
      <c r="T49" s="57"/>
      <c r="U49" s="23">
        <f t="shared" si="5"/>
        <v>16000</v>
      </c>
      <c r="X49" s="567"/>
    </row>
    <row r="50" spans="1:24" ht="12.75">
      <c r="A50" s="718"/>
      <c r="B50" s="773"/>
      <c r="C50" s="72" t="str">
        <f>'Kapitálové výdavky'!C48</f>
        <v>Za sedriou - cesta</v>
      </c>
      <c r="D50" s="30"/>
      <c r="E50" s="30"/>
      <c r="F50" s="30"/>
      <c r="G50" s="30"/>
      <c r="H50" s="66"/>
      <c r="I50" s="361"/>
      <c r="J50" s="362"/>
      <c r="K50" s="30"/>
      <c r="L50" s="57">
        <v>100000</v>
      </c>
      <c r="M50" s="57"/>
      <c r="N50" s="57">
        <v>100000</v>
      </c>
      <c r="O50" s="57"/>
      <c r="P50" s="57"/>
      <c r="Q50" s="57"/>
      <c r="R50" s="57"/>
      <c r="S50" s="57"/>
      <c r="T50" s="57"/>
      <c r="U50" s="23">
        <f t="shared" si="5"/>
        <v>100000</v>
      </c>
      <c r="X50" s="567"/>
    </row>
    <row r="51" spans="1:24" ht="13.5" thickBot="1">
      <c r="A51" s="718"/>
      <c r="B51" s="773"/>
      <c r="C51" s="72" t="str">
        <f>'Kapitálové výdavky'!C49</f>
        <v>Ruskinovská ulica (cesta, VO)</v>
      </c>
      <c r="D51" s="30"/>
      <c r="E51" s="30"/>
      <c r="F51" s="30"/>
      <c r="G51" s="30"/>
      <c r="H51" s="66"/>
      <c r="I51" s="361"/>
      <c r="J51" s="362"/>
      <c r="K51" s="30"/>
      <c r="L51" s="57">
        <v>171850</v>
      </c>
      <c r="M51" s="57"/>
      <c r="N51" s="57"/>
      <c r="O51" s="57"/>
      <c r="P51" s="57"/>
      <c r="Q51" s="57"/>
      <c r="R51" s="57"/>
      <c r="S51" s="57">
        <f>146000+12750+13100</f>
        <v>171850</v>
      </c>
      <c r="T51" s="57"/>
      <c r="U51" s="23">
        <f t="shared" si="5"/>
        <v>171850</v>
      </c>
      <c r="X51" s="567"/>
    </row>
    <row r="52" spans="1:24" ht="15.75" thickBot="1">
      <c r="A52" s="493" t="s">
        <v>91</v>
      </c>
      <c r="B52" s="844" t="str">
        <f>'Kapitálové výdavky'!B50:C50</f>
        <v>Nákladanie s odpadmi</v>
      </c>
      <c r="C52" s="844"/>
      <c r="D52" s="364">
        <v>80894</v>
      </c>
      <c r="E52" s="235">
        <v>8298</v>
      </c>
      <c r="F52" s="235">
        <v>71666</v>
      </c>
      <c r="G52" s="235">
        <v>1330064</v>
      </c>
      <c r="H52" s="235">
        <v>2147096</v>
      </c>
      <c r="I52" s="138">
        <v>8121</v>
      </c>
      <c r="J52" s="235">
        <v>93729</v>
      </c>
      <c r="K52" s="67">
        <f>SUM(K53:K57)</f>
        <v>28919</v>
      </c>
      <c r="L52" s="489">
        <f aca="true" t="shared" si="6" ref="L52:U52">SUM(L53:L57)</f>
        <v>149223</v>
      </c>
      <c r="M52" s="489">
        <f t="shared" si="6"/>
        <v>0</v>
      </c>
      <c r="N52" s="489">
        <f t="shared" si="6"/>
        <v>0</v>
      </c>
      <c r="O52" s="489">
        <f t="shared" si="6"/>
        <v>0</v>
      </c>
      <c r="P52" s="489">
        <f t="shared" si="6"/>
        <v>141762</v>
      </c>
      <c r="Q52" s="489">
        <f t="shared" si="6"/>
        <v>0</v>
      </c>
      <c r="R52" s="489">
        <f t="shared" si="6"/>
        <v>0</v>
      </c>
      <c r="S52" s="489">
        <f t="shared" si="6"/>
        <v>7461</v>
      </c>
      <c r="T52" s="489">
        <f t="shared" si="6"/>
        <v>0</v>
      </c>
      <c r="U52" s="496">
        <f t="shared" si="6"/>
        <v>149223</v>
      </c>
      <c r="X52" s="567"/>
    </row>
    <row r="53" spans="1:24" ht="12.75" hidden="1">
      <c r="A53" s="715"/>
      <c r="B53" s="673"/>
      <c r="C53" s="72" t="str">
        <f>'Kapitálové výdavky'!C51</f>
        <v>Príspevok pre TS - auto</v>
      </c>
      <c r="D53" s="94"/>
      <c r="E53" s="94"/>
      <c r="F53" s="94"/>
      <c r="G53" s="94"/>
      <c r="H53" s="55"/>
      <c r="I53" s="365"/>
      <c r="J53" s="366"/>
      <c r="K53" s="94">
        <v>28919</v>
      </c>
      <c r="L53" s="57">
        <v>0</v>
      </c>
      <c r="M53" s="57"/>
      <c r="N53" s="57"/>
      <c r="O53" s="57"/>
      <c r="P53" s="57"/>
      <c r="Q53" s="57"/>
      <c r="R53" s="57"/>
      <c r="S53" s="57"/>
      <c r="T53" s="57"/>
      <c r="U53" s="23">
        <f>SUM(M53:T53)</f>
        <v>0</v>
      </c>
      <c r="X53" s="567"/>
    </row>
    <row r="54" spans="1:24" ht="12.75" hidden="1">
      <c r="A54" s="718"/>
      <c r="B54" s="846"/>
      <c r="C54" s="72" t="str">
        <f>'Kapitálové výdavky'!C52</f>
        <v>Sanácia miest s nelegálnym odpadom</v>
      </c>
      <c r="D54" s="22"/>
      <c r="E54" s="22"/>
      <c r="F54" s="22"/>
      <c r="G54" s="22"/>
      <c r="H54" s="56"/>
      <c r="I54" s="367"/>
      <c r="J54" s="368"/>
      <c r="K54" s="22"/>
      <c r="L54" s="57">
        <v>0</v>
      </c>
      <c r="M54" s="57"/>
      <c r="N54" s="57"/>
      <c r="O54" s="57"/>
      <c r="P54" s="57"/>
      <c r="Q54" s="57"/>
      <c r="R54" s="57"/>
      <c r="S54" s="57"/>
      <c r="T54" s="57"/>
      <c r="U54" s="23">
        <f>SUM(M54:T54)</f>
        <v>0</v>
      </c>
      <c r="X54" s="567"/>
    </row>
    <row r="55" spans="1:24" ht="13.5" customHeight="1" thickBot="1">
      <c r="A55" s="718"/>
      <c r="B55" s="845"/>
      <c r="C55" s="72" t="str">
        <f>'Kapitálové výdavky'!C53</f>
        <v>Modernizácia zberného dvora</v>
      </c>
      <c r="D55" s="22"/>
      <c r="E55" s="22"/>
      <c r="F55" s="22"/>
      <c r="G55" s="22"/>
      <c r="H55" s="56"/>
      <c r="I55" s="367"/>
      <c r="J55" s="368"/>
      <c r="K55" s="22"/>
      <c r="L55" s="57">
        <v>149223</v>
      </c>
      <c r="M55" s="57"/>
      <c r="N55" s="57"/>
      <c r="O55" s="57"/>
      <c r="P55" s="57">
        <v>141762</v>
      </c>
      <c r="Q55" s="57"/>
      <c r="R55" s="57"/>
      <c r="S55" s="57">
        <v>7461</v>
      </c>
      <c r="T55" s="57"/>
      <c r="U55" s="23">
        <f>SUM(M55:T55)</f>
        <v>149223</v>
      </c>
      <c r="X55" s="567"/>
    </row>
    <row r="56" spans="1:24" ht="13.5" customHeight="1" hidden="1">
      <c r="A56" s="718"/>
      <c r="B56" s="674"/>
      <c r="C56" s="72" t="str">
        <f>'Kapitálové výdavky'!C54</f>
        <v>Prestavba zberných miest</v>
      </c>
      <c r="D56" s="70"/>
      <c r="E56" s="70"/>
      <c r="F56" s="70"/>
      <c r="G56" s="70"/>
      <c r="H56" s="69"/>
      <c r="I56" s="369"/>
      <c r="J56" s="370"/>
      <c r="K56" s="26"/>
      <c r="L56" s="57">
        <v>0</v>
      </c>
      <c r="M56" s="57"/>
      <c r="N56" s="57"/>
      <c r="O56" s="57"/>
      <c r="P56" s="44"/>
      <c r="Q56" s="57"/>
      <c r="R56" s="57"/>
      <c r="S56" s="57"/>
      <c r="T56" s="57"/>
      <c r="U56" s="23">
        <f>SUM(M56:T56)</f>
        <v>0</v>
      </c>
      <c r="X56" s="567"/>
    </row>
    <row r="57" spans="1:24" ht="13.5" customHeight="1" hidden="1" thickBot="1">
      <c r="A57" s="716"/>
      <c r="B57" s="675"/>
      <c r="C57" s="72" t="str">
        <f>'Kapitálové výdavky'!C55</f>
        <v>Príspevok pre TS</v>
      </c>
      <c r="D57" s="30"/>
      <c r="E57" s="30"/>
      <c r="F57" s="30"/>
      <c r="G57" s="30"/>
      <c r="H57" s="66"/>
      <c r="I57" s="361"/>
      <c r="J57" s="362"/>
      <c r="K57" s="48"/>
      <c r="L57" s="57">
        <v>0</v>
      </c>
      <c r="M57" s="243"/>
      <c r="N57" s="243"/>
      <c r="O57" s="243"/>
      <c r="P57" s="243"/>
      <c r="Q57" s="243"/>
      <c r="R57" s="243"/>
      <c r="S57" s="243"/>
      <c r="T57" s="243"/>
      <c r="U57" s="71">
        <f>SUM(M57:T57)</f>
        <v>0</v>
      </c>
      <c r="X57" s="567"/>
    </row>
    <row r="58" spans="1:24" ht="15.75" hidden="1" thickBot="1">
      <c r="A58" s="491" t="s">
        <v>266</v>
      </c>
      <c r="B58" s="844" t="str">
        <f>'Kapitálové výdavky'!B57:C57</f>
        <v>Rozvoj bývania</v>
      </c>
      <c r="C58" s="844"/>
      <c r="D58" s="372"/>
      <c r="E58" s="372"/>
      <c r="F58" s="372"/>
      <c r="G58" s="372"/>
      <c r="H58" s="373">
        <v>182399</v>
      </c>
      <c r="I58" s="373"/>
      <c r="J58" s="374"/>
      <c r="K58" s="108"/>
      <c r="L58" s="489">
        <v>0</v>
      </c>
      <c r="M58" s="489">
        <f aca="true" t="shared" si="7" ref="M58:U58">M59</f>
        <v>0</v>
      </c>
      <c r="N58" s="489">
        <f t="shared" si="7"/>
        <v>0</v>
      </c>
      <c r="O58" s="489">
        <f t="shared" si="7"/>
        <v>0</v>
      </c>
      <c r="P58" s="489">
        <f t="shared" si="7"/>
        <v>0</v>
      </c>
      <c r="Q58" s="489">
        <f t="shared" si="7"/>
        <v>0</v>
      </c>
      <c r="R58" s="489">
        <f t="shared" si="7"/>
        <v>0</v>
      </c>
      <c r="S58" s="489"/>
      <c r="T58" s="489">
        <f t="shared" si="7"/>
        <v>0</v>
      </c>
      <c r="U58" s="496">
        <f t="shared" si="7"/>
        <v>0</v>
      </c>
      <c r="X58" s="567"/>
    </row>
    <row r="59" spans="1:24" ht="13.5" hidden="1" thickBot="1">
      <c r="A59" s="356"/>
      <c r="B59" s="358"/>
      <c r="C59" s="69"/>
      <c r="D59" s="70"/>
      <c r="E59" s="70"/>
      <c r="F59" s="70"/>
      <c r="G59" s="70"/>
      <c r="H59" s="69"/>
      <c r="I59" s="369"/>
      <c r="J59" s="370"/>
      <c r="K59" s="70"/>
      <c r="L59" s="243">
        <v>0</v>
      </c>
      <c r="M59" s="243"/>
      <c r="N59" s="243"/>
      <c r="O59" s="243"/>
      <c r="P59" s="243"/>
      <c r="Q59" s="243"/>
      <c r="R59" s="243"/>
      <c r="S59" s="243"/>
      <c r="T59" s="243"/>
      <c r="U59" s="71">
        <f>SUM(M59:T59)</f>
        <v>0</v>
      </c>
      <c r="X59" s="567"/>
    </row>
    <row r="60" spans="1:24" ht="15.75" thickBot="1">
      <c r="A60" s="492" t="s">
        <v>68</v>
      </c>
      <c r="B60" s="844" t="str">
        <f>'Kapitálové výdavky'!B59:C59</f>
        <v>Rozvoj obcí</v>
      </c>
      <c r="C60" s="844"/>
      <c r="D60" s="214">
        <v>0</v>
      </c>
      <c r="E60" s="214">
        <v>0</v>
      </c>
      <c r="F60" s="214">
        <v>6639</v>
      </c>
      <c r="G60" s="214">
        <v>113606</v>
      </c>
      <c r="H60" s="214">
        <v>254005</v>
      </c>
      <c r="I60" s="278">
        <v>2699311</v>
      </c>
      <c r="J60" s="214">
        <v>3603230</v>
      </c>
      <c r="K60" s="67">
        <f>SUM(K66:K66)</f>
        <v>1781346</v>
      </c>
      <c r="L60" s="489">
        <f>SUM(L61:L66)</f>
        <v>27344</v>
      </c>
      <c r="M60" s="489">
        <f aca="true" t="shared" si="8" ref="M60:T60">SUM(M61:M66)</f>
        <v>0</v>
      </c>
      <c r="N60" s="489">
        <f t="shared" si="8"/>
        <v>0</v>
      </c>
      <c r="O60" s="489">
        <f t="shared" si="8"/>
        <v>0</v>
      </c>
      <c r="P60" s="489">
        <f t="shared" si="8"/>
        <v>0</v>
      </c>
      <c r="Q60" s="489">
        <f t="shared" si="8"/>
        <v>0</v>
      </c>
      <c r="R60" s="489">
        <f t="shared" si="8"/>
        <v>0</v>
      </c>
      <c r="S60" s="489">
        <f>SUM(S61:S66)</f>
        <v>27344</v>
      </c>
      <c r="T60" s="489">
        <f t="shared" si="8"/>
        <v>0</v>
      </c>
      <c r="U60" s="496">
        <f>SUM(U61:U66)</f>
        <v>27344</v>
      </c>
      <c r="X60" s="567"/>
    </row>
    <row r="61" spans="1:24" ht="15" hidden="1">
      <c r="A61" s="713"/>
      <c r="B61" s="780"/>
      <c r="C61" s="381" t="str">
        <f>'Kapitálové výdavky'!C60</f>
        <v>obnova oddychovej zóny Schiessplatz</v>
      </c>
      <c r="D61" s="376"/>
      <c r="E61" s="376"/>
      <c r="F61" s="376"/>
      <c r="G61" s="376"/>
      <c r="H61" s="375"/>
      <c r="I61" s="377"/>
      <c r="J61" s="378"/>
      <c r="K61" s="304"/>
      <c r="L61" s="466">
        <v>0</v>
      </c>
      <c r="M61" s="466"/>
      <c r="N61" s="466"/>
      <c r="O61" s="466"/>
      <c r="P61" s="466"/>
      <c r="Q61" s="466"/>
      <c r="R61" s="466"/>
      <c r="S61" s="466"/>
      <c r="T61" s="466"/>
      <c r="U61" s="380">
        <f aca="true" t="shared" si="9" ref="U61:U69">SUM(M61:T61)</f>
        <v>0</v>
      </c>
      <c r="X61" s="567"/>
    </row>
    <row r="62" spans="1:24" ht="15">
      <c r="A62" s="717"/>
      <c r="B62" s="781"/>
      <c r="C62" s="381" t="str">
        <f>'Kapitálové výdavky'!C61</f>
        <v>Príspevok pre TS - traktorová kosačka</v>
      </c>
      <c r="D62" s="382"/>
      <c r="E62" s="382"/>
      <c r="F62" s="382"/>
      <c r="G62" s="382"/>
      <c r="H62" s="381"/>
      <c r="I62" s="383"/>
      <c r="J62" s="384"/>
      <c r="K62" s="306"/>
      <c r="L62" s="89">
        <v>21194</v>
      </c>
      <c r="M62" s="89"/>
      <c r="N62" s="89"/>
      <c r="O62" s="89"/>
      <c r="P62" s="89"/>
      <c r="Q62" s="89"/>
      <c r="R62" s="89"/>
      <c r="S62" s="89">
        <v>21194</v>
      </c>
      <c r="T62" s="89"/>
      <c r="U62" s="426">
        <f t="shared" si="9"/>
        <v>21194</v>
      </c>
      <c r="X62" s="567"/>
    </row>
    <row r="63" spans="1:24" ht="15" hidden="1">
      <c r="A63" s="717"/>
      <c r="B63" s="781"/>
      <c r="C63" s="381" t="str">
        <f>'Kapitálové výdavky'!C62</f>
        <v>Ortofomapa</v>
      </c>
      <c r="D63" s="382"/>
      <c r="E63" s="382"/>
      <c r="F63" s="382"/>
      <c r="G63" s="382"/>
      <c r="H63" s="381"/>
      <c r="I63" s="383"/>
      <c r="J63" s="384"/>
      <c r="K63" s="306"/>
      <c r="L63" s="89">
        <v>0</v>
      </c>
      <c r="M63" s="306"/>
      <c r="N63" s="306"/>
      <c r="O63" s="306"/>
      <c r="P63" s="306"/>
      <c r="Q63" s="306"/>
      <c r="R63" s="306"/>
      <c r="S63" s="306"/>
      <c r="T63" s="306"/>
      <c r="U63" s="426">
        <f t="shared" si="9"/>
        <v>0</v>
      </c>
      <c r="X63" s="567"/>
    </row>
    <row r="64" spans="1:24" ht="15.75" customHeight="1" hidden="1">
      <c r="A64" s="717"/>
      <c r="B64" s="781"/>
      <c r="C64" s="381" t="str">
        <f>'Kapitálové výdavky'!C63</f>
        <v>územný plán</v>
      </c>
      <c r="D64" s="386"/>
      <c r="E64" s="386"/>
      <c r="F64" s="386"/>
      <c r="G64" s="386"/>
      <c r="H64" s="385"/>
      <c r="I64" s="387"/>
      <c r="J64" s="388"/>
      <c r="K64" s="389"/>
      <c r="L64" s="89"/>
      <c r="M64" s="91"/>
      <c r="N64" s="568"/>
      <c r="O64" s="568"/>
      <c r="P64" s="568"/>
      <c r="Q64" s="568"/>
      <c r="R64" s="568"/>
      <c r="S64" s="91"/>
      <c r="T64" s="568"/>
      <c r="U64" s="479">
        <f>SUM(M64:T64)</f>
        <v>0</v>
      </c>
      <c r="X64" s="567"/>
    </row>
    <row r="65" spans="1:24" ht="15" hidden="1">
      <c r="A65" s="717"/>
      <c r="B65" s="781"/>
      <c r="C65" s="381">
        <f>'Kapitálové výdavky'!C64</f>
        <v>0</v>
      </c>
      <c r="D65" s="386"/>
      <c r="E65" s="386"/>
      <c r="F65" s="386"/>
      <c r="G65" s="386"/>
      <c r="H65" s="385"/>
      <c r="I65" s="387"/>
      <c r="J65" s="388"/>
      <c r="K65" s="389"/>
      <c r="L65" s="89">
        <v>0</v>
      </c>
      <c r="M65" s="389"/>
      <c r="N65" s="389"/>
      <c r="O65" s="389"/>
      <c r="P65" s="389"/>
      <c r="Q65" s="389"/>
      <c r="R65" s="389"/>
      <c r="S65" s="389"/>
      <c r="T65" s="389"/>
      <c r="U65" s="479">
        <f t="shared" si="9"/>
        <v>0</v>
      </c>
      <c r="X65" s="567"/>
    </row>
    <row r="66" spans="1:24" ht="13.5" thickBot="1">
      <c r="A66" s="714"/>
      <c r="B66" s="782"/>
      <c r="C66" s="381" t="str">
        <f>'Kapitálové výdavky'!C65</f>
        <v>Príspevok pre TS Dendrologický plán</v>
      </c>
      <c r="D66" s="48"/>
      <c r="E66" s="48"/>
      <c r="F66" s="48"/>
      <c r="G66" s="48"/>
      <c r="H66" s="59"/>
      <c r="I66" s="391"/>
      <c r="J66" s="392"/>
      <c r="K66" s="48">
        <v>1781346</v>
      </c>
      <c r="L66" s="89">
        <v>6150</v>
      </c>
      <c r="M66" s="211"/>
      <c r="N66" s="211"/>
      <c r="O66" s="211"/>
      <c r="P66" s="211"/>
      <c r="Q66" s="211"/>
      <c r="R66" s="211"/>
      <c r="S66" s="211">
        <v>6150</v>
      </c>
      <c r="T66" s="211"/>
      <c r="U66" s="78">
        <f t="shared" si="9"/>
        <v>6150</v>
      </c>
      <c r="X66" s="567"/>
    </row>
    <row r="67" spans="1:24" ht="15.75" hidden="1" thickBot="1">
      <c r="A67" s="491" t="s">
        <v>370</v>
      </c>
      <c r="B67" s="844" t="str">
        <f>'Kapitálové výdavky'!B67:C67</f>
        <v>Verejné osvetlenie</v>
      </c>
      <c r="C67" s="844"/>
      <c r="D67" s="235">
        <v>38040</v>
      </c>
      <c r="E67" s="235">
        <v>144792</v>
      </c>
      <c r="F67" s="235">
        <v>36414</v>
      </c>
      <c r="G67" s="235">
        <v>3228</v>
      </c>
      <c r="H67" s="235">
        <v>15058</v>
      </c>
      <c r="I67" s="373"/>
      <c r="J67" s="374"/>
      <c r="K67" s="108">
        <f>SUM(K68:K69)</f>
        <v>5000</v>
      </c>
      <c r="L67" s="489">
        <f>SUM(L68:L69)</f>
        <v>0</v>
      </c>
      <c r="M67" s="489">
        <f aca="true" t="shared" si="10" ref="M67:U67">SUM(M68:M69)</f>
        <v>0</v>
      </c>
      <c r="N67" s="489">
        <f t="shared" si="10"/>
        <v>0</v>
      </c>
      <c r="O67" s="489">
        <f t="shared" si="10"/>
        <v>0</v>
      </c>
      <c r="P67" s="489">
        <f t="shared" si="10"/>
        <v>0</v>
      </c>
      <c r="Q67" s="489">
        <f t="shared" si="10"/>
        <v>0</v>
      </c>
      <c r="R67" s="489">
        <f t="shared" si="10"/>
        <v>0</v>
      </c>
      <c r="S67" s="489"/>
      <c r="T67" s="489">
        <f t="shared" si="10"/>
        <v>0</v>
      </c>
      <c r="U67" s="496">
        <f t="shared" si="10"/>
        <v>0</v>
      </c>
      <c r="X67" s="567"/>
    </row>
    <row r="68" spans="1:24" ht="14.25" hidden="1">
      <c r="A68" s="713"/>
      <c r="B68" s="775"/>
      <c r="C68" s="72" t="str">
        <f>'Kapitálové výdavky'!C68</f>
        <v>VO Bottova, Kasárenska ul.</v>
      </c>
      <c r="D68" s="94"/>
      <c r="E68" s="94"/>
      <c r="F68" s="94"/>
      <c r="G68" s="94"/>
      <c r="H68" s="55"/>
      <c r="I68" s="365"/>
      <c r="J68" s="366"/>
      <c r="K68" s="394">
        <v>5000</v>
      </c>
      <c r="L68" s="467">
        <f>'Kapitálové výdavky'!P68</f>
        <v>0</v>
      </c>
      <c r="M68" s="467"/>
      <c r="N68" s="467"/>
      <c r="O68" s="467"/>
      <c r="P68" s="467"/>
      <c r="Q68" s="467"/>
      <c r="R68" s="467"/>
      <c r="S68" s="467"/>
      <c r="T68" s="467"/>
      <c r="U68" s="395">
        <f t="shared" si="9"/>
        <v>0</v>
      </c>
      <c r="X68" s="567"/>
    </row>
    <row r="69" spans="1:24" ht="13.5" hidden="1" thickBot="1">
      <c r="A69" s="714"/>
      <c r="B69" s="776"/>
      <c r="C69" s="146" t="str">
        <f>'Kapitálové výdavky'!C70</f>
        <v>VO garáže, sídl. Západ </v>
      </c>
      <c r="D69" s="70"/>
      <c r="E69" s="70"/>
      <c r="F69" s="70"/>
      <c r="G69" s="70"/>
      <c r="H69" s="69"/>
      <c r="I69" s="369"/>
      <c r="J69" s="370"/>
      <c r="K69" s="70"/>
      <c r="L69" s="243">
        <f>'Kapitálové výdavky'!P70</f>
        <v>0</v>
      </c>
      <c r="M69" s="243"/>
      <c r="N69" s="243"/>
      <c r="O69" s="243"/>
      <c r="P69" s="243"/>
      <c r="Q69" s="243"/>
      <c r="R69" s="243"/>
      <c r="S69" s="243"/>
      <c r="T69" s="243"/>
      <c r="U69" s="71">
        <f t="shared" si="9"/>
        <v>0</v>
      </c>
      <c r="X69" s="567"/>
    </row>
    <row r="70" spans="1:24" ht="15.75" thickBot="1">
      <c r="A70" s="491" t="s">
        <v>81</v>
      </c>
      <c r="B70" s="844" t="str">
        <f>'Kapitálové výdavky'!B71:C71</f>
        <v>Bývanie a občianska vybavenosť</v>
      </c>
      <c r="C70" s="844"/>
      <c r="D70" s="235">
        <v>326960</v>
      </c>
      <c r="E70" s="235">
        <v>144858</v>
      </c>
      <c r="F70" s="235">
        <v>123880</v>
      </c>
      <c r="G70" s="235">
        <v>20761</v>
      </c>
      <c r="H70" s="235">
        <v>158221</v>
      </c>
      <c r="I70" s="138">
        <v>92051</v>
      </c>
      <c r="J70" s="235">
        <v>68225</v>
      </c>
      <c r="K70" s="67">
        <f>SUM(K71:K90)</f>
        <v>16198</v>
      </c>
      <c r="L70" s="489">
        <f>SUM(L71:L90)</f>
        <v>116800</v>
      </c>
      <c r="M70" s="489">
        <f aca="true" t="shared" si="11" ref="M70:U70">SUM(M71:M90)</f>
        <v>0</v>
      </c>
      <c r="N70" s="489">
        <f t="shared" si="11"/>
        <v>25500</v>
      </c>
      <c r="O70" s="489">
        <f t="shared" si="11"/>
        <v>0</v>
      </c>
      <c r="P70" s="489">
        <f t="shared" si="11"/>
        <v>0</v>
      </c>
      <c r="Q70" s="489">
        <f t="shared" si="11"/>
        <v>0</v>
      </c>
      <c r="R70" s="489">
        <f t="shared" si="11"/>
        <v>0</v>
      </c>
      <c r="S70" s="489">
        <f>SUM(S71:S90)</f>
        <v>91300</v>
      </c>
      <c r="T70" s="489">
        <f t="shared" si="11"/>
        <v>0</v>
      </c>
      <c r="U70" s="496">
        <f t="shared" si="11"/>
        <v>116800</v>
      </c>
      <c r="X70" s="567"/>
    </row>
    <row r="71" spans="1:24" ht="12.75">
      <c r="A71" s="715"/>
      <c r="B71" s="772"/>
      <c r="C71" s="72" t="s">
        <v>470</v>
      </c>
      <c r="D71" s="397"/>
      <c r="E71" s="397"/>
      <c r="F71" s="397"/>
      <c r="G71" s="397"/>
      <c r="H71" s="398"/>
      <c r="I71" s="399"/>
      <c r="J71" s="400"/>
      <c r="K71" s="94"/>
      <c r="L71" s="44">
        <v>6000</v>
      </c>
      <c r="M71" s="44"/>
      <c r="N71" s="44"/>
      <c r="O71" s="44"/>
      <c r="P71" s="44"/>
      <c r="Q71" s="44"/>
      <c r="R71" s="44"/>
      <c r="S71" s="44">
        <v>6000</v>
      </c>
      <c r="T71" s="44"/>
      <c r="U71" s="27">
        <f aca="true" t="shared" si="12" ref="U71:U80">SUM(M71:T71)</f>
        <v>6000</v>
      </c>
      <c r="X71" s="567"/>
    </row>
    <row r="72" spans="1:24" ht="12.75" hidden="1">
      <c r="A72" s="718"/>
      <c r="B72" s="773"/>
      <c r="C72" s="72" t="str">
        <f>'Kapitálové výdavky'!C73</f>
        <v>Preložka NN garáže Západ</v>
      </c>
      <c r="D72" s="401"/>
      <c r="E72" s="401"/>
      <c r="F72" s="401"/>
      <c r="G72" s="401"/>
      <c r="H72" s="402"/>
      <c r="I72" s="403"/>
      <c r="J72" s="287"/>
      <c r="K72" s="26"/>
      <c r="L72" s="44">
        <v>0</v>
      </c>
      <c r="M72" s="44"/>
      <c r="N72" s="44"/>
      <c r="O72" s="44"/>
      <c r="P72" s="44"/>
      <c r="Q72" s="44"/>
      <c r="R72" s="44"/>
      <c r="S72" s="44"/>
      <c r="T72" s="44"/>
      <c r="U72" s="27">
        <f t="shared" si="12"/>
        <v>0</v>
      </c>
      <c r="X72" s="567"/>
    </row>
    <row r="73" spans="1:24" ht="12.75" hidden="1">
      <c r="A73" s="718"/>
      <c r="B73" s="773"/>
      <c r="C73" s="72" t="str">
        <f>'Kapitálové výdavky'!C74</f>
        <v>Vyňatie z LPF Mariánska hora</v>
      </c>
      <c r="D73" s="401"/>
      <c r="E73" s="401"/>
      <c r="F73" s="401"/>
      <c r="G73" s="401"/>
      <c r="H73" s="402"/>
      <c r="I73" s="403"/>
      <c r="J73" s="287"/>
      <c r="K73" s="26"/>
      <c r="L73" s="44">
        <v>0</v>
      </c>
      <c r="M73" s="44"/>
      <c r="N73" s="44"/>
      <c r="O73" s="44"/>
      <c r="P73" s="44"/>
      <c r="Q73" s="44"/>
      <c r="R73" s="44"/>
      <c r="S73" s="44"/>
      <c r="T73" s="44"/>
      <c r="U73" s="27">
        <f t="shared" si="12"/>
        <v>0</v>
      </c>
      <c r="X73" s="567"/>
    </row>
    <row r="74" spans="1:24" ht="12.75">
      <c r="A74" s="718"/>
      <c r="B74" s="773"/>
      <c r="C74" s="72" t="str">
        <f>'Kapitálové výdavky'!C75</f>
        <v>Príspevok pre TS ref. automobil, strecha budovy TS  </v>
      </c>
      <c r="D74" s="401"/>
      <c r="E74" s="401"/>
      <c r="F74" s="401"/>
      <c r="G74" s="401"/>
      <c r="H74" s="402"/>
      <c r="I74" s="403"/>
      <c r="J74" s="287"/>
      <c r="K74" s="26"/>
      <c r="L74" s="44">
        <v>64300</v>
      </c>
      <c r="M74" s="44"/>
      <c r="N74" s="44"/>
      <c r="O74" s="44"/>
      <c r="P74" s="44"/>
      <c r="Q74" s="44"/>
      <c r="R74" s="44"/>
      <c r="S74" s="44">
        <v>64300</v>
      </c>
      <c r="T74" s="44"/>
      <c r="U74" s="27">
        <f t="shared" si="12"/>
        <v>64300</v>
      </c>
      <c r="X74" s="567"/>
    </row>
    <row r="75" spans="1:24" ht="12.75" hidden="1">
      <c r="A75" s="718"/>
      <c r="B75" s="773"/>
      <c r="C75" s="72" t="str">
        <f>'Kapitálové výdavky'!C76</f>
        <v>Detské ihrisko</v>
      </c>
      <c r="D75" s="401"/>
      <c r="E75" s="401"/>
      <c r="F75" s="401"/>
      <c r="G75" s="401"/>
      <c r="H75" s="402"/>
      <c r="I75" s="403"/>
      <c r="J75" s="287"/>
      <c r="K75" s="26"/>
      <c r="L75" s="44">
        <v>0</v>
      </c>
      <c r="M75" s="44"/>
      <c r="N75" s="44"/>
      <c r="O75" s="44"/>
      <c r="P75" s="44"/>
      <c r="Q75" s="44"/>
      <c r="R75" s="44"/>
      <c r="S75" s="44"/>
      <c r="T75" s="44"/>
      <c r="U75" s="27">
        <f t="shared" si="12"/>
        <v>0</v>
      </c>
      <c r="X75" s="567"/>
    </row>
    <row r="76" spans="1:24" ht="12.75" hidden="1">
      <c r="A76" s="718"/>
      <c r="B76" s="773"/>
      <c r="C76" s="72" t="str">
        <f>'Kapitálové výdavky'!C77</f>
        <v>Spevnené plochy Sídl. Sever</v>
      </c>
      <c r="D76" s="405"/>
      <c r="E76" s="405"/>
      <c r="F76" s="405"/>
      <c r="G76" s="405"/>
      <c r="H76" s="406"/>
      <c r="I76" s="407"/>
      <c r="J76" s="408"/>
      <c r="K76" s="30"/>
      <c r="L76" s="44">
        <f>'Kapitálové výdavky'!P77</f>
        <v>0</v>
      </c>
      <c r="M76" s="44"/>
      <c r="N76" s="44"/>
      <c r="O76" s="44"/>
      <c r="P76" s="44"/>
      <c r="Q76" s="44"/>
      <c r="R76" s="44"/>
      <c r="S76" s="44"/>
      <c r="T76" s="44"/>
      <c r="U76" s="27">
        <f t="shared" si="12"/>
        <v>0</v>
      </c>
      <c r="X76" s="567"/>
    </row>
    <row r="77" spans="1:24" ht="12.75" hidden="1">
      <c r="A77" s="718"/>
      <c r="B77" s="773"/>
      <c r="C77" s="72" t="str">
        <f>'Kapitálové výdavky'!C78</f>
        <v>MPV cyklochodník</v>
      </c>
      <c r="D77" s="410"/>
      <c r="E77" s="410"/>
      <c r="F77" s="410"/>
      <c r="G77" s="410"/>
      <c r="H77" s="411"/>
      <c r="I77" s="412"/>
      <c r="J77" s="413"/>
      <c r="K77" s="30"/>
      <c r="L77" s="44">
        <f>'Kapitálové výdavky'!P78</f>
        <v>0</v>
      </c>
      <c r="M77" s="44"/>
      <c r="N77" s="44"/>
      <c r="O77" s="44"/>
      <c r="P77" s="44"/>
      <c r="Q77" s="44"/>
      <c r="R77" s="44"/>
      <c r="S77" s="44"/>
      <c r="T77" s="44"/>
      <c r="U77" s="27">
        <f t="shared" si="12"/>
        <v>0</v>
      </c>
      <c r="X77" s="567"/>
    </row>
    <row r="78" spans="1:24" ht="12.75">
      <c r="A78" s="718"/>
      <c r="B78" s="773"/>
      <c r="C78" s="72" t="str">
        <f>'Kapitálové výdavky'!C79</f>
        <v>Vnútrobloky</v>
      </c>
      <c r="D78" s="410"/>
      <c r="E78" s="410"/>
      <c r="F78" s="410"/>
      <c r="G78" s="410"/>
      <c r="H78" s="411"/>
      <c r="I78" s="412"/>
      <c r="J78" s="413"/>
      <c r="K78" s="30"/>
      <c r="L78" s="44">
        <v>21000</v>
      </c>
      <c r="M78" s="44"/>
      <c r="N78" s="44"/>
      <c r="O78" s="44"/>
      <c r="P78" s="44"/>
      <c r="Q78" s="44"/>
      <c r="R78" s="44"/>
      <c r="S78" s="44">
        <v>21000</v>
      </c>
      <c r="T78" s="44"/>
      <c r="U78" s="27">
        <f t="shared" si="12"/>
        <v>21000</v>
      </c>
      <c r="X78" s="567"/>
    </row>
    <row r="79" spans="1:24" ht="12.75" hidden="1">
      <c r="A79" s="718"/>
      <c r="B79" s="773"/>
      <c r="C79" s="72" t="str">
        <f>'Kapitálové výdavky'!C80</f>
        <v>odvodnenie, sídl. Pri prameni</v>
      </c>
      <c r="D79" s="26"/>
      <c r="E79" s="26"/>
      <c r="F79" s="26"/>
      <c r="G79" s="26"/>
      <c r="H79" s="58"/>
      <c r="I79" s="359"/>
      <c r="J79" s="360"/>
      <c r="K79" s="26"/>
      <c r="L79" s="44">
        <f>'Kapitálové výdavky'!P80</f>
        <v>0</v>
      </c>
      <c r="M79" s="44"/>
      <c r="N79" s="44"/>
      <c r="O79" s="44"/>
      <c r="P79" s="44"/>
      <c r="Q79" s="44"/>
      <c r="R79" s="44"/>
      <c r="S79" s="44"/>
      <c r="T79" s="44"/>
      <c r="U79" s="27">
        <f t="shared" si="12"/>
        <v>0</v>
      </c>
      <c r="X79" s="567"/>
    </row>
    <row r="80" spans="1:24" ht="12.75" hidden="1">
      <c r="A80" s="718"/>
      <c r="B80" s="773"/>
      <c r="C80" s="72" t="str">
        <f>'Kapitálové výdavky'!C81</f>
        <v>Nám. Majstra Pavla 50,51 -PD (FRB)</v>
      </c>
      <c r="D80" s="26"/>
      <c r="E80" s="26"/>
      <c r="F80" s="26"/>
      <c r="G80" s="26"/>
      <c r="H80" s="58"/>
      <c r="I80" s="359"/>
      <c r="J80" s="360"/>
      <c r="K80" s="26">
        <v>7632</v>
      </c>
      <c r="L80" s="44">
        <f>'Kapitálové výdavky'!P81</f>
        <v>0</v>
      </c>
      <c r="M80" s="44"/>
      <c r="N80" s="44"/>
      <c r="O80" s="44"/>
      <c r="P80" s="44"/>
      <c r="Q80" s="44"/>
      <c r="R80" s="44"/>
      <c r="S80" s="44"/>
      <c r="T80" s="44"/>
      <c r="U80" s="27">
        <f t="shared" si="12"/>
        <v>0</v>
      </c>
      <c r="X80" s="567"/>
    </row>
    <row r="81" spans="1:24" ht="12.75" hidden="1">
      <c r="A81" s="718"/>
      <c r="B81" s="773"/>
      <c r="C81" s="72" t="str">
        <f>'Kapitálové výdavky'!C83</f>
        <v>auto</v>
      </c>
      <c r="D81" s="26"/>
      <c r="E81" s="26"/>
      <c r="F81" s="26"/>
      <c r="G81" s="26"/>
      <c r="H81" s="58"/>
      <c r="I81" s="359"/>
      <c r="J81" s="360"/>
      <c r="K81" s="26"/>
      <c r="L81" s="44">
        <f>'Kapitálové výdavky'!P83</f>
        <v>0</v>
      </c>
      <c r="M81" s="44"/>
      <c r="N81" s="44"/>
      <c r="O81" s="44"/>
      <c r="P81" s="44"/>
      <c r="Q81" s="44"/>
      <c r="R81" s="44"/>
      <c r="S81" s="44"/>
      <c r="T81" s="44"/>
      <c r="U81" s="27">
        <f>SUM(M81:T81)</f>
        <v>0</v>
      </c>
      <c r="X81" s="567"/>
    </row>
    <row r="82" spans="1:24" ht="12.75" hidden="1">
      <c r="A82" s="718"/>
      <c r="B82" s="773"/>
      <c r="C82" s="72" t="str">
        <f>'Kapitálové výdavky'!C84</f>
        <v>Spevnené plochy sídl. Sever</v>
      </c>
      <c r="D82" s="26"/>
      <c r="E82" s="26"/>
      <c r="F82" s="26"/>
      <c r="G82" s="26"/>
      <c r="H82" s="58"/>
      <c r="I82" s="359"/>
      <c r="J82" s="360"/>
      <c r="K82" s="26">
        <v>0</v>
      </c>
      <c r="L82" s="44">
        <f>'Kapitálové výdavky'!P84</f>
        <v>0</v>
      </c>
      <c r="M82" s="44"/>
      <c r="N82" s="44"/>
      <c r="O82" s="44"/>
      <c r="P82" s="44"/>
      <c r="Q82" s="44"/>
      <c r="R82" s="44"/>
      <c r="S82" s="44"/>
      <c r="T82" s="44"/>
      <c r="U82" s="27">
        <f aca="true" t="shared" si="13" ref="U82:U90">SUM(M82:T82)</f>
        <v>0</v>
      </c>
      <c r="X82" s="567"/>
    </row>
    <row r="83" spans="1:24" ht="12.75" hidden="1">
      <c r="A83" s="718"/>
      <c r="B83" s="773"/>
      <c r="C83" s="72" t="str">
        <f>'Kapitálové výdavky'!C85</f>
        <v>Byty</v>
      </c>
      <c r="D83" s="26"/>
      <c r="E83" s="26"/>
      <c r="F83" s="26"/>
      <c r="G83" s="26"/>
      <c r="H83" s="58"/>
      <c r="I83" s="359"/>
      <c r="J83" s="360"/>
      <c r="K83" s="26">
        <v>0</v>
      </c>
      <c r="L83" s="44">
        <f>'Kapitálové výdavky'!P85</f>
        <v>0</v>
      </c>
      <c r="M83" s="44"/>
      <c r="N83" s="44"/>
      <c r="O83" s="44"/>
      <c r="P83" s="44"/>
      <c r="Q83" s="44"/>
      <c r="R83" s="44"/>
      <c r="S83" s="44"/>
      <c r="T83" s="44"/>
      <c r="U83" s="27">
        <f t="shared" si="13"/>
        <v>0</v>
      </c>
      <c r="X83" s="567"/>
    </row>
    <row r="84" spans="1:24" ht="12.75" hidden="1">
      <c r="A84" s="718"/>
      <c r="B84" s="773"/>
      <c r="C84" s="72" t="str">
        <f>'Kapitálové výdavky'!C86</f>
        <v>preložka VN</v>
      </c>
      <c r="D84" s="26"/>
      <c r="E84" s="26"/>
      <c r="F84" s="26"/>
      <c r="G84" s="26"/>
      <c r="H84" s="58"/>
      <c r="I84" s="359"/>
      <c r="J84" s="360"/>
      <c r="K84" s="26"/>
      <c r="L84" s="44">
        <f>'Kapitálové výdavky'!P86</f>
        <v>0</v>
      </c>
      <c r="M84" s="44"/>
      <c r="N84" s="44"/>
      <c r="O84" s="44"/>
      <c r="P84" s="44"/>
      <c r="Q84" s="44"/>
      <c r="R84" s="44"/>
      <c r="S84" s="44"/>
      <c r="T84" s="44"/>
      <c r="U84" s="27">
        <f t="shared" si="13"/>
        <v>0</v>
      </c>
      <c r="X84" s="567"/>
    </row>
    <row r="85" spans="1:24" ht="12.75" hidden="1">
      <c r="A85" s="718"/>
      <c r="B85" s="773"/>
      <c r="C85" s="72" t="str">
        <f>'Kapitálové výdavky'!C87</f>
        <v>MPV pozemkov pre most Lev. Dolina</v>
      </c>
      <c r="D85" s="26"/>
      <c r="E85" s="26"/>
      <c r="F85" s="26"/>
      <c r="G85" s="26"/>
      <c r="H85" s="58"/>
      <c r="I85" s="359"/>
      <c r="J85" s="360"/>
      <c r="K85" s="26"/>
      <c r="L85" s="44">
        <f>'Kapitálové výdavky'!P87</f>
        <v>0</v>
      </c>
      <c r="M85" s="44"/>
      <c r="N85" s="44"/>
      <c r="O85" s="44"/>
      <c r="P85" s="44"/>
      <c r="Q85" s="44"/>
      <c r="R85" s="44"/>
      <c r="S85" s="44"/>
      <c r="T85" s="44"/>
      <c r="U85" s="27">
        <f t="shared" si="13"/>
        <v>0</v>
      </c>
      <c r="X85" s="567"/>
    </row>
    <row r="86" spans="1:24" ht="12.75" hidden="1">
      <c r="A86" s="718"/>
      <c r="B86" s="773"/>
      <c r="C86" s="72" t="str">
        <f>'Kapitálové výdavky'!C88</f>
        <v>MPV pozemkov pre autobus. zastávku </v>
      </c>
      <c r="D86" s="26"/>
      <c r="E86" s="26"/>
      <c r="F86" s="26"/>
      <c r="G86" s="26"/>
      <c r="H86" s="58"/>
      <c r="I86" s="359"/>
      <c r="J86" s="360"/>
      <c r="K86" s="26"/>
      <c r="L86" s="44">
        <f>'Kapitálové výdavky'!P88</f>
        <v>0</v>
      </c>
      <c r="M86" s="44"/>
      <c r="N86" s="44"/>
      <c r="O86" s="44"/>
      <c r="P86" s="44"/>
      <c r="Q86" s="44"/>
      <c r="R86" s="44"/>
      <c r="S86" s="44"/>
      <c r="T86" s="44"/>
      <c r="U86" s="27">
        <f t="shared" si="13"/>
        <v>0</v>
      </c>
      <c r="X86" s="567"/>
    </row>
    <row r="87" spans="1:24" ht="12.75" hidden="1">
      <c r="A87" s="718"/>
      <c r="B87" s="773"/>
      <c r="C87" s="72" t="str">
        <f>'Kapitálové výdavky'!C89</f>
        <v>MPV stavba Strelnica</v>
      </c>
      <c r="D87" s="26"/>
      <c r="E87" s="26"/>
      <c r="F87" s="26"/>
      <c r="G87" s="26"/>
      <c r="H87" s="58"/>
      <c r="I87" s="359"/>
      <c r="J87" s="360"/>
      <c r="K87" s="26">
        <v>8090</v>
      </c>
      <c r="L87" s="44">
        <f>'Kapitálové výdavky'!P89</f>
        <v>0</v>
      </c>
      <c r="M87" s="44"/>
      <c r="N87" s="44"/>
      <c r="O87" s="44"/>
      <c r="P87" s="44"/>
      <c r="Q87" s="44"/>
      <c r="R87" s="44"/>
      <c r="S87" s="44"/>
      <c r="T87" s="44"/>
      <c r="U87" s="27">
        <f t="shared" si="13"/>
        <v>0</v>
      </c>
      <c r="X87" s="567"/>
    </row>
    <row r="88" spans="1:24" ht="12.75" hidden="1">
      <c r="A88" s="718"/>
      <c r="B88" s="773"/>
      <c r="C88" s="72" t="str">
        <f>'Kapitálové výdavky'!C90</f>
        <v>MPV cyklochodník</v>
      </c>
      <c r="D88" s="26"/>
      <c r="E88" s="26"/>
      <c r="F88" s="26"/>
      <c r="G88" s="26"/>
      <c r="H88" s="58"/>
      <c r="I88" s="359"/>
      <c r="J88" s="360"/>
      <c r="K88" s="26"/>
      <c r="L88" s="44">
        <f>'Kapitálové výdavky'!P90</f>
        <v>0</v>
      </c>
      <c r="M88" s="44"/>
      <c r="N88" s="44"/>
      <c r="O88" s="44"/>
      <c r="P88" s="44"/>
      <c r="Q88" s="44"/>
      <c r="R88" s="44"/>
      <c r="S88" s="44"/>
      <c r="T88" s="44"/>
      <c r="U88" s="27">
        <f t="shared" si="13"/>
        <v>0</v>
      </c>
      <c r="X88" s="567"/>
    </row>
    <row r="89" spans="1:24" ht="12.75" hidden="1">
      <c r="A89" s="718"/>
      <c r="B89" s="773"/>
      <c r="C89" s="72" t="str">
        <f>'Kapitálové výdavky'!C91</f>
        <v>Pozemky Menhardská brána</v>
      </c>
      <c r="D89" s="30"/>
      <c r="E89" s="30"/>
      <c r="F89" s="30"/>
      <c r="G89" s="30"/>
      <c r="H89" s="66"/>
      <c r="I89" s="361"/>
      <c r="J89" s="362"/>
      <c r="K89" s="30"/>
      <c r="L89" s="44">
        <f>'Kapitálové výdavky'!P91</f>
        <v>0</v>
      </c>
      <c r="M89" s="44"/>
      <c r="N89" s="44"/>
      <c r="O89" s="44"/>
      <c r="P89" s="44"/>
      <c r="Q89" s="44"/>
      <c r="R89" s="44"/>
      <c r="S89" s="44"/>
      <c r="T89" s="44"/>
      <c r="U89" s="27">
        <f t="shared" si="13"/>
        <v>0</v>
      </c>
      <c r="X89" s="567"/>
    </row>
    <row r="90" spans="1:24" ht="13.5" thickBot="1">
      <c r="A90" s="716"/>
      <c r="B90" s="773"/>
      <c r="C90" s="146" t="str">
        <f>'Kapitálové výdavky'!C92</f>
        <v>MPV - ostatné</v>
      </c>
      <c r="D90" s="48"/>
      <c r="E90" s="48"/>
      <c r="F90" s="48"/>
      <c r="G90" s="48"/>
      <c r="H90" s="59"/>
      <c r="I90" s="391"/>
      <c r="J90" s="392"/>
      <c r="K90" s="48">
        <v>476</v>
      </c>
      <c r="L90" s="74">
        <v>25500</v>
      </c>
      <c r="M90" s="74"/>
      <c r="N90" s="74">
        <v>25500</v>
      </c>
      <c r="O90" s="74"/>
      <c r="P90" s="74"/>
      <c r="Q90" s="74"/>
      <c r="R90" s="74"/>
      <c r="S90" s="74"/>
      <c r="T90" s="74"/>
      <c r="U90" s="31">
        <f t="shared" si="13"/>
        <v>25500</v>
      </c>
      <c r="X90" s="567"/>
    </row>
    <row r="91" spans="1:24" ht="15.75" hidden="1" thickBot="1">
      <c r="A91" s="291" t="s">
        <v>53</v>
      </c>
      <c r="B91" s="688" t="s">
        <v>0</v>
      </c>
      <c r="C91" s="705"/>
      <c r="D91" s="414"/>
      <c r="E91" s="414"/>
      <c r="F91" s="414"/>
      <c r="G91" s="414"/>
      <c r="H91" s="266"/>
      <c r="I91" s="415"/>
      <c r="J91" s="416"/>
      <c r="K91" s="393"/>
      <c r="L91" s="67"/>
      <c r="M91" s="67"/>
      <c r="N91" s="67"/>
      <c r="O91" s="67"/>
      <c r="P91" s="67"/>
      <c r="Q91" s="67"/>
      <c r="R91" s="67"/>
      <c r="S91" s="67"/>
      <c r="T91" s="67"/>
      <c r="U91" s="68"/>
      <c r="X91" s="567"/>
    </row>
    <row r="92" spans="1:24" ht="12.75" hidden="1">
      <c r="A92" s="356"/>
      <c r="B92" s="358"/>
      <c r="C92" s="43" t="s">
        <v>54</v>
      </c>
      <c r="D92" s="26"/>
      <c r="E92" s="26"/>
      <c r="F92" s="26"/>
      <c r="G92" s="26"/>
      <c r="H92" s="58"/>
      <c r="I92" s="359"/>
      <c r="J92" s="360"/>
      <c r="K92" s="26"/>
      <c r="L92" s="44"/>
      <c r="M92" s="44"/>
      <c r="N92" s="44"/>
      <c r="O92" s="44"/>
      <c r="P92" s="44"/>
      <c r="Q92" s="44"/>
      <c r="R92" s="44"/>
      <c r="S92" s="44"/>
      <c r="T92" s="44"/>
      <c r="U92" s="27"/>
      <c r="X92" s="567"/>
    </row>
    <row r="93" spans="1:24" ht="12.75" hidden="1">
      <c r="A93" s="356"/>
      <c r="B93" s="358"/>
      <c r="C93" s="43"/>
      <c r="D93" s="26"/>
      <c r="E93" s="26"/>
      <c r="F93" s="26"/>
      <c r="G93" s="26"/>
      <c r="H93" s="58"/>
      <c r="I93" s="359"/>
      <c r="J93" s="360"/>
      <c r="K93" s="26"/>
      <c r="L93" s="44"/>
      <c r="M93" s="44"/>
      <c r="N93" s="44"/>
      <c r="O93" s="44"/>
      <c r="P93" s="44"/>
      <c r="Q93" s="44"/>
      <c r="R93" s="44"/>
      <c r="S93" s="44"/>
      <c r="T93" s="44"/>
      <c r="U93" s="27"/>
      <c r="X93" s="567"/>
    </row>
    <row r="94" spans="1:24" ht="13.5" hidden="1" thickBot="1">
      <c r="A94" s="356"/>
      <c r="B94" s="358"/>
      <c r="C94" s="47"/>
      <c r="D94" s="30"/>
      <c r="E94" s="30"/>
      <c r="F94" s="30"/>
      <c r="G94" s="30"/>
      <c r="H94" s="66"/>
      <c r="I94" s="361"/>
      <c r="J94" s="362"/>
      <c r="K94" s="30"/>
      <c r="L94" s="74"/>
      <c r="M94" s="74"/>
      <c r="N94" s="74"/>
      <c r="O94" s="74"/>
      <c r="P94" s="74"/>
      <c r="Q94" s="74"/>
      <c r="R94" s="74"/>
      <c r="S94" s="74"/>
      <c r="T94" s="74"/>
      <c r="U94" s="31"/>
      <c r="X94" s="567"/>
    </row>
    <row r="95" spans="1:24" ht="15.75" thickBot="1">
      <c r="A95" s="491" t="s">
        <v>264</v>
      </c>
      <c r="B95" s="844" t="str">
        <f>'Kapitálové výdavky'!B97:C97</f>
        <v>Rekreačné a športové služby</v>
      </c>
      <c r="C95" s="844"/>
      <c r="D95" s="235">
        <v>8298</v>
      </c>
      <c r="E95" s="235">
        <v>3983</v>
      </c>
      <c r="F95" s="235">
        <v>175065</v>
      </c>
      <c r="G95" s="235">
        <v>138049</v>
      </c>
      <c r="H95" s="235">
        <v>127764</v>
      </c>
      <c r="I95" s="138">
        <v>149292</v>
      </c>
      <c r="J95" s="235">
        <v>3000</v>
      </c>
      <c r="K95" s="67">
        <f>SUM(K101:K103)</f>
        <v>6455</v>
      </c>
      <c r="L95" s="489">
        <f>SUM(L96:L103)</f>
        <v>139799</v>
      </c>
      <c r="M95" s="489">
        <f aca="true" t="shared" si="14" ref="M95:U95">SUM(M96:M103)</f>
        <v>2400</v>
      </c>
      <c r="N95" s="489">
        <f t="shared" si="14"/>
        <v>0</v>
      </c>
      <c r="O95" s="489">
        <f t="shared" si="14"/>
        <v>0</v>
      </c>
      <c r="P95" s="489">
        <f t="shared" si="14"/>
        <v>0</v>
      </c>
      <c r="Q95" s="489">
        <f t="shared" si="14"/>
        <v>0</v>
      </c>
      <c r="R95" s="489">
        <f t="shared" si="14"/>
        <v>0</v>
      </c>
      <c r="S95" s="489">
        <f>SUM(S96:S103)</f>
        <v>137399</v>
      </c>
      <c r="T95" s="489">
        <f t="shared" si="14"/>
        <v>0</v>
      </c>
      <c r="U95" s="496">
        <f t="shared" si="14"/>
        <v>139799</v>
      </c>
      <c r="X95" s="567"/>
    </row>
    <row r="96" spans="1:24" ht="12.75" hidden="1">
      <c r="A96" s="713"/>
      <c r="B96" s="780"/>
      <c r="C96" s="72" t="str">
        <f>'Kapitálové výdavky'!C98</f>
        <v>Tréningová hala</v>
      </c>
      <c r="D96" s="417"/>
      <c r="E96" s="417"/>
      <c r="F96" s="417"/>
      <c r="G96" s="417"/>
      <c r="H96" s="418"/>
      <c r="I96" s="419"/>
      <c r="J96" s="420"/>
      <c r="K96" s="144"/>
      <c r="L96" s="87">
        <v>0</v>
      </c>
      <c r="M96" s="87"/>
      <c r="N96" s="87"/>
      <c r="O96" s="87"/>
      <c r="P96" s="87"/>
      <c r="Q96" s="87"/>
      <c r="R96" s="87"/>
      <c r="S96" s="87"/>
      <c r="T96" s="87"/>
      <c r="U96" s="421">
        <f aca="true" t="shared" si="15" ref="U96:U103">SUM(M96:T96)</f>
        <v>0</v>
      </c>
      <c r="X96" s="567"/>
    </row>
    <row r="97" spans="1:24" ht="12.75">
      <c r="A97" s="717"/>
      <c r="B97" s="781"/>
      <c r="C97" s="72" t="str">
        <f>'Kapitálové výdavky'!C99</f>
        <v>Transfer pre TS plynofikácia kocky</v>
      </c>
      <c r="D97" s="422"/>
      <c r="E97" s="422"/>
      <c r="F97" s="422"/>
      <c r="G97" s="422"/>
      <c r="H97" s="423"/>
      <c r="I97" s="424"/>
      <c r="J97" s="425"/>
      <c r="K97" s="21"/>
      <c r="L97" s="89">
        <v>21900</v>
      </c>
      <c r="M97" s="89">
        <v>2400</v>
      </c>
      <c r="N97" s="89"/>
      <c r="O97" s="89"/>
      <c r="P97" s="89"/>
      <c r="Q97" s="89"/>
      <c r="R97" s="89"/>
      <c r="S97" s="89">
        <v>19500</v>
      </c>
      <c r="T97" s="89"/>
      <c r="U97" s="426">
        <f t="shared" si="15"/>
        <v>21900</v>
      </c>
      <c r="X97" s="567"/>
    </row>
    <row r="98" spans="1:24" ht="13.5" thickBot="1">
      <c r="A98" s="717"/>
      <c r="B98" s="781"/>
      <c r="C98" s="72" t="str">
        <f>'Kapitálové výdavky'!C100</f>
        <v>Futbalové šatne </v>
      </c>
      <c r="D98" s="422"/>
      <c r="E98" s="422"/>
      <c r="F98" s="422"/>
      <c r="G98" s="422"/>
      <c r="H98" s="423"/>
      <c r="I98" s="424"/>
      <c r="J98" s="425"/>
      <c r="K98" s="21"/>
      <c r="L98" s="89">
        <v>117899</v>
      </c>
      <c r="M98" s="89"/>
      <c r="N98" s="89"/>
      <c r="O98" s="89"/>
      <c r="P98" s="89"/>
      <c r="Q98" s="89"/>
      <c r="R98" s="89"/>
      <c r="S98" s="89">
        <f>100000+17899</f>
        <v>117899</v>
      </c>
      <c r="T98" s="89"/>
      <c r="U98" s="426">
        <f t="shared" si="15"/>
        <v>117899</v>
      </c>
      <c r="X98" s="567"/>
    </row>
    <row r="99" spans="1:24" ht="13.5" hidden="1" thickBot="1">
      <c r="A99" s="717"/>
      <c r="B99" s="781"/>
      <c r="C99" s="381"/>
      <c r="D99" s="422"/>
      <c r="E99" s="422"/>
      <c r="F99" s="422"/>
      <c r="G99" s="422"/>
      <c r="H99" s="423"/>
      <c r="I99" s="424"/>
      <c r="J99" s="425"/>
      <c r="K99" s="21"/>
      <c r="L99" s="89">
        <v>0</v>
      </c>
      <c r="M99" s="89"/>
      <c r="N99" s="89"/>
      <c r="O99" s="89"/>
      <c r="P99" s="89"/>
      <c r="Q99" s="89"/>
      <c r="R99" s="89"/>
      <c r="S99" s="89"/>
      <c r="T99" s="89"/>
      <c r="U99" s="426">
        <f t="shared" si="15"/>
        <v>0</v>
      </c>
      <c r="X99" s="567"/>
    </row>
    <row r="100" spans="1:24" ht="13.5" hidden="1" thickBot="1">
      <c r="A100" s="717"/>
      <c r="B100" s="781"/>
      <c r="C100" s="72" t="str">
        <f>'Kapitálové výdavky'!C102</f>
        <v>kocka - strecha</v>
      </c>
      <c r="D100" s="422"/>
      <c r="E100" s="422"/>
      <c r="F100" s="422"/>
      <c r="G100" s="422"/>
      <c r="H100" s="423"/>
      <c r="I100" s="424"/>
      <c r="J100" s="425"/>
      <c r="K100" s="21"/>
      <c r="L100" s="89">
        <f>'Kapitálové výdavky'!P102</f>
        <v>0</v>
      </c>
      <c r="M100" s="89"/>
      <c r="N100" s="89"/>
      <c r="O100" s="89"/>
      <c r="P100" s="89"/>
      <c r="Q100" s="89"/>
      <c r="R100" s="89"/>
      <c r="S100" s="89"/>
      <c r="T100" s="89"/>
      <c r="U100" s="426">
        <f t="shared" si="15"/>
        <v>0</v>
      </c>
      <c r="X100" s="567"/>
    </row>
    <row r="101" spans="1:24" ht="13.5" hidden="1" thickBot="1">
      <c r="A101" s="717"/>
      <c r="B101" s="781"/>
      <c r="C101" s="72" t="str">
        <f>'Kapitálové výdavky'!C103</f>
        <v>Vodná nádrž Levoča</v>
      </c>
      <c r="D101" s="22"/>
      <c r="E101" s="22"/>
      <c r="F101" s="22"/>
      <c r="G101" s="22"/>
      <c r="H101" s="56"/>
      <c r="I101" s="367"/>
      <c r="J101" s="368"/>
      <c r="K101" s="22">
        <v>6455</v>
      </c>
      <c r="L101" s="57">
        <f>'Kapitálové výdavky'!P102</f>
        <v>0</v>
      </c>
      <c r="M101" s="57"/>
      <c r="N101" s="57"/>
      <c r="O101" s="57"/>
      <c r="P101" s="57"/>
      <c r="Q101" s="57"/>
      <c r="R101" s="57"/>
      <c r="S101" s="57"/>
      <c r="T101" s="57"/>
      <c r="U101" s="23">
        <f t="shared" si="15"/>
        <v>0</v>
      </c>
      <c r="X101" s="567"/>
    </row>
    <row r="102" spans="1:24" ht="13.5" hidden="1" thickBot="1">
      <c r="A102" s="717"/>
      <c r="B102" s="781"/>
      <c r="C102" s="72" t="str">
        <f>'Kapitálové výdavky'!C103</f>
        <v>Vodná nádrž Levoča</v>
      </c>
      <c r="D102" s="70"/>
      <c r="E102" s="70"/>
      <c r="F102" s="70"/>
      <c r="G102" s="70"/>
      <c r="H102" s="69"/>
      <c r="I102" s="369"/>
      <c r="J102" s="370"/>
      <c r="K102" s="70"/>
      <c r="L102" s="57">
        <f>'Kapitálové výdavky'!P103</f>
        <v>0</v>
      </c>
      <c r="M102" s="57"/>
      <c r="N102" s="57"/>
      <c r="O102" s="57"/>
      <c r="P102" s="57"/>
      <c r="Q102" s="57"/>
      <c r="R102" s="57"/>
      <c r="S102" s="57"/>
      <c r="T102" s="57"/>
      <c r="U102" s="23">
        <f t="shared" si="15"/>
        <v>0</v>
      </c>
      <c r="X102" s="567"/>
    </row>
    <row r="103" spans="1:24" ht="13.5" hidden="1" thickBot="1">
      <c r="A103" s="714"/>
      <c r="B103" s="781"/>
      <c r="C103" s="146" t="str">
        <f>'Kapitálové výdavky'!C104</f>
        <v>Ihrisko WORK OUT</v>
      </c>
      <c r="D103" s="48"/>
      <c r="E103" s="48"/>
      <c r="F103" s="48"/>
      <c r="G103" s="48"/>
      <c r="H103" s="59"/>
      <c r="I103" s="391"/>
      <c r="J103" s="392"/>
      <c r="K103" s="48"/>
      <c r="L103" s="211">
        <f>'Kapitálové výdavky'!P104</f>
        <v>0</v>
      </c>
      <c r="M103" s="211"/>
      <c r="N103" s="211"/>
      <c r="O103" s="211"/>
      <c r="P103" s="211"/>
      <c r="Q103" s="211"/>
      <c r="R103" s="211"/>
      <c r="S103" s="211"/>
      <c r="T103" s="211"/>
      <c r="U103" s="78">
        <f t="shared" si="15"/>
        <v>0</v>
      </c>
      <c r="X103" s="567"/>
    </row>
    <row r="104" spans="1:24" ht="15.75" thickBot="1">
      <c r="A104" s="491" t="s">
        <v>75</v>
      </c>
      <c r="B104" s="844" t="str">
        <f>'Kapitálové výdavky'!B105:C105</f>
        <v>Kultúrne služby</v>
      </c>
      <c r="C104" s="844"/>
      <c r="D104" s="235"/>
      <c r="E104" s="235">
        <v>22472</v>
      </c>
      <c r="F104" s="235">
        <v>20713</v>
      </c>
      <c r="G104" s="235">
        <v>11074</v>
      </c>
      <c r="H104" s="235">
        <v>15914</v>
      </c>
      <c r="I104" s="138">
        <v>116842</v>
      </c>
      <c r="J104" s="235">
        <v>38905</v>
      </c>
      <c r="K104" s="67">
        <f>SUM(K105:K107)</f>
        <v>15848</v>
      </c>
      <c r="L104" s="489">
        <f>SUM(L105:L107)</f>
        <v>5000</v>
      </c>
      <c r="M104" s="489">
        <f>SUM(M105:M107)</f>
        <v>0</v>
      </c>
      <c r="N104" s="489">
        <f aca="true" t="shared" si="16" ref="N104:U104">SUM(N105:N107)</f>
        <v>0</v>
      </c>
      <c r="O104" s="489">
        <f t="shared" si="16"/>
        <v>0</v>
      </c>
      <c r="P104" s="489">
        <f t="shared" si="16"/>
        <v>0</v>
      </c>
      <c r="Q104" s="489">
        <f t="shared" si="16"/>
        <v>0</v>
      </c>
      <c r="R104" s="489">
        <f t="shared" si="16"/>
        <v>0</v>
      </c>
      <c r="S104" s="489">
        <f>SUM(S105:S107)</f>
        <v>5000</v>
      </c>
      <c r="T104" s="489">
        <f t="shared" si="16"/>
        <v>0</v>
      </c>
      <c r="U104" s="496">
        <f t="shared" si="16"/>
        <v>5000</v>
      </c>
      <c r="X104" s="567"/>
    </row>
    <row r="105" spans="1:24" ht="13.5" thickBot="1">
      <c r="A105" s="715"/>
      <c r="B105" s="772"/>
      <c r="C105" s="72" t="str">
        <f>'Kapitálové výdavky'!C106</f>
        <v>Príspevok pre MKS</v>
      </c>
      <c r="D105" s="94"/>
      <c r="E105" s="94"/>
      <c r="F105" s="94"/>
      <c r="G105" s="94"/>
      <c r="H105" s="55"/>
      <c r="I105" s="365"/>
      <c r="J105" s="366"/>
      <c r="K105" s="94">
        <v>7000</v>
      </c>
      <c r="L105" s="57">
        <v>5000</v>
      </c>
      <c r="M105" s="57"/>
      <c r="N105" s="57"/>
      <c r="O105" s="57"/>
      <c r="P105" s="57"/>
      <c r="Q105" s="57"/>
      <c r="R105" s="57"/>
      <c r="S105" s="57">
        <v>5000</v>
      </c>
      <c r="T105" s="57"/>
      <c r="U105" s="23">
        <f>SUM(M105:T105)</f>
        <v>5000</v>
      </c>
      <c r="X105" s="567"/>
    </row>
    <row r="106" spans="1:24" ht="12.75" customHeight="1" hidden="1">
      <c r="A106" s="718"/>
      <c r="B106" s="773"/>
      <c r="C106" s="72" t="str">
        <f>'Kapitálové výdavky'!C110</f>
        <v>Kultúra- puto spájajúce obyvateľov vidieka </v>
      </c>
      <c r="D106" s="70"/>
      <c r="E106" s="70"/>
      <c r="F106" s="70"/>
      <c r="G106" s="70"/>
      <c r="H106" s="69"/>
      <c r="I106" s="369"/>
      <c r="J106" s="370"/>
      <c r="K106" s="70"/>
      <c r="L106" s="89">
        <f>'Kapitálové výdavky'!P110</f>
        <v>0</v>
      </c>
      <c r="M106" s="89"/>
      <c r="N106" s="89"/>
      <c r="O106" s="89"/>
      <c r="P106" s="89"/>
      <c r="Q106" s="89"/>
      <c r="R106" s="89"/>
      <c r="S106" s="89"/>
      <c r="T106" s="89"/>
      <c r="U106" s="426">
        <f>SUM(M106:T106)</f>
        <v>0</v>
      </c>
      <c r="X106" s="567"/>
    </row>
    <row r="107" spans="1:24" ht="13.5" hidden="1" thickBot="1">
      <c r="A107" s="716"/>
      <c r="B107" s="773"/>
      <c r="C107" s="146" t="str">
        <f>'Kapitálové výdavky'!C111</f>
        <v>NMP č. 54 - divadlo, výmena okien II. etapa </v>
      </c>
      <c r="D107" s="48"/>
      <c r="E107" s="48"/>
      <c r="F107" s="48"/>
      <c r="G107" s="48"/>
      <c r="H107" s="59"/>
      <c r="I107" s="391"/>
      <c r="J107" s="392"/>
      <c r="K107" s="48">
        <v>8848</v>
      </c>
      <c r="L107" s="60">
        <f>'Kapitálové výdavky'!P111</f>
        <v>0</v>
      </c>
      <c r="M107" s="60"/>
      <c r="N107" s="60"/>
      <c r="O107" s="60"/>
      <c r="P107" s="60"/>
      <c r="Q107" s="60"/>
      <c r="R107" s="60"/>
      <c r="S107" s="60"/>
      <c r="T107" s="60"/>
      <c r="U107" s="49">
        <f>SUM(M107:T107)</f>
        <v>0</v>
      </c>
      <c r="X107" s="567"/>
    </row>
    <row r="108" spans="1:24" ht="15.75" thickBot="1">
      <c r="A108" s="491" t="s">
        <v>61</v>
      </c>
      <c r="B108" s="844" t="str">
        <f>'Kapitálové výdavky'!B112:C112</f>
        <v>Náboženské a iné spoločenské služby</v>
      </c>
      <c r="C108" s="844"/>
      <c r="D108" s="536"/>
      <c r="E108" s="536"/>
      <c r="F108" s="536"/>
      <c r="G108" s="536"/>
      <c r="H108" s="537"/>
      <c r="I108" s="538"/>
      <c r="J108" s="539"/>
      <c r="K108" s="540">
        <v>5500</v>
      </c>
      <c r="L108" s="489">
        <f>L109</f>
        <v>2367</v>
      </c>
      <c r="M108" s="489">
        <f aca="true" t="shared" si="17" ref="M108:T108">M109</f>
        <v>0</v>
      </c>
      <c r="N108" s="489">
        <f t="shared" si="17"/>
        <v>0</v>
      </c>
      <c r="O108" s="489">
        <f t="shared" si="17"/>
        <v>0</v>
      </c>
      <c r="P108" s="489">
        <f t="shared" si="17"/>
        <v>0</v>
      </c>
      <c r="Q108" s="489">
        <f t="shared" si="17"/>
        <v>0</v>
      </c>
      <c r="R108" s="489">
        <f t="shared" si="17"/>
        <v>0</v>
      </c>
      <c r="S108" s="489">
        <f>S109</f>
        <v>2367</v>
      </c>
      <c r="T108" s="489">
        <f t="shared" si="17"/>
        <v>0</v>
      </c>
      <c r="U108" s="496">
        <f>SUM(M108:T108)</f>
        <v>2367</v>
      </c>
      <c r="X108" s="567"/>
    </row>
    <row r="109" spans="1:24" ht="13.5" thickBot="1">
      <c r="A109" s="356"/>
      <c r="B109" s="358"/>
      <c r="C109" s="146" t="str">
        <f>'Kapitálové výdavky'!C113</f>
        <v>Príspevok pre TS - malotraktor</v>
      </c>
      <c r="D109" s="70"/>
      <c r="E109" s="70"/>
      <c r="F109" s="70"/>
      <c r="G109" s="70"/>
      <c r="H109" s="69"/>
      <c r="I109" s="369"/>
      <c r="J109" s="370"/>
      <c r="K109" s="70">
        <v>5500</v>
      </c>
      <c r="L109" s="44">
        <v>2367</v>
      </c>
      <c r="M109" s="44"/>
      <c r="N109" s="44"/>
      <c r="O109" s="44"/>
      <c r="P109" s="44"/>
      <c r="Q109" s="44"/>
      <c r="R109" s="44"/>
      <c r="S109" s="44">
        <v>2367</v>
      </c>
      <c r="T109" s="44"/>
      <c r="U109" s="27">
        <f>SUM(M109:T109)</f>
        <v>2367</v>
      </c>
      <c r="X109" s="567"/>
    </row>
    <row r="110" spans="1:24" ht="15.75" thickBot="1">
      <c r="A110" s="490" t="s">
        <v>6</v>
      </c>
      <c r="B110" s="844" t="str">
        <f>'Kapitálové výdavky'!B114:C114</f>
        <v>Školstvo</v>
      </c>
      <c r="C110" s="844"/>
      <c r="D110" s="235">
        <v>666567</v>
      </c>
      <c r="E110" s="235">
        <v>223164</v>
      </c>
      <c r="F110" s="235">
        <v>527019</v>
      </c>
      <c r="G110" s="235">
        <v>279677</v>
      </c>
      <c r="H110" s="235">
        <v>1160065</v>
      </c>
      <c r="I110" s="428">
        <v>2097438</v>
      </c>
      <c r="J110" s="235">
        <v>344577</v>
      </c>
      <c r="K110" s="67">
        <f aca="true" t="shared" si="18" ref="K110:U110">SUM(K111:K128)</f>
        <v>11076</v>
      </c>
      <c r="L110" s="489">
        <f t="shared" si="18"/>
        <v>744233</v>
      </c>
      <c r="M110" s="489">
        <f t="shared" si="18"/>
        <v>0</v>
      </c>
      <c r="N110" s="489">
        <f t="shared" si="18"/>
        <v>0</v>
      </c>
      <c r="O110" s="489">
        <f t="shared" si="18"/>
        <v>0</v>
      </c>
      <c r="P110" s="489">
        <f t="shared" si="18"/>
        <v>591596</v>
      </c>
      <c r="Q110" s="489">
        <f t="shared" si="18"/>
        <v>69000</v>
      </c>
      <c r="R110" s="489">
        <f t="shared" si="18"/>
        <v>0</v>
      </c>
      <c r="S110" s="489">
        <f>SUM(S111:S128)</f>
        <v>52500</v>
      </c>
      <c r="T110" s="489">
        <f t="shared" si="18"/>
        <v>31137</v>
      </c>
      <c r="U110" s="496">
        <f t="shared" si="18"/>
        <v>744233</v>
      </c>
      <c r="X110" s="567"/>
    </row>
    <row r="111" spans="1:24" ht="12.75" hidden="1">
      <c r="A111" s="715"/>
      <c r="B111" s="772"/>
      <c r="C111" s="43" t="str">
        <f>'Kapitálové výdavky'!C115</f>
        <v>MŠ Levočské lúky - vykurovanie</v>
      </c>
      <c r="D111" s="43">
        <f>'Kapitálové výdavky'!D115</f>
        <v>0</v>
      </c>
      <c r="E111" s="43">
        <f>'Kapitálové výdavky'!E115</f>
        <v>0</v>
      </c>
      <c r="F111" s="43">
        <f>'Kapitálové výdavky'!F115</f>
        <v>0</v>
      </c>
      <c r="G111" s="43">
        <f>'Kapitálové výdavky'!G115</f>
        <v>0</v>
      </c>
      <c r="H111" s="43">
        <f>'Kapitálové výdavky'!H115</f>
        <v>0</v>
      </c>
      <c r="I111" s="43">
        <f>'Kapitálové výdavky'!I115</f>
        <v>0</v>
      </c>
      <c r="J111" s="43">
        <f>'Kapitálové výdavky'!J115</f>
        <v>0</v>
      </c>
      <c r="K111" s="43">
        <f>'Kapitálové výdavky'!K115</f>
        <v>11076</v>
      </c>
      <c r="L111" s="44">
        <v>0</v>
      </c>
      <c r="M111" s="57"/>
      <c r="N111" s="57"/>
      <c r="O111" s="57"/>
      <c r="P111" s="57"/>
      <c r="Q111" s="57"/>
      <c r="R111" s="57"/>
      <c r="S111" s="57"/>
      <c r="T111" s="57"/>
      <c r="U111" s="23">
        <f aca="true" t="shared" si="19" ref="U111:U125">SUM(M111:T111)</f>
        <v>0</v>
      </c>
      <c r="X111" s="567"/>
    </row>
    <row r="112" spans="1:24" ht="12.75" hidden="1">
      <c r="A112" s="718"/>
      <c r="B112" s="773"/>
      <c r="C112" s="43" t="str">
        <f>'Kapitálové výdavky'!C116</f>
        <v>ZŠ G. Haina - telocvičňa</v>
      </c>
      <c r="D112" s="58"/>
      <c r="E112" s="58"/>
      <c r="F112" s="58"/>
      <c r="G112" s="58"/>
      <c r="H112" s="58"/>
      <c r="I112" s="359"/>
      <c r="J112" s="360"/>
      <c r="K112" s="26"/>
      <c r="L112" s="44">
        <v>0</v>
      </c>
      <c r="M112" s="57"/>
      <c r="N112" s="57"/>
      <c r="O112" s="57"/>
      <c r="P112" s="57"/>
      <c r="Q112" s="57"/>
      <c r="R112" s="57"/>
      <c r="S112" s="57"/>
      <c r="T112" s="57"/>
      <c r="U112" s="23">
        <f t="shared" si="19"/>
        <v>0</v>
      </c>
      <c r="X112" s="567"/>
    </row>
    <row r="113" spans="1:24" ht="12.75" hidden="1">
      <c r="A113" s="718"/>
      <c r="B113" s="773"/>
      <c r="C113" s="43" t="str">
        <f>'Kapitálové výdavky'!C117</f>
        <v>ZŠ G. Haina</v>
      </c>
      <c r="D113" s="58"/>
      <c r="E113" s="58"/>
      <c r="F113" s="58"/>
      <c r="G113" s="58"/>
      <c r="H113" s="58"/>
      <c r="I113" s="359"/>
      <c r="J113" s="360"/>
      <c r="K113" s="26"/>
      <c r="L113" s="44">
        <v>0</v>
      </c>
      <c r="M113" s="57"/>
      <c r="N113" s="57"/>
      <c r="O113" s="57"/>
      <c r="P113" s="57"/>
      <c r="Q113" s="57"/>
      <c r="R113" s="57"/>
      <c r="S113" s="57"/>
      <c r="T113" s="57"/>
      <c r="U113" s="23">
        <f t="shared" si="19"/>
        <v>0</v>
      </c>
      <c r="X113" s="567"/>
    </row>
    <row r="114" spans="1:24" ht="12.75" hidden="1">
      <c r="A114" s="718"/>
      <c r="B114" s="773"/>
      <c r="C114" s="43" t="str">
        <f>'Kapitálové výdavky'!C118</f>
        <v>ZŠ G. Haina</v>
      </c>
      <c r="D114" s="58"/>
      <c r="E114" s="58"/>
      <c r="F114" s="58"/>
      <c r="G114" s="58"/>
      <c r="H114" s="58"/>
      <c r="I114" s="359"/>
      <c r="J114" s="360"/>
      <c r="K114" s="26"/>
      <c r="L114" s="44">
        <v>0</v>
      </c>
      <c r="M114" s="57"/>
      <c r="N114" s="57"/>
      <c r="O114" s="57"/>
      <c r="P114" s="57"/>
      <c r="Q114" s="57"/>
      <c r="R114" s="57"/>
      <c r="S114" s="57"/>
      <c r="T114" s="57"/>
      <c r="U114" s="23">
        <f t="shared" si="19"/>
        <v>0</v>
      </c>
      <c r="X114" s="567"/>
    </row>
    <row r="115" spans="1:24" ht="12.75">
      <c r="A115" s="718"/>
      <c r="B115" s="773"/>
      <c r="C115" s="43" t="str">
        <f>'Kapitálové výdavky'!C119</f>
        <v>MŠ G. Haina</v>
      </c>
      <c r="D115" s="58"/>
      <c r="E115" s="58"/>
      <c r="F115" s="58"/>
      <c r="G115" s="58"/>
      <c r="H115" s="58"/>
      <c r="I115" s="359"/>
      <c r="J115" s="360"/>
      <c r="K115" s="26"/>
      <c r="L115" s="44">
        <v>622733</v>
      </c>
      <c r="M115" s="57"/>
      <c r="N115" s="57"/>
      <c r="O115" s="57"/>
      <c r="P115" s="57">
        <v>591596</v>
      </c>
      <c r="Q115" s="57"/>
      <c r="R115" s="57"/>
      <c r="S115" s="57"/>
      <c r="T115" s="57">
        <v>31137</v>
      </c>
      <c r="U115" s="23">
        <f t="shared" si="19"/>
        <v>622733</v>
      </c>
      <c r="X115" s="567"/>
    </row>
    <row r="116" spans="1:24" ht="12.75">
      <c r="A116" s="718"/>
      <c r="B116" s="773"/>
      <c r="C116" s="43" t="s">
        <v>468</v>
      </c>
      <c r="D116" s="58"/>
      <c r="E116" s="58"/>
      <c r="F116" s="58"/>
      <c r="G116" s="58"/>
      <c r="H116" s="58"/>
      <c r="I116" s="359"/>
      <c r="J116" s="360"/>
      <c r="K116" s="26"/>
      <c r="L116" s="44">
        <v>25000</v>
      </c>
      <c r="M116" s="57"/>
      <c r="N116" s="57"/>
      <c r="O116" s="57"/>
      <c r="P116" s="57"/>
      <c r="Q116" s="57"/>
      <c r="R116" s="57"/>
      <c r="S116" s="57">
        <v>25000</v>
      </c>
      <c r="T116" s="57"/>
      <c r="U116" s="23">
        <f t="shared" si="19"/>
        <v>25000</v>
      </c>
      <c r="X116" s="567"/>
    </row>
    <row r="117" spans="1:24" ht="12.75">
      <c r="A117" s="718"/>
      <c r="B117" s="773"/>
      <c r="C117" s="43" t="s">
        <v>469</v>
      </c>
      <c r="D117" s="58"/>
      <c r="E117" s="58"/>
      <c r="F117" s="58"/>
      <c r="G117" s="58"/>
      <c r="H117" s="58"/>
      <c r="I117" s="359"/>
      <c r="J117" s="360"/>
      <c r="K117" s="26"/>
      <c r="L117" s="44">
        <v>10000</v>
      </c>
      <c r="M117" s="57"/>
      <c r="N117" s="57"/>
      <c r="O117" s="57"/>
      <c r="P117" s="57"/>
      <c r="Q117" s="57"/>
      <c r="R117" s="57"/>
      <c r="S117" s="57">
        <v>10000</v>
      </c>
      <c r="T117" s="57"/>
      <c r="U117" s="23">
        <f t="shared" si="19"/>
        <v>10000</v>
      </c>
      <c r="X117" s="567"/>
    </row>
    <row r="118" spans="1:24" ht="13.5" thickBot="1">
      <c r="A118" s="718"/>
      <c r="B118" s="773"/>
      <c r="C118" s="43" t="s">
        <v>472</v>
      </c>
      <c r="D118" s="58"/>
      <c r="E118" s="58"/>
      <c r="F118" s="58"/>
      <c r="G118" s="58"/>
      <c r="H118" s="58"/>
      <c r="I118" s="359"/>
      <c r="J118" s="360"/>
      <c r="K118" s="26"/>
      <c r="L118" s="44">
        <v>86500</v>
      </c>
      <c r="M118" s="57"/>
      <c r="N118" s="57"/>
      <c r="O118" s="57"/>
      <c r="P118" s="57"/>
      <c r="Q118" s="57">
        <v>69000</v>
      </c>
      <c r="R118" s="57"/>
      <c r="S118" s="57">
        <v>17500</v>
      </c>
      <c r="T118" s="57"/>
      <c r="U118" s="23">
        <f t="shared" si="19"/>
        <v>86500</v>
      </c>
      <c r="X118" s="567"/>
    </row>
    <row r="119" spans="1:24" ht="12.75" hidden="1">
      <c r="A119" s="718"/>
      <c r="B119" s="773"/>
      <c r="C119" s="43" t="str">
        <f>'Kapitálové výdavky'!C121</f>
        <v>ZŠ Kluberta - kompetencie žiakov</v>
      </c>
      <c r="D119" s="58"/>
      <c r="E119" s="58"/>
      <c r="F119" s="58"/>
      <c r="G119" s="58"/>
      <c r="H119" s="58"/>
      <c r="I119" s="359"/>
      <c r="J119" s="360"/>
      <c r="K119" s="26"/>
      <c r="L119" s="44">
        <v>0</v>
      </c>
      <c r="M119" s="57"/>
      <c r="N119" s="57"/>
      <c r="O119" s="57"/>
      <c r="P119" s="57"/>
      <c r="Q119" s="57"/>
      <c r="R119" s="57"/>
      <c r="S119" s="57"/>
      <c r="T119" s="57"/>
      <c r="U119" s="23">
        <f t="shared" si="19"/>
        <v>0</v>
      </c>
      <c r="X119" s="567"/>
    </row>
    <row r="120" spans="1:24" ht="12.75" hidden="1">
      <c r="A120" s="718"/>
      <c r="B120" s="773"/>
      <c r="C120" s="43" t="str">
        <f>'Kapitálové výdavky'!C122</f>
        <v>ZŠ Francisciho - kompetencie žiakov</v>
      </c>
      <c r="D120" s="58"/>
      <c r="E120" s="58"/>
      <c r="F120" s="58"/>
      <c r="G120" s="58"/>
      <c r="H120" s="58"/>
      <c r="I120" s="359"/>
      <c r="J120" s="360"/>
      <c r="K120" s="26"/>
      <c r="L120" s="44">
        <v>0</v>
      </c>
      <c r="M120" s="57"/>
      <c r="N120" s="57"/>
      <c r="O120" s="57"/>
      <c r="P120" s="57"/>
      <c r="Q120" s="57"/>
      <c r="R120" s="57"/>
      <c r="S120" s="57"/>
      <c r="T120" s="57"/>
      <c r="U120" s="23">
        <f t="shared" si="19"/>
        <v>0</v>
      </c>
      <c r="X120" s="567"/>
    </row>
    <row r="121" spans="1:24" ht="12.75" hidden="1">
      <c r="A121" s="718"/>
      <c r="B121" s="773"/>
      <c r="C121" s="43" t="str">
        <f>'Kapitálové výdavky'!C123</f>
        <v>ZŠ G. Haina - kompetencie žiakov</v>
      </c>
      <c r="D121" s="58"/>
      <c r="E121" s="58"/>
      <c r="F121" s="58"/>
      <c r="G121" s="58"/>
      <c r="H121" s="58"/>
      <c r="I121" s="359"/>
      <c r="J121" s="360"/>
      <c r="K121" s="26"/>
      <c r="L121" s="44">
        <v>0</v>
      </c>
      <c r="M121" s="57"/>
      <c r="N121" s="57"/>
      <c r="O121" s="57"/>
      <c r="P121" s="57"/>
      <c r="Q121" s="57"/>
      <c r="R121" s="57"/>
      <c r="S121" s="57"/>
      <c r="T121" s="57"/>
      <c r="U121" s="23">
        <f t="shared" si="19"/>
        <v>0</v>
      </c>
      <c r="X121" s="567"/>
    </row>
    <row r="122" spans="1:24" ht="12.75" hidden="1">
      <c r="A122" s="718"/>
      <c r="B122" s="773"/>
      <c r="C122" s="43" t="str">
        <f>'Kapitálové výdavky'!C125</f>
        <v>ZUŠ - učebne</v>
      </c>
      <c r="D122" s="58"/>
      <c r="E122" s="58"/>
      <c r="F122" s="58"/>
      <c r="G122" s="58"/>
      <c r="H122" s="58"/>
      <c r="I122" s="359"/>
      <c r="J122" s="360"/>
      <c r="K122" s="26"/>
      <c r="L122" s="44">
        <f>'Kapitálové výdavky'!P125</f>
        <v>0</v>
      </c>
      <c r="M122" s="57"/>
      <c r="N122" s="57"/>
      <c r="O122" s="57"/>
      <c r="P122" s="57"/>
      <c r="Q122" s="57"/>
      <c r="R122" s="57"/>
      <c r="S122" s="57"/>
      <c r="T122" s="57"/>
      <c r="U122" s="23">
        <f t="shared" si="19"/>
        <v>0</v>
      </c>
      <c r="X122" s="567"/>
    </row>
    <row r="123" spans="1:24" ht="12.75" hidden="1">
      <c r="A123" s="718"/>
      <c r="B123" s="773"/>
      <c r="C123" s="43" t="str">
        <f>'Kapitálové výdavky'!C126</f>
        <v>ZŠ Kluberta telocvičňa</v>
      </c>
      <c r="D123" s="58"/>
      <c r="E123" s="58"/>
      <c r="F123" s="58"/>
      <c r="G123" s="58"/>
      <c r="H123" s="58"/>
      <c r="I123" s="359"/>
      <c r="J123" s="360"/>
      <c r="K123" s="26"/>
      <c r="L123" s="44">
        <f>'Kapitálové výdavky'!P126</f>
        <v>0</v>
      </c>
      <c r="M123" s="57"/>
      <c r="N123" s="57"/>
      <c r="O123" s="57"/>
      <c r="P123" s="57"/>
      <c r="Q123" s="57"/>
      <c r="R123" s="57"/>
      <c r="S123" s="57"/>
      <c r="T123" s="57"/>
      <c r="U123" s="23">
        <f t="shared" si="19"/>
        <v>0</v>
      </c>
      <c r="X123" s="567"/>
    </row>
    <row r="124" spans="1:24" ht="12.75" hidden="1">
      <c r="A124" s="718"/>
      <c r="B124" s="773"/>
      <c r="C124" s="43" t="str">
        <f>'Kapitálové výdavky'!C127</f>
        <v>MŠ Francisciho - strecha</v>
      </c>
      <c r="D124" s="58"/>
      <c r="E124" s="58"/>
      <c r="F124" s="58"/>
      <c r="G124" s="58"/>
      <c r="H124" s="58"/>
      <c r="I124" s="359"/>
      <c r="J124" s="360"/>
      <c r="K124" s="26"/>
      <c r="L124" s="44">
        <f>'Kapitálové výdavky'!P127</f>
        <v>0</v>
      </c>
      <c r="M124" s="57"/>
      <c r="N124" s="57"/>
      <c r="O124" s="57"/>
      <c r="P124" s="57"/>
      <c r="Q124" s="57"/>
      <c r="R124" s="57"/>
      <c r="S124" s="57"/>
      <c r="T124" s="57"/>
      <c r="U124" s="23">
        <f t="shared" si="19"/>
        <v>0</v>
      </c>
      <c r="X124" s="567"/>
    </row>
    <row r="125" spans="1:24" ht="12.75" hidden="1">
      <c r="A125" s="718"/>
      <c r="B125" s="773"/>
      <c r="C125" s="43" t="str">
        <f>'Kapitálové výdavky'!C128</f>
        <v>CVČ - Mantinely</v>
      </c>
      <c r="D125" s="58"/>
      <c r="E125" s="58"/>
      <c r="F125" s="58"/>
      <c r="G125" s="58"/>
      <c r="H125" s="58"/>
      <c r="I125" s="359"/>
      <c r="J125" s="360"/>
      <c r="K125" s="26"/>
      <c r="L125" s="44">
        <f>'Kapitálové výdavky'!P128</f>
        <v>0</v>
      </c>
      <c r="M125" s="57"/>
      <c r="N125" s="57"/>
      <c r="O125" s="57"/>
      <c r="P125" s="57"/>
      <c r="Q125" s="57"/>
      <c r="R125" s="57"/>
      <c r="S125" s="57"/>
      <c r="T125" s="57"/>
      <c r="U125" s="23">
        <f t="shared" si="19"/>
        <v>0</v>
      </c>
      <c r="X125" s="567"/>
    </row>
    <row r="126" spans="1:24" ht="12.75" hidden="1">
      <c r="A126" s="718"/>
      <c r="B126" s="773"/>
      <c r="C126" s="43" t="str">
        <f>'Kapitálové výdavky'!C129</f>
        <v>ZŠ Francisciho - vybavenie ŠJ</v>
      </c>
      <c r="D126" s="58"/>
      <c r="E126" s="58"/>
      <c r="F126" s="58"/>
      <c r="G126" s="58"/>
      <c r="H126" s="58"/>
      <c r="I126" s="359"/>
      <c r="J126" s="360"/>
      <c r="K126" s="26"/>
      <c r="L126" s="44">
        <f>'Kapitálové výdavky'!P129</f>
        <v>0</v>
      </c>
      <c r="M126" s="57"/>
      <c r="N126" s="57"/>
      <c r="O126" s="57"/>
      <c r="P126" s="44"/>
      <c r="Q126" s="57"/>
      <c r="R126" s="57"/>
      <c r="S126" s="57"/>
      <c r="T126" s="57"/>
      <c r="U126" s="23">
        <f>SUM(M126:T126)</f>
        <v>0</v>
      </c>
      <c r="X126" s="567"/>
    </row>
    <row r="127" spans="1:24" ht="12.75" hidden="1">
      <c r="A127" s="718"/>
      <c r="B127" s="773"/>
      <c r="C127" s="43" t="str">
        <f>'Kapitálové výdavky'!C130</f>
        <v>ZUŠ</v>
      </c>
      <c r="D127" s="58"/>
      <c r="E127" s="58"/>
      <c r="F127" s="58"/>
      <c r="G127" s="58"/>
      <c r="H127" s="58"/>
      <c r="I127" s="359"/>
      <c r="J127" s="360"/>
      <c r="K127" s="26"/>
      <c r="L127" s="44">
        <f>'Kapitálové výdavky'!P130</f>
        <v>0</v>
      </c>
      <c r="M127" s="57"/>
      <c r="N127" s="57"/>
      <c r="O127" s="57"/>
      <c r="P127" s="57"/>
      <c r="Q127" s="57"/>
      <c r="R127" s="57"/>
      <c r="S127" s="57"/>
      <c r="T127" s="57"/>
      <c r="U127" s="23">
        <f>SUM(M127:T127)</f>
        <v>0</v>
      </c>
      <c r="X127" s="567"/>
    </row>
    <row r="128" spans="1:24" ht="13.5" hidden="1" thickBot="1">
      <c r="A128" s="718"/>
      <c r="B128" s="773"/>
      <c r="C128" s="43" t="str">
        <f>'Kapitálové výdavky'!C131</f>
        <v>MŠ Haina - PD</v>
      </c>
      <c r="D128" s="58"/>
      <c r="E128" s="58"/>
      <c r="F128" s="58"/>
      <c r="G128" s="58"/>
      <c r="H128" s="58"/>
      <c r="I128" s="359"/>
      <c r="J128" s="360"/>
      <c r="K128" s="26"/>
      <c r="L128" s="44">
        <f>'Kapitálové výdavky'!P131</f>
        <v>0</v>
      </c>
      <c r="M128" s="57"/>
      <c r="N128" s="57"/>
      <c r="O128" s="57"/>
      <c r="P128" s="57"/>
      <c r="Q128" s="57"/>
      <c r="R128" s="57"/>
      <c r="S128" s="57"/>
      <c r="T128" s="57"/>
      <c r="U128" s="23">
        <f>SUM(M128:T128)</f>
        <v>0</v>
      </c>
      <c r="X128" s="567"/>
    </row>
    <row r="129" spans="1:24" ht="15.75" hidden="1" thickBot="1">
      <c r="A129" s="213" t="s">
        <v>19</v>
      </c>
      <c r="B129" s="688" t="s">
        <v>20</v>
      </c>
      <c r="C129" s="705"/>
      <c r="D129" s="6"/>
      <c r="E129" s="6"/>
      <c r="F129" s="6"/>
      <c r="G129" s="6"/>
      <c r="H129" s="6"/>
      <c r="I129" s="278">
        <v>104542</v>
      </c>
      <c r="J129" s="214">
        <v>66000</v>
      </c>
      <c r="K129" s="67">
        <f>K130+K131</f>
        <v>0</v>
      </c>
      <c r="L129" s="67"/>
      <c r="M129" s="67"/>
      <c r="N129" s="67"/>
      <c r="O129" s="67"/>
      <c r="P129" s="67"/>
      <c r="Q129" s="67"/>
      <c r="R129" s="67"/>
      <c r="S129" s="67"/>
      <c r="T129" s="67"/>
      <c r="U129" s="68"/>
      <c r="X129" s="567"/>
    </row>
    <row r="130" spans="1:24" ht="12.75" hidden="1">
      <c r="A130" s="429"/>
      <c r="B130" s="430"/>
      <c r="C130" s="430"/>
      <c r="D130" s="430"/>
      <c r="E130" s="430"/>
      <c r="F130" s="430"/>
      <c r="G130" s="430"/>
      <c r="H130" s="430"/>
      <c r="I130" s="430"/>
      <c r="J130" s="430"/>
      <c r="K130" s="430"/>
      <c r="L130" s="133"/>
      <c r="M130" s="133"/>
      <c r="N130" s="133"/>
      <c r="O130" s="133"/>
      <c r="P130" s="133"/>
      <c r="Q130" s="133"/>
      <c r="R130" s="133"/>
      <c r="S130" s="133"/>
      <c r="T130" s="133"/>
      <c r="U130" s="431"/>
      <c r="X130" s="567"/>
    </row>
    <row r="131" spans="1:24" ht="13.5" hidden="1" thickBot="1">
      <c r="A131" s="356"/>
      <c r="B131" s="358"/>
      <c r="C131" s="146" t="s">
        <v>62</v>
      </c>
      <c r="D131" s="69"/>
      <c r="E131" s="69"/>
      <c r="F131" s="69"/>
      <c r="G131" s="69"/>
      <c r="H131" s="69"/>
      <c r="I131" s="69"/>
      <c r="J131" s="69"/>
      <c r="K131" s="70"/>
      <c r="L131" s="243"/>
      <c r="M131" s="243"/>
      <c r="N131" s="243"/>
      <c r="O131" s="243"/>
      <c r="P131" s="243"/>
      <c r="Q131" s="243"/>
      <c r="R131" s="243"/>
      <c r="S131" s="243"/>
      <c r="T131" s="243"/>
      <c r="U131" s="71"/>
      <c r="X131" s="567"/>
    </row>
    <row r="132" spans="1:24" ht="15.75" thickBot="1">
      <c r="A132" s="657" t="s">
        <v>63</v>
      </c>
      <c r="B132" s="848" t="str">
        <f>'Kapitálové výdavky'!B135:C135</f>
        <v>Sociálna pomoc občanom v hmotnej a sociálnej núdzi</v>
      </c>
      <c r="C132" s="848"/>
      <c r="D132" s="658"/>
      <c r="E132" s="658"/>
      <c r="F132" s="658"/>
      <c r="G132" s="658"/>
      <c r="H132" s="658"/>
      <c r="I132" s="659">
        <f>I133</f>
        <v>0</v>
      </c>
      <c r="J132" s="659">
        <f>J133</f>
        <v>0</v>
      </c>
      <c r="K132" s="659">
        <f>K133</f>
        <v>0</v>
      </c>
      <c r="L132" s="660">
        <f>L133</f>
        <v>6000</v>
      </c>
      <c r="M132" s="660">
        <f aca="true" t="shared" si="20" ref="M132:U132">M133</f>
        <v>6000</v>
      </c>
      <c r="N132" s="660">
        <f t="shared" si="20"/>
        <v>0</v>
      </c>
      <c r="O132" s="660">
        <f t="shared" si="20"/>
        <v>0</v>
      </c>
      <c r="P132" s="660">
        <f t="shared" si="20"/>
        <v>0</v>
      </c>
      <c r="Q132" s="660">
        <f t="shared" si="20"/>
        <v>0</v>
      </c>
      <c r="R132" s="660">
        <f t="shared" si="20"/>
        <v>0</v>
      </c>
      <c r="S132" s="660">
        <f t="shared" si="20"/>
        <v>0</v>
      </c>
      <c r="T132" s="660">
        <f t="shared" si="20"/>
        <v>0</v>
      </c>
      <c r="U132" s="661">
        <f t="shared" si="20"/>
        <v>6000</v>
      </c>
      <c r="X132" s="567"/>
    </row>
    <row r="133" spans="1:24" ht="13.5" thickBot="1">
      <c r="A133" s="356"/>
      <c r="B133" s="358"/>
      <c r="C133" s="72" t="str">
        <f>'Kapitálové výdavky'!C136</f>
        <v>komunitné centrum</v>
      </c>
      <c r="D133" s="430"/>
      <c r="E133" s="430"/>
      <c r="F133" s="430"/>
      <c r="G133" s="430"/>
      <c r="H133" s="430"/>
      <c r="I133" s="69"/>
      <c r="J133" s="69"/>
      <c r="K133" s="70"/>
      <c r="L133" s="243">
        <v>6000</v>
      </c>
      <c r="M133" s="243">
        <v>6000</v>
      </c>
      <c r="N133" s="243"/>
      <c r="O133" s="243"/>
      <c r="P133" s="243"/>
      <c r="Q133" s="243"/>
      <c r="R133" s="243"/>
      <c r="S133" s="243"/>
      <c r="T133" s="243"/>
      <c r="U133" s="71">
        <f>SUM(M133:T133)</f>
        <v>6000</v>
      </c>
      <c r="X133" s="567"/>
    </row>
    <row r="134" spans="1:24" ht="17.25" thickBot="1" thickTop="1">
      <c r="A134" s="839" t="s">
        <v>64</v>
      </c>
      <c r="B134" s="840"/>
      <c r="C134" s="840"/>
      <c r="D134" s="497">
        <v>2988050</v>
      </c>
      <c r="E134" s="497">
        <v>1793069</v>
      </c>
      <c r="F134" s="497">
        <v>2942409</v>
      </c>
      <c r="G134" s="497">
        <v>4880528</v>
      </c>
      <c r="H134" s="497">
        <f aca="true" t="shared" si="21" ref="H134:U134">H110+H95+H104+H91+H70+H67+H60+H58+H52+H30+H12+H9+H5+H108+H129+H132</f>
        <v>5977301</v>
      </c>
      <c r="I134" s="497">
        <f t="shared" si="21"/>
        <v>5818483</v>
      </c>
      <c r="J134" s="497">
        <f t="shared" si="21"/>
        <v>4719096</v>
      </c>
      <c r="K134" s="497">
        <f t="shared" si="21"/>
        <v>3191223</v>
      </c>
      <c r="L134" s="497">
        <f t="shared" si="21"/>
        <v>2819731</v>
      </c>
      <c r="M134" s="497">
        <f t="shared" si="21"/>
        <v>87795</v>
      </c>
      <c r="N134" s="497">
        <f t="shared" si="21"/>
        <v>175500</v>
      </c>
      <c r="O134" s="497">
        <f t="shared" si="21"/>
        <v>0</v>
      </c>
      <c r="P134" s="497">
        <f t="shared" si="21"/>
        <v>1233358</v>
      </c>
      <c r="Q134" s="497">
        <f t="shared" si="21"/>
        <v>616586</v>
      </c>
      <c r="R134" s="497">
        <f t="shared" si="21"/>
        <v>0</v>
      </c>
      <c r="S134" s="497">
        <f>S110+S95+S104+S91+S70+S67+S60+S58+S52+S30+S12+S9+S5+S108+S129+S132</f>
        <v>667742</v>
      </c>
      <c r="T134" s="497">
        <f t="shared" si="21"/>
        <v>38750</v>
      </c>
      <c r="U134" s="498">
        <f t="shared" si="21"/>
        <v>2819731</v>
      </c>
      <c r="X134" s="567"/>
    </row>
    <row r="135" ht="13.5" thickTop="1"/>
    <row r="136" spans="13:21" ht="12.75">
      <c r="M136" s="567"/>
      <c r="S136" s="567"/>
      <c r="U136" s="567"/>
    </row>
    <row r="137" ht="12.75">
      <c r="S137" s="567"/>
    </row>
    <row r="138" ht="12.75">
      <c r="S138" s="567"/>
    </row>
    <row r="139" spans="20:21" ht="12.75">
      <c r="T139" s="567"/>
      <c r="U139" s="567"/>
    </row>
    <row r="140" ht="12.75">
      <c r="S140" s="567"/>
    </row>
    <row r="142" ht="12.75">
      <c r="U142" s="567"/>
    </row>
  </sheetData>
  <sheetProtection/>
  <mergeCells count="56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I3:I4"/>
    <mergeCell ref="J3:J4"/>
    <mergeCell ref="K3:K4"/>
    <mergeCell ref="B9:C9"/>
    <mergeCell ref="B10:B11"/>
    <mergeCell ref="B12:C12"/>
    <mergeCell ref="A13:A29"/>
    <mergeCell ref="B13:B29"/>
    <mergeCell ref="B30:C30"/>
    <mergeCell ref="B5:C5"/>
    <mergeCell ref="B6:B7"/>
    <mergeCell ref="B129:C129"/>
    <mergeCell ref="B132:C132"/>
    <mergeCell ref="B70:C70"/>
    <mergeCell ref="A71:A90"/>
    <mergeCell ref="B71:B90"/>
    <mergeCell ref="B91:C91"/>
    <mergeCell ref="A61:A66"/>
    <mergeCell ref="B61:B66"/>
    <mergeCell ref="A10:A11"/>
    <mergeCell ref="A105:A107"/>
    <mergeCell ref="B105:B107"/>
    <mergeCell ref="B55:B57"/>
    <mergeCell ref="A55:A57"/>
    <mergeCell ref="B52:C52"/>
    <mergeCell ref="B60:C60"/>
    <mergeCell ref="B53:B54"/>
    <mergeCell ref="B110:C110"/>
    <mergeCell ref="A111:A128"/>
    <mergeCell ref="B111:B128"/>
    <mergeCell ref="B67:C67"/>
    <mergeCell ref="A68:A69"/>
    <mergeCell ref="B68:B69"/>
    <mergeCell ref="B95:C95"/>
    <mergeCell ref="A96:A103"/>
    <mergeCell ref="B96:B103"/>
    <mergeCell ref="B104:C104"/>
    <mergeCell ref="A6:A8"/>
    <mergeCell ref="A1:U1"/>
    <mergeCell ref="A134:C134"/>
    <mergeCell ref="M3:T3"/>
    <mergeCell ref="U3:U4"/>
    <mergeCell ref="B58:C58"/>
    <mergeCell ref="A31:A51"/>
    <mergeCell ref="B31:B51"/>
    <mergeCell ref="A53:A54"/>
    <mergeCell ref="B108:C108"/>
  </mergeCells>
  <printOptions/>
  <pageMargins left="0.1968503937007874" right="0.15748031496062992" top="0.1968503937007874" bottom="0.1968503937007874" header="0" footer="0"/>
  <pageSetup horizontalDpi="600" verticalDpi="600" orientation="landscape" paperSize="9" scale="75" r:id="rId1"/>
  <rowBreaks count="1" manualBreakCount="1">
    <brk id="134" max="255" man="1"/>
  </rowBreaks>
  <colBreaks count="1" manualBreakCount="1">
    <brk id="21" max="65535" man="1"/>
  </colBreaks>
  <ignoredErrors>
    <ignoredError sqref="A9 A12 A30 A52 A126:A128 A58:A112 A129:A132" twoDigitTextYear="1"/>
    <ignoredError sqref="U126:U132 U134" formula="1"/>
    <ignoredError sqref="U3:U4 U60:U69 U111:U121 U48:U51 U10:U11 U13:U29 U38:U45 U6:U8" formulaRange="1"/>
    <ignoredError sqref="U30:U37 U70:U110 U52:U59 U12 U9 U13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2018-05-02T08:10:08Z</cp:lastPrinted>
  <dcterms:created xsi:type="dcterms:W3CDTF">2009-12-28T11:25:53Z</dcterms:created>
  <dcterms:modified xsi:type="dcterms:W3CDTF">2018-05-02T08:19:18Z</dcterms:modified>
  <cp:category/>
  <cp:version/>
  <cp:contentType/>
  <cp:contentStatus/>
</cp:coreProperties>
</file>