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tabRatio="596" activeTab="0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  <sheet name="krytie" sheetId="7" r:id="rId7"/>
  </sheets>
  <definedNames>
    <definedName name="_xlnm.Print_Area" localSheetId="0">'BEŽNÉ PRÍJMY'!$A$1:$Q$98</definedName>
    <definedName name="_xlnm.Print_Area" localSheetId="3">'KAPITÁLVÉ VÝDAVKY'!$A$1:$Q$93</definedName>
  </definedNames>
  <calcPr fullCalcOnLoad="1"/>
</workbook>
</file>

<file path=xl/sharedStrings.xml><?xml version="1.0" encoding="utf-8"?>
<sst xmlns="http://schemas.openxmlformats.org/spreadsheetml/2006/main" count="747" uniqueCount="423">
  <si>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</si>
  <si>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</si>
  <si>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</si>
  <si>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</si>
  <si>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</si>
  <si>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</si>
  <si>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</si>
  <si>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</si>
  <si>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</si>
  <si>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Vojenská obrana</t>
  </si>
  <si>
    <t>Civilná ochrana</t>
  </si>
  <si>
    <t>Policajné služby</t>
  </si>
  <si>
    <t>Požiarna ochrana</t>
  </si>
  <si>
    <t>Požiarná ochrana</t>
  </si>
  <si>
    <t>Veterinárna oblasť</t>
  </si>
  <si>
    <t>Doprava</t>
  </si>
  <si>
    <t>Cestovný ruch</t>
  </si>
  <si>
    <t>Propagácia, reklama a inzercia</t>
  </si>
  <si>
    <t>UNESCO</t>
  </si>
  <si>
    <t>Slovenské kráľovské mestá</t>
  </si>
  <si>
    <t>Chránená dielňa</t>
  </si>
  <si>
    <t>05.1</t>
  </si>
  <si>
    <t>Nákladanie s odpadmi</t>
  </si>
  <si>
    <t>Stavebný úrad</t>
  </si>
  <si>
    <t xml:space="preserve">Životné prostredie </t>
  </si>
  <si>
    <t>Štátny fond rozvoja bývania</t>
  </si>
  <si>
    <t>Zásobovanie vodou</t>
  </si>
  <si>
    <t>Kultúrne služby</t>
  </si>
  <si>
    <t>Náklady na obradné siene / APO/</t>
  </si>
  <si>
    <t>Náboženské a iné spoločenské služby</t>
  </si>
  <si>
    <t>Školstvo</t>
  </si>
  <si>
    <t>Školský úrad</t>
  </si>
  <si>
    <t>Náklady na  stredisko služieb škole</t>
  </si>
  <si>
    <t>Zariadenia sociálnych služieb - staroba</t>
  </si>
  <si>
    <t>Náklady na jedáleň</t>
  </si>
  <si>
    <t>Náklady na Klub dôchodcov</t>
  </si>
  <si>
    <t>Komunitná soc. práca</t>
  </si>
  <si>
    <t>Prídavky na deti</t>
  </si>
  <si>
    <t>Stravovanie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</si>
  <si>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</si>
  <si>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</si>
  <si>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</si>
  <si>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</si>
  <si>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</si>
  <si>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</si>
  <si>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</si>
  <si>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</si>
  <si>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</si>
  <si>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01.1.1.6</t>
  </si>
  <si>
    <t>Auditorská činnosť</t>
  </si>
  <si>
    <t>Poplatky banke</t>
  </si>
  <si>
    <t>01.3.3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</si>
  <si>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</si>
  <si>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</si>
  <si>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</si>
  <si>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</si>
  <si>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</si>
  <si>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Ďalšie služby - opatrovateľská služba</t>
  </si>
  <si>
    <t>Detské jasle</t>
  </si>
  <si>
    <t>Časť 1.1.1. Príjmy bežného rozpočtu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</si>
  <si>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</si>
  <si>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</si>
  <si>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</si>
  <si>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</si>
  <si>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</si>
  <si>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</si>
  <si>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</si>
  <si>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</si>
  <si>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</si>
  <si>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</si>
  <si>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</si>
  <si>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</si>
  <si>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</si>
  <si>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</si>
  <si>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</si>
  <si>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</si>
  <si>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</si>
  <si>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</si>
  <si>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</si>
  <si>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</si>
  <si>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</si>
  <si>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</si>
  <si>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</si>
  <si>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</si>
  <si>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</si>
  <si>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</si>
  <si>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</si>
  <si>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</si>
  <si>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</si>
  <si>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</si>
  <si>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</si>
  <si>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</si>
  <si>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</si>
  <si>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</si>
  <si>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</si>
  <si>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</si>
  <si>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</si>
  <si>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</si>
  <si>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</si>
  <si>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</si>
  <si>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</si>
  <si>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</si>
  <si>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</si>
  <si>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</si>
  <si>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</si>
  <si>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</si>
  <si>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</si>
  <si>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</si>
  <si>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</si>
  <si>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</si>
  <si>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t xml:space="preserve">     z predaja hnuteľného majetku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</si>
  <si>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</si>
  <si>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</si>
  <si>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</si>
  <si>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</si>
  <si>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</si>
  <si>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</si>
  <si>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</si>
  <si>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</si>
  <si>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</si>
  <si>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</si>
  <si>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</si>
  <si>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</si>
  <si>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</si>
  <si>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</si>
  <si>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</si>
  <si>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</si>
  <si>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</si>
  <si>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</si>
  <si>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</si>
  <si>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</si>
  <si>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</si>
  <si>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</si>
  <si>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</si>
  <si>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</si>
  <si>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</si>
  <si>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</si>
  <si>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</si>
  <si>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</si>
  <si>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</si>
  <si>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</si>
  <si>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</si>
  <si>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</si>
  <si>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</si>
  <si>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</si>
  <si>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</si>
  <si>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</si>
  <si>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</si>
  <si>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</si>
  <si>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</si>
  <si>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</si>
  <si>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</si>
  <si>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</si>
  <si>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</si>
  <si>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</si>
  <si>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</si>
  <si>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</si>
  <si>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</si>
  <si>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</si>
  <si>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</si>
  <si>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</si>
  <si>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</si>
  <si>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</si>
  <si>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</si>
  <si>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Splácanie bankových úverov dlhodobých</t>
  </si>
  <si>
    <t>Chránená dielňa 1</t>
  </si>
  <si>
    <t>Chránená dielňa 2</t>
  </si>
  <si>
    <t>Chránená dielňa 3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</si>
  <si>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</si>
  <si>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</si>
  <si>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</si>
  <si>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</si>
  <si>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</si>
  <si>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</si>
  <si>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</si>
  <si>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</si>
  <si>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</si>
  <si>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</si>
  <si>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</si>
  <si>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</si>
  <si>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</si>
  <si>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</si>
  <si>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 xml:space="preserve">REKAPITULÁCIA  PRÍJMOV  A  VÝDAVKOV </t>
  </si>
  <si>
    <t>Transfer REGOB</t>
  </si>
  <si>
    <t>Iné všeobecné služby-matrika</t>
  </si>
  <si>
    <t>Ochrana životného prostredia</t>
  </si>
  <si>
    <t>Partnerské mestá</t>
  </si>
  <si>
    <t>leasing</t>
  </si>
  <si>
    <t>REGOB</t>
  </si>
  <si>
    <t>finančný prenájom</t>
  </si>
  <si>
    <t>Káblová televízia - štúdia</t>
  </si>
  <si>
    <t>Transfer KÚCD a PK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</si>
  <si>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</si>
  <si>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</si>
  <si>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</si>
  <si>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</si>
  <si>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</si>
  <si>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</si>
  <si>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</si>
  <si>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</si>
  <si>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</si>
  <si>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</si>
  <si>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</si>
  <si>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</si>
  <si>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Príspevok pre TS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</si>
  <si>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</si>
  <si>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</si>
  <si>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</si>
  <si>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</si>
  <si>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</si>
  <si>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</si>
  <si>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Tranfer na Technické služby</t>
  </si>
  <si>
    <t>ZŠ Francisciho - školská infraštruk.</t>
  </si>
  <si>
    <t>Technické služby-cint. služby</t>
  </si>
  <si>
    <t>Karpatské klim. mestečká</t>
  </si>
  <si>
    <t>Voda - Lev.Lúky</t>
  </si>
  <si>
    <t>Odvod z výťažku 5%</t>
  </si>
  <si>
    <t>Objekt VNsP</t>
  </si>
  <si>
    <t>Splácanie bankových úverov ŠFRB</t>
  </si>
  <si>
    <t>Územný plán mesta</t>
  </si>
  <si>
    <t xml:space="preserve">Prestavba NMP I. etapa </t>
  </si>
  <si>
    <t>630</t>
  </si>
  <si>
    <t>Uzat.a rek.skládky KO D.Stráže</t>
  </si>
  <si>
    <t>ZŠ Francisciho 11 škol. infra.</t>
  </si>
  <si>
    <t>ZŠ G. Haina 37 škol. infra.</t>
  </si>
  <si>
    <t>Hnedý priemyselný park</t>
  </si>
  <si>
    <t>Bytové priestory</t>
  </si>
  <si>
    <t>Nebytové priestory</t>
  </si>
  <si>
    <t xml:space="preserve">Dar "Dni Majstra Pavla" </t>
  </si>
  <si>
    <t>Splácanie bankových úverov krátkodobých</t>
  </si>
  <si>
    <t>MPV most LD</t>
  </si>
  <si>
    <t>08.4.0.</t>
  </si>
  <si>
    <t>Kostol sv. Jakuba</t>
  </si>
  <si>
    <t>Rekapitulácia</t>
  </si>
  <si>
    <t>08.2.0.</t>
  </si>
  <si>
    <t>MŠ Žel. riadok - škol. Infra.</t>
  </si>
  <si>
    <t>Komuntná sociálna práca</t>
  </si>
  <si>
    <t>Dni Majstra Pavla</t>
  </si>
  <si>
    <t>ZUŠ - hudobné nástroje</t>
  </si>
  <si>
    <t>Vojnové hroby</t>
  </si>
  <si>
    <t>Chránené dielne</t>
  </si>
  <si>
    <t>Povodňová aktivita</t>
  </si>
  <si>
    <t>Protipovodňové aktivity</t>
  </si>
  <si>
    <t>PD - DSS</t>
  </si>
  <si>
    <t>Dopravné značenie</t>
  </si>
  <si>
    <t>Obnova hradobného múru</t>
  </si>
  <si>
    <t>nákup objekt Pisarčiná</t>
  </si>
  <si>
    <t>Ostatné transfery na  kultúru</t>
  </si>
  <si>
    <t>Cestná doprava / transfer SAD /</t>
  </si>
  <si>
    <t>Transfer pre TS (SÚZ)</t>
  </si>
  <si>
    <t>Potravinová pomoc</t>
  </si>
  <si>
    <t>Medzinárodný zraz turistov</t>
  </si>
  <si>
    <t>Značenie Levočské vrchy</t>
  </si>
  <si>
    <t>MPV Ovocinárska</t>
  </si>
  <si>
    <t>Lev. Lúky - zádveria</t>
  </si>
  <si>
    <t>chata Kohlwald</t>
  </si>
  <si>
    <t>Časť 1.1 Bežný rozpočet</t>
  </si>
  <si>
    <t xml:space="preserve">NMP č. 54 - divadlo, výmena okien II. etapa </t>
  </si>
  <si>
    <t>Spevnenie svahu sidl. Západ</t>
  </si>
  <si>
    <t>Odkanalizovanie ul. Štúrová</t>
  </si>
  <si>
    <t>Kostol sv. Jakuba - strecha</t>
  </si>
  <si>
    <t xml:space="preserve">Prestavba N.M.P. I. etapa </t>
  </si>
  <si>
    <t>Projektová dokumentácia</t>
  </si>
  <si>
    <t>Podvozok nosič nadstavby</t>
  </si>
  <si>
    <t xml:space="preserve">kamerový systém </t>
  </si>
  <si>
    <t>Daň z príjmu</t>
  </si>
  <si>
    <t>Radnica a zvonica NMP č.2</t>
  </si>
  <si>
    <t>MK Radnica a zvonica NMP č.2</t>
  </si>
  <si>
    <t>MK Kostol sv. Jakuba</t>
  </si>
  <si>
    <t>Oprava parkanového múru</t>
  </si>
  <si>
    <t>MK Oprava parkanového múru</t>
  </si>
  <si>
    <t>ZŠ G. Haina - hromozvody, technológia ŠJ</t>
  </si>
  <si>
    <t>rekonštrukcia cesty Mengusovská</t>
  </si>
  <si>
    <t>rekonštrukciu cesty ul. Vodárenská</t>
  </si>
  <si>
    <t>odvodnenie, sídl. Pri prameni</t>
  </si>
  <si>
    <t>výstavba parkoviska sídl, Západ II.</t>
  </si>
  <si>
    <t>prejazdová váha - stavebné práce</t>
  </si>
  <si>
    <t>bežné transfery</t>
  </si>
  <si>
    <t>voľby</t>
  </si>
  <si>
    <t>Prevod na fond nevyčerpaných dotácií</t>
  </si>
  <si>
    <t>Za propagáciu</t>
  </si>
  <si>
    <t>Obce TKO</t>
  </si>
  <si>
    <t>Prestavba NMP I. etapa</t>
  </si>
  <si>
    <t>Basket. ihrisko sídl. Pri prameni</t>
  </si>
  <si>
    <t>Levočská Dolina (Suchý)</t>
  </si>
  <si>
    <t>ul. V. Greschika – garáže</t>
  </si>
  <si>
    <t>Levočské Lúky majetkoprávne vysp.</t>
  </si>
  <si>
    <t>z pozemkov</t>
  </si>
  <si>
    <t>nákup dodávkov.vozidla (údržba domov a bytov)</t>
  </si>
  <si>
    <t>Nám. Majstra Pavla 50,51 -PD (FRB)</t>
  </si>
  <si>
    <t>MPV pozemkov pre most Lev. Dolina</t>
  </si>
  <si>
    <t>MPV stavba Strelnica</t>
  </si>
  <si>
    <t>Prestavba NMP - I.etapa - Exter. manaž.</t>
  </si>
  <si>
    <t xml:space="preserve">Osobitný príjemca </t>
  </si>
  <si>
    <t>Nám. Š. Kluberta – pomer. mer. tepla (FRB)</t>
  </si>
  <si>
    <t>Separovvaný zber - spolufin. Projektu</t>
  </si>
  <si>
    <t>10.7.</t>
  </si>
  <si>
    <t>05.2.0</t>
  </si>
  <si>
    <t>Nakladanie s odpadovými vodami</t>
  </si>
  <si>
    <t>ČOV, parkoviská - stočné</t>
  </si>
  <si>
    <t>rekonštrukcia cesty ul. Sadová</t>
  </si>
  <si>
    <t>refundácia projektov</t>
  </si>
  <si>
    <t>MŠ Žel. riadok - jedáleň</t>
  </si>
  <si>
    <t>VO Bottova, Kasárenska ul.</t>
  </si>
  <si>
    <t>Oplotenie zimného štadióna</t>
  </si>
  <si>
    <t>ZŠ Haina - technológia ŠJ</t>
  </si>
  <si>
    <t>Vodná nádrž Levoča</t>
  </si>
  <si>
    <t>CVČ - vybavenie PC technikou</t>
  </si>
  <si>
    <t xml:space="preserve">Karpatské klim. mestečká </t>
  </si>
  <si>
    <t>príspevok pre TS</t>
  </si>
  <si>
    <t>Dotácia cesty</t>
  </si>
  <si>
    <t>fond nevyčerpaných dotácií</t>
  </si>
  <si>
    <t>Projekt - rozvoj turizmu v regióne</t>
  </si>
  <si>
    <t>Neštátne školstvo</t>
  </si>
  <si>
    <t>Dom meštiansky, NMP č.43</t>
  </si>
  <si>
    <t>Dotácia ŠR - školstvo</t>
  </si>
  <si>
    <t>Nakladanie s odpadmi</t>
  </si>
  <si>
    <t>Očákavná skutočnosť 2013</t>
  </si>
  <si>
    <t>Návrh rozpočtu 2014</t>
  </si>
  <si>
    <t>Návrh rozpočtu 2015</t>
  </si>
  <si>
    <t>Návrh rozpočtu 2016</t>
  </si>
  <si>
    <t>Čerpanie rozpočtu 2011</t>
  </si>
  <si>
    <t>Čerpanie rozpočtu 2012</t>
  </si>
  <si>
    <t>0</t>
  </si>
  <si>
    <t xml:space="preserve">Znalecký posudok </t>
  </si>
  <si>
    <t>odchodné, odstupné, nemocenské</t>
  </si>
  <si>
    <t>Poistné</t>
  </si>
  <si>
    <t>Rekultivácia skládky - Dlhé Stráže (02..)</t>
  </si>
  <si>
    <t>ostatné</t>
  </si>
  <si>
    <t>dot. na  obnovu kult. pamiatok</t>
  </si>
  <si>
    <t xml:space="preserve">     právne zastupovanie</t>
  </si>
  <si>
    <t xml:space="preserve">     z prenájmu nehnuteľností HPZ</t>
  </si>
  <si>
    <t>komunitné centrum</t>
  </si>
  <si>
    <t>Basketbalové ihrisko</t>
  </si>
  <si>
    <t xml:space="preserve">vzdelávanie seniorov </t>
  </si>
  <si>
    <t>modernizácia autobusových zastávok</t>
  </si>
  <si>
    <t xml:space="preserve">Kultúra- puto spájajúce obyvateľov vidieka </t>
  </si>
  <si>
    <t>Byty</t>
  </si>
  <si>
    <t xml:space="preserve">kino </t>
  </si>
  <si>
    <r>
      <t xml:space="preserve">    </t>
    </r>
    <r>
      <rPr>
        <sz val="10"/>
        <rFont val="Arial CE"/>
        <family val="2"/>
      </rPr>
      <t xml:space="preserve"> z predaja budov</t>
    </r>
  </si>
  <si>
    <t>MŠ ul. Predmestie 26-rekonštrukcia I.etapa</t>
  </si>
  <si>
    <t>Lyžiarske trate</t>
  </si>
  <si>
    <t>Osobitný príjemca - mesto</t>
  </si>
  <si>
    <t xml:space="preserve">     pokuty, penále a sankcie</t>
  </si>
  <si>
    <t>Galéria</t>
  </si>
  <si>
    <t>Tréningová hala</t>
  </si>
  <si>
    <t>Voľnočasové aktivity</t>
  </si>
  <si>
    <t>Voľnočasové aktivity CVČ</t>
  </si>
  <si>
    <t>PD Byty Lev. Lúky</t>
  </si>
  <si>
    <t xml:space="preserve">Prestavba N.M.P. II. etapa </t>
  </si>
  <si>
    <t>obnova oddychovej zóny Schiessplatz</t>
  </si>
  <si>
    <t>oddychová zóna</t>
  </si>
  <si>
    <t>modernizácia verejných priestranstiev</t>
  </si>
  <si>
    <t>úprava verejných priestranstiev</t>
  </si>
  <si>
    <t xml:space="preserve">VO garáže, sídl. Západ 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</si>
  <si>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</si>
  <si>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</si>
  <si>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</si>
  <si>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</si>
  <si>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</si>
  <si>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</si>
  <si>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</si>
  <si>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</si>
  <si>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</si>
  <si>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</si>
  <si>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>Čerpanie rozpočtu 2013</t>
  </si>
  <si>
    <t xml:space="preserve">predaj akcií </t>
  </si>
  <si>
    <t xml:space="preserve">Byty </t>
  </si>
  <si>
    <t>oddychové zóny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</si>
  <si>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</si>
  <si>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</si>
  <si>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</si>
  <si>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</si>
  <si>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</si>
  <si>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</si>
  <si>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 xml:space="preserve">Schody sídl. Rozvoj </t>
  </si>
  <si>
    <t>Prestavba NMP II. etapa</t>
  </si>
  <si>
    <t>HPZ</t>
  </si>
  <si>
    <t>Index rastu</t>
  </si>
  <si>
    <t>MPV - WC</t>
  </si>
  <si>
    <t>preložka VN</t>
  </si>
  <si>
    <t>NMP č.4</t>
  </si>
  <si>
    <t xml:space="preserve">MPV pozemkov pre autobus. zastávku </t>
  </si>
  <si>
    <t>kocka - strecha</t>
  </si>
  <si>
    <t>projekt</t>
  </si>
  <si>
    <t>Návrh rozpočtu 2017</t>
  </si>
  <si>
    <t>prebytok BR</t>
  </si>
  <si>
    <t>kapitálové príjmy</t>
  </si>
  <si>
    <t>granty a transfery</t>
  </si>
  <si>
    <t>finančné operácie</t>
  </si>
  <si>
    <t>úver</t>
  </si>
  <si>
    <t>spolu</t>
  </si>
  <si>
    <t>príjmy z min. rokov</t>
  </si>
  <si>
    <t>Vyvesené: 07.01.2015</t>
  </si>
  <si>
    <t>Zvesené:</t>
  </si>
  <si>
    <t>01.1.1.</t>
  </si>
  <si>
    <t>02.2.0.</t>
  </si>
  <si>
    <t>04.2.1</t>
  </si>
  <si>
    <t>04.7.3</t>
  </si>
  <si>
    <t>04.9.0</t>
  </si>
  <si>
    <t>05.1.0</t>
  </si>
  <si>
    <t>05.4.0</t>
  </si>
  <si>
    <t>06.3.0</t>
  </si>
  <si>
    <t>08.2.0</t>
  </si>
  <si>
    <t>08.3.0.</t>
  </si>
  <si>
    <t>08.4.0</t>
  </si>
  <si>
    <t>09.6.0.</t>
  </si>
  <si>
    <t>10.2.0.</t>
  </si>
  <si>
    <t>10.4.0.</t>
  </si>
  <si>
    <t>10.7.0.</t>
  </si>
  <si>
    <t>01.6.0</t>
  </si>
  <si>
    <t>01.7.0</t>
  </si>
  <si>
    <t>03.2.0</t>
  </si>
  <si>
    <t>hradby</t>
  </si>
  <si>
    <t>primátor mesta</t>
  </si>
  <si>
    <t>PaedDr. Milan Majerský</t>
  </si>
  <si>
    <t>10.7.0</t>
  </si>
  <si>
    <t>schody okružná</t>
  </si>
  <si>
    <t>chodník - Kláštorská</t>
  </si>
  <si>
    <t>Urbanistická štúdia pre IBV</t>
  </si>
  <si>
    <t>Zdroje krytia</t>
  </si>
  <si>
    <t>refundácia projektov - krátkodobý úver</t>
  </si>
  <si>
    <t>Očakávaná skutočnosť 2014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</si>
</sst>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\ _S_k"/>
    <numFmt numFmtId="182" formatCode="0.0"/>
    <numFmt numFmtId="183" formatCode="[$-41B]d\.\ mmmm\ yyyy"/>
    <numFmt numFmtId="184" formatCode="#,##0.000"/>
    <numFmt numFmtId="185" formatCode="#,##0.0000"/>
    <numFmt numFmtId="186" formatCode="#,##0.00000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[$€-2]\ #\ ##,000_);[Red]\([$€-2]\ #\ ##,000\)"/>
    <numFmt numFmtId="191" formatCode="#,##0.000000"/>
  </numFmts>
  <fonts count="3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hair"/>
      <bottom style="medium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8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6" fillId="19" borderId="13" xfId="0" applyNumberFormat="1" applyFont="1" applyFill="1" applyBorder="1" applyAlignment="1">
      <alignment/>
    </xf>
    <xf numFmtId="49" fontId="6" fillId="19" borderId="27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49" fontId="6" fillId="19" borderId="30" xfId="0" applyNumberFormat="1" applyFont="1" applyFill="1" applyBorder="1" applyAlignment="1">
      <alignment/>
    </xf>
    <xf numFmtId="3" fontId="9" fillId="16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49" fontId="6" fillId="19" borderId="3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6" fillId="19" borderId="2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6" fillId="19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33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13" xfId="0" applyFont="1" applyBorder="1" applyAlignment="1">
      <alignment/>
    </xf>
    <xf numFmtId="49" fontId="6" fillId="19" borderId="27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19" borderId="38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6" fillId="19" borderId="39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17" fillId="0" borderId="23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3" xfId="0" applyFont="1" applyBorder="1" applyAlignment="1">
      <alignment/>
    </xf>
    <xf numFmtId="49" fontId="6" fillId="0" borderId="30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8" fillId="19" borderId="27" xfId="0" applyFont="1" applyFill="1" applyBorder="1" applyAlignment="1">
      <alignment/>
    </xf>
    <xf numFmtId="3" fontId="6" fillId="19" borderId="44" xfId="0" applyNumberFormat="1" applyFont="1" applyFill="1" applyBorder="1" applyAlignment="1">
      <alignment/>
    </xf>
    <xf numFmtId="3" fontId="9" fillId="16" borderId="45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6" fillId="19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 vertical="center" wrapText="1"/>
    </xf>
    <xf numFmtId="3" fontId="3" fillId="0" borderId="47" xfId="0" applyNumberFormat="1" applyFont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49" fontId="1" fillId="19" borderId="27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17" fillId="0" borderId="46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vertical="center" wrapText="1"/>
    </xf>
    <xf numFmtId="3" fontId="3" fillId="0" borderId="39" xfId="0" applyNumberFormat="1" applyFont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19" borderId="5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6" fillId="19" borderId="12" xfId="0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6" fillId="19" borderId="38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6" fillId="19" borderId="39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6" fillId="19" borderId="60" xfId="0" applyFont="1" applyFill="1" applyBorder="1" applyAlignment="1">
      <alignment horizontal="right"/>
    </xf>
    <xf numFmtId="49" fontId="6" fillId="19" borderId="12" xfId="0" applyNumberFormat="1" applyFont="1" applyFill="1" applyBorder="1" applyAlignment="1">
      <alignment horizontal="right"/>
    </xf>
    <xf numFmtId="3" fontId="1" fillId="19" borderId="38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49" fontId="3" fillId="0" borderId="40" xfId="0" applyNumberFormat="1" applyFont="1" applyFill="1" applyBorder="1" applyAlignment="1">
      <alignment horizontal="right"/>
    </xf>
    <xf numFmtId="3" fontId="6" fillId="19" borderId="39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6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left"/>
    </xf>
    <xf numFmtId="0" fontId="3" fillId="0" borderId="6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right"/>
    </xf>
    <xf numFmtId="0" fontId="3" fillId="0" borderId="62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3" fontId="0" fillId="0" borderId="50" xfId="0" applyNumberFormat="1" applyFont="1" applyFill="1" applyBorder="1" applyAlignment="1">
      <alignment vertical="center" wrapText="1"/>
    </xf>
    <xf numFmtId="3" fontId="3" fillId="0" borderId="63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right"/>
    </xf>
    <xf numFmtId="0" fontId="6" fillId="19" borderId="55" xfId="0" applyFont="1" applyFill="1" applyBorder="1" applyAlignment="1">
      <alignment horizontal="left"/>
    </xf>
    <xf numFmtId="0" fontId="6" fillId="19" borderId="60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left"/>
    </xf>
    <xf numFmtId="3" fontId="3" fillId="0" borderId="4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left"/>
    </xf>
    <xf numFmtId="3" fontId="3" fillId="0" borderId="32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6" fillId="19" borderId="5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36" xfId="0" applyNumberFormat="1" applyFont="1" applyFill="1" applyBorder="1" applyAlignment="1">
      <alignment horizontal="right"/>
    </xf>
    <xf numFmtId="3" fontId="6" fillId="19" borderId="1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3" xfId="0" applyFont="1" applyFill="1" applyBorder="1" applyAlignment="1">
      <alignment horizontal="left"/>
    </xf>
    <xf numFmtId="3" fontId="1" fillId="0" borderId="40" xfId="0" applyNumberFormat="1" applyFont="1" applyFill="1" applyBorder="1" applyAlignment="1">
      <alignment horizontal="right"/>
    </xf>
    <xf numFmtId="3" fontId="1" fillId="0" borderId="55" xfId="0" applyNumberFormat="1" applyFont="1" applyFill="1" applyBorder="1" applyAlignment="1">
      <alignment horizontal="right" vertical="center" wrapText="1"/>
    </xf>
    <xf numFmtId="3" fontId="6" fillId="19" borderId="13" xfId="0" applyNumberFormat="1" applyFont="1" applyFill="1" applyBorder="1" applyAlignment="1">
      <alignment horizontal="right"/>
    </xf>
    <xf numFmtId="3" fontId="6" fillId="19" borderId="38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left"/>
    </xf>
    <xf numFmtId="3" fontId="3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6" fillId="19" borderId="60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8" fillId="19" borderId="38" xfId="0" applyNumberFormat="1" applyFont="1" applyFill="1" applyBorder="1" applyAlignment="1">
      <alignment horizontal="right"/>
    </xf>
    <xf numFmtId="49" fontId="1" fillId="19" borderId="12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4" fontId="3" fillId="0" borderId="65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16" borderId="66" xfId="0" applyFont="1" applyFill="1" applyBorder="1" applyAlignment="1">
      <alignment vertical="center" wrapText="1"/>
    </xf>
    <xf numFmtId="0" fontId="6" fillId="19" borderId="49" xfId="0" applyFont="1" applyFill="1" applyBorder="1" applyAlignment="1">
      <alignment horizontal="right"/>
    </xf>
    <xf numFmtId="3" fontId="19" fillId="0" borderId="4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7" xfId="0" applyFont="1" applyBorder="1" applyAlignment="1">
      <alignment/>
    </xf>
    <xf numFmtId="3" fontId="1" fillId="19" borderId="44" xfId="0" applyNumberFormat="1" applyFont="1" applyFill="1" applyBorder="1" applyAlignment="1">
      <alignment/>
    </xf>
    <xf numFmtId="0" fontId="6" fillId="19" borderId="13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/>
    </xf>
    <xf numFmtId="4" fontId="3" fillId="0" borderId="25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2" fontId="6" fillId="0" borderId="23" xfId="0" applyNumberFormat="1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2" fontId="6" fillId="0" borderId="37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30" xfId="0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/>
    </xf>
    <xf numFmtId="4" fontId="9" fillId="0" borderId="71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3" fillId="0" borderId="7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6" fillId="0" borderId="75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73" xfId="0" applyFont="1" applyFill="1" applyBorder="1" applyAlignment="1">
      <alignment horizontal="center"/>
    </xf>
    <xf numFmtId="0" fontId="3" fillId="0" borderId="7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4" fontId="9" fillId="0" borderId="78" xfId="0" applyNumberFormat="1" applyFont="1" applyFill="1" applyBorder="1" applyAlignment="1">
      <alignment/>
    </xf>
    <xf numFmtId="3" fontId="9" fillId="0" borderId="79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4" fontId="6" fillId="0" borderId="78" xfId="0" applyNumberFormat="1" applyFont="1" applyFill="1" applyBorder="1" applyAlignment="1">
      <alignment/>
    </xf>
    <xf numFmtId="3" fontId="6" fillId="0" borderId="79" xfId="0" applyNumberFormat="1" applyFont="1" applyFill="1" applyBorder="1" applyAlignment="1">
      <alignment/>
    </xf>
    <xf numFmtId="0" fontId="1" fillId="0" borderId="8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0" borderId="13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0" fontId="1" fillId="0" borderId="81" xfId="0" applyFont="1" applyFill="1" applyBorder="1" applyAlignment="1">
      <alignment horizontal="left"/>
    </xf>
    <xf numFmtId="3" fontId="6" fillId="0" borderId="4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4" fontId="3" fillId="0" borderId="65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0" fontId="9" fillId="0" borderId="82" xfId="0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/>
    </xf>
    <xf numFmtId="4" fontId="9" fillId="0" borderId="71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0" fontId="3" fillId="0" borderId="78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9" fillId="0" borderId="31" xfId="0" applyNumberFormat="1" applyFont="1" applyFill="1" applyBorder="1" applyAlignment="1">
      <alignment/>
    </xf>
    <xf numFmtId="4" fontId="9" fillId="0" borderId="83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9" fontId="6" fillId="0" borderId="84" xfId="0" applyNumberFormat="1" applyFont="1" applyFill="1" applyBorder="1" applyAlignment="1">
      <alignment vertical="center" wrapText="1"/>
    </xf>
    <xf numFmtId="3" fontId="6" fillId="0" borderId="69" xfId="0" applyNumberFormat="1" applyFont="1" applyFill="1" applyBorder="1" applyAlignment="1">
      <alignment vertical="center" wrapText="1"/>
    </xf>
    <xf numFmtId="4" fontId="6" fillId="0" borderId="85" xfId="0" applyNumberFormat="1" applyFont="1" applyFill="1" applyBorder="1" applyAlignment="1">
      <alignment vertical="center" wrapText="1"/>
    </xf>
    <xf numFmtId="3" fontId="6" fillId="0" borderId="86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/>
    </xf>
    <xf numFmtId="3" fontId="6" fillId="0" borderId="55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14" fontId="6" fillId="0" borderId="27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/>
    </xf>
    <xf numFmtId="0" fontId="6" fillId="0" borderId="60" xfId="0" applyFont="1" applyFill="1" applyBorder="1" applyAlignment="1">
      <alignment horizontal="left"/>
    </xf>
    <xf numFmtId="3" fontId="6" fillId="0" borderId="40" xfId="0" applyNumberFormat="1" applyFont="1" applyFill="1" applyBorder="1" applyAlignment="1">
      <alignment horizontal="right"/>
    </xf>
    <xf numFmtId="0" fontId="6" fillId="0" borderId="55" xfId="0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9" fillId="0" borderId="80" xfId="0" applyFont="1" applyFill="1" applyBorder="1" applyAlignment="1">
      <alignment horizontal="left"/>
    </xf>
    <xf numFmtId="4" fontId="6" fillId="0" borderId="13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left"/>
    </xf>
    <xf numFmtId="3" fontId="1" fillId="0" borderId="40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16" fontId="6" fillId="0" borderId="27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6" fillId="0" borderId="27" xfId="0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vertical="center" wrapText="1"/>
    </xf>
    <xf numFmtId="4" fontId="8" fillId="0" borderId="38" xfId="0" applyNumberFormat="1" applyFont="1" applyFill="1" applyBorder="1" applyAlignment="1">
      <alignment vertical="center" wrapText="1"/>
    </xf>
    <xf numFmtId="3" fontId="8" fillId="0" borderId="44" xfId="0" applyNumberFormat="1" applyFont="1" applyFill="1" applyBorder="1" applyAlignment="1">
      <alignment vertical="center" wrapText="1"/>
    </xf>
    <xf numFmtId="0" fontId="9" fillId="0" borderId="87" xfId="0" applyFont="1" applyFill="1" applyBorder="1" applyAlignment="1">
      <alignment/>
    </xf>
    <xf numFmtId="0" fontId="9" fillId="0" borderId="88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9" fillId="0" borderId="89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39" xfId="0" applyNumberFormat="1" applyFont="1" applyFill="1" applyBorder="1" applyAlignment="1">
      <alignment horizontal="right"/>
    </xf>
    <xf numFmtId="3" fontId="9" fillId="0" borderId="49" xfId="0" applyNumberFormat="1" applyFont="1" applyFill="1" applyBorder="1" applyAlignment="1">
      <alignment horizontal="right"/>
    </xf>
    <xf numFmtId="0" fontId="6" fillId="0" borderId="90" xfId="0" applyFont="1" applyFill="1" applyBorder="1" applyAlignment="1">
      <alignment/>
    </xf>
    <xf numFmtId="0" fontId="1" fillId="0" borderId="78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0" fontId="9" fillId="0" borderId="74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6" fillId="0" borderId="78" xfId="0" applyNumberFormat="1" applyFont="1" applyFill="1" applyBorder="1" applyAlignment="1">
      <alignment/>
    </xf>
    <xf numFmtId="4" fontId="6" fillId="0" borderId="78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79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80" xfId="0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4" fontId="1" fillId="0" borderId="44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/>
    </xf>
    <xf numFmtId="0" fontId="9" fillId="0" borderId="91" xfId="0" applyFont="1" applyFill="1" applyBorder="1" applyAlignment="1">
      <alignment/>
    </xf>
    <xf numFmtId="0" fontId="9" fillId="0" borderId="8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" fontId="1" fillId="0" borderId="0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 horizontal="right"/>
    </xf>
    <xf numFmtId="2" fontId="6" fillId="0" borderId="39" xfId="0" applyNumberFormat="1" applyFont="1" applyFill="1" applyBorder="1" applyAlignment="1">
      <alignment horizontal="right"/>
    </xf>
    <xf numFmtId="4" fontId="6" fillId="0" borderId="49" xfId="0" applyNumberFormat="1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2" fontId="6" fillId="0" borderId="38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49" fontId="1" fillId="0" borderId="3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 horizontal="left"/>
    </xf>
    <xf numFmtId="0" fontId="6" fillId="0" borderId="38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2" fontId="6" fillId="0" borderId="39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7" xfId="0" applyFont="1" applyFill="1" applyBorder="1" applyAlignment="1">
      <alignment horizontal="right"/>
    </xf>
    <xf numFmtId="0" fontId="3" fillId="0" borderId="58" xfId="0" applyFont="1" applyFill="1" applyBorder="1" applyAlignment="1">
      <alignment/>
    </xf>
    <xf numFmtId="0" fontId="3" fillId="0" borderId="5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59" xfId="0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 horizontal="left"/>
    </xf>
    <xf numFmtId="0" fontId="6" fillId="0" borderId="60" xfId="0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/>
    </xf>
    <xf numFmtId="49" fontId="1" fillId="0" borderId="27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2" fontId="1" fillId="0" borderId="38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2" fontId="9" fillId="0" borderId="83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4" fontId="3" fillId="0" borderId="17" xfId="0" applyNumberFormat="1" applyFont="1" applyFill="1" applyBorder="1" applyAlignment="1">
      <alignment horizontal="right"/>
    </xf>
    <xf numFmtId="0" fontId="1" fillId="0" borderId="6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3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47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51" xfId="0" applyNumberFormat="1" applyFill="1" applyBorder="1" applyAlignment="1">
      <alignment/>
    </xf>
    <xf numFmtId="0" fontId="0" fillId="0" borderId="92" xfId="0" applyFill="1" applyBorder="1" applyAlignment="1">
      <alignment/>
    </xf>
    <xf numFmtId="3" fontId="0" fillId="0" borderId="93" xfId="0" applyNumberFormat="1" applyFill="1" applyBorder="1" applyAlignment="1">
      <alignment/>
    </xf>
    <xf numFmtId="4" fontId="0" fillId="0" borderId="93" xfId="0" applyNumberFormat="1" applyFill="1" applyBorder="1" applyAlignment="1">
      <alignment/>
    </xf>
    <xf numFmtId="3" fontId="0" fillId="0" borderId="94" xfId="0" applyNumberFormat="1" applyFill="1" applyBorder="1" applyAlignment="1">
      <alignment/>
    </xf>
    <xf numFmtId="0" fontId="0" fillId="0" borderId="95" xfId="0" applyFill="1" applyBorder="1" applyAlignment="1">
      <alignment/>
    </xf>
    <xf numFmtId="3" fontId="0" fillId="0" borderId="51" xfId="0" applyNumberFormat="1" applyFill="1" applyBorder="1" applyAlignment="1">
      <alignment/>
    </xf>
    <xf numFmtId="0" fontId="8" fillId="0" borderId="96" xfId="0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0" fontId="8" fillId="0" borderId="96" xfId="0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3" fontId="8" fillId="0" borderId="97" xfId="0" applyNumberFormat="1" applyFont="1" applyFill="1" applyBorder="1" applyAlignment="1">
      <alignment/>
    </xf>
    <xf numFmtId="0" fontId="12" fillId="0" borderId="87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98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9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9" fillId="0" borderId="100" xfId="0" applyFont="1" applyFill="1" applyBorder="1" applyAlignment="1">
      <alignment horizontal="left"/>
    </xf>
    <xf numFmtId="0" fontId="9" fillId="0" borderId="101" xfId="0" applyFont="1" applyFill="1" applyBorder="1" applyAlignment="1">
      <alignment horizontal="left"/>
    </xf>
    <xf numFmtId="0" fontId="9" fillId="0" borderId="88" xfId="0" applyFont="1" applyFill="1" applyBorder="1" applyAlignment="1">
      <alignment horizontal="left"/>
    </xf>
    <xf numFmtId="0" fontId="3" fillId="0" borderId="7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left"/>
    </xf>
    <xf numFmtId="0" fontId="9" fillId="0" borderId="102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105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16" fontId="1" fillId="0" borderId="81" xfId="0" applyNumberFormat="1" applyFont="1" applyFill="1" applyBorder="1" applyAlignment="1">
      <alignment horizontal="left"/>
    </xf>
    <xf numFmtId="49" fontId="1" fillId="0" borderId="3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99" xfId="0" applyNumberFormat="1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49" fontId="6" fillId="0" borderId="60" xfId="0" applyNumberFormat="1" applyFont="1" applyFill="1" applyBorder="1" applyAlignment="1">
      <alignment horizontal="left"/>
    </xf>
    <xf numFmtId="49" fontId="6" fillId="0" borderId="40" xfId="0" applyNumberFormat="1" applyFont="1" applyFill="1" applyBorder="1" applyAlignment="1">
      <alignment horizontal="left"/>
    </xf>
    <xf numFmtId="0" fontId="3" fillId="0" borderId="80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1" fillId="0" borderId="80" xfId="0" applyNumberFormat="1" applyFont="1" applyFill="1" applyBorder="1" applyAlignment="1">
      <alignment horizontal="left"/>
    </xf>
    <xf numFmtId="0" fontId="1" fillId="0" borderId="55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left"/>
    </xf>
    <xf numFmtId="16" fontId="1" fillId="0" borderId="103" xfId="0" applyNumberFormat="1" applyFont="1" applyFill="1" applyBorder="1" applyAlignment="1">
      <alignment horizontal="center" vertical="center" wrapText="1"/>
    </xf>
    <xf numFmtId="16" fontId="1" fillId="0" borderId="104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left" vertical="center" wrapText="1"/>
    </xf>
    <xf numFmtId="0" fontId="6" fillId="0" borderId="10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16" fontId="6" fillId="0" borderId="28" xfId="0" applyNumberFormat="1" applyFont="1" applyFill="1" applyBorder="1" applyAlignment="1">
      <alignment horizontal="center"/>
    </xf>
    <xf numFmtId="16" fontId="6" fillId="0" borderId="30" xfId="0" applyNumberFormat="1" applyFont="1" applyFill="1" applyBorder="1" applyAlignment="1">
      <alignment horizontal="center"/>
    </xf>
    <xf numFmtId="0" fontId="1" fillId="0" borderId="8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" fillId="0" borderId="80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85" xfId="0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 horizontal="center" vertical="center" wrapText="1"/>
    </xf>
    <xf numFmtId="16" fontId="1" fillId="0" borderId="69" xfId="0" applyNumberFormat="1" applyFont="1" applyFill="1" applyBorder="1" applyAlignment="1">
      <alignment horizontal="center" vertical="center" wrapText="1"/>
    </xf>
    <xf numFmtId="16" fontId="1" fillId="0" borderId="6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9" fillId="0" borderId="87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181" fontId="1" fillId="0" borderId="1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49" fontId="11" fillId="0" borderId="84" xfId="0" applyNumberFormat="1" applyFont="1" applyFill="1" applyBorder="1" applyAlignment="1">
      <alignment horizontal="center" vertical="center" wrapText="1"/>
    </xf>
    <xf numFmtId="49" fontId="11" fillId="0" borderId="9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100" xfId="0" applyFont="1" applyFill="1" applyBorder="1" applyAlignment="1">
      <alignment horizontal="left"/>
    </xf>
    <xf numFmtId="0" fontId="1" fillId="0" borderId="101" xfId="0" applyFont="1" applyFill="1" applyBorder="1" applyAlignment="1">
      <alignment horizontal="left"/>
    </xf>
    <xf numFmtId="0" fontId="1" fillId="0" borderId="88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81" xfId="0" applyFill="1" applyBorder="1" applyAlignment="1">
      <alignment horizontal="center"/>
    </xf>
    <xf numFmtId="0" fontId="1" fillId="0" borderId="8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12" fillId="0" borderId="100" xfId="0" applyFont="1" applyFill="1" applyBorder="1" applyAlignment="1">
      <alignment horizontal="left" vertical="center"/>
    </xf>
    <xf numFmtId="0" fontId="12" fillId="0" borderId="101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horizontal="left" vertical="center"/>
    </xf>
    <xf numFmtId="49" fontId="5" fillId="16" borderId="82" xfId="0" applyNumberFormat="1" applyFont="1" applyFill="1" applyBorder="1" applyAlignment="1">
      <alignment horizontal="center" vertical="center" wrapText="1"/>
    </xf>
    <xf numFmtId="49" fontId="5" fillId="16" borderId="96" xfId="0" applyNumberFormat="1" applyFont="1" applyFill="1" applyBorder="1" applyAlignment="1">
      <alignment horizontal="center" vertical="center" wrapText="1"/>
    </xf>
    <xf numFmtId="0" fontId="1" fillId="16" borderId="70" xfId="0" applyFont="1" applyFill="1" applyBorder="1" applyAlignment="1">
      <alignment horizontal="center" vertical="center" wrapText="1"/>
    </xf>
    <xf numFmtId="0" fontId="1" fillId="16" borderId="66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" fontId="1" fillId="16" borderId="70" xfId="0" applyNumberFormat="1" applyFont="1" applyFill="1" applyBorder="1" applyAlignment="1">
      <alignment horizontal="center" vertical="center" wrapText="1"/>
    </xf>
    <xf numFmtId="16" fontId="1" fillId="16" borderId="66" xfId="0" applyNumberFormat="1" applyFont="1" applyFill="1" applyBorder="1" applyAlignment="1">
      <alignment horizontal="center" vertical="center" wrapText="1"/>
    </xf>
    <xf numFmtId="0" fontId="1" fillId="16" borderId="70" xfId="0" applyFont="1" applyFill="1" applyBorder="1" applyAlignment="1">
      <alignment horizontal="center" vertical="center"/>
    </xf>
    <xf numFmtId="0" fontId="1" fillId="16" borderId="66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0" fontId="6" fillId="19" borderId="38" xfId="0" applyFont="1" applyFill="1" applyBorder="1" applyAlignment="1">
      <alignment horizontal="left"/>
    </xf>
    <xf numFmtId="0" fontId="6" fillId="19" borderId="55" xfId="0" applyFont="1" applyFill="1" applyBorder="1" applyAlignment="1">
      <alignment horizontal="left"/>
    </xf>
    <xf numFmtId="0" fontId="2" fillId="16" borderId="72" xfId="0" applyFont="1" applyFill="1" applyBorder="1" applyAlignment="1">
      <alignment horizontal="center" vertical="center" wrapText="1"/>
    </xf>
    <xf numFmtId="0" fontId="2" fillId="16" borderId="97" xfId="0" applyFont="1" applyFill="1" applyBorder="1" applyAlignment="1">
      <alignment horizontal="center" vertical="center" wrapText="1"/>
    </xf>
    <xf numFmtId="0" fontId="6" fillId="19" borderId="39" xfId="0" applyFont="1" applyFill="1" applyBorder="1" applyAlignment="1">
      <alignment horizontal="left"/>
    </xf>
    <xf numFmtId="0" fontId="6" fillId="19" borderId="40" xfId="0" applyFont="1" applyFill="1" applyBorder="1" applyAlignment="1">
      <alignment horizontal="left"/>
    </xf>
    <xf numFmtId="49" fontId="1" fillId="19" borderId="38" xfId="0" applyNumberFormat="1" applyFont="1" applyFill="1" applyBorder="1" applyAlignment="1">
      <alignment horizontal="left"/>
    </xf>
    <xf numFmtId="49" fontId="1" fillId="19" borderId="55" xfId="0" applyNumberFormat="1" applyFont="1" applyFill="1" applyBorder="1" applyAlignment="1">
      <alignment horizontal="left"/>
    </xf>
    <xf numFmtId="0" fontId="9" fillId="16" borderId="87" xfId="0" applyFont="1" applyFill="1" applyBorder="1" applyAlignment="1">
      <alignment horizontal="left"/>
    </xf>
    <xf numFmtId="0" fontId="9" fillId="16" borderId="31" xfId="0" applyFont="1" applyFill="1" applyBorder="1" applyAlignment="1">
      <alignment horizontal="left"/>
    </xf>
    <xf numFmtId="0" fontId="2" fillId="16" borderId="70" xfId="0" applyFont="1" applyFill="1" applyBorder="1" applyAlignment="1">
      <alignment horizontal="center"/>
    </xf>
    <xf numFmtId="49" fontId="6" fillId="19" borderId="12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U156"/>
  <sheetViews>
    <sheetView showGridLines="0" tabSelected="1" zoomScalePageLayoutView="0" workbookViewId="0" topLeftCell="A1">
      <selection activeCell="B1" sqref="B1:P1"/>
    </sheetView>
  </sheetViews>
  <sheetFormatPr defaultColWidth="9.140625" defaultRowHeight="12.75"/>
  <cols>
    <col min="1" max="1" width="1.7109375" style="388" customWidth="1"/>
    <col min="2" max="2" width="8.28125" style="468" customWidth="1"/>
    <col min="3" max="3" width="7.140625" style="388" customWidth="1"/>
    <col min="4" max="4" width="37.140625" style="388" customWidth="1"/>
    <col min="5" max="9" width="12.28125" style="388" hidden="1" customWidth="1"/>
    <col min="10" max="11" width="12.28125" style="388" customWidth="1"/>
    <col min="12" max="14" width="11.421875" style="116" customWidth="1"/>
    <col min="15" max="15" width="9.57421875" style="116" customWidth="1"/>
    <col min="16" max="16" width="11.421875" style="388" customWidth="1"/>
    <col min="17" max="17" width="11.7109375" style="388" customWidth="1"/>
    <col min="18" max="16384" width="9.140625" style="388" customWidth="1"/>
  </cols>
  <sheetData>
    <row r="1" spans="2:16" ht="12.75">
      <c r="B1" s="464" t="s">
        <v>256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</row>
    <row r="2" spans="2:16" ht="13.5" thickBot="1">
      <c r="B2" s="440" t="s">
        <v>59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</row>
    <row r="3" spans="2:17" ht="13.5" customHeight="1" thickTop="1">
      <c r="B3" s="697" t="s">
        <v>93</v>
      </c>
      <c r="C3" s="384" t="s">
        <v>45</v>
      </c>
      <c r="D3" s="386" t="s">
        <v>108</v>
      </c>
      <c r="E3" s="386" t="s">
        <v>355</v>
      </c>
      <c r="F3" s="386" t="s">
        <v>356</v>
      </c>
      <c r="G3" s="386" t="s">
        <v>357</v>
      </c>
      <c r="H3" s="386" t="s">
        <v>358</v>
      </c>
      <c r="I3" s="386" t="s">
        <v>359</v>
      </c>
      <c r="J3" s="386" t="s">
        <v>321</v>
      </c>
      <c r="K3" s="386" t="s">
        <v>322</v>
      </c>
      <c r="L3" s="386" t="s">
        <v>365</v>
      </c>
      <c r="M3" s="386" t="s">
        <v>422</v>
      </c>
      <c r="N3" s="699" t="s">
        <v>319</v>
      </c>
      <c r="O3" s="386" t="s">
        <v>378</v>
      </c>
      <c r="P3" s="386" t="s">
        <v>320</v>
      </c>
      <c r="Q3" s="709" t="s">
        <v>385</v>
      </c>
    </row>
    <row r="4" spans="2:17" ht="30" customHeight="1" thickBot="1">
      <c r="B4" s="698"/>
      <c r="C4" s="385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700"/>
      <c r="O4" s="383"/>
      <c r="P4" s="383"/>
      <c r="Q4" s="710"/>
    </row>
    <row r="5" spans="2:17" s="28" customFormat="1" ht="17.25" thickBot="1" thickTop="1">
      <c r="B5" s="389">
        <v>100</v>
      </c>
      <c r="C5" s="707" t="s">
        <v>60</v>
      </c>
      <c r="D5" s="708"/>
      <c r="E5" s="390">
        <f>E6+E8+E13</f>
        <v>4005975</v>
      </c>
      <c r="F5" s="390">
        <f>F6+F8+F13</f>
        <v>4409049</v>
      </c>
      <c r="G5" s="390">
        <f>G6+G8+G13</f>
        <v>5183529</v>
      </c>
      <c r="H5" s="390">
        <f>H6+H8+H13</f>
        <v>5169506</v>
      </c>
      <c r="I5" s="390">
        <f>I6+I8+I13</f>
        <v>4342169</v>
      </c>
      <c r="J5" s="390">
        <f aca="true" t="shared" si="0" ref="J5:P5">J6+J8+J13</f>
        <v>4854565</v>
      </c>
      <c r="K5" s="390">
        <f t="shared" si="0"/>
        <v>5209041</v>
      </c>
      <c r="L5" s="390">
        <f t="shared" si="0"/>
        <v>4997011</v>
      </c>
      <c r="M5" s="390">
        <f t="shared" si="0"/>
        <v>5180053</v>
      </c>
      <c r="N5" s="390">
        <f t="shared" si="0"/>
        <v>5601670</v>
      </c>
      <c r="O5" s="391">
        <f>IF(M5=0,0,N5/M5)</f>
        <v>1.081392410463754</v>
      </c>
      <c r="P5" s="390">
        <f t="shared" si="0"/>
        <v>5745970</v>
      </c>
      <c r="Q5" s="392">
        <f>Q6+Q8+Q13</f>
        <v>5894599</v>
      </c>
    </row>
    <row r="6" spans="2:17" s="27" customFormat="1" ht="15.75" thickBot="1">
      <c r="B6" s="393">
        <v>110</v>
      </c>
      <c r="C6" s="686" t="s">
        <v>61</v>
      </c>
      <c r="D6" s="687"/>
      <c r="E6" s="395">
        <f>E7</f>
        <v>3340935</v>
      </c>
      <c r="F6" s="395">
        <f>F7</f>
        <v>3718815</v>
      </c>
      <c r="G6" s="395">
        <f>G7</f>
        <v>4552845</v>
      </c>
      <c r="H6" s="395">
        <f>H7</f>
        <v>4537123</v>
      </c>
      <c r="I6" s="395">
        <f>I7</f>
        <v>3726916</v>
      </c>
      <c r="J6" s="395">
        <f aca="true" t="shared" si="1" ref="J6:Q6">J7</f>
        <v>4195159</v>
      </c>
      <c r="K6" s="395">
        <f t="shared" si="1"/>
        <v>4432132</v>
      </c>
      <c r="L6" s="395">
        <f t="shared" si="1"/>
        <v>4175784</v>
      </c>
      <c r="M6" s="395">
        <f t="shared" si="1"/>
        <v>4377843</v>
      </c>
      <c r="N6" s="395">
        <f t="shared" si="1"/>
        <v>4810000</v>
      </c>
      <c r="O6" s="396">
        <f aca="true" t="shared" si="2" ref="O6:O69">IF(M6=0,0,N6/M6)</f>
        <v>1.0987145952927047</v>
      </c>
      <c r="P6" s="395">
        <f t="shared" si="1"/>
        <v>4954300</v>
      </c>
      <c r="Q6" s="397">
        <f t="shared" si="1"/>
        <v>5102929</v>
      </c>
    </row>
    <row r="7" spans="2:17" s="67" customFormat="1" ht="13.5" thickBot="1">
      <c r="B7" s="398"/>
      <c r="C7" s="399"/>
      <c r="D7" s="400" t="s">
        <v>94</v>
      </c>
      <c r="E7" s="400">
        <v>3340935</v>
      </c>
      <c r="F7" s="400">
        <v>3718815</v>
      </c>
      <c r="G7" s="400">
        <v>4552845</v>
      </c>
      <c r="H7" s="400">
        <v>4537123</v>
      </c>
      <c r="I7" s="400">
        <v>3726916</v>
      </c>
      <c r="J7" s="139">
        <v>4195159</v>
      </c>
      <c r="K7" s="139">
        <v>4432132</v>
      </c>
      <c r="L7" s="401">
        <v>4175784</v>
      </c>
      <c r="M7" s="90">
        <v>4377843</v>
      </c>
      <c r="N7" s="90">
        <v>4810000</v>
      </c>
      <c r="O7" s="323">
        <f t="shared" si="2"/>
        <v>1.0987145952927047</v>
      </c>
      <c r="P7" s="6">
        <f>ROUND(N7*1.03,)</f>
        <v>4954300</v>
      </c>
      <c r="Q7" s="128">
        <f>ROUND(P7*1.03,)</f>
        <v>5102929</v>
      </c>
    </row>
    <row r="8" spans="2:17" s="27" customFormat="1" ht="15.75" thickBot="1">
      <c r="B8" s="402">
        <v>120</v>
      </c>
      <c r="C8" s="678" t="s">
        <v>98</v>
      </c>
      <c r="D8" s="679"/>
      <c r="E8" s="403">
        <f>E9</f>
        <v>295824</v>
      </c>
      <c r="F8" s="403">
        <f>F9</f>
        <v>311093</v>
      </c>
      <c r="G8" s="403">
        <f>G9</f>
        <v>361216</v>
      </c>
      <c r="H8" s="403">
        <f>H9</f>
        <v>341843</v>
      </c>
      <c r="I8" s="403">
        <v>316587</v>
      </c>
      <c r="J8" s="403">
        <f aca="true" t="shared" si="3" ref="J8:Q8">J9</f>
        <v>360438</v>
      </c>
      <c r="K8" s="403">
        <f t="shared" si="3"/>
        <v>460690</v>
      </c>
      <c r="L8" s="403">
        <f t="shared" si="3"/>
        <v>388905</v>
      </c>
      <c r="M8" s="403">
        <f t="shared" si="3"/>
        <v>392770</v>
      </c>
      <c r="N8" s="403">
        <f t="shared" si="3"/>
        <v>392770</v>
      </c>
      <c r="O8" s="404">
        <f t="shared" si="2"/>
        <v>1</v>
      </c>
      <c r="P8" s="403">
        <f t="shared" si="3"/>
        <v>392770</v>
      </c>
      <c r="Q8" s="405">
        <f t="shared" si="3"/>
        <v>392770</v>
      </c>
    </row>
    <row r="9" spans="2:17" s="410" customFormat="1" ht="13.5" thickBot="1">
      <c r="B9" s="704"/>
      <c r="C9" s="399">
        <v>121</v>
      </c>
      <c r="D9" s="406" t="s">
        <v>62</v>
      </c>
      <c r="E9" s="406">
        <v>295824</v>
      </c>
      <c r="F9" s="406">
        <v>311093</v>
      </c>
      <c r="G9" s="406">
        <v>361216</v>
      </c>
      <c r="H9" s="406">
        <v>341843</v>
      </c>
      <c r="I9" s="406">
        <v>316587</v>
      </c>
      <c r="J9" s="407">
        <f aca="true" t="shared" si="4" ref="J9:P9">SUM(J10:J12)</f>
        <v>360438</v>
      </c>
      <c r="K9" s="407">
        <f t="shared" si="4"/>
        <v>460690</v>
      </c>
      <c r="L9" s="407">
        <f t="shared" si="4"/>
        <v>388905</v>
      </c>
      <c r="M9" s="407">
        <f t="shared" si="4"/>
        <v>392770</v>
      </c>
      <c r="N9" s="407">
        <f t="shared" si="4"/>
        <v>392770</v>
      </c>
      <c r="O9" s="408">
        <f t="shared" si="2"/>
        <v>1</v>
      </c>
      <c r="P9" s="407">
        <f t="shared" si="4"/>
        <v>392770</v>
      </c>
      <c r="Q9" s="409">
        <f>SUM(Q10:Q12)</f>
        <v>392770</v>
      </c>
    </row>
    <row r="10" spans="2:17" ht="12.75">
      <c r="B10" s="705"/>
      <c r="C10" s="695"/>
      <c r="D10" s="412" t="s">
        <v>95</v>
      </c>
      <c r="E10" s="54"/>
      <c r="F10" s="54"/>
      <c r="G10" s="54"/>
      <c r="H10" s="54"/>
      <c r="I10" s="54">
        <v>51780</v>
      </c>
      <c r="J10" s="54">
        <v>67186</v>
      </c>
      <c r="K10" s="92">
        <v>71840</v>
      </c>
      <c r="L10" s="92">
        <v>90890</v>
      </c>
      <c r="M10" s="96">
        <v>86400</v>
      </c>
      <c r="N10" s="96">
        <v>86400</v>
      </c>
      <c r="O10" s="335">
        <f t="shared" si="2"/>
        <v>1</v>
      </c>
      <c r="P10" s="29">
        <v>86400</v>
      </c>
      <c r="Q10" s="133">
        <v>86400</v>
      </c>
    </row>
    <row r="11" spans="2:17" ht="12.75">
      <c r="B11" s="705"/>
      <c r="C11" s="696"/>
      <c r="D11" s="18" t="s">
        <v>96</v>
      </c>
      <c r="E11" s="18"/>
      <c r="F11" s="18"/>
      <c r="G11" s="18"/>
      <c r="H11" s="18"/>
      <c r="I11" s="18">
        <v>234536</v>
      </c>
      <c r="J11" s="18">
        <v>264067</v>
      </c>
      <c r="K11" s="93">
        <v>359760</v>
      </c>
      <c r="L11" s="93">
        <v>267120</v>
      </c>
      <c r="M11" s="89">
        <v>279570</v>
      </c>
      <c r="N11" s="89">
        <v>279570</v>
      </c>
      <c r="O11" s="317">
        <f t="shared" si="2"/>
        <v>1</v>
      </c>
      <c r="P11" s="13">
        <v>279570</v>
      </c>
      <c r="Q11" s="125">
        <v>279570</v>
      </c>
    </row>
    <row r="12" spans="2:17" ht="13.5" thickBot="1">
      <c r="B12" s="706"/>
      <c r="C12" s="617"/>
      <c r="D12" s="413" t="s">
        <v>97</v>
      </c>
      <c r="E12" s="413"/>
      <c r="F12" s="413"/>
      <c r="G12" s="413"/>
      <c r="H12" s="413"/>
      <c r="I12" s="413">
        <v>30271</v>
      </c>
      <c r="J12" s="413">
        <v>29185</v>
      </c>
      <c r="K12" s="141">
        <v>29090</v>
      </c>
      <c r="L12" s="141">
        <v>30895</v>
      </c>
      <c r="M12" s="91">
        <v>26800</v>
      </c>
      <c r="N12" s="91">
        <v>26800</v>
      </c>
      <c r="O12" s="334">
        <f t="shared" si="2"/>
        <v>1</v>
      </c>
      <c r="P12" s="25">
        <v>26800</v>
      </c>
      <c r="Q12" s="135">
        <v>26800</v>
      </c>
    </row>
    <row r="13" spans="2:17" s="27" customFormat="1" ht="15.75" thickBot="1">
      <c r="B13" s="414">
        <v>130</v>
      </c>
      <c r="C13" s="678" t="s">
        <v>99</v>
      </c>
      <c r="D13" s="679"/>
      <c r="E13" s="403">
        <f>E14</f>
        <v>369216</v>
      </c>
      <c r="F13" s="403">
        <f>F14</f>
        <v>379141</v>
      </c>
      <c r="G13" s="403">
        <f>G14</f>
        <v>269468</v>
      </c>
      <c r="H13" s="403">
        <f>H14</f>
        <v>290540</v>
      </c>
      <c r="I13" s="403">
        <f>I14</f>
        <v>298666</v>
      </c>
      <c r="J13" s="403">
        <f aca="true" t="shared" si="5" ref="J13:Q13">J14</f>
        <v>298968</v>
      </c>
      <c r="K13" s="403">
        <f t="shared" si="5"/>
        <v>316219</v>
      </c>
      <c r="L13" s="403">
        <f t="shared" si="5"/>
        <v>432322</v>
      </c>
      <c r="M13" s="403">
        <f>M14</f>
        <v>409440</v>
      </c>
      <c r="N13" s="403">
        <f t="shared" si="5"/>
        <v>398900</v>
      </c>
      <c r="O13" s="404">
        <f t="shared" si="2"/>
        <v>0.9742575224697148</v>
      </c>
      <c r="P13" s="403">
        <f t="shared" si="5"/>
        <v>398900</v>
      </c>
      <c r="Q13" s="405">
        <f t="shared" si="5"/>
        <v>398900</v>
      </c>
    </row>
    <row r="14" spans="2:17" s="410" customFormat="1" ht="13.5" thickBot="1">
      <c r="B14" s="682"/>
      <c r="C14" s="415">
        <v>133</v>
      </c>
      <c r="D14" s="416" t="s">
        <v>63</v>
      </c>
      <c r="E14" s="417">
        <v>369216</v>
      </c>
      <c r="F14" s="417">
        <v>379141</v>
      </c>
      <c r="G14" s="417">
        <v>269468</v>
      </c>
      <c r="H14" s="417">
        <v>290540</v>
      </c>
      <c r="I14" s="418">
        <f aca="true" t="shared" si="6" ref="I14:P14">SUM(I15:I21)</f>
        <v>298666</v>
      </c>
      <c r="J14" s="418">
        <f t="shared" si="6"/>
        <v>298968</v>
      </c>
      <c r="K14" s="132">
        <f t="shared" si="6"/>
        <v>316219</v>
      </c>
      <c r="L14" s="132">
        <f t="shared" si="6"/>
        <v>432322</v>
      </c>
      <c r="M14" s="132">
        <f>SUM(M15:M21)</f>
        <v>409440</v>
      </c>
      <c r="N14" s="132">
        <f>SUM(N15:N21)</f>
        <v>398900</v>
      </c>
      <c r="O14" s="338">
        <f t="shared" si="2"/>
        <v>0.9742575224697148</v>
      </c>
      <c r="P14" s="132">
        <f t="shared" si="6"/>
        <v>398900</v>
      </c>
      <c r="Q14" s="138">
        <f>SUM(Q15:Q21)</f>
        <v>398900</v>
      </c>
    </row>
    <row r="15" spans="2:17" ht="12.75">
      <c r="B15" s="683"/>
      <c r="C15" s="615"/>
      <c r="D15" s="10" t="s">
        <v>64</v>
      </c>
      <c r="E15" s="10"/>
      <c r="F15" s="10"/>
      <c r="G15" s="10"/>
      <c r="H15" s="10"/>
      <c r="I15" s="10">
        <v>7752</v>
      </c>
      <c r="J15" s="11">
        <v>7713</v>
      </c>
      <c r="K15" s="96">
        <v>7990</v>
      </c>
      <c r="L15" s="96">
        <v>9276</v>
      </c>
      <c r="M15" s="96">
        <v>8200</v>
      </c>
      <c r="N15" s="96">
        <v>8200</v>
      </c>
      <c r="O15" s="335">
        <f t="shared" si="2"/>
        <v>1</v>
      </c>
      <c r="P15" s="29">
        <v>8200</v>
      </c>
      <c r="Q15" s="133">
        <v>8200</v>
      </c>
    </row>
    <row r="16" spans="2:17" ht="12.75">
      <c r="B16" s="683"/>
      <c r="C16" s="616"/>
      <c r="D16" s="12" t="s">
        <v>65</v>
      </c>
      <c r="E16" s="12"/>
      <c r="F16" s="12"/>
      <c r="G16" s="12"/>
      <c r="H16" s="12"/>
      <c r="I16" s="12">
        <v>532</v>
      </c>
      <c r="J16" s="13">
        <v>732</v>
      </c>
      <c r="K16" s="89">
        <v>732</v>
      </c>
      <c r="L16" s="89">
        <v>749</v>
      </c>
      <c r="M16" s="89">
        <v>600</v>
      </c>
      <c r="N16" s="89">
        <v>600</v>
      </c>
      <c r="O16" s="317">
        <f t="shared" si="2"/>
        <v>1</v>
      </c>
      <c r="P16" s="13">
        <v>600</v>
      </c>
      <c r="Q16" s="125">
        <v>600</v>
      </c>
    </row>
    <row r="17" spans="2:17" ht="12.75">
      <c r="B17" s="683"/>
      <c r="C17" s="616"/>
      <c r="D17" s="12" t="s">
        <v>66</v>
      </c>
      <c r="E17" s="12"/>
      <c r="F17" s="12"/>
      <c r="G17" s="12"/>
      <c r="H17" s="12"/>
      <c r="I17" s="12">
        <v>700</v>
      </c>
      <c r="J17" s="13">
        <v>750</v>
      </c>
      <c r="K17" s="89">
        <v>750</v>
      </c>
      <c r="L17" s="89">
        <v>725</v>
      </c>
      <c r="M17" s="89">
        <v>700</v>
      </c>
      <c r="N17" s="89">
        <v>700</v>
      </c>
      <c r="O17" s="317">
        <f t="shared" si="2"/>
        <v>1</v>
      </c>
      <c r="P17" s="13">
        <v>700</v>
      </c>
      <c r="Q17" s="125">
        <v>700</v>
      </c>
    </row>
    <row r="18" spans="2:17" ht="12.75">
      <c r="B18" s="683"/>
      <c r="C18" s="616"/>
      <c r="D18" s="12" t="s">
        <v>67</v>
      </c>
      <c r="E18" s="12"/>
      <c r="F18" s="12"/>
      <c r="G18" s="12"/>
      <c r="H18" s="12"/>
      <c r="I18" s="12">
        <v>12441</v>
      </c>
      <c r="J18" s="13">
        <v>12101</v>
      </c>
      <c r="K18" s="89">
        <v>14430</v>
      </c>
      <c r="L18" s="89">
        <v>12793</v>
      </c>
      <c r="M18" s="89">
        <v>11500</v>
      </c>
      <c r="N18" s="89">
        <v>11500</v>
      </c>
      <c r="O18" s="317">
        <f t="shared" si="2"/>
        <v>1</v>
      </c>
      <c r="P18" s="13">
        <v>11500</v>
      </c>
      <c r="Q18" s="125">
        <v>11500</v>
      </c>
    </row>
    <row r="19" spans="2:17" ht="12.75">
      <c r="B19" s="683"/>
      <c r="C19" s="616"/>
      <c r="D19" s="12" t="s">
        <v>201</v>
      </c>
      <c r="E19" s="12"/>
      <c r="F19" s="12"/>
      <c r="G19" s="12"/>
      <c r="H19" s="12"/>
      <c r="I19" s="12">
        <v>28263</v>
      </c>
      <c r="J19" s="13">
        <v>29878</v>
      </c>
      <c r="K19" s="89">
        <v>31474</v>
      </c>
      <c r="L19" s="89">
        <v>37978</v>
      </c>
      <c r="M19" s="89">
        <f>31000+10540</f>
        <v>41540</v>
      </c>
      <c r="N19" s="89">
        <v>31000</v>
      </c>
      <c r="O19" s="317">
        <f t="shared" si="2"/>
        <v>0.746268656716418</v>
      </c>
      <c r="P19" s="13">
        <v>31000</v>
      </c>
      <c r="Q19" s="125">
        <v>31000</v>
      </c>
    </row>
    <row r="20" spans="2:17" ht="12.75">
      <c r="B20" s="683"/>
      <c r="C20" s="616"/>
      <c r="D20" s="12" t="s">
        <v>68</v>
      </c>
      <c r="E20" s="12"/>
      <c r="F20" s="12"/>
      <c r="G20" s="12"/>
      <c r="H20" s="12"/>
      <c r="I20" s="12">
        <v>162034</v>
      </c>
      <c r="J20" s="13">
        <f>159378+2395</f>
        <v>161773</v>
      </c>
      <c r="K20" s="89">
        <v>174176</v>
      </c>
      <c r="L20" s="89">
        <f>265321+3376</f>
        <v>268697</v>
      </c>
      <c r="M20" s="89">
        <v>239000</v>
      </c>
      <c r="N20" s="89">
        <v>239000</v>
      </c>
      <c r="O20" s="317">
        <f t="shared" si="2"/>
        <v>1</v>
      </c>
      <c r="P20" s="13">
        <v>239000</v>
      </c>
      <c r="Q20" s="125">
        <v>239000</v>
      </c>
    </row>
    <row r="21" spans="2:17" ht="13.5" thickBot="1">
      <c r="B21" s="703"/>
      <c r="C21" s="618"/>
      <c r="D21" s="14" t="s">
        <v>69</v>
      </c>
      <c r="E21" s="24"/>
      <c r="F21" s="24"/>
      <c r="G21" s="24"/>
      <c r="H21" s="24"/>
      <c r="I21" s="24">
        <v>86944</v>
      </c>
      <c r="J21" s="13">
        <v>86021</v>
      </c>
      <c r="K21" s="95">
        <v>86667</v>
      </c>
      <c r="L21" s="95">
        <v>102104</v>
      </c>
      <c r="M21" s="95">
        <v>107900</v>
      </c>
      <c r="N21" s="95">
        <v>107900</v>
      </c>
      <c r="O21" s="333">
        <f t="shared" si="2"/>
        <v>1</v>
      </c>
      <c r="P21" s="15">
        <v>107900</v>
      </c>
      <c r="Q21" s="131">
        <v>107900</v>
      </c>
    </row>
    <row r="22" spans="2:17" s="28" customFormat="1" ht="16.5" thickBot="1">
      <c r="B22" s="421">
        <v>200</v>
      </c>
      <c r="C22" s="542" t="s">
        <v>100</v>
      </c>
      <c r="D22" s="485"/>
      <c r="E22" s="422">
        <f>E23+E34+E51+E53</f>
        <v>1277767</v>
      </c>
      <c r="F22" s="422">
        <f>F23+F34+F51+F53</f>
        <v>1153090</v>
      </c>
      <c r="G22" s="422">
        <f>G23+G34+G51+G53</f>
        <v>1821583</v>
      </c>
      <c r="H22" s="422">
        <f>H23+H34+H51+H53</f>
        <v>1266222</v>
      </c>
      <c r="I22" s="422">
        <v>1215651</v>
      </c>
      <c r="J22" s="422">
        <f aca="true" t="shared" si="7" ref="J22:P22">J23+J34+J51+J53</f>
        <v>1492638</v>
      </c>
      <c r="K22" s="422">
        <f t="shared" si="7"/>
        <v>1090799</v>
      </c>
      <c r="L22" s="422">
        <f t="shared" si="7"/>
        <v>1258962</v>
      </c>
      <c r="M22" s="422">
        <f t="shared" si="7"/>
        <v>845712</v>
      </c>
      <c r="N22" s="422">
        <f>N23+N34+N51+N53</f>
        <v>863038</v>
      </c>
      <c r="O22" s="423">
        <f t="shared" si="2"/>
        <v>1.0204868796942694</v>
      </c>
      <c r="P22" s="422">
        <f t="shared" si="7"/>
        <v>885472</v>
      </c>
      <c r="Q22" s="424">
        <f>Q23+Q34+Q51+Q53</f>
        <v>862473</v>
      </c>
    </row>
    <row r="23" spans="2:17" s="26" customFormat="1" ht="15.75" thickBot="1">
      <c r="B23" s="72">
        <v>210</v>
      </c>
      <c r="C23" s="686" t="s">
        <v>101</v>
      </c>
      <c r="D23" s="619"/>
      <c r="E23" s="425">
        <f>E24+E28</f>
        <v>873233</v>
      </c>
      <c r="F23" s="425">
        <f>F24+F28</f>
        <v>794430</v>
      </c>
      <c r="G23" s="425">
        <f>G24+G28</f>
        <v>1059517</v>
      </c>
      <c r="H23" s="425">
        <f>H24+H28</f>
        <v>810580</v>
      </c>
      <c r="I23" s="425">
        <v>598394</v>
      </c>
      <c r="J23" s="425">
        <f aca="true" t="shared" si="8" ref="J23:P23">J24+J28</f>
        <v>741364</v>
      </c>
      <c r="K23" s="425">
        <f t="shared" si="8"/>
        <v>560834</v>
      </c>
      <c r="L23" s="425">
        <f t="shared" si="8"/>
        <v>650004</v>
      </c>
      <c r="M23" s="425">
        <f t="shared" si="8"/>
        <v>435774</v>
      </c>
      <c r="N23" s="425">
        <f t="shared" si="8"/>
        <v>420600</v>
      </c>
      <c r="O23" s="426">
        <f t="shared" si="2"/>
        <v>0.965179198391827</v>
      </c>
      <c r="P23" s="425">
        <f t="shared" si="8"/>
        <v>410600</v>
      </c>
      <c r="Q23" s="427">
        <f>Q24+Q28</f>
        <v>387600</v>
      </c>
    </row>
    <row r="24" spans="2:17" s="67" customFormat="1" ht="13.5" thickBot="1">
      <c r="B24" s="682" t="s">
        <v>70</v>
      </c>
      <c r="C24" s="399">
        <v>211</v>
      </c>
      <c r="D24" s="428" t="s">
        <v>101</v>
      </c>
      <c r="E24" s="399">
        <v>93242</v>
      </c>
      <c r="F24" s="399">
        <v>23701</v>
      </c>
      <c r="G24" s="399">
        <v>51351</v>
      </c>
      <c r="H24" s="399">
        <v>38822</v>
      </c>
      <c r="I24" s="399">
        <v>66052</v>
      </c>
      <c r="J24" s="132">
        <f aca="true" t="shared" si="9" ref="J24:P24">SUM(J25:J27)</f>
        <v>29084</v>
      </c>
      <c r="K24" s="132">
        <f t="shared" si="9"/>
        <v>47000</v>
      </c>
      <c r="L24" s="132">
        <f t="shared" si="9"/>
        <v>58181</v>
      </c>
      <c r="M24" s="132">
        <f t="shared" si="9"/>
        <v>29084</v>
      </c>
      <c r="N24" s="132">
        <f t="shared" si="9"/>
        <v>25000</v>
      </c>
      <c r="O24" s="338">
        <f t="shared" si="2"/>
        <v>0.8595791500481365</v>
      </c>
      <c r="P24" s="132">
        <f t="shared" si="9"/>
        <v>25000</v>
      </c>
      <c r="Q24" s="138">
        <f>SUM(Q25:Q27)</f>
        <v>25000</v>
      </c>
    </row>
    <row r="25" spans="2:17" ht="12.75" customHeight="1" hidden="1">
      <c r="B25" s="683"/>
      <c r="C25" s="695"/>
      <c r="D25" s="290" t="s">
        <v>71</v>
      </c>
      <c r="E25" s="236"/>
      <c r="F25" s="236"/>
      <c r="G25" s="236"/>
      <c r="H25" s="236"/>
      <c r="I25" s="236"/>
      <c r="J25" s="236"/>
      <c r="K25" s="236"/>
      <c r="L25" s="29"/>
      <c r="M25" s="96"/>
      <c r="N25" s="96"/>
      <c r="O25" s="335">
        <f t="shared" si="2"/>
        <v>0</v>
      </c>
      <c r="P25" s="29"/>
      <c r="Q25" s="133"/>
    </row>
    <row r="26" spans="2:17" ht="12.75" hidden="1">
      <c r="B26" s="683"/>
      <c r="C26" s="696"/>
      <c r="D26" s="225" t="s">
        <v>210</v>
      </c>
      <c r="E26" s="225"/>
      <c r="F26" s="225"/>
      <c r="G26" s="225"/>
      <c r="H26" s="225"/>
      <c r="I26" s="225"/>
      <c r="J26" s="225"/>
      <c r="K26" s="225"/>
      <c r="L26" s="13"/>
      <c r="M26" s="89"/>
      <c r="N26" s="89"/>
      <c r="O26" s="317">
        <f t="shared" si="2"/>
        <v>0</v>
      </c>
      <c r="P26" s="13"/>
      <c r="Q26" s="125"/>
    </row>
    <row r="27" spans="2:17" ht="13.5" thickBot="1">
      <c r="B27" s="683"/>
      <c r="C27" s="617"/>
      <c r="D27" s="429" t="s">
        <v>72</v>
      </c>
      <c r="E27" s="429"/>
      <c r="F27" s="429"/>
      <c r="G27" s="429"/>
      <c r="H27" s="429"/>
      <c r="I27" s="429"/>
      <c r="J27" s="429">
        <v>29084</v>
      </c>
      <c r="K27" s="429">
        <v>47000</v>
      </c>
      <c r="L27" s="15">
        <v>58181</v>
      </c>
      <c r="M27" s="91">
        <v>29084</v>
      </c>
      <c r="N27" s="91">
        <v>25000</v>
      </c>
      <c r="O27" s="334">
        <f t="shared" si="2"/>
        <v>0.8595791500481365</v>
      </c>
      <c r="P27" s="25">
        <v>25000</v>
      </c>
      <c r="Q27" s="135">
        <v>25000</v>
      </c>
    </row>
    <row r="28" spans="2:17" ht="13.5" thickBot="1">
      <c r="B28" s="683"/>
      <c r="C28" s="430">
        <v>212</v>
      </c>
      <c r="D28" s="431" t="s">
        <v>73</v>
      </c>
      <c r="E28" s="432">
        <f>SUM(E29:E33)</f>
        <v>779991</v>
      </c>
      <c r="F28" s="432">
        <f>SUM(F29:F33)</f>
        <v>770729</v>
      </c>
      <c r="G28" s="432">
        <f>SUM(G29:G33)</f>
        <v>1008166</v>
      </c>
      <c r="H28" s="432">
        <f>SUM(H29:H33)</f>
        <v>771758</v>
      </c>
      <c r="I28" s="432">
        <v>532342</v>
      </c>
      <c r="J28" s="432">
        <f aca="true" t="shared" si="10" ref="J28:P28">SUM(J29:J33)</f>
        <v>712280</v>
      </c>
      <c r="K28" s="432">
        <f t="shared" si="10"/>
        <v>513834</v>
      </c>
      <c r="L28" s="3">
        <f t="shared" si="10"/>
        <v>591823</v>
      </c>
      <c r="M28" s="3">
        <f t="shared" si="10"/>
        <v>406690</v>
      </c>
      <c r="N28" s="3">
        <f t="shared" si="10"/>
        <v>395600</v>
      </c>
      <c r="O28" s="336">
        <f t="shared" si="2"/>
        <v>0.972731072807298</v>
      </c>
      <c r="P28" s="3">
        <f t="shared" si="10"/>
        <v>385600</v>
      </c>
      <c r="Q28" s="134">
        <f>SUM(Q29:Q33)</f>
        <v>362600</v>
      </c>
    </row>
    <row r="29" spans="2:17" ht="12.75">
      <c r="B29" s="683"/>
      <c r="C29" s="615"/>
      <c r="D29" s="290" t="s">
        <v>74</v>
      </c>
      <c r="E29" s="290">
        <v>751610</v>
      </c>
      <c r="F29" s="290">
        <v>750249</v>
      </c>
      <c r="G29" s="290">
        <v>649539</v>
      </c>
      <c r="H29" s="290">
        <v>427233</v>
      </c>
      <c r="I29" s="290">
        <v>348791</v>
      </c>
      <c r="J29" s="290">
        <v>510884</v>
      </c>
      <c r="K29" s="290">
        <v>324320</v>
      </c>
      <c r="L29" s="236">
        <v>401050</v>
      </c>
      <c r="M29" s="96">
        <v>127000</v>
      </c>
      <c r="N29" s="96">
        <f>113000</f>
        <v>113000</v>
      </c>
      <c r="O29" s="335">
        <f t="shared" si="2"/>
        <v>0.889763779527559</v>
      </c>
      <c r="P29" s="29">
        <v>103000</v>
      </c>
      <c r="Q29" s="133">
        <v>80000</v>
      </c>
    </row>
    <row r="30" spans="2:17" ht="12.75">
      <c r="B30" s="683"/>
      <c r="C30" s="616"/>
      <c r="D30" s="225" t="s">
        <v>75</v>
      </c>
      <c r="E30" s="225">
        <v>6108</v>
      </c>
      <c r="F30" s="225">
        <v>5709</v>
      </c>
      <c r="G30" s="225">
        <v>5809</v>
      </c>
      <c r="H30" s="225">
        <v>7235</v>
      </c>
      <c r="I30" s="225">
        <v>7034</v>
      </c>
      <c r="J30" s="225">
        <v>6012</v>
      </c>
      <c r="K30" s="225">
        <v>5150</v>
      </c>
      <c r="L30" s="225">
        <v>5043</v>
      </c>
      <c r="M30" s="89">
        <v>4300</v>
      </c>
      <c r="N30" s="89">
        <v>4300</v>
      </c>
      <c r="O30" s="317">
        <f t="shared" si="2"/>
        <v>1</v>
      </c>
      <c r="P30" s="13">
        <v>4300</v>
      </c>
      <c r="Q30" s="125">
        <v>4300</v>
      </c>
    </row>
    <row r="31" spans="2:17" ht="12.75">
      <c r="B31" s="683"/>
      <c r="C31" s="616"/>
      <c r="D31" s="374" t="s">
        <v>331</v>
      </c>
      <c r="E31" s="374"/>
      <c r="F31" s="374"/>
      <c r="G31" s="374"/>
      <c r="H31" s="374"/>
      <c r="I31" s="374"/>
      <c r="J31" s="374"/>
      <c r="K31" s="374"/>
      <c r="L31" s="374">
        <v>0</v>
      </c>
      <c r="M31" s="91">
        <v>32030</v>
      </c>
      <c r="N31" s="91">
        <v>44000</v>
      </c>
      <c r="O31" s="334">
        <f t="shared" si="2"/>
        <v>1.3737121448641898</v>
      </c>
      <c r="P31" s="25">
        <v>44000</v>
      </c>
      <c r="Q31" s="135">
        <v>44000</v>
      </c>
    </row>
    <row r="32" spans="2:17" ht="12.75">
      <c r="B32" s="683"/>
      <c r="C32" s="616"/>
      <c r="D32" s="374" t="s">
        <v>203</v>
      </c>
      <c r="E32" s="374"/>
      <c r="F32" s="374">
        <v>0</v>
      </c>
      <c r="G32" s="374">
        <v>339806</v>
      </c>
      <c r="H32" s="374">
        <v>322656</v>
      </c>
      <c r="I32" s="374">
        <v>92953</v>
      </c>
      <c r="J32" s="374">
        <v>100909</v>
      </c>
      <c r="K32" s="374">
        <v>83511</v>
      </c>
      <c r="L32" s="374">
        <f>77287+178+128</f>
        <v>77593</v>
      </c>
      <c r="M32" s="91">
        <v>149680</v>
      </c>
      <c r="N32" s="91">
        <v>79405</v>
      </c>
      <c r="O32" s="334">
        <f t="shared" si="2"/>
        <v>0.5304983965793694</v>
      </c>
      <c r="P32" s="25">
        <v>79405</v>
      </c>
      <c r="Q32" s="135">
        <v>79405</v>
      </c>
    </row>
    <row r="33" spans="2:17" ht="13.5" thickBot="1">
      <c r="B33" s="703"/>
      <c r="C33" s="618"/>
      <c r="D33" s="429" t="s">
        <v>76</v>
      </c>
      <c r="E33" s="429">
        <v>22273</v>
      </c>
      <c r="F33" s="429">
        <v>14771</v>
      </c>
      <c r="G33" s="429">
        <v>13012</v>
      </c>
      <c r="H33" s="429">
        <v>14634</v>
      </c>
      <c r="I33" s="429">
        <v>83564</v>
      </c>
      <c r="J33" s="429">
        <v>94475</v>
      </c>
      <c r="K33" s="429">
        <v>100853</v>
      </c>
      <c r="L33" s="374">
        <v>108137</v>
      </c>
      <c r="M33" s="91">
        <v>93680</v>
      </c>
      <c r="N33" s="91">
        <v>154895</v>
      </c>
      <c r="O33" s="334">
        <f t="shared" si="2"/>
        <v>1.6534479077711357</v>
      </c>
      <c r="P33" s="25">
        <v>154895</v>
      </c>
      <c r="Q33" s="135">
        <v>154895</v>
      </c>
    </row>
    <row r="34" spans="2:17" s="26" customFormat="1" ht="15.75" thickBot="1">
      <c r="B34" s="414">
        <v>220</v>
      </c>
      <c r="C34" s="686" t="s">
        <v>77</v>
      </c>
      <c r="D34" s="619"/>
      <c r="E34" s="433">
        <f>E35+E39+E49</f>
        <v>320786</v>
      </c>
      <c r="F34" s="433">
        <f>F35+F39+F49</f>
        <v>327192</v>
      </c>
      <c r="G34" s="433">
        <f>G35+G39+G49</f>
        <v>429297</v>
      </c>
      <c r="H34" s="433">
        <f>H35+H39+H49</f>
        <v>326610</v>
      </c>
      <c r="I34" s="433">
        <f>I35+I39+I49</f>
        <v>550895</v>
      </c>
      <c r="J34" s="433">
        <f aca="true" t="shared" si="11" ref="J34:P34">J35+J39+J49</f>
        <v>581281</v>
      </c>
      <c r="K34" s="433">
        <f t="shared" si="11"/>
        <v>471458</v>
      </c>
      <c r="L34" s="433">
        <f t="shared" si="11"/>
        <v>514547</v>
      </c>
      <c r="M34" s="433">
        <f t="shared" si="11"/>
        <v>380738</v>
      </c>
      <c r="N34" s="433">
        <f t="shared" si="11"/>
        <v>413238</v>
      </c>
      <c r="O34" s="434">
        <f t="shared" si="2"/>
        <v>1.0853605366419954</v>
      </c>
      <c r="P34" s="433">
        <f t="shared" si="11"/>
        <v>453672</v>
      </c>
      <c r="Q34" s="435">
        <f>Q35+Q39+Q49</f>
        <v>453673</v>
      </c>
    </row>
    <row r="35" spans="2:17" s="67" customFormat="1" ht="13.5" customHeight="1" thickBot="1">
      <c r="B35" s="682"/>
      <c r="C35" s="430">
        <v>221</v>
      </c>
      <c r="D35" s="431" t="s">
        <v>102</v>
      </c>
      <c r="E35" s="3">
        <f>SUM(E36:E38)</f>
        <v>108312</v>
      </c>
      <c r="F35" s="3">
        <f>SUM(F36:F38)</f>
        <v>99747</v>
      </c>
      <c r="G35" s="3">
        <f>SUM(G36:G38)</f>
        <v>156211</v>
      </c>
      <c r="H35" s="3">
        <f>SUM(H36:H38)</f>
        <v>110441</v>
      </c>
      <c r="I35" s="3">
        <f>SUM(I36:I38)</f>
        <v>116883</v>
      </c>
      <c r="J35" s="3">
        <f aca="true" t="shared" si="12" ref="J35:P35">SUM(J36:J38)</f>
        <v>93914</v>
      </c>
      <c r="K35" s="3">
        <f t="shared" si="12"/>
        <v>69092</v>
      </c>
      <c r="L35" s="3">
        <f t="shared" si="12"/>
        <v>77127</v>
      </c>
      <c r="M35" s="3">
        <f t="shared" si="12"/>
        <v>53441</v>
      </c>
      <c r="N35" s="3">
        <f t="shared" si="12"/>
        <v>53441</v>
      </c>
      <c r="O35" s="336">
        <f t="shared" si="2"/>
        <v>1</v>
      </c>
      <c r="P35" s="3">
        <f t="shared" si="12"/>
        <v>53441</v>
      </c>
      <c r="Q35" s="134">
        <f>SUM(Q36:Q38)</f>
        <v>53441</v>
      </c>
    </row>
    <row r="36" spans="2:17" ht="12.75" customHeight="1">
      <c r="B36" s="701"/>
      <c r="C36" s="615"/>
      <c r="D36" s="10" t="s">
        <v>78</v>
      </c>
      <c r="E36" s="290">
        <v>103532</v>
      </c>
      <c r="F36" s="290">
        <v>91482</v>
      </c>
      <c r="G36" s="290">
        <v>143896</v>
      </c>
      <c r="H36" s="290">
        <v>103964</v>
      </c>
      <c r="I36" s="290">
        <v>97289</v>
      </c>
      <c r="J36" s="290">
        <v>69567</v>
      </c>
      <c r="K36" s="290">
        <v>48641</v>
      </c>
      <c r="L36" s="236">
        <v>58713</v>
      </c>
      <c r="M36" s="96">
        <v>48641</v>
      </c>
      <c r="N36" s="96">
        <v>48641</v>
      </c>
      <c r="O36" s="335">
        <f t="shared" si="2"/>
        <v>1</v>
      </c>
      <c r="P36" s="29">
        <v>48641</v>
      </c>
      <c r="Q36" s="133">
        <v>48641</v>
      </c>
    </row>
    <row r="37" spans="2:17" ht="12.75" customHeight="1">
      <c r="B37" s="701"/>
      <c r="C37" s="616"/>
      <c r="D37" s="236" t="s">
        <v>330</v>
      </c>
      <c r="E37" s="291"/>
      <c r="F37" s="291"/>
      <c r="G37" s="291"/>
      <c r="H37" s="291"/>
      <c r="I37" s="291"/>
      <c r="J37" s="291"/>
      <c r="K37" s="291"/>
      <c r="L37" s="291"/>
      <c r="M37" s="106">
        <v>1500</v>
      </c>
      <c r="N37" s="106">
        <v>1500</v>
      </c>
      <c r="O37" s="322">
        <f t="shared" si="2"/>
        <v>1</v>
      </c>
      <c r="P37" s="105">
        <v>1500</v>
      </c>
      <c r="Q37" s="183">
        <v>1500</v>
      </c>
    </row>
    <row r="38" spans="2:17" ht="13.5" customHeight="1" thickBot="1">
      <c r="B38" s="701"/>
      <c r="C38" s="618"/>
      <c r="D38" s="429" t="s">
        <v>343</v>
      </c>
      <c r="E38" s="429">
        <v>4780</v>
      </c>
      <c r="F38" s="429">
        <v>8265</v>
      </c>
      <c r="G38" s="429">
        <v>12315</v>
      </c>
      <c r="H38" s="429">
        <v>6477</v>
      </c>
      <c r="I38" s="429">
        <v>19594</v>
      </c>
      <c r="J38" s="429">
        <v>24347</v>
      </c>
      <c r="K38" s="429">
        <v>20451</v>
      </c>
      <c r="L38" s="374">
        <v>18414</v>
      </c>
      <c r="M38" s="91">
        <v>3300</v>
      </c>
      <c r="N38" s="91">
        <v>3300</v>
      </c>
      <c r="O38" s="334">
        <f t="shared" si="2"/>
        <v>1</v>
      </c>
      <c r="P38" s="25">
        <v>3300</v>
      </c>
      <c r="Q38" s="135">
        <v>3300</v>
      </c>
    </row>
    <row r="39" spans="2:17" ht="13.5" customHeight="1" thickBot="1">
      <c r="B39" s="701"/>
      <c r="C39" s="430">
        <v>223</v>
      </c>
      <c r="D39" s="430" t="s">
        <v>79</v>
      </c>
      <c r="E39" s="430">
        <v>209420</v>
      </c>
      <c r="F39" s="430">
        <v>224723</v>
      </c>
      <c r="G39" s="430">
        <v>270165</v>
      </c>
      <c r="H39" s="430">
        <v>213694</v>
      </c>
      <c r="I39" s="430">
        <v>431444</v>
      </c>
      <c r="J39" s="3">
        <f aca="true" t="shared" si="13" ref="J39:P39">SUM(J40:J48)</f>
        <v>484992</v>
      </c>
      <c r="K39" s="3">
        <f t="shared" si="13"/>
        <v>400298</v>
      </c>
      <c r="L39" s="3">
        <f t="shared" si="13"/>
        <v>434944</v>
      </c>
      <c r="M39" s="3">
        <f t="shared" si="13"/>
        <v>325497</v>
      </c>
      <c r="N39" s="3">
        <f>SUM(N40:N48)</f>
        <v>357997</v>
      </c>
      <c r="O39" s="336">
        <f t="shared" si="2"/>
        <v>1.0998473104206798</v>
      </c>
      <c r="P39" s="3">
        <f t="shared" si="13"/>
        <v>398431</v>
      </c>
      <c r="Q39" s="134">
        <f>SUM(Q40:Q48)</f>
        <v>398431</v>
      </c>
    </row>
    <row r="40" spans="2:17" ht="12.75" customHeight="1">
      <c r="B40" s="701"/>
      <c r="C40" s="615"/>
      <c r="D40" s="290" t="s">
        <v>80</v>
      </c>
      <c r="E40" s="290"/>
      <c r="F40" s="290"/>
      <c r="G40" s="290"/>
      <c r="H40" s="290"/>
      <c r="I40" s="290"/>
      <c r="J40" s="290">
        <v>19602</v>
      </c>
      <c r="K40" s="290">
        <v>19573</v>
      </c>
      <c r="L40" s="236">
        <v>20641</v>
      </c>
      <c r="M40" s="96">
        <v>15000</v>
      </c>
      <c r="N40" s="96">
        <v>15000</v>
      </c>
      <c r="O40" s="335">
        <f t="shared" si="2"/>
        <v>1</v>
      </c>
      <c r="P40" s="29">
        <v>15000</v>
      </c>
      <c r="Q40" s="133">
        <v>15000</v>
      </c>
    </row>
    <row r="41" spans="2:17" ht="12.75" customHeight="1">
      <c r="B41" s="701"/>
      <c r="C41" s="616"/>
      <c r="D41" s="236" t="s">
        <v>280</v>
      </c>
      <c r="E41" s="236"/>
      <c r="F41" s="236"/>
      <c r="G41" s="236"/>
      <c r="H41" s="236"/>
      <c r="I41" s="236"/>
      <c r="J41" s="236">
        <v>20170</v>
      </c>
      <c r="K41" s="236">
        <v>3900</v>
      </c>
      <c r="L41" s="236">
        <v>8400</v>
      </c>
      <c r="M41" s="96"/>
      <c r="N41" s="96"/>
      <c r="O41" s="335">
        <f t="shared" si="2"/>
        <v>0</v>
      </c>
      <c r="P41" s="29"/>
      <c r="Q41" s="133"/>
    </row>
    <row r="42" spans="2:21" ht="12.75" customHeight="1">
      <c r="B42" s="701"/>
      <c r="C42" s="616"/>
      <c r="D42" s="236" t="s">
        <v>281</v>
      </c>
      <c r="E42" s="236"/>
      <c r="F42" s="236"/>
      <c r="G42" s="236"/>
      <c r="H42" s="236"/>
      <c r="I42" s="236"/>
      <c r="J42" s="30">
        <v>1309</v>
      </c>
      <c r="K42" s="436"/>
      <c r="L42" s="236"/>
      <c r="M42" s="96"/>
      <c r="N42" s="96"/>
      <c r="O42" s="335">
        <f t="shared" si="2"/>
        <v>0</v>
      </c>
      <c r="P42" s="29"/>
      <c r="Q42" s="133"/>
      <c r="U42" s="437"/>
    </row>
    <row r="43" spans="2:21" ht="12.75" customHeight="1">
      <c r="B43" s="701"/>
      <c r="C43" s="616"/>
      <c r="D43" s="225" t="s">
        <v>81</v>
      </c>
      <c r="E43" s="225"/>
      <c r="F43" s="225"/>
      <c r="G43" s="225"/>
      <c r="H43" s="225"/>
      <c r="I43" s="225"/>
      <c r="J43" s="13">
        <v>23291</v>
      </c>
      <c r="K43" s="13">
        <v>27058</v>
      </c>
      <c r="L43" s="225">
        <f>18432+1749</f>
        <v>20181</v>
      </c>
      <c r="M43" s="89">
        <v>19000</v>
      </c>
      <c r="N43" s="89">
        <v>19000</v>
      </c>
      <c r="O43" s="317">
        <f t="shared" si="2"/>
        <v>1</v>
      </c>
      <c r="P43" s="13">
        <v>19000</v>
      </c>
      <c r="Q43" s="125">
        <v>19000</v>
      </c>
      <c r="U43" s="437"/>
    </row>
    <row r="44" spans="2:21" ht="12.75" customHeight="1">
      <c r="B44" s="701"/>
      <c r="C44" s="616"/>
      <c r="D44" s="225" t="s">
        <v>82</v>
      </c>
      <c r="E44" s="225"/>
      <c r="F44" s="225"/>
      <c r="G44" s="225"/>
      <c r="H44" s="225"/>
      <c r="I44" s="225"/>
      <c r="J44" s="13">
        <f>25266+1975-2735</f>
        <v>24506</v>
      </c>
      <c r="K44" s="13">
        <v>29035</v>
      </c>
      <c r="L44" s="225">
        <v>28418</v>
      </c>
      <c r="M44" s="89">
        <v>20000</v>
      </c>
      <c r="N44" s="89">
        <v>20000</v>
      </c>
      <c r="O44" s="317">
        <f t="shared" si="2"/>
        <v>1</v>
      </c>
      <c r="P44" s="13">
        <v>20000</v>
      </c>
      <c r="Q44" s="125">
        <v>20000</v>
      </c>
      <c r="U44" s="437"/>
    </row>
    <row r="45" spans="2:21" ht="12.75" customHeight="1">
      <c r="B45" s="701"/>
      <c r="C45" s="616"/>
      <c r="D45" s="225" t="s">
        <v>83</v>
      </c>
      <c r="E45" s="225"/>
      <c r="F45" s="225"/>
      <c r="G45" s="225"/>
      <c r="H45" s="225"/>
      <c r="I45" s="225"/>
      <c r="J45" s="13">
        <f>19469+134+18</f>
        <v>19621</v>
      </c>
      <c r="K45" s="13">
        <v>15462</v>
      </c>
      <c r="L45" s="225">
        <v>15205</v>
      </c>
      <c r="M45" s="89">
        <v>16930</v>
      </c>
      <c r="N45" s="89">
        <v>16930</v>
      </c>
      <c r="O45" s="317">
        <f t="shared" si="2"/>
        <v>1</v>
      </c>
      <c r="P45" s="13">
        <v>16930</v>
      </c>
      <c r="Q45" s="125">
        <v>16930</v>
      </c>
      <c r="U45" s="437"/>
    </row>
    <row r="46" spans="2:21" ht="12.75" customHeight="1">
      <c r="B46" s="701"/>
      <c r="C46" s="616"/>
      <c r="D46" s="374" t="s">
        <v>226</v>
      </c>
      <c r="E46" s="374"/>
      <c r="F46" s="374"/>
      <c r="G46" s="374"/>
      <c r="H46" s="374"/>
      <c r="I46" s="374"/>
      <c r="J46" s="25">
        <v>136368</v>
      </c>
      <c r="K46" s="13">
        <v>127040</v>
      </c>
      <c r="L46" s="374">
        <f>149434+40</f>
        <v>149474</v>
      </c>
      <c r="M46" s="91">
        <v>98000</v>
      </c>
      <c r="N46" s="91">
        <v>120000</v>
      </c>
      <c r="O46" s="334">
        <f t="shared" si="2"/>
        <v>1.2244897959183674</v>
      </c>
      <c r="P46" s="25">
        <v>120000</v>
      </c>
      <c r="Q46" s="135">
        <v>120000</v>
      </c>
      <c r="U46" s="437"/>
    </row>
    <row r="47" spans="2:21" ht="12.75" customHeight="1">
      <c r="B47" s="701"/>
      <c r="C47" s="616"/>
      <c r="D47" s="374" t="s">
        <v>227</v>
      </c>
      <c r="E47" s="374"/>
      <c r="F47" s="374"/>
      <c r="G47" s="374"/>
      <c r="H47" s="374"/>
      <c r="I47" s="374"/>
      <c r="J47" s="25">
        <v>60412</v>
      </c>
      <c r="K47" s="13">
        <v>44729</v>
      </c>
      <c r="L47" s="374">
        <v>51770</v>
      </c>
      <c r="M47" s="91">
        <v>84000</v>
      </c>
      <c r="N47" s="91">
        <v>74000</v>
      </c>
      <c r="O47" s="334">
        <f t="shared" si="2"/>
        <v>0.8809523809523809</v>
      </c>
      <c r="P47" s="25">
        <v>74000</v>
      </c>
      <c r="Q47" s="135">
        <v>74000</v>
      </c>
      <c r="U47" s="437"/>
    </row>
    <row r="48" spans="2:17" ht="13.5" customHeight="1" thickBot="1">
      <c r="B48" s="701"/>
      <c r="C48" s="616"/>
      <c r="D48" s="374" t="s">
        <v>84</v>
      </c>
      <c r="E48" s="374"/>
      <c r="F48" s="374"/>
      <c r="G48" s="374"/>
      <c r="H48" s="374"/>
      <c r="I48" s="374"/>
      <c r="J48" s="25">
        <f>111+179602</f>
        <v>179713</v>
      </c>
      <c r="K48" s="13">
        <f>91+133410</f>
        <v>133501</v>
      </c>
      <c r="L48" s="374">
        <f>60+137299+3496</f>
        <v>140855</v>
      </c>
      <c r="M48" s="91">
        <v>72567</v>
      </c>
      <c r="N48" s="91">
        <f>133501-40434</f>
        <v>93067</v>
      </c>
      <c r="O48" s="334">
        <f t="shared" si="2"/>
        <v>1.2824975539845935</v>
      </c>
      <c r="P48" s="25">
        <v>133501</v>
      </c>
      <c r="Q48" s="135">
        <v>133501</v>
      </c>
    </row>
    <row r="49" spans="2:17" ht="13.5" customHeight="1" thickBot="1">
      <c r="B49" s="701"/>
      <c r="C49" s="430">
        <v>229</v>
      </c>
      <c r="D49" s="430" t="s">
        <v>85</v>
      </c>
      <c r="E49" s="432">
        <f>E50</f>
        <v>3054</v>
      </c>
      <c r="F49" s="432">
        <f>F50</f>
        <v>2722</v>
      </c>
      <c r="G49" s="432">
        <f>G50</f>
        <v>2921</v>
      </c>
      <c r="H49" s="432">
        <f>H50</f>
        <v>2475</v>
      </c>
      <c r="I49" s="432">
        <f>I50</f>
        <v>2568</v>
      </c>
      <c r="J49" s="432">
        <f aca="true" t="shared" si="14" ref="J49:Q49">J50</f>
        <v>2375</v>
      </c>
      <c r="K49" s="432">
        <f t="shared" si="14"/>
        <v>2068</v>
      </c>
      <c r="L49" s="3">
        <f t="shared" si="14"/>
        <v>2476</v>
      </c>
      <c r="M49" s="3">
        <f t="shared" si="14"/>
        <v>1800</v>
      </c>
      <c r="N49" s="3">
        <f t="shared" si="14"/>
        <v>1800</v>
      </c>
      <c r="O49" s="336">
        <f t="shared" si="2"/>
        <v>1</v>
      </c>
      <c r="P49" s="3">
        <f t="shared" si="14"/>
        <v>1800</v>
      </c>
      <c r="Q49" s="134">
        <f t="shared" si="14"/>
        <v>1801</v>
      </c>
    </row>
    <row r="50" spans="2:17" ht="13.5" customHeight="1" thickBot="1">
      <c r="B50" s="702"/>
      <c r="C50" s="5"/>
      <c r="D50" s="5" t="s">
        <v>86</v>
      </c>
      <c r="E50" s="5">
        <v>3054</v>
      </c>
      <c r="F50" s="5">
        <v>2722</v>
      </c>
      <c r="G50" s="5">
        <v>2921</v>
      </c>
      <c r="H50" s="5">
        <v>2475</v>
      </c>
      <c r="I50" s="5">
        <v>2568</v>
      </c>
      <c r="J50" s="5">
        <v>2375</v>
      </c>
      <c r="K50" s="5">
        <v>2068</v>
      </c>
      <c r="L50" s="235">
        <v>2476</v>
      </c>
      <c r="M50" s="180">
        <v>1800</v>
      </c>
      <c r="N50" s="180">
        <v>1800</v>
      </c>
      <c r="O50" s="318">
        <f t="shared" si="2"/>
        <v>1</v>
      </c>
      <c r="P50" s="64">
        <v>1800</v>
      </c>
      <c r="Q50" s="219">
        <v>1801</v>
      </c>
    </row>
    <row r="51" spans="2:17" s="26" customFormat="1" ht="16.5" customHeight="1" thickBot="1">
      <c r="B51" s="402">
        <v>240</v>
      </c>
      <c r="C51" s="680" t="s">
        <v>87</v>
      </c>
      <c r="D51" s="681"/>
      <c r="E51" s="438">
        <f>SUM(E52:E52)</f>
        <v>27352</v>
      </c>
      <c r="F51" s="438">
        <f>SUM(F52:F52)</f>
        <v>10390</v>
      </c>
      <c r="G51" s="438">
        <f>SUM(G52:G52)</f>
        <v>16730</v>
      </c>
      <c r="H51" s="438">
        <f>SUM(H52:H52)</f>
        <v>5867</v>
      </c>
      <c r="I51" s="438">
        <f>SUM(I52:I52)</f>
        <v>6403</v>
      </c>
      <c r="J51" s="438">
        <f aca="true" t="shared" si="15" ref="J51:Q51">SUM(J52:J52)</f>
        <v>3943</v>
      </c>
      <c r="K51" s="438">
        <f t="shared" si="15"/>
        <v>3352</v>
      </c>
      <c r="L51" s="438">
        <f t="shared" si="15"/>
        <v>1988</v>
      </c>
      <c r="M51" s="438">
        <f t="shared" si="15"/>
        <v>1000</v>
      </c>
      <c r="N51" s="438">
        <f t="shared" si="15"/>
        <v>0</v>
      </c>
      <c r="O51" s="439">
        <f t="shared" si="2"/>
        <v>0</v>
      </c>
      <c r="P51" s="438">
        <f t="shared" si="15"/>
        <v>0</v>
      </c>
      <c r="Q51" s="441">
        <f t="shared" si="15"/>
        <v>0</v>
      </c>
    </row>
    <row r="52" spans="2:17" ht="13.5" customHeight="1" thickBot="1">
      <c r="B52" s="72"/>
      <c r="C52" s="73"/>
      <c r="D52" s="4" t="s">
        <v>88</v>
      </c>
      <c r="E52" s="4">
        <v>27352</v>
      </c>
      <c r="F52" s="4">
        <v>10390</v>
      </c>
      <c r="G52" s="4">
        <v>16730</v>
      </c>
      <c r="H52" s="4">
        <v>5867</v>
      </c>
      <c r="I52" s="4">
        <v>6403</v>
      </c>
      <c r="J52" s="4">
        <v>3943</v>
      </c>
      <c r="K52" s="4">
        <v>3352</v>
      </c>
      <c r="L52" s="231">
        <v>1988</v>
      </c>
      <c r="M52" s="178">
        <v>1000</v>
      </c>
      <c r="N52" s="178"/>
      <c r="O52" s="325">
        <f t="shared" si="2"/>
        <v>0</v>
      </c>
      <c r="P52" s="63"/>
      <c r="Q52" s="215"/>
    </row>
    <row r="53" spans="2:17" s="27" customFormat="1" ht="15.75" thickBot="1">
      <c r="B53" s="402">
        <v>290</v>
      </c>
      <c r="C53" s="678" t="s">
        <v>89</v>
      </c>
      <c r="D53" s="679"/>
      <c r="E53" s="442">
        <f>E54</f>
        <v>56396</v>
      </c>
      <c r="F53" s="442">
        <f>F54</f>
        <v>21078</v>
      </c>
      <c r="G53" s="442">
        <f>G54</f>
        <v>316039</v>
      </c>
      <c r="H53" s="442">
        <f>H54</f>
        <v>123165</v>
      </c>
      <c r="I53" s="442">
        <v>59959</v>
      </c>
      <c r="J53" s="442">
        <f aca="true" t="shared" si="16" ref="J53:Q53">J54</f>
        <v>166050</v>
      </c>
      <c r="K53" s="442">
        <f t="shared" si="16"/>
        <v>55155</v>
      </c>
      <c r="L53" s="442">
        <f t="shared" si="16"/>
        <v>92423</v>
      </c>
      <c r="M53" s="442">
        <f t="shared" si="16"/>
        <v>28200</v>
      </c>
      <c r="N53" s="442">
        <f t="shared" si="16"/>
        <v>29200</v>
      </c>
      <c r="O53" s="443">
        <f t="shared" si="2"/>
        <v>1.0354609929078014</v>
      </c>
      <c r="P53" s="442">
        <f t="shared" si="16"/>
        <v>21200</v>
      </c>
      <c r="Q53" s="444">
        <f t="shared" si="16"/>
        <v>21200</v>
      </c>
    </row>
    <row r="54" spans="2:17" ht="13.5" thickBot="1">
      <c r="B54" s="682"/>
      <c r="C54" s="431">
        <v>292</v>
      </c>
      <c r="D54" s="431" t="s">
        <v>89</v>
      </c>
      <c r="E54" s="431">
        <v>56396</v>
      </c>
      <c r="F54" s="431">
        <v>21078</v>
      </c>
      <c r="G54" s="431">
        <v>316039</v>
      </c>
      <c r="H54" s="431">
        <v>123165</v>
      </c>
      <c r="I54" s="431">
        <v>59959</v>
      </c>
      <c r="J54" s="3">
        <f aca="true" t="shared" si="17" ref="J54:P54">SUM(J55:J59)</f>
        <v>166050</v>
      </c>
      <c r="K54" s="3">
        <f t="shared" si="17"/>
        <v>55155</v>
      </c>
      <c r="L54" s="3">
        <f t="shared" si="17"/>
        <v>92423</v>
      </c>
      <c r="M54" s="3">
        <f t="shared" si="17"/>
        <v>28200</v>
      </c>
      <c r="N54" s="3">
        <f t="shared" si="17"/>
        <v>29200</v>
      </c>
      <c r="O54" s="336">
        <f t="shared" si="2"/>
        <v>1.0354609929078014</v>
      </c>
      <c r="P54" s="3">
        <f t="shared" si="17"/>
        <v>21200</v>
      </c>
      <c r="Q54" s="134">
        <f>SUM(Q55:Q59)</f>
        <v>21200</v>
      </c>
    </row>
    <row r="55" spans="2:17" ht="12.75">
      <c r="B55" s="683"/>
      <c r="C55" s="695"/>
      <c r="D55" s="445" t="s">
        <v>216</v>
      </c>
      <c r="E55" s="445"/>
      <c r="F55" s="445"/>
      <c r="G55" s="445"/>
      <c r="H55" s="445"/>
      <c r="I55" s="445"/>
      <c r="J55" s="17">
        <v>19700</v>
      </c>
      <c r="K55" s="17">
        <v>19300</v>
      </c>
      <c r="L55" s="446">
        <v>29700</v>
      </c>
      <c r="M55" s="96">
        <v>19000</v>
      </c>
      <c r="N55" s="96">
        <v>19000</v>
      </c>
      <c r="O55" s="335">
        <f t="shared" si="2"/>
        <v>1</v>
      </c>
      <c r="P55" s="29">
        <v>19000</v>
      </c>
      <c r="Q55" s="133">
        <v>19000</v>
      </c>
    </row>
    <row r="56" spans="2:17" ht="12.75">
      <c r="B56" s="683"/>
      <c r="C56" s="696"/>
      <c r="D56" s="446" t="s">
        <v>326</v>
      </c>
      <c r="E56" s="446"/>
      <c r="F56" s="446"/>
      <c r="G56" s="446"/>
      <c r="H56" s="446"/>
      <c r="I56" s="446"/>
      <c r="J56" s="55">
        <v>37534</v>
      </c>
      <c r="K56" s="55">
        <v>14000</v>
      </c>
      <c r="L56" s="446">
        <v>2888</v>
      </c>
      <c r="M56" s="96"/>
      <c r="N56" s="96"/>
      <c r="O56" s="335">
        <f t="shared" si="2"/>
        <v>0</v>
      </c>
      <c r="P56" s="29"/>
      <c r="Q56" s="133"/>
    </row>
    <row r="57" spans="2:17" ht="12.75">
      <c r="B57" s="683"/>
      <c r="C57" s="696"/>
      <c r="D57" s="446" t="s">
        <v>89</v>
      </c>
      <c r="E57" s="446"/>
      <c r="F57" s="446"/>
      <c r="G57" s="446"/>
      <c r="H57" s="446"/>
      <c r="I57" s="446"/>
      <c r="J57" s="55">
        <v>106407</v>
      </c>
      <c r="K57" s="55">
        <v>19147</v>
      </c>
      <c r="L57" s="446">
        <f>16091+34106+2444+185+641+2733+114-32+43+286+668</f>
        <v>57279</v>
      </c>
      <c r="M57" s="96">
        <v>7000</v>
      </c>
      <c r="N57" s="96">
        <v>8000</v>
      </c>
      <c r="O57" s="335">
        <f t="shared" si="2"/>
        <v>1.1428571428571428</v>
      </c>
      <c r="P57" s="29"/>
      <c r="Q57" s="133"/>
    </row>
    <row r="58" spans="2:17" ht="13.5" thickBot="1">
      <c r="B58" s="683"/>
      <c r="C58" s="696"/>
      <c r="D58" s="447" t="s">
        <v>90</v>
      </c>
      <c r="E58" s="447"/>
      <c r="F58" s="447"/>
      <c r="G58" s="447"/>
      <c r="H58" s="447"/>
      <c r="I58" s="447"/>
      <c r="J58" s="19">
        <v>2409</v>
      </c>
      <c r="K58" s="19">
        <v>2708</v>
      </c>
      <c r="L58" s="448">
        <v>2556</v>
      </c>
      <c r="M58" s="93">
        <v>2200</v>
      </c>
      <c r="N58" s="93">
        <v>2200</v>
      </c>
      <c r="O58" s="320">
        <f t="shared" si="2"/>
        <v>1</v>
      </c>
      <c r="P58" s="19">
        <v>2200</v>
      </c>
      <c r="Q58" s="127">
        <v>2200</v>
      </c>
    </row>
    <row r="59" spans="2:17" ht="14.25" hidden="1" thickBot="1" thickTop="1">
      <c r="B59" s="684"/>
      <c r="C59" s="614"/>
      <c r="D59" s="448" t="s">
        <v>200</v>
      </c>
      <c r="E59" s="448"/>
      <c r="F59" s="448"/>
      <c r="G59" s="448"/>
      <c r="H59" s="448"/>
      <c r="I59" s="448"/>
      <c r="J59" s="448"/>
      <c r="K59" s="448"/>
      <c r="L59" s="449"/>
      <c r="M59" s="450"/>
      <c r="N59" s="450"/>
      <c r="O59" s="451">
        <f t="shared" si="2"/>
        <v>0</v>
      </c>
      <c r="P59" s="449"/>
      <c r="Q59" s="452"/>
    </row>
    <row r="60" spans="2:17" s="457" customFormat="1" ht="17.25" thickBot="1" thickTop="1">
      <c r="B60" s="453">
        <v>300</v>
      </c>
      <c r="C60" s="693" t="s">
        <v>103</v>
      </c>
      <c r="D60" s="694"/>
      <c r="E60" s="454">
        <f>E61+E95</f>
        <v>1842129</v>
      </c>
      <c r="F60" s="454">
        <f>F61+F95</f>
        <v>1999701</v>
      </c>
      <c r="G60" s="454">
        <f>G61+G95</f>
        <v>2077242</v>
      </c>
      <c r="H60" s="454">
        <f>H61+H95</f>
        <v>2645110</v>
      </c>
      <c r="I60" s="454">
        <f>I61+I95</f>
        <v>2979865</v>
      </c>
      <c r="J60" s="454">
        <f aca="true" t="shared" si="18" ref="J60:P60">J61+J95</f>
        <v>2749519</v>
      </c>
      <c r="K60" s="454">
        <f t="shared" si="18"/>
        <v>2901991</v>
      </c>
      <c r="L60" s="454">
        <f t="shared" si="18"/>
        <v>3466649</v>
      </c>
      <c r="M60" s="454">
        <f t="shared" si="18"/>
        <v>3223016</v>
      </c>
      <c r="N60" s="454">
        <f t="shared" si="18"/>
        <v>2906543</v>
      </c>
      <c r="O60" s="455">
        <f t="shared" si="2"/>
        <v>0.9018084303646026</v>
      </c>
      <c r="P60" s="454">
        <f t="shared" si="18"/>
        <v>2866837</v>
      </c>
      <c r="Q60" s="456">
        <f>Q61+Q95</f>
        <v>2866837</v>
      </c>
    </row>
    <row r="61" spans="2:17" ht="15.75" thickBot="1">
      <c r="B61" s="414">
        <v>310</v>
      </c>
      <c r="C61" s="686" t="s">
        <v>104</v>
      </c>
      <c r="D61" s="687"/>
      <c r="E61" s="433">
        <f>E62+E64</f>
        <v>1842129</v>
      </c>
      <c r="F61" s="433">
        <f>F62+F64</f>
        <v>1999701</v>
      </c>
      <c r="G61" s="433">
        <f>G62+G64</f>
        <v>2077242</v>
      </c>
      <c r="H61" s="433">
        <f>H62+H64</f>
        <v>2645110</v>
      </c>
      <c r="I61" s="433">
        <f>I62+I64</f>
        <v>2958818</v>
      </c>
      <c r="J61" s="433">
        <f aca="true" t="shared" si="19" ref="J61:P61">J62+J64</f>
        <v>2721164</v>
      </c>
      <c r="K61" s="433">
        <f t="shared" si="19"/>
        <v>2862933</v>
      </c>
      <c r="L61" s="433">
        <f t="shared" si="19"/>
        <v>3457133</v>
      </c>
      <c r="M61" s="433">
        <f t="shared" si="19"/>
        <v>3223016</v>
      </c>
      <c r="N61" s="433">
        <f t="shared" si="19"/>
        <v>2906543</v>
      </c>
      <c r="O61" s="434">
        <f t="shared" si="2"/>
        <v>0.9018084303646026</v>
      </c>
      <c r="P61" s="433">
        <f t="shared" si="19"/>
        <v>2866837</v>
      </c>
      <c r="Q61" s="435">
        <f>Q62+Q64</f>
        <v>2866837</v>
      </c>
    </row>
    <row r="62" spans="2:17" ht="13.5" thickBot="1">
      <c r="B62" s="682"/>
      <c r="C62" s="458">
        <v>311</v>
      </c>
      <c r="D62" s="430" t="s">
        <v>105</v>
      </c>
      <c r="E62" s="459">
        <f aca="true" t="shared" si="20" ref="E62:L62">SUM(E63:E63)</f>
        <v>0</v>
      </c>
      <c r="F62" s="459">
        <f t="shared" si="20"/>
        <v>23003</v>
      </c>
      <c r="G62" s="459">
        <f t="shared" si="20"/>
        <v>14107</v>
      </c>
      <c r="H62" s="459">
        <f t="shared" si="20"/>
        <v>9307</v>
      </c>
      <c r="I62" s="459">
        <f t="shared" si="20"/>
        <v>19495</v>
      </c>
      <c r="J62" s="459">
        <f t="shared" si="20"/>
        <v>11396</v>
      </c>
      <c r="K62" s="459">
        <f t="shared" si="20"/>
        <v>19287</v>
      </c>
      <c r="L62" s="3">
        <f t="shared" si="20"/>
        <v>18260</v>
      </c>
      <c r="M62" s="460"/>
      <c r="N62" s="460"/>
      <c r="O62" s="408">
        <f t="shared" si="2"/>
        <v>0</v>
      </c>
      <c r="P62" s="407"/>
      <c r="Q62" s="409"/>
    </row>
    <row r="63" spans="2:17" ht="13.5" thickBot="1">
      <c r="B63" s="683"/>
      <c r="C63" s="420"/>
      <c r="D63" s="10" t="s">
        <v>228</v>
      </c>
      <c r="E63" s="10">
        <v>0</v>
      </c>
      <c r="F63" s="10">
        <v>23003</v>
      </c>
      <c r="G63" s="10">
        <v>14107</v>
      </c>
      <c r="H63" s="10">
        <v>9307</v>
      </c>
      <c r="I63" s="10">
        <v>19495</v>
      </c>
      <c r="J63" s="10">
        <v>11396</v>
      </c>
      <c r="K63" s="10">
        <v>19287</v>
      </c>
      <c r="L63" s="236">
        <v>18260</v>
      </c>
      <c r="M63" s="96"/>
      <c r="N63" s="96"/>
      <c r="O63" s="335">
        <f t="shared" si="2"/>
        <v>0</v>
      </c>
      <c r="P63" s="29"/>
      <c r="Q63" s="133"/>
    </row>
    <row r="64" spans="2:17" ht="13.5" thickBot="1">
      <c r="B64" s="683"/>
      <c r="C64" s="399">
        <v>312</v>
      </c>
      <c r="D64" s="399" t="s">
        <v>106</v>
      </c>
      <c r="E64" s="399">
        <v>1842129</v>
      </c>
      <c r="F64" s="399">
        <v>1976698</v>
      </c>
      <c r="G64" s="399">
        <v>2063135</v>
      </c>
      <c r="H64" s="399">
        <v>2635803</v>
      </c>
      <c r="I64" s="399">
        <v>2939323</v>
      </c>
      <c r="J64" s="132">
        <f>SUM(J65:J94)</f>
        <v>2709768</v>
      </c>
      <c r="K64" s="132">
        <f>SUM(K65:K94)</f>
        <v>2843646</v>
      </c>
      <c r="L64" s="132">
        <f>SUM(L65:L94)</f>
        <v>3438873</v>
      </c>
      <c r="M64" s="132">
        <v>3223016</v>
      </c>
      <c r="N64" s="132">
        <f>SUM(N65:N94)</f>
        <v>2906543</v>
      </c>
      <c r="O64" s="338">
        <f t="shared" si="2"/>
        <v>0.9018084303646026</v>
      </c>
      <c r="P64" s="132">
        <v>2866837</v>
      </c>
      <c r="Q64" s="138">
        <v>2866837</v>
      </c>
    </row>
    <row r="65" spans="2:17" ht="12.75">
      <c r="B65" s="683"/>
      <c r="C65" s="691"/>
      <c r="D65" s="10" t="s">
        <v>156</v>
      </c>
      <c r="E65" s="10"/>
      <c r="F65" s="10"/>
      <c r="G65" s="10"/>
      <c r="H65" s="10"/>
      <c r="I65" s="10"/>
      <c r="J65" s="10">
        <v>23695</v>
      </c>
      <c r="K65" s="10">
        <v>17245</v>
      </c>
      <c r="L65" s="10">
        <v>10901</v>
      </c>
      <c r="M65" s="11">
        <v>17244</v>
      </c>
      <c r="N65" s="11">
        <v>17244</v>
      </c>
      <c r="O65" s="316">
        <f t="shared" si="2"/>
        <v>1</v>
      </c>
      <c r="P65" s="11">
        <v>17244</v>
      </c>
      <c r="Q65" s="124">
        <v>17244</v>
      </c>
    </row>
    <row r="66" spans="2:17" ht="12.75">
      <c r="B66" s="683"/>
      <c r="C66" s="692"/>
      <c r="D66" s="12" t="s">
        <v>157</v>
      </c>
      <c r="E66" s="12"/>
      <c r="F66" s="12"/>
      <c r="G66" s="12"/>
      <c r="H66" s="12"/>
      <c r="I66" s="12"/>
      <c r="J66" s="12">
        <v>2039732</v>
      </c>
      <c r="K66" s="12">
        <v>2219230</v>
      </c>
      <c r="L66" s="12">
        <v>2305975</v>
      </c>
      <c r="M66" s="13">
        <v>2374727</v>
      </c>
      <c r="N66" s="13">
        <v>2374727</v>
      </c>
      <c r="O66" s="317">
        <f t="shared" si="2"/>
        <v>1</v>
      </c>
      <c r="P66" s="13">
        <v>2374727</v>
      </c>
      <c r="Q66" s="125">
        <v>2374727</v>
      </c>
    </row>
    <row r="67" spans="2:17" ht="12.75">
      <c r="B67" s="683"/>
      <c r="C67" s="692"/>
      <c r="D67" s="12" t="s">
        <v>158</v>
      </c>
      <c r="E67" s="12"/>
      <c r="F67" s="12"/>
      <c r="G67" s="12"/>
      <c r="H67" s="12"/>
      <c r="I67" s="12"/>
      <c r="J67" s="12">
        <v>18027</v>
      </c>
      <c r="K67" s="12">
        <v>18084</v>
      </c>
      <c r="L67" s="12">
        <v>17994</v>
      </c>
      <c r="M67" s="13">
        <v>18083</v>
      </c>
      <c r="N67" s="13">
        <v>18083</v>
      </c>
      <c r="O67" s="317">
        <f t="shared" si="2"/>
        <v>1</v>
      </c>
      <c r="P67" s="13">
        <v>18083</v>
      </c>
      <c r="Q67" s="125">
        <v>18083</v>
      </c>
    </row>
    <row r="68" spans="2:17" ht="12.75">
      <c r="B68" s="683"/>
      <c r="C68" s="692"/>
      <c r="D68" s="12" t="s">
        <v>159</v>
      </c>
      <c r="E68" s="12"/>
      <c r="F68" s="12"/>
      <c r="G68" s="12"/>
      <c r="H68" s="12"/>
      <c r="I68" s="12"/>
      <c r="J68" s="12">
        <v>24577</v>
      </c>
      <c r="K68" s="12">
        <v>25124</v>
      </c>
      <c r="L68" s="12">
        <v>25564</v>
      </c>
      <c r="M68" s="13">
        <v>24000</v>
      </c>
      <c r="N68" s="13">
        <v>24000</v>
      </c>
      <c r="O68" s="317">
        <f t="shared" si="2"/>
        <v>1</v>
      </c>
      <c r="P68" s="13">
        <v>24000</v>
      </c>
      <c r="Q68" s="125">
        <v>24000</v>
      </c>
    </row>
    <row r="69" spans="2:17" ht="12.75">
      <c r="B69" s="683"/>
      <c r="C69" s="692"/>
      <c r="D69" s="12" t="s">
        <v>160</v>
      </c>
      <c r="E69" s="12"/>
      <c r="F69" s="12"/>
      <c r="G69" s="12"/>
      <c r="H69" s="12"/>
      <c r="I69" s="12"/>
      <c r="J69" s="12">
        <v>7039</v>
      </c>
      <c r="K69" s="12">
        <v>7075</v>
      </c>
      <c r="L69" s="12">
        <v>7128</v>
      </c>
      <c r="M69" s="13">
        <v>7075</v>
      </c>
      <c r="N69" s="13">
        <v>7075</v>
      </c>
      <c r="O69" s="317">
        <f t="shared" si="2"/>
        <v>1</v>
      </c>
      <c r="P69" s="13">
        <v>7075</v>
      </c>
      <c r="Q69" s="125">
        <v>7075</v>
      </c>
    </row>
    <row r="70" spans="2:17" ht="12.75">
      <c r="B70" s="683"/>
      <c r="C70" s="692"/>
      <c r="D70" s="12" t="s">
        <v>161</v>
      </c>
      <c r="E70" s="12"/>
      <c r="F70" s="12"/>
      <c r="G70" s="12"/>
      <c r="H70" s="12"/>
      <c r="I70" s="12"/>
      <c r="J70" s="12">
        <v>10058</v>
      </c>
      <c r="K70" s="12">
        <v>10551</v>
      </c>
      <c r="L70" s="12">
        <v>6336</v>
      </c>
      <c r="M70" s="13">
        <v>7000</v>
      </c>
      <c r="N70" s="13">
        <v>7000</v>
      </c>
      <c r="O70" s="317">
        <f aca="true" t="shared" si="21" ref="O70:O98">IF(M70=0,0,N70/M70)</f>
        <v>1</v>
      </c>
      <c r="P70" s="13">
        <v>7000</v>
      </c>
      <c r="Q70" s="125">
        <v>7000</v>
      </c>
    </row>
    <row r="71" spans="2:17" ht="12.75">
      <c r="B71" s="683"/>
      <c r="C71" s="692"/>
      <c r="D71" s="12" t="s">
        <v>162</v>
      </c>
      <c r="E71" s="12"/>
      <c r="F71" s="12"/>
      <c r="G71" s="12"/>
      <c r="H71" s="12"/>
      <c r="I71" s="12"/>
      <c r="J71" s="12">
        <v>83191</v>
      </c>
      <c r="K71" s="12">
        <v>97555</v>
      </c>
      <c r="L71" s="12">
        <v>85709</v>
      </c>
      <c r="M71" s="13">
        <v>55224</v>
      </c>
      <c r="N71" s="13">
        <v>55224</v>
      </c>
      <c r="O71" s="317">
        <f t="shared" si="21"/>
        <v>1</v>
      </c>
      <c r="P71" s="13">
        <v>55224</v>
      </c>
      <c r="Q71" s="125">
        <v>55224</v>
      </c>
    </row>
    <row r="72" spans="2:17" s="67" customFormat="1" ht="12.75">
      <c r="B72" s="683"/>
      <c r="C72" s="692"/>
      <c r="D72" s="12" t="s">
        <v>163</v>
      </c>
      <c r="E72" s="12"/>
      <c r="F72" s="12"/>
      <c r="G72" s="12"/>
      <c r="H72" s="12"/>
      <c r="I72" s="12"/>
      <c r="J72" s="12">
        <v>25474</v>
      </c>
      <c r="K72" s="12">
        <v>22043</v>
      </c>
      <c r="L72" s="12">
        <f>1699+18018</f>
        <v>19717</v>
      </c>
      <c r="M72" s="13">
        <v>56442</v>
      </c>
      <c r="N72" s="13">
        <v>56442</v>
      </c>
      <c r="O72" s="317">
        <f t="shared" si="21"/>
        <v>1</v>
      </c>
      <c r="P72" s="13">
        <v>56442</v>
      </c>
      <c r="Q72" s="125">
        <v>56442</v>
      </c>
    </row>
    <row r="73" spans="2:17" ht="12.75">
      <c r="B73" s="683"/>
      <c r="C73" s="692"/>
      <c r="D73" s="12" t="s">
        <v>191</v>
      </c>
      <c r="E73" s="12"/>
      <c r="F73" s="12"/>
      <c r="G73" s="12"/>
      <c r="H73" s="12"/>
      <c r="I73" s="12"/>
      <c r="J73" s="12">
        <v>1008</v>
      </c>
      <c r="K73" s="12">
        <v>1008</v>
      </c>
      <c r="L73" s="12">
        <v>995</v>
      </c>
      <c r="M73" s="13">
        <v>1007</v>
      </c>
      <c r="N73" s="13">
        <v>1007</v>
      </c>
      <c r="O73" s="317">
        <f t="shared" si="21"/>
        <v>1</v>
      </c>
      <c r="P73" s="13">
        <v>1007</v>
      </c>
      <c r="Q73" s="125">
        <v>1007</v>
      </c>
    </row>
    <row r="74" spans="2:17" ht="12.75">
      <c r="B74" s="683"/>
      <c r="C74" s="692"/>
      <c r="D74" s="12" t="s">
        <v>185</v>
      </c>
      <c r="E74" s="12"/>
      <c r="F74" s="12"/>
      <c r="G74" s="12"/>
      <c r="H74" s="12"/>
      <c r="I74" s="12"/>
      <c r="J74" s="12">
        <v>1487</v>
      </c>
      <c r="K74" s="12">
        <v>1415</v>
      </c>
      <c r="L74" s="12">
        <v>1362</v>
      </c>
      <c r="M74" s="13">
        <v>1612</v>
      </c>
      <c r="N74" s="13">
        <v>1612</v>
      </c>
      <c r="O74" s="317">
        <f t="shared" si="21"/>
        <v>1</v>
      </c>
      <c r="P74" s="13">
        <v>1612</v>
      </c>
      <c r="Q74" s="125">
        <v>1612</v>
      </c>
    </row>
    <row r="75" spans="2:17" ht="12.75">
      <c r="B75" s="683"/>
      <c r="C75" s="692"/>
      <c r="D75" s="12" t="s">
        <v>236</v>
      </c>
      <c r="E75" s="12"/>
      <c r="F75" s="12"/>
      <c r="G75" s="12"/>
      <c r="H75" s="12"/>
      <c r="I75" s="12"/>
      <c r="J75" s="12">
        <v>46640</v>
      </c>
      <c r="K75" s="12">
        <v>26998</v>
      </c>
      <c r="L75" s="12">
        <v>72974</v>
      </c>
      <c r="M75" s="13">
        <v>80900</v>
      </c>
      <c r="N75" s="13">
        <v>80900</v>
      </c>
      <c r="O75" s="317">
        <f t="shared" si="21"/>
        <v>1</v>
      </c>
      <c r="P75" s="13">
        <v>80900</v>
      </c>
      <c r="Q75" s="125">
        <v>80900</v>
      </c>
    </row>
    <row r="76" spans="2:17" ht="12.75">
      <c r="B76" s="683"/>
      <c r="C76" s="692"/>
      <c r="D76" s="12" t="s">
        <v>183</v>
      </c>
      <c r="E76" s="12"/>
      <c r="F76" s="12"/>
      <c r="G76" s="12"/>
      <c r="H76" s="12"/>
      <c r="I76" s="12"/>
      <c r="J76" s="12">
        <v>4903</v>
      </c>
      <c r="K76" s="12">
        <v>4921</v>
      </c>
      <c r="L76" s="12">
        <v>4883</v>
      </c>
      <c r="M76" s="13">
        <v>4921</v>
      </c>
      <c r="N76" s="13">
        <v>4921</v>
      </c>
      <c r="O76" s="317">
        <f t="shared" si="21"/>
        <v>1</v>
      </c>
      <c r="P76" s="13">
        <v>4921</v>
      </c>
      <c r="Q76" s="125">
        <v>4921</v>
      </c>
    </row>
    <row r="77" spans="2:17" ht="12.75">
      <c r="B77" s="683"/>
      <c r="C77" s="692"/>
      <c r="D77" s="12" t="s">
        <v>239</v>
      </c>
      <c r="E77" s="12"/>
      <c r="F77" s="12"/>
      <c r="G77" s="12"/>
      <c r="H77" s="12"/>
      <c r="I77" s="12"/>
      <c r="J77" s="12">
        <v>4172</v>
      </c>
      <c r="K77" s="12">
        <v>4305</v>
      </c>
      <c r="L77" s="12">
        <v>4445</v>
      </c>
      <c r="M77" s="13">
        <v>4445</v>
      </c>
      <c r="N77" s="13">
        <v>4445</v>
      </c>
      <c r="O77" s="317">
        <f t="shared" si="21"/>
        <v>1</v>
      </c>
      <c r="P77" s="13">
        <v>4445</v>
      </c>
      <c r="Q77" s="125">
        <v>4445</v>
      </c>
    </row>
    <row r="78" spans="2:17" ht="12.75">
      <c r="B78" s="683"/>
      <c r="C78" s="692"/>
      <c r="D78" s="12" t="s">
        <v>240</v>
      </c>
      <c r="E78" s="12"/>
      <c r="F78" s="12"/>
      <c r="G78" s="12"/>
      <c r="H78" s="12"/>
      <c r="I78" s="12"/>
      <c r="J78" s="12">
        <v>13965</v>
      </c>
      <c r="K78" s="12">
        <v>20215</v>
      </c>
      <c r="L78" s="12">
        <f>2614+9370+2952+12392</f>
        <v>27328</v>
      </c>
      <c r="M78" s="13">
        <v>21257</v>
      </c>
      <c r="N78" s="13">
        <v>21257</v>
      </c>
      <c r="O78" s="317">
        <f t="shared" si="21"/>
        <v>1</v>
      </c>
      <c r="P78" s="13">
        <v>21257</v>
      </c>
      <c r="Q78" s="125">
        <v>21257</v>
      </c>
    </row>
    <row r="79" spans="2:17" ht="12.75">
      <c r="B79" s="683"/>
      <c r="C79" s="692"/>
      <c r="D79" s="12" t="s">
        <v>346</v>
      </c>
      <c r="E79" s="12"/>
      <c r="F79" s="12"/>
      <c r="G79" s="12"/>
      <c r="H79" s="12"/>
      <c r="I79" s="12"/>
      <c r="J79" s="12"/>
      <c r="K79" s="12"/>
      <c r="L79" s="225"/>
      <c r="M79" s="89">
        <v>3983</v>
      </c>
      <c r="N79" s="89"/>
      <c r="O79" s="317">
        <f t="shared" si="21"/>
        <v>0</v>
      </c>
      <c r="P79" s="13"/>
      <c r="Q79" s="125"/>
    </row>
    <row r="80" spans="2:17" ht="12.75">
      <c r="B80" s="683"/>
      <c r="C80" s="692"/>
      <c r="D80" s="12" t="s">
        <v>268</v>
      </c>
      <c r="E80" s="12"/>
      <c r="F80" s="12"/>
      <c r="G80" s="12"/>
      <c r="H80" s="12"/>
      <c r="I80" s="12"/>
      <c r="J80" s="12"/>
      <c r="K80" s="12">
        <v>100000</v>
      </c>
      <c r="L80" s="225"/>
      <c r="M80" s="89"/>
      <c r="N80" s="89"/>
      <c r="O80" s="317">
        <f t="shared" si="21"/>
        <v>0</v>
      </c>
      <c r="P80" s="13"/>
      <c r="Q80" s="125"/>
    </row>
    <row r="81" spans="2:17" ht="12.75">
      <c r="B81" s="683"/>
      <c r="C81" s="692"/>
      <c r="D81" s="225" t="s">
        <v>310</v>
      </c>
      <c r="E81" s="225"/>
      <c r="F81" s="225"/>
      <c r="G81" s="225"/>
      <c r="H81" s="225"/>
      <c r="I81" s="225"/>
      <c r="J81" s="225"/>
      <c r="K81" s="225"/>
      <c r="L81" s="225">
        <v>11061</v>
      </c>
      <c r="M81" s="89"/>
      <c r="N81" s="89"/>
      <c r="O81" s="317">
        <f t="shared" si="21"/>
        <v>0</v>
      </c>
      <c r="P81" s="13"/>
      <c r="Q81" s="125"/>
    </row>
    <row r="82" spans="2:17" ht="12.75">
      <c r="B82" s="683"/>
      <c r="C82" s="692"/>
      <c r="D82" s="12" t="s">
        <v>241</v>
      </c>
      <c r="E82" s="12"/>
      <c r="F82" s="12"/>
      <c r="G82" s="12"/>
      <c r="H82" s="12"/>
      <c r="I82" s="12"/>
      <c r="J82" s="12">
        <v>119232</v>
      </c>
      <c r="K82" s="12">
        <f>30008+30023</f>
        <v>60031</v>
      </c>
      <c r="L82" s="225"/>
      <c r="M82" s="89"/>
      <c r="N82" s="89"/>
      <c r="O82" s="317">
        <f t="shared" si="21"/>
        <v>0</v>
      </c>
      <c r="P82" s="13"/>
      <c r="Q82" s="125"/>
    </row>
    <row r="83" spans="2:17" ht="12.75">
      <c r="B83" s="683"/>
      <c r="C83" s="692"/>
      <c r="D83" s="12" t="s">
        <v>270</v>
      </c>
      <c r="E83" s="12"/>
      <c r="F83" s="12"/>
      <c r="G83" s="12"/>
      <c r="H83" s="12"/>
      <c r="I83" s="12"/>
      <c r="J83" s="12"/>
      <c r="K83" s="12">
        <v>40000</v>
      </c>
      <c r="L83" s="225"/>
      <c r="M83" s="89"/>
      <c r="N83" s="89"/>
      <c r="O83" s="317">
        <f t="shared" si="21"/>
        <v>0</v>
      </c>
      <c r="P83" s="13"/>
      <c r="Q83" s="125"/>
    </row>
    <row r="84" spans="2:17" ht="12.75">
      <c r="B84" s="683"/>
      <c r="C84" s="692"/>
      <c r="D84" s="12" t="s">
        <v>293</v>
      </c>
      <c r="E84" s="12"/>
      <c r="F84" s="12"/>
      <c r="G84" s="12"/>
      <c r="H84" s="12"/>
      <c r="I84" s="12"/>
      <c r="J84" s="12"/>
      <c r="K84" s="12">
        <v>85385</v>
      </c>
      <c r="L84" s="12">
        <v>389162</v>
      </c>
      <c r="M84" s="13">
        <v>192900</v>
      </c>
      <c r="N84" s="13">
        <v>192900</v>
      </c>
      <c r="O84" s="317">
        <f t="shared" si="21"/>
        <v>1</v>
      </c>
      <c r="P84" s="13">
        <v>192900</v>
      </c>
      <c r="Q84" s="125">
        <v>192900</v>
      </c>
    </row>
    <row r="85" spans="2:17" ht="12.75">
      <c r="B85" s="683"/>
      <c r="C85" s="692"/>
      <c r="D85" s="12" t="s">
        <v>342</v>
      </c>
      <c r="E85" s="12"/>
      <c r="F85" s="12"/>
      <c r="G85" s="12"/>
      <c r="H85" s="12"/>
      <c r="I85" s="12"/>
      <c r="J85" s="12"/>
      <c r="K85" s="12"/>
      <c r="L85" s="225">
        <v>6226</v>
      </c>
      <c r="M85" s="89">
        <v>7000</v>
      </c>
      <c r="N85" s="89"/>
      <c r="O85" s="317">
        <f t="shared" si="21"/>
        <v>0</v>
      </c>
      <c r="P85" s="13"/>
      <c r="Q85" s="125"/>
    </row>
    <row r="86" spans="2:17" ht="12.75">
      <c r="B86" s="683"/>
      <c r="C86" s="692"/>
      <c r="D86" s="12" t="s">
        <v>308</v>
      </c>
      <c r="E86" s="12"/>
      <c r="F86" s="12"/>
      <c r="G86" s="12"/>
      <c r="H86" s="12"/>
      <c r="I86" s="12"/>
      <c r="J86" s="12">
        <v>3534</v>
      </c>
      <c r="K86" s="12">
        <v>4595</v>
      </c>
      <c r="L86" s="225">
        <v>1120</v>
      </c>
      <c r="M86" s="89"/>
      <c r="N86" s="89"/>
      <c r="O86" s="317">
        <f t="shared" si="21"/>
        <v>0</v>
      </c>
      <c r="P86" s="13"/>
      <c r="Q86" s="125"/>
    </row>
    <row r="87" spans="2:17" ht="12.75">
      <c r="B87" s="683"/>
      <c r="C87" s="692"/>
      <c r="D87" s="12" t="s">
        <v>315</v>
      </c>
      <c r="E87" s="12"/>
      <c r="F87" s="12"/>
      <c r="G87" s="12"/>
      <c r="H87" s="12"/>
      <c r="I87" s="12"/>
      <c r="J87" s="12"/>
      <c r="K87" s="12"/>
      <c r="L87" s="225">
        <v>73802</v>
      </c>
      <c r="M87" s="89"/>
      <c r="N87" s="89"/>
      <c r="O87" s="317">
        <f t="shared" si="21"/>
        <v>0</v>
      </c>
      <c r="P87" s="13"/>
      <c r="Q87" s="125"/>
    </row>
    <row r="88" spans="2:17" ht="12.75">
      <c r="B88" s="683"/>
      <c r="C88" s="692"/>
      <c r="D88" s="12" t="s">
        <v>267</v>
      </c>
      <c r="E88" s="12"/>
      <c r="F88" s="12"/>
      <c r="G88" s="12"/>
      <c r="H88" s="12"/>
      <c r="I88" s="12"/>
      <c r="J88" s="12"/>
      <c r="K88" s="12">
        <v>18000</v>
      </c>
      <c r="L88" s="13"/>
      <c r="M88" s="89"/>
      <c r="N88" s="89"/>
      <c r="O88" s="317">
        <f t="shared" si="21"/>
        <v>0</v>
      </c>
      <c r="P88" s="13"/>
      <c r="Q88" s="125"/>
    </row>
    <row r="89" spans="2:17" ht="12.75">
      <c r="B89" s="683"/>
      <c r="C89" s="692"/>
      <c r="D89" s="12" t="s">
        <v>334</v>
      </c>
      <c r="E89" s="12"/>
      <c r="F89" s="12"/>
      <c r="G89" s="12"/>
      <c r="H89" s="12"/>
      <c r="I89" s="12"/>
      <c r="J89" s="12"/>
      <c r="K89" s="12"/>
      <c r="L89" s="13"/>
      <c r="M89" s="118">
        <v>67107</v>
      </c>
      <c r="N89" s="118"/>
      <c r="O89" s="315">
        <f t="shared" si="21"/>
        <v>0</v>
      </c>
      <c r="P89" s="118"/>
      <c r="Q89" s="218"/>
    </row>
    <row r="90" spans="2:17" ht="12.75" hidden="1">
      <c r="B90" s="683"/>
      <c r="C90" s="692"/>
      <c r="D90" s="12" t="s">
        <v>336</v>
      </c>
      <c r="E90" s="12"/>
      <c r="F90" s="12"/>
      <c r="G90" s="12"/>
      <c r="H90" s="12"/>
      <c r="I90" s="12"/>
      <c r="J90" s="12"/>
      <c r="K90" s="12"/>
      <c r="L90" s="13"/>
      <c r="M90" s="209"/>
      <c r="N90" s="209"/>
      <c r="O90" s="315">
        <f t="shared" si="21"/>
        <v>0</v>
      </c>
      <c r="P90" s="118"/>
      <c r="Q90" s="218"/>
    </row>
    <row r="91" spans="2:17" ht="12.75" hidden="1">
      <c r="B91" s="683"/>
      <c r="C91" s="692"/>
      <c r="D91" s="12" t="s">
        <v>292</v>
      </c>
      <c r="E91" s="12"/>
      <c r="F91" s="12"/>
      <c r="G91" s="12"/>
      <c r="H91" s="12"/>
      <c r="I91" s="12"/>
      <c r="J91" s="12"/>
      <c r="K91" s="12"/>
      <c r="L91" s="13"/>
      <c r="M91" s="89"/>
      <c r="N91" s="89"/>
      <c r="O91" s="317">
        <f t="shared" si="21"/>
        <v>0</v>
      </c>
      <c r="P91" s="13"/>
      <c r="Q91" s="125"/>
    </row>
    <row r="92" spans="2:17" ht="12.75">
      <c r="B92" s="683"/>
      <c r="C92" s="692"/>
      <c r="D92" s="12" t="s">
        <v>327</v>
      </c>
      <c r="E92" s="12"/>
      <c r="F92" s="12"/>
      <c r="G92" s="12"/>
      <c r="H92" s="12"/>
      <c r="I92" s="12"/>
      <c r="J92" s="12">
        <v>165906</v>
      </c>
      <c r="K92" s="12"/>
      <c r="L92" s="13">
        <v>0</v>
      </c>
      <c r="M92" s="89"/>
      <c r="N92" s="89"/>
      <c r="O92" s="317">
        <f t="shared" si="21"/>
        <v>0</v>
      </c>
      <c r="P92" s="13"/>
      <c r="Q92" s="125"/>
    </row>
    <row r="93" spans="2:17" ht="12.75">
      <c r="B93" s="683"/>
      <c r="C93" s="692"/>
      <c r="D93" s="54" t="s">
        <v>421</v>
      </c>
      <c r="E93" s="24"/>
      <c r="F93" s="24"/>
      <c r="G93" s="24"/>
      <c r="H93" s="24"/>
      <c r="I93" s="24"/>
      <c r="J93" s="24"/>
      <c r="K93" s="24"/>
      <c r="L93" s="13"/>
      <c r="M93" s="89"/>
      <c r="N93" s="89">
        <v>39706</v>
      </c>
      <c r="O93" s="317"/>
      <c r="P93" s="13"/>
      <c r="Q93" s="125"/>
    </row>
    <row r="94" spans="2:17" ht="13.5" thickBot="1">
      <c r="B94" s="683"/>
      <c r="C94" s="692"/>
      <c r="D94" s="14" t="s">
        <v>328</v>
      </c>
      <c r="E94" s="24"/>
      <c r="F94" s="24"/>
      <c r="G94" s="24"/>
      <c r="H94" s="24"/>
      <c r="I94" s="24"/>
      <c r="J94" s="24">
        <v>117128</v>
      </c>
      <c r="K94" s="24">
        <v>59866</v>
      </c>
      <c r="L94" s="13">
        <v>366191</v>
      </c>
      <c r="M94" s="89"/>
      <c r="N94" s="89"/>
      <c r="O94" s="317">
        <f t="shared" si="21"/>
        <v>0</v>
      </c>
      <c r="P94" s="13"/>
      <c r="Q94" s="125"/>
    </row>
    <row r="95" spans="2:17" s="27" customFormat="1" ht="15.75" thickBot="1">
      <c r="B95" s="414">
        <v>330</v>
      </c>
      <c r="C95" s="686" t="s">
        <v>91</v>
      </c>
      <c r="D95" s="687"/>
      <c r="E95" s="433">
        <f>E96</f>
        <v>0</v>
      </c>
      <c r="F95" s="433">
        <f>F96</f>
        <v>0</v>
      </c>
      <c r="G95" s="433">
        <f>G96</f>
        <v>0</v>
      </c>
      <c r="H95" s="433">
        <f>H96</f>
        <v>0</v>
      </c>
      <c r="I95" s="433">
        <f>I96</f>
        <v>21047</v>
      </c>
      <c r="J95" s="433">
        <f aca="true" t="shared" si="22" ref="J95:Q96">J96</f>
        <v>28355</v>
      </c>
      <c r="K95" s="433">
        <f t="shared" si="22"/>
        <v>39058</v>
      </c>
      <c r="L95" s="433">
        <f t="shared" si="22"/>
        <v>9516</v>
      </c>
      <c r="M95" s="433">
        <f>M96</f>
        <v>0</v>
      </c>
      <c r="N95" s="433">
        <f t="shared" si="22"/>
        <v>0</v>
      </c>
      <c r="O95" s="434">
        <f t="shared" si="21"/>
        <v>0</v>
      </c>
      <c r="P95" s="433">
        <f t="shared" si="22"/>
        <v>0</v>
      </c>
      <c r="Q95" s="435">
        <f t="shared" si="22"/>
        <v>0</v>
      </c>
    </row>
    <row r="96" spans="2:17" s="410" customFormat="1" ht="13.5" thickBot="1">
      <c r="B96" s="682"/>
      <c r="C96" s="430">
        <v>331</v>
      </c>
      <c r="D96" s="431" t="s">
        <v>107</v>
      </c>
      <c r="E96" s="431"/>
      <c r="F96" s="431">
        <v>0</v>
      </c>
      <c r="G96" s="431">
        <v>0</v>
      </c>
      <c r="H96" s="431">
        <v>0</v>
      </c>
      <c r="I96" s="431">
        <v>21047</v>
      </c>
      <c r="J96" s="3">
        <f t="shared" si="22"/>
        <v>28355</v>
      </c>
      <c r="K96" s="3">
        <f t="shared" si="22"/>
        <v>39058</v>
      </c>
      <c r="L96" s="3">
        <f t="shared" si="22"/>
        <v>9516</v>
      </c>
      <c r="M96" s="461"/>
      <c r="N96" s="461"/>
      <c r="O96" s="336">
        <f t="shared" si="21"/>
        <v>0</v>
      </c>
      <c r="P96" s="3"/>
      <c r="Q96" s="134"/>
    </row>
    <row r="97" spans="2:17" ht="13.5" thickBot="1">
      <c r="B97" s="683"/>
      <c r="C97" s="420"/>
      <c r="D97" s="462" t="s">
        <v>308</v>
      </c>
      <c r="E97" s="462"/>
      <c r="F97" s="462"/>
      <c r="G97" s="462"/>
      <c r="H97" s="462"/>
      <c r="I97" s="462">
        <v>21047</v>
      </c>
      <c r="J97" s="462">
        <v>28355</v>
      </c>
      <c r="K97" s="462">
        <v>39058</v>
      </c>
      <c r="L97" s="463">
        <v>9516</v>
      </c>
      <c r="M97" s="106"/>
      <c r="N97" s="106"/>
      <c r="O97" s="322">
        <f t="shared" si="21"/>
        <v>0</v>
      </c>
      <c r="P97" s="105"/>
      <c r="Q97" s="183"/>
    </row>
    <row r="98" spans="2:17" s="28" customFormat="1" ht="17.25" thickBot="1" thickTop="1">
      <c r="B98" s="688" t="s">
        <v>92</v>
      </c>
      <c r="C98" s="689"/>
      <c r="D98" s="690"/>
      <c r="E98" s="465">
        <f>E5+E22+E60</f>
        <v>7125871</v>
      </c>
      <c r="F98" s="465">
        <f>F5+F22+F60</f>
        <v>7561840</v>
      </c>
      <c r="G98" s="465">
        <f>G5+G22+G60</f>
        <v>9082354</v>
      </c>
      <c r="H98" s="465">
        <f>H5+H22+H60</f>
        <v>9080838</v>
      </c>
      <c r="I98" s="465">
        <f>I5+I22+I60</f>
        <v>8537685</v>
      </c>
      <c r="J98" s="465">
        <f aca="true" t="shared" si="23" ref="J98:P98">J5+J22+J60</f>
        <v>9096722</v>
      </c>
      <c r="K98" s="465">
        <f t="shared" si="23"/>
        <v>9201831</v>
      </c>
      <c r="L98" s="465">
        <f t="shared" si="23"/>
        <v>9722622</v>
      </c>
      <c r="M98" s="465">
        <f t="shared" si="23"/>
        <v>9248781</v>
      </c>
      <c r="N98" s="465">
        <f t="shared" si="23"/>
        <v>9371251</v>
      </c>
      <c r="O98" s="466">
        <f t="shared" si="21"/>
        <v>1.0132417450472662</v>
      </c>
      <c r="P98" s="465">
        <f t="shared" si="23"/>
        <v>9498279</v>
      </c>
      <c r="Q98" s="467">
        <f>Q5+Q22+Q60</f>
        <v>9623909</v>
      </c>
    </row>
    <row r="99" ht="13.5" thickTop="1"/>
    <row r="100" spans="2:11" ht="12.75">
      <c r="B100" s="685"/>
      <c r="C100" s="685"/>
      <c r="D100" s="685"/>
      <c r="E100" s="468"/>
      <c r="F100" s="468"/>
      <c r="G100" s="468"/>
      <c r="H100" s="468"/>
      <c r="I100" s="468"/>
      <c r="J100" s="468"/>
      <c r="K100" s="468"/>
    </row>
    <row r="101" spans="3:16" ht="12.75">
      <c r="C101" s="468"/>
      <c r="D101" s="468"/>
      <c r="E101" s="468"/>
      <c r="F101" s="468"/>
      <c r="G101" s="468"/>
      <c r="H101" s="468"/>
      <c r="I101" s="468"/>
      <c r="J101" s="468"/>
      <c r="K101" s="468"/>
      <c r="P101" s="437"/>
    </row>
    <row r="102" spans="3:11" ht="12.75">
      <c r="C102" s="468"/>
      <c r="D102" s="468"/>
      <c r="E102" s="468"/>
      <c r="F102" s="468"/>
      <c r="G102" s="468"/>
      <c r="H102" s="468"/>
      <c r="I102" s="468"/>
      <c r="J102" s="468"/>
      <c r="K102" s="468"/>
    </row>
    <row r="103" spans="3:11" ht="12.75">
      <c r="C103" s="468"/>
      <c r="D103" s="468"/>
      <c r="E103" s="469"/>
      <c r="F103" s="469"/>
      <c r="G103" s="469"/>
      <c r="H103" s="469"/>
      <c r="I103" s="469"/>
      <c r="J103" s="468"/>
      <c r="K103" s="468"/>
    </row>
    <row r="104" spans="3:11" ht="12.75">
      <c r="C104" s="468"/>
      <c r="D104" s="468"/>
      <c r="E104" s="468"/>
      <c r="F104" s="468"/>
      <c r="G104" s="468"/>
      <c r="H104" s="468"/>
      <c r="I104" s="468"/>
      <c r="J104" s="468"/>
      <c r="K104" s="468"/>
    </row>
    <row r="105" spans="3:11" ht="12.75">
      <c r="C105" s="468"/>
      <c r="D105" s="468"/>
      <c r="E105" s="468"/>
      <c r="F105" s="468"/>
      <c r="G105" s="468"/>
      <c r="H105" s="468"/>
      <c r="I105" s="468"/>
      <c r="J105" s="468"/>
      <c r="K105" s="468"/>
    </row>
    <row r="106" spans="3:11" ht="12.75">
      <c r="C106" s="468"/>
      <c r="D106" s="468"/>
      <c r="E106" s="468"/>
      <c r="F106" s="468"/>
      <c r="G106" s="468"/>
      <c r="H106" s="468"/>
      <c r="I106" s="468"/>
      <c r="J106" s="468"/>
      <c r="K106" s="468"/>
    </row>
    <row r="107" spans="3:11" ht="12.75">
      <c r="C107" s="468"/>
      <c r="D107" s="468"/>
      <c r="E107" s="468"/>
      <c r="F107" s="468"/>
      <c r="G107" s="468"/>
      <c r="H107" s="468"/>
      <c r="I107" s="468"/>
      <c r="J107" s="468"/>
      <c r="K107" s="468"/>
    </row>
    <row r="108" spans="3:11" ht="12.75">
      <c r="C108" s="468"/>
      <c r="D108" s="468"/>
      <c r="E108" s="468"/>
      <c r="F108" s="468"/>
      <c r="G108" s="468"/>
      <c r="H108" s="468"/>
      <c r="I108" s="468"/>
      <c r="J108" s="468"/>
      <c r="K108" s="468"/>
    </row>
    <row r="109" spans="3:11" ht="12.75">
      <c r="C109" s="468"/>
      <c r="D109" s="468"/>
      <c r="E109" s="468"/>
      <c r="F109" s="468"/>
      <c r="G109" s="468"/>
      <c r="H109" s="468"/>
      <c r="I109" s="468"/>
      <c r="J109" s="468"/>
      <c r="K109" s="468"/>
    </row>
    <row r="110" spans="3:11" ht="12.75">
      <c r="C110" s="468"/>
      <c r="D110" s="468"/>
      <c r="E110" s="468"/>
      <c r="F110" s="468"/>
      <c r="G110" s="468"/>
      <c r="H110" s="468"/>
      <c r="I110" s="468"/>
      <c r="J110" s="468"/>
      <c r="K110" s="468"/>
    </row>
    <row r="111" spans="3:11" ht="12.75">
      <c r="C111" s="468"/>
      <c r="D111" s="468"/>
      <c r="E111" s="468"/>
      <c r="F111" s="468"/>
      <c r="G111" s="468"/>
      <c r="H111" s="468"/>
      <c r="I111" s="468"/>
      <c r="J111" s="468"/>
      <c r="K111" s="468"/>
    </row>
    <row r="112" spans="3:11" ht="12.75">
      <c r="C112" s="468"/>
      <c r="D112" s="468"/>
      <c r="E112" s="468"/>
      <c r="F112" s="468"/>
      <c r="G112" s="468"/>
      <c r="H112" s="468"/>
      <c r="I112" s="468"/>
      <c r="J112" s="468"/>
      <c r="K112" s="468"/>
    </row>
    <row r="113" spans="3:11" ht="12.75">
      <c r="C113" s="468"/>
      <c r="D113" s="468"/>
      <c r="E113" s="468"/>
      <c r="F113" s="468"/>
      <c r="G113" s="468"/>
      <c r="H113" s="468"/>
      <c r="I113" s="468"/>
      <c r="J113" s="468"/>
      <c r="K113" s="468"/>
    </row>
    <row r="114" spans="3:11" ht="12.75">
      <c r="C114" s="468"/>
      <c r="D114" s="468"/>
      <c r="E114" s="468"/>
      <c r="F114" s="468"/>
      <c r="G114" s="468"/>
      <c r="H114" s="468"/>
      <c r="I114" s="468"/>
      <c r="J114" s="468"/>
      <c r="K114" s="468"/>
    </row>
    <row r="115" spans="3:11" ht="12.75">
      <c r="C115" s="468"/>
      <c r="D115" s="468"/>
      <c r="E115" s="468"/>
      <c r="F115" s="468"/>
      <c r="G115" s="468"/>
      <c r="H115" s="468"/>
      <c r="I115" s="468"/>
      <c r="J115" s="468"/>
      <c r="K115" s="468"/>
    </row>
    <row r="116" spans="3:11" ht="12.75">
      <c r="C116" s="468"/>
      <c r="D116" s="468"/>
      <c r="E116" s="468"/>
      <c r="F116" s="468"/>
      <c r="G116" s="468"/>
      <c r="H116" s="468"/>
      <c r="I116" s="468"/>
      <c r="J116" s="468"/>
      <c r="K116" s="468"/>
    </row>
    <row r="117" spans="3:11" ht="12.75">
      <c r="C117" s="468"/>
      <c r="D117" s="468"/>
      <c r="E117" s="468"/>
      <c r="F117" s="468"/>
      <c r="G117" s="468"/>
      <c r="H117" s="468"/>
      <c r="I117" s="468"/>
      <c r="J117" s="468"/>
      <c r="K117" s="468"/>
    </row>
    <row r="118" spans="3:11" ht="12.75">
      <c r="C118" s="468"/>
      <c r="D118" s="468"/>
      <c r="E118" s="468"/>
      <c r="F118" s="468"/>
      <c r="G118" s="468"/>
      <c r="H118" s="468"/>
      <c r="I118" s="468"/>
      <c r="J118" s="468"/>
      <c r="K118" s="468"/>
    </row>
    <row r="119" spans="3:11" ht="12.75">
      <c r="C119" s="468"/>
      <c r="D119" s="468"/>
      <c r="E119" s="468"/>
      <c r="F119" s="468"/>
      <c r="G119" s="468"/>
      <c r="H119" s="468"/>
      <c r="I119" s="468"/>
      <c r="J119" s="468"/>
      <c r="K119" s="468"/>
    </row>
    <row r="120" spans="3:11" ht="12.75">
      <c r="C120" s="468"/>
      <c r="D120" s="468"/>
      <c r="E120" s="468"/>
      <c r="F120" s="468"/>
      <c r="G120" s="468"/>
      <c r="H120" s="468"/>
      <c r="I120" s="468"/>
      <c r="J120" s="468"/>
      <c r="K120" s="468"/>
    </row>
    <row r="121" spans="3:11" ht="12.75">
      <c r="C121" s="468"/>
      <c r="D121" s="468"/>
      <c r="E121" s="468"/>
      <c r="F121" s="468"/>
      <c r="G121" s="468"/>
      <c r="H121" s="468"/>
      <c r="I121" s="468"/>
      <c r="J121" s="468"/>
      <c r="K121" s="468"/>
    </row>
    <row r="122" spans="3:11" ht="12.75">
      <c r="C122" s="468"/>
      <c r="D122" s="468"/>
      <c r="E122" s="468"/>
      <c r="F122" s="468"/>
      <c r="G122" s="468"/>
      <c r="H122" s="468"/>
      <c r="I122" s="468"/>
      <c r="J122" s="468"/>
      <c r="K122" s="468"/>
    </row>
    <row r="123" spans="3:11" ht="12.75">
      <c r="C123" s="468"/>
      <c r="D123" s="468"/>
      <c r="E123" s="468"/>
      <c r="F123" s="468"/>
      <c r="G123" s="468"/>
      <c r="H123" s="468"/>
      <c r="I123" s="468"/>
      <c r="J123" s="468"/>
      <c r="K123" s="468"/>
    </row>
    <row r="124" spans="3:11" ht="12.75">
      <c r="C124" s="468"/>
      <c r="D124" s="468"/>
      <c r="E124" s="468"/>
      <c r="F124" s="468"/>
      <c r="G124" s="468"/>
      <c r="H124" s="468"/>
      <c r="I124" s="468"/>
      <c r="J124" s="468"/>
      <c r="K124" s="468"/>
    </row>
    <row r="125" spans="3:11" ht="12.75">
      <c r="C125" s="468"/>
      <c r="D125" s="468"/>
      <c r="E125" s="468"/>
      <c r="F125" s="468"/>
      <c r="G125" s="468"/>
      <c r="H125" s="468"/>
      <c r="I125" s="468"/>
      <c r="J125" s="468"/>
      <c r="K125" s="468"/>
    </row>
    <row r="126" spans="3:11" ht="12.75">
      <c r="C126" s="468"/>
      <c r="D126" s="468"/>
      <c r="E126" s="468"/>
      <c r="F126" s="468"/>
      <c r="G126" s="468"/>
      <c r="H126" s="468"/>
      <c r="I126" s="468"/>
      <c r="J126" s="468"/>
      <c r="K126" s="468"/>
    </row>
    <row r="127" spans="3:11" ht="12.75">
      <c r="C127" s="468"/>
      <c r="D127" s="468"/>
      <c r="E127" s="468"/>
      <c r="F127" s="468"/>
      <c r="G127" s="468"/>
      <c r="H127" s="468"/>
      <c r="I127" s="468"/>
      <c r="J127" s="468"/>
      <c r="K127" s="468"/>
    </row>
    <row r="128" spans="3:11" ht="12.75">
      <c r="C128" s="468"/>
      <c r="D128" s="468"/>
      <c r="E128" s="468"/>
      <c r="F128" s="468"/>
      <c r="G128" s="468"/>
      <c r="H128" s="468"/>
      <c r="I128" s="468"/>
      <c r="J128" s="468"/>
      <c r="K128" s="468"/>
    </row>
    <row r="129" spans="3:11" ht="12.75">
      <c r="C129" s="468"/>
      <c r="D129" s="468"/>
      <c r="E129" s="468"/>
      <c r="F129" s="468"/>
      <c r="G129" s="468"/>
      <c r="H129" s="468"/>
      <c r="I129" s="468"/>
      <c r="J129" s="468"/>
      <c r="K129" s="468"/>
    </row>
    <row r="130" spans="3:11" ht="12.75">
      <c r="C130" s="468"/>
      <c r="D130" s="468"/>
      <c r="E130" s="468"/>
      <c r="F130" s="468"/>
      <c r="G130" s="468"/>
      <c r="H130" s="468"/>
      <c r="I130" s="468"/>
      <c r="J130" s="468"/>
      <c r="K130" s="468"/>
    </row>
    <row r="131" spans="3:11" ht="12.75">
      <c r="C131" s="468"/>
      <c r="D131" s="468"/>
      <c r="E131" s="468"/>
      <c r="F131" s="468"/>
      <c r="G131" s="468"/>
      <c r="H131" s="468"/>
      <c r="I131" s="468"/>
      <c r="J131" s="468"/>
      <c r="K131" s="468"/>
    </row>
    <row r="132" spans="3:11" ht="12.75">
      <c r="C132" s="468"/>
      <c r="D132" s="468"/>
      <c r="E132" s="468"/>
      <c r="F132" s="468"/>
      <c r="G132" s="468"/>
      <c r="H132" s="468"/>
      <c r="I132" s="468"/>
      <c r="J132" s="468"/>
      <c r="K132" s="468"/>
    </row>
    <row r="133" spans="3:11" ht="12.75">
      <c r="C133" s="468"/>
      <c r="D133" s="468"/>
      <c r="E133" s="468"/>
      <c r="F133" s="468"/>
      <c r="G133" s="468"/>
      <c r="H133" s="468"/>
      <c r="I133" s="468"/>
      <c r="J133" s="468"/>
      <c r="K133" s="468"/>
    </row>
    <row r="134" spans="3:11" ht="12.75">
      <c r="C134" s="468"/>
      <c r="D134" s="468"/>
      <c r="E134" s="468"/>
      <c r="F134" s="468"/>
      <c r="G134" s="468"/>
      <c r="H134" s="468"/>
      <c r="I134" s="468"/>
      <c r="J134" s="468"/>
      <c r="K134" s="468"/>
    </row>
    <row r="137" spans="12:15" ht="12.75">
      <c r="L137" s="470"/>
      <c r="M137" s="470"/>
      <c r="N137" s="470"/>
      <c r="O137" s="470"/>
    </row>
    <row r="156" spans="2:15" ht="12.75">
      <c r="B156" s="58"/>
      <c r="C156" s="9"/>
      <c r="D156" s="9"/>
      <c r="E156" s="9"/>
      <c r="F156" s="9"/>
      <c r="G156" s="9"/>
      <c r="H156" s="9"/>
      <c r="I156" s="9"/>
      <c r="J156" s="9"/>
      <c r="K156" s="9"/>
      <c r="L156" s="77"/>
      <c r="M156" s="77"/>
      <c r="N156" s="77"/>
      <c r="O156" s="77"/>
    </row>
  </sheetData>
  <sheetProtection/>
  <mergeCells count="47">
    <mergeCell ref="D3:D4"/>
    <mergeCell ref="C8:D8"/>
    <mergeCell ref="C5:D5"/>
    <mergeCell ref="Q3:Q4"/>
    <mergeCell ref="K3:K4"/>
    <mergeCell ref="P3:P4"/>
    <mergeCell ref="L3:L4"/>
    <mergeCell ref="B3:B4"/>
    <mergeCell ref="N3:N4"/>
    <mergeCell ref="J3:J4"/>
    <mergeCell ref="B35:B50"/>
    <mergeCell ref="B14:B21"/>
    <mergeCell ref="B24:B33"/>
    <mergeCell ref="C6:D6"/>
    <mergeCell ref="C29:C33"/>
    <mergeCell ref="B9:B12"/>
    <mergeCell ref="C25:C27"/>
    <mergeCell ref="B1:P1"/>
    <mergeCell ref="B2:P2"/>
    <mergeCell ref="F3:F4"/>
    <mergeCell ref="G3:G4"/>
    <mergeCell ref="H3:H4"/>
    <mergeCell ref="I3:I4"/>
    <mergeCell ref="E3:E4"/>
    <mergeCell ref="C3:C4"/>
    <mergeCell ref="O3:O4"/>
    <mergeCell ref="M3:M4"/>
    <mergeCell ref="C60:D60"/>
    <mergeCell ref="C55:C59"/>
    <mergeCell ref="C40:C48"/>
    <mergeCell ref="C10:C12"/>
    <mergeCell ref="C13:D13"/>
    <mergeCell ref="C15:C21"/>
    <mergeCell ref="C23:D23"/>
    <mergeCell ref="C34:D34"/>
    <mergeCell ref="C22:D22"/>
    <mergeCell ref="C36:C38"/>
    <mergeCell ref="C53:D53"/>
    <mergeCell ref="C51:D51"/>
    <mergeCell ref="B54:B59"/>
    <mergeCell ref="B100:D100"/>
    <mergeCell ref="C61:D61"/>
    <mergeCell ref="B98:D98"/>
    <mergeCell ref="B96:B97"/>
    <mergeCell ref="C65:C94"/>
    <mergeCell ref="B62:B94"/>
    <mergeCell ref="C95:D95"/>
  </mergeCells>
  <printOptions/>
  <pageMargins left="0.15748031496062992" right="0.11811023622047245" top="0.2362204724409449" bottom="0.15748031496062992" header="0.1574803149606299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97"/>
  <sheetViews>
    <sheetView showGridLines="0" workbookViewId="0" topLeftCell="A1">
      <selection activeCell="C142" sqref="C142:C148"/>
    </sheetView>
  </sheetViews>
  <sheetFormatPr defaultColWidth="9.140625" defaultRowHeight="12.75"/>
  <cols>
    <col min="1" max="1" width="1.57421875" style="67" customWidth="1"/>
    <col min="2" max="2" width="10.140625" style="67" customWidth="1"/>
    <col min="3" max="3" width="8.7109375" style="119" customWidth="1"/>
    <col min="4" max="4" width="33.57421875" style="67" customWidth="1"/>
    <col min="5" max="7" width="12.7109375" style="67" hidden="1" customWidth="1"/>
    <col min="8" max="8" width="11.7109375" style="67" hidden="1" customWidth="1"/>
    <col min="9" max="9" width="12.140625" style="67" hidden="1" customWidth="1"/>
    <col min="10" max="11" width="13.00390625" style="67" customWidth="1"/>
    <col min="12" max="12" width="13.140625" style="116" customWidth="1"/>
    <col min="13" max="14" width="12.7109375" style="116" customWidth="1"/>
    <col min="15" max="15" width="9.8515625" style="116" customWidth="1"/>
    <col min="16" max="16" width="13.00390625" style="67" customWidth="1"/>
    <col min="17" max="17" width="13.28125" style="67" customWidth="1"/>
    <col min="18" max="18" width="9.140625" style="67" customWidth="1"/>
    <col min="19" max="19" width="10.7109375" style="67" customWidth="1"/>
    <col min="20" max="16384" width="9.140625" style="67" customWidth="1"/>
  </cols>
  <sheetData>
    <row r="1" spans="2:17" ht="13.5" thickBot="1">
      <c r="B1" s="711" t="s">
        <v>0</v>
      </c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</row>
    <row r="2" spans="2:17" ht="13.5" customHeight="1" thickTop="1">
      <c r="B2" s="721" t="s">
        <v>44</v>
      </c>
      <c r="C2" s="735" t="s">
        <v>45</v>
      </c>
      <c r="D2" s="737" t="s">
        <v>46</v>
      </c>
      <c r="E2" s="386" t="s">
        <v>360</v>
      </c>
      <c r="F2" s="386" t="s">
        <v>361</v>
      </c>
      <c r="G2" s="386" t="s">
        <v>362</v>
      </c>
      <c r="H2" s="386" t="s">
        <v>363</v>
      </c>
      <c r="I2" s="386" t="s">
        <v>364</v>
      </c>
      <c r="J2" s="386" t="s">
        <v>321</v>
      </c>
      <c r="K2" s="386" t="s">
        <v>322</v>
      </c>
      <c r="L2" s="386" t="s">
        <v>365</v>
      </c>
      <c r="M2" s="386" t="s">
        <v>422</v>
      </c>
      <c r="N2" s="699" t="s">
        <v>319</v>
      </c>
      <c r="O2" s="386" t="s">
        <v>378</v>
      </c>
      <c r="P2" s="386" t="s">
        <v>320</v>
      </c>
      <c r="Q2" s="709" t="s">
        <v>385</v>
      </c>
    </row>
    <row r="3" spans="2:17" ht="35.25" customHeight="1" thickBot="1">
      <c r="B3" s="722"/>
      <c r="C3" s="736"/>
      <c r="D3" s="738"/>
      <c r="E3" s="383"/>
      <c r="F3" s="383"/>
      <c r="G3" s="383"/>
      <c r="H3" s="383"/>
      <c r="I3" s="383"/>
      <c r="J3" s="383"/>
      <c r="K3" s="383"/>
      <c r="L3" s="383"/>
      <c r="M3" s="383"/>
      <c r="N3" s="700"/>
      <c r="O3" s="383"/>
      <c r="P3" s="383"/>
      <c r="Q3" s="710"/>
    </row>
    <row r="4" spans="2:17" ht="15.75" customHeight="1" thickBot="1" thickTop="1">
      <c r="B4" s="471" t="s">
        <v>395</v>
      </c>
      <c r="C4" s="739" t="s">
        <v>1</v>
      </c>
      <c r="D4" s="740"/>
      <c r="E4" s="472">
        <f>SUM(E5:E8)</f>
        <v>778928</v>
      </c>
      <c r="F4" s="472">
        <f>SUM(F5:F9)</f>
        <v>871108</v>
      </c>
      <c r="G4" s="472">
        <f>SUM(G5:G9)</f>
        <v>1155712</v>
      </c>
      <c r="H4" s="472">
        <f>SUM(H5:H9)</f>
        <v>1166481</v>
      </c>
      <c r="I4" s="472">
        <f>SUM(I5:I8)</f>
        <v>1147628</v>
      </c>
      <c r="J4" s="472">
        <f aca="true" t="shared" si="0" ref="J4:P4">SUM(J5:J8)</f>
        <v>985015</v>
      </c>
      <c r="K4" s="472">
        <f t="shared" si="0"/>
        <v>971730</v>
      </c>
      <c r="L4" s="472">
        <f t="shared" si="0"/>
        <v>883614</v>
      </c>
      <c r="M4" s="472">
        <f t="shared" si="0"/>
        <v>881512</v>
      </c>
      <c r="N4" s="472">
        <f>SUM(N5:N8)</f>
        <v>901920</v>
      </c>
      <c r="O4" s="473">
        <f aca="true" t="shared" si="1" ref="O4:O68">IF(M4=0,0,N4/M4)</f>
        <v>1.0231511312381454</v>
      </c>
      <c r="P4" s="472">
        <f t="shared" si="0"/>
        <v>892613</v>
      </c>
      <c r="Q4" s="474">
        <f>SUM(Q5:Q8)</f>
        <v>892613</v>
      </c>
    </row>
    <row r="5" spans="2:17" ht="12.75">
      <c r="B5" s="715"/>
      <c r="C5" s="237">
        <v>610</v>
      </c>
      <c r="D5" s="10" t="s">
        <v>2</v>
      </c>
      <c r="E5" s="11">
        <v>363938</v>
      </c>
      <c r="F5" s="11">
        <v>383290</v>
      </c>
      <c r="G5" s="11">
        <v>452765</v>
      </c>
      <c r="H5" s="11">
        <v>532728</v>
      </c>
      <c r="I5" s="11">
        <v>538578</v>
      </c>
      <c r="J5" s="10">
        <v>504967</v>
      </c>
      <c r="K5" s="10">
        <v>465252</v>
      </c>
      <c r="L5" s="10">
        <v>431649</v>
      </c>
      <c r="M5" s="11">
        <v>446969</v>
      </c>
      <c r="N5" s="11">
        <f>441065+5904</f>
        <v>446969</v>
      </c>
      <c r="O5" s="316">
        <f t="shared" si="1"/>
        <v>1</v>
      </c>
      <c r="P5" s="11">
        <v>439104</v>
      </c>
      <c r="Q5" s="124">
        <v>439104</v>
      </c>
    </row>
    <row r="6" spans="2:17" ht="12.75">
      <c r="B6" s="716"/>
      <c r="C6" s="184">
        <v>620</v>
      </c>
      <c r="D6" s="12" t="s">
        <v>3</v>
      </c>
      <c r="E6" s="13">
        <v>111465</v>
      </c>
      <c r="F6" s="13">
        <v>132411</v>
      </c>
      <c r="G6" s="13">
        <v>158202</v>
      </c>
      <c r="H6" s="13">
        <v>187864</v>
      </c>
      <c r="I6" s="13">
        <v>188430</v>
      </c>
      <c r="J6" s="12">
        <v>189093</v>
      </c>
      <c r="K6" s="12">
        <v>179953</v>
      </c>
      <c r="L6" s="12">
        <v>175243</v>
      </c>
      <c r="M6" s="13">
        <v>165884</v>
      </c>
      <c r="N6" s="13">
        <v>180216</v>
      </c>
      <c r="O6" s="317">
        <f t="shared" si="1"/>
        <v>1.0863977237105447</v>
      </c>
      <c r="P6" s="13">
        <f>162712+7000+10000</f>
        <v>179712</v>
      </c>
      <c r="Q6" s="125">
        <v>179712</v>
      </c>
    </row>
    <row r="7" spans="2:17" ht="12.75">
      <c r="B7" s="716"/>
      <c r="C7" s="184">
        <v>630</v>
      </c>
      <c r="D7" s="12" t="s">
        <v>47</v>
      </c>
      <c r="E7" s="13">
        <v>303525</v>
      </c>
      <c r="F7" s="13">
        <v>353781</v>
      </c>
      <c r="G7" s="13">
        <v>543916</v>
      </c>
      <c r="H7" s="13">
        <v>395781</v>
      </c>
      <c r="I7" s="13">
        <v>413206</v>
      </c>
      <c r="J7" s="12">
        <v>272860</v>
      </c>
      <c r="K7" s="12">
        <v>302729</v>
      </c>
      <c r="L7" s="12">
        <v>273797</v>
      </c>
      <c r="M7" s="13">
        <v>268659</v>
      </c>
      <c r="N7" s="13">
        <v>274735</v>
      </c>
      <c r="O7" s="317">
        <f t="shared" si="1"/>
        <v>1.0226160299859672</v>
      </c>
      <c r="P7" s="13">
        <v>273797</v>
      </c>
      <c r="Q7" s="125">
        <v>273797</v>
      </c>
    </row>
    <row r="8" spans="2:17" ht="12.75">
      <c r="B8" s="716"/>
      <c r="C8" s="184">
        <v>640</v>
      </c>
      <c r="D8" s="12" t="s">
        <v>277</v>
      </c>
      <c r="E8" s="13"/>
      <c r="F8" s="13">
        <v>564</v>
      </c>
      <c r="G8" s="13">
        <v>232</v>
      </c>
      <c r="H8" s="13">
        <v>49367</v>
      </c>
      <c r="I8" s="13">
        <v>7414</v>
      </c>
      <c r="J8" s="12">
        <v>18095</v>
      </c>
      <c r="K8" s="22">
        <v>23796</v>
      </c>
      <c r="L8" s="22">
        <v>2925</v>
      </c>
      <c r="M8" s="13"/>
      <c r="N8" s="13"/>
      <c r="O8" s="317">
        <f t="shared" si="1"/>
        <v>0</v>
      </c>
      <c r="P8" s="13"/>
      <c r="Q8" s="125"/>
    </row>
    <row r="9" spans="2:17" ht="13.5" thickBot="1">
      <c r="B9" s="717"/>
      <c r="C9" s="184">
        <v>650</v>
      </c>
      <c r="D9" s="12"/>
      <c r="E9" s="13"/>
      <c r="F9" s="13">
        <v>1062</v>
      </c>
      <c r="G9" s="13">
        <v>597</v>
      </c>
      <c r="H9" s="13">
        <v>741</v>
      </c>
      <c r="I9" s="13"/>
      <c r="J9" s="80"/>
      <c r="K9" s="80"/>
      <c r="L9" s="80"/>
      <c r="M9" s="64"/>
      <c r="N9" s="64"/>
      <c r="O9" s="318">
        <f t="shared" si="1"/>
        <v>0</v>
      </c>
      <c r="P9" s="64"/>
      <c r="Q9" s="219"/>
    </row>
    <row r="10" spans="2:17" ht="15.75" thickBot="1">
      <c r="B10" s="475" t="s">
        <v>4</v>
      </c>
      <c r="C10" s="619" t="s">
        <v>5</v>
      </c>
      <c r="D10" s="687"/>
      <c r="E10" s="476">
        <v>7269</v>
      </c>
      <c r="F10" s="476">
        <v>6772</v>
      </c>
      <c r="G10" s="476">
        <v>8265</v>
      </c>
      <c r="H10" s="476">
        <v>13828</v>
      </c>
      <c r="I10" s="433">
        <f aca="true" t="shared" si="2" ref="I10:P10">SUM(I11:I13)</f>
        <v>14882</v>
      </c>
      <c r="J10" s="433">
        <f t="shared" si="2"/>
        <v>14051</v>
      </c>
      <c r="K10" s="433">
        <f t="shared" si="2"/>
        <v>82274</v>
      </c>
      <c r="L10" s="433">
        <f t="shared" si="2"/>
        <v>22548</v>
      </c>
      <c r="M10" s="433">
        <f t="shared" si="2"/>
        <v>16320</v>
      </c>
      <c r="N10" s="433">
        <f t="shared" si="2"/>
        <v>16320</v>
      </c>
      <c r="O10" s="434">
        <f t="shared" si="1"/>
        <v>1</v>
      </c>
      <c r="P10" s="433">
        <f t="shared" si="2"/>
        <v>16320</v>
      </c>
      <c r="Q10" s="435">
        <f>SUM(Q11:Q13)</f>
        <v>16320</v>
      </c>
    </row>
    <row r="11" spans="2:17" ht="12.75">
      <c r="B11" s="712"/>
      <c r="C11" s="155">
        <v>630</v>
      </c>
      <c r="D11" s="16" t="s">
        <v>49</v>
      </c>
      <c r="E11" s="273"/>
      <c r="F11" s="273"/>
      <c r="G11" s="273"/>
      <c r="H11" s="273"/>
      <c r="I11" s="273">
        <v>2345</v>
      </c>
      <c r="J11" s="16">
        <v>2324</v>
      </c>
      <c r="K11" s="16">
        <v>1162</v>
      </c>
      <c r="L11" s="16">
        <v>2324</v>
      </c>
      <c r="M11" s="17">
        <v>3320</v>
      </c>
      <c r="N11" s="17">
        <v>3320</v>
      </c>
      <c r="O11" s="319">
        <f t="shared" si="1"/>
        <v>1</v>
      </c>
      <c r="P11" s="17">
        <v>3320</v>
      </c>
      <c r="Q11" s="126">
        <v>3320</v>
      </c>
    </row>
    <row r="12" spans="2:17" ht="12.75">
      <c r="B12" s="713"/>
      <c r="C12" s="156">
        <v>630</v>
      </c>
      <c r="D12" s="18" t="s">
        <v>50</v>
      </c>
      <c r="E12" s="274"/>
      <c r="F12" s="274"/>
      <c r="G12" s="274"/>
      <c r="H12" s="274"/>
      <c r="I12" s="274">
        <v>12537</v>
      </c>
      <c r="J12" s="18">
        <v>11727</v>
      </c>
      <c r="K12" s="18">
        <v>13096</v>
      </c>
      <c r="L12" s="18">
        <v>9612</v>
      </c>
      <c r="M12" s="19">
        <v>13000</v>
      </c>
      <c r="N12" s="19">
        <v>13000</v>
      </c>
      <c r="O12" s="320">
        <f t="shared" si="1"/>
        <v>1</v>
      </c>
      <c r="P12" s="19">
        <v>13000</v>
      </c>
      <c r="Q12" s="127">
        <v>13000</v>
      </c>
    </row>
    <row r="13" spans="2:17" ht="13.5" thickBot="1">
      <c r="B13" s="714"/>
      <c r="C13" s="157">
        <v>630</v>
      </c>
      <c r="D13" s="101" t="s">
        <v>265</v>
      </c>
      <c r="E13" s="275"/>
      <c r="F13" s="275"/>
      <c r="G13" s="275"/>
      <c r="H13" s="275"/>
      <c r="I13" s="275"/>
      <c r="J13" s="101"/>
      <c r="K13" s="101">
        <v>68016</v>
      </c>
      <c r="L13" s="226">
        <v>10612</v>
      </c>
      <c r="M13" s="141"/>
      <c r="N13" s="141"/>
      <c r="O13" s="321">
        <f t="shared" si="1"/>
        <v>0</v>
      </c>
      <c r="P13" s="84"/>
      <c r="Q13" s="214"/>
    </row>
    <row r="14" spans="2:17" s="26" customFormat="1" ht="15.75" thickBot="1">
      <c r="B14" s="475" t="s">
        <v>51</v>
      </c>
      <c r="C14" s="619" t="s">
        <v>184</v>
      </c>
      <c r="D14" s="687"/>
      <c r="E14" s="476">
        <v>20846</v>
      </c>
      <c r="F14" s="476">
        <v>22240</v>
      </c>
      <c r="G14" s="476">
        <v>25427</v>
      </c>
      <c r="H14" s="476">
        <v>26903</v>
      </c>
      <c r="I14" s="433">
        <f aca="true" t="shared" si="3" ref="I14:P14">SUM(I15:I17)</f>
        <v>29798</v>
      </c>
      <c r="J14" s="433">
        <f t="shared" si="3"/>
        <v>28936</v>
      </c>
      <c r="K14" s="433">
        <f t="shared" si="3"/>
        <v>27963</v>
      </c>
      <c r="L14" s="433">
        <f>SUM(L15:L18)</f>
        <v>24050</v>
      </c>
      <c r="M14" s="433">
        <f t="shared" si="3"/>
        <v>27674</v>
      </c>
      <c r="N14" s="433">
        <f t="shared" si="3"/>
        <v>27674</v>
      </c>
      <c r="O14" s="434">
        <f t="shared" si="1"/>
        <v>1</v>
      </c>
      <c r="P14" s="433">
        <f t="shared" si="3"/>
        <v>27674</v>
      </c>
      <c r="Q14" s="435">
        <f>SUM(Q15:Q17)</f>
        <v>27674</v>
      </c>
    </row>
    <row r="15" spans="2:17" ht="12.75">
      <c r="B15" s="712"/>
      <c r="C15" s="237">
        <v>610</v>
      </c>
      <c r="D15" s="21" t="s">
        <v>2</v>
      </c>
      <c r="E15" s="276"/>
      <c r="F15" s="276">
        <v>13875</v>
      </c>
      <c r="G15" s="276">
        <v>15734</v>
      </c>
      <c r="H15" s="276">
        <v>16231</v>
      </c>
      <c r="I15" s="276">
        <v>16787</v>
      </c>
      <c r="J15" s="10">
        <v>17943</v>
      </c>
      <c r="K15" s="10">
        <v>18167</v>
      </c>
      <c r="L15" s="11">
        <v>15592</v>
      </c>
      <c r="M15" s="11">
        <v>17727</v>
      </c>
      <c r="N15" s="88">
        <v>17727</v>
      </c>
      <c r="O15" s="316">
        <f t="shared" si="1"/>
        <v>1</v>
      </c>
      <c r="P15" s="11">
        <v>17727</v>
      </c>
      <c r="Q15" s="124">
        <v>17727</v>
      </c>
    </row>
    <row r="16" spans="2:17" ht="12.75">
      <c r="B16" s="713"/>
      <c r="C16" s="184">
        <v>620</v>
      </c>
      <c r="D16" s="22" t="s">
        <v>3</v>
      </c>
      <c r="E16" s="277"/>
      <c r="F16" s="277">
        <v>4647</v>
      </c>
      <c r="G16" s="277">
        <v>5411</v>
      </c>
      <c r="H16" s="277">
        <v>5677</v>
      </c>
      <c r="I16" s="277">
        <v>6011</v>
      </c>
      <c r="J16" s="12">
        <v>6464</v>
      </c>
      <c r="K16" s="12">
        <v>6580</v>
      </c>
      <c r="L16" s="13">
        <v>5691</v>
      </c>
      <c r="M16" s="13">
        <v>6370</v>
      </c>
      <c r="N16" s="89">
        <v>6370</v>
      </c>
      <c r="O16" s="317">
        <f t="shared" si="1"/>
        <v>1</v>
      </c>
      <c r="P16" s="13">
        <v>6370</v>
      </c>
      <c r="Q16" s="125">
        <v>6370</v>
      </c>
    </row>
    <row r="17" spans="2:17" ht="12.75">
      <c r="B17" s="713"/>
      <c r="C17" s="184">
        <v>630</v>
      </c>
      <c r="D17" s="22" t="s">
        <v>47</v>
      </c>
      <c r="E17" s="277"/>
      <c r="F17" s="277">
        <v>3718</v>
      </c>
      <c r="G17" s="277">
        <v>4282</v>
      </c>
      <c r="H17" s="277">
        <v>4995</v>
      </c>
      <c r="I17" s="277">
        <v>7000</v>
      </c>
      <c r="J17" s="12">
        <v>4529</v>
      </c>
      <c r="K17" s="12">
        <v>3216</v>
      </c>
      <c r="L17" s="13">
        <v>2533</v>
      </c>
      <c r="M17" s="89">
        <v>3577</v>
      </c>
      <c r="N17" s="89">
        <v>3577</v>
      </c>
      <c r="O17" s="317">
        <f t="shared" si="1"/>
        <v>1</v>
      </c>
      <c r="P17" s="13">
        <v>3577</v>
      </c>
      <c r="Q17" s="125">
        <v>3577</v>
      </c>
    </row>
    <row r="18" spans="2:17" ht="13.5" thickBot="1">
      <c r="B18" s="714"/>
      <c r="C18" s="248"/>
      <c r="D18" s="80"/>
      <c r="E18" s="278"/>
      <c r="F18" s="278"/>
      <c r="G18" s="278"/>
      <c r="H18" s="278"/>
      <c r="I18" s="278"/>
      <c r="J18" s="8"/>
      <c r="K18" s="8"/>
      <c r="L18" s="105">
        <v>234</v>
      </c>
      <c r="M18" s="106"/>
      <c r="N18" s="106"/>
      <c r="O18" s="322">
        <f t="shared" si="1"/>
        <v>0</v>
      </c>
      <c r="P18" s="105"/>
      <c r="Q18" s="183"/>
    </row>
    <row r="19" spans="2:17" ht="15.75" thickBot="1">
      <c r="B19" s="475" t="s">
        <v>410</v>
      </c>
      <c r="C19" s="619" t="s">
        <v>188</v>
      </c>
      <c r="D19" s="687"/>
      <c r="E19" s="476">
        <v>13145</v>
      </c>
      <c r="F19" s="476">
        <v>10057</v>
      </c>
      <c r="G19" s="476">
        <v>8498</v>
      </c>
      <c r="H19" s="476">
        <v>54518</v>
      </c>
      <c r="I19" s="433">
        <f>I22+I20+I21+I23+I24</f>
        <v>31457</v>
      </c>
      <c r="J19" s="433">
        <f aca="true" t="shared" si="4" ref="J19:P19">J22+J20+J21+J23+J24</f>
        <v>31963</v>
      </c>
      <c r="K19" s="433">
        <f>K22+K20+K21+K23+K24</f>
        <v>33449</v>
      </c>
      <c r="L19" s="433">
        <f t="shared" si="4"/>
        <v>18092</v>
      </c>
      <c r="M19" s="433">
        <f t="shared" si="4"/>
        <v>10980</v>
      </c>
      <c r="N19" s="433">
        <f t="shared" si="4"/>
        <v>10980</v>
      </c>
      <c r="O19" s="434">
        <f t="shared" si="1"/>
        <v>1</v>
      </c>
      <c r="P19" s="433">
        <f t="shared" si="4"/>
        <v>10980</v>
      </c>
      <c r="Q19" s="435">
        <f>Q22+Q20+Q21+Q23+Q24</f>
        <v>10980</v>
      </c>
    </row>
    <row r="20" spans="2:17" ht="14.25" customHeight="1">
      <c r="B20" s="718"/>
      <c r="C20" s="152">
        <v>610</v>
      </c>
      <c r="D20" s="21" t="s">
        <v>2</v>
      </c>
      <c r="E20" s="276"/>
      <c r="F20" s="276">
        <v>0</v>
      </c>
      <c r="G20" s="276">
        <v>4482</v>
      </c>
      <c r="H20" s="276">
        <v>7787</v>
      </c>
      <c r="I20" s="276">
        <v>7509</v>
      </c>
      <c r="J20" s="21">
        <v>7692</v>
      </c>
      <c r="K20" s="21">
        <v>7969</v>
      </c>
      <c r="L20" s="11">
        <v>7777</v>
      </c>
      <c r="M20" s="11">
        <v>7632</v>
      </c>
      <c r="N20" s="88">
        <v>7632</v>
      </c>
      <c r="O20" s="316">
        <f t="shared" si="1"/>
        <v>1</v>
      </c>
      <c r="P20" s="11">
        <v>7632</v>
      </c>
      <c r="Q20" s="124">
        <v>7632</v>
      </c>
    </row>
    <row r="21" spans="2:17" ht="14.25" customHeight="1">
      <c r="B21" s="719"/>
      <c r="C21" s="153">
        <v>620</v>
      </c>
      <c r="D21" s="22" t="s">
        <v>3</v>
      </c>
      <c r="E21" s="265"/>
      <c r="F21" s="265">
        <v>0</v>
      </c>
      <c r="G21" s="265">
        <v>2058</v>
      </c>
      <c r="H21" s="265">
        <v>3864</v>
      </c>
      <c r="I21" s="265">
        <v>2426</v>
      </c>
      <c r="J21" s="22">
        <v>2683</v>
      </c>
      <c r="K21" s="22">
        <v>3469</v>
      </c>
      <c r="L21" s="13">
        <v>3267</v>
      </c>
      <c r="M21" s="13">
        <v>2120</v>
      </c>
      <c r="N21" s="89">
        <v>2120</v>
      </c>
      <c r="O21" s="317">
        <f t="shared" si="1"/>
        <v>1</v>
      </c>
      <c r="P21" s="13">
        <v>2120</v>
      </c>
      <c r="Q21" s="125">
        <v>2120</v>
      </c>
    </row>
    <row r="22" spans="2:17" ht="14.25" customHeight="1">
      <c r="B22" s="719"/>
      <c r="C22" s="153">
        <v>630</v>
      </c>
      <c r="D22" s="22" t="s">
        <v>47</v>
      </c>
      <c r="E22" s="265"/>
      <c r="F22" s="265">
        <v>0</v>
      </c>
      <c r="G22" s="265">
        <v>1958</v>
      </c>
      <c r="H22" s="265">
        <v>42867</v>
      </c>
      <c r="I22" s="265">
        <v>1012</v>
      </c>
      <c r="J22" s="22">
        <v>989</v>
      </c>
      <c r="K22" s="22">
        <v>1227</v>
      </c>
      <c r="L22" s="89">
        <v>947</v>
      </c>
      <c r="M22" s="89">
        <v>1228</v>
      </c>
      <c r="N22" s="89">
        <v>1228</v>
      </c>
      <c r="O22" s="317">
        <f t="shared" si="1"/>
        <v>1</v>
      </c>
      <c r="P22" s="13">
        <v>1228</v>
      </c>
      <c r="Q22" s="125">
        <v>1228</v>
      </c>
    </row>
    <row r="23" spans="2:17" ht="14.25" customHeight="1">
      <c r="B23" s="719"/>
      <c r="C23" s="153">
        <v>640</v>
      </c>
      <c r="D23" s="12" t="s">
        <v>277</v>
      </c>
      <c r="E23" s="13"/>
      <c r="F23" s="13"/>
      <c r="G23" s="13"/>
      <c r="H23" s="13"/>
      <c r="I23" s="13"/>
      <c r="J23" s="12"/>
      <c r="K23" s="12">
        <v>3100</v>
      </c>
      <c r="L23" s="89"/>
      <c r="M23" s="89"/>
      <c r="N23" s="89"/>
      <c r="O23" s="317">
        <f t="shared" si="1"/>
        <v>0</v>
      </c>
      <c r="P23" s="13"/>
      <c r="Q23" s="125"/>
    </row>
    <row r="24" spans="2:17" ht="14.25" customHeight="1" thickBot="1">
      <c r="B24" s="720"/>
      <c r="C24" s="158">
        <v>600</v>
      </c>
      <c r="D24" s="80" t="s">
        <v>278</v>
      </c>
      <c r="E24" s="266"/>
      <c r="F24" s="266"/>
      <c r="G24" s="266"/>
      <c r="H24" s="266"/>
      <c r="I24" s="13">
        <v>20510</v>
      </c>
      <c r="J24" s="80">
        <v>20599</v>
      </c>
      <c r="K24" s="80">
        <v>17684</v>
      </c>
      <c r="L24" s="105">
        <v>6101</v>
      </c>
      <c r="M24" s="106"/>
      <c r="N24" s="106"/>
      <c r="O24" s="322">
        <f t="shared" si="1"/>
        <v>0</v>
      </c>
      <c r="P24" s="105"/>
      <c r="Q24" s="183"/>
    </row>
    <row r="25" spans="2:17" s="26" customFormat="1" ht="15.75" thickBot="1">
      <c r="B25" s="475" t="s">
        <v>411</v>
      </c>
      <c r="C25" s="619" t="s">
        <v>7</v>
      </c>
      <c r="D25" s="687"/>
      <c r="E25" s="477">
        <f>E26</f>
        <v>86802</v>
      </c>
      <c r="F25" s="477">
        <f>F26</f>
        <v>77342</v>
      </c>
      <c r="G25" s="477">
        <f>G26</f>
        <v>79566</v>
      </c>
      <c r="H25" s="477">
        <f>H26</f>
        <v>75201</v>
      </c>
      <c r="I25" s="477">
        <f>I26</f>
        <v>66074</v>
      </c>
      <c r="J25" s="433">
        <f aca="true" t="shared" si="5" ref="J25:Q25">J26</f>
        <v>84841</v>
      </c>
      <c r="K25" s="433">
        <f t="shared" si="5"/>
        <v>92558</v>
      </c>
      <c r="L25" s="433">
        <f t="shared" si="5"/>
        <v>89614</v>
      </c>
      <c r="M25" s="433">
        <f t="shared" si="5"/>
        <v>99500</v>
      </c>
      <c r="N25" s="433">
        <f t="shared" si="5"/>
        <v>103000</v>
      </c>
      <c r="O25" s="434">
        <f t="shared" si="1"/>
        <v>1.035175879396985</v>
      </c>
      <c r="P25" s="433">
        <f t="shared" si="5"/>
        <v>103000</v>
      </c>
      <c r="Q25" s="435">
        <f t="shared" si="5"/>
        <v>103001</v>
      </c>
    </row>
    <row r="26" spans="2:17" ht="13.5" thickBot="1">
      <c r="B26" s="47"/>
      <c r="C26" s="159">
        <v>630</v>
      </c>
      <c r="D26" s="2" t="s">
        <v>8</v>
      </c>
      <c r="E26" s="280">
        <v>86802</v>
      </c>
      <c r="F26" s="280">
        <v>77342</v>
      </c>
      <c r="G26" s="280">
        <v>79566</v>
      </c>
      <c r="H26" s="280">
        <v>75201</v>
      </c>
      <c r="I26" s="280">
        <v>66074</v>
      </c>
      <c r="J26" s="8">
        <v>84841</v>
      </c>
      <c r="K26" s="8">
        <v>92558</v>
      </c>
      <c r="L26" s="6">
        <v>89614</v>
      </c>
      <c r="M26" s="106">
        <v>99500</v>
      </c>
      <c r="N26" s="106">
        <v>103000</v>
      </c>
      <c r="O26" s="322">
        <f t="shared" si="1"/>
        <v>1.035175879396985</v>
      </c>
      <c r="P26" s="105">
        <v>103000</v>
      </c>
      <c r="Q26" s="183">
        <v>103001</v>
      </c>
    </row>
    <row r="27" spans="2:17" s="26" customFormat="1" ht="15.75" thickBot="1">
      <c r="B27" s="475" t="s">
        <v>396</v>
      </c>
      <c r="C27" s="619" t="s">
        <v>9</v>
      </c>
      <c r="D27" s="687"/>
      <c r="E27" s="477">
        <f>E28</f>
        <v>0</v>
      </c>
      <c r="F27" s="477">
        <f>F28</f>
        <v>1826</v>
      </c>
      <c r="G27" s="477">
        <f>G28</f>
        <v>66</v>
      </c>
      <c r="H27" s="477">
        <f>H28</f>
        <v>770</v>
      </c>
      <c r="I27" s="477">
        <f>I28</f>
        <v>2589</v>
      </c>
      <c r="J27" s="433">
        <f aca="true" t="shared" si="6" ref="J27:Q27">J28</f>
        <v>366</v>
      </c>
      <c r="K27" s="433">
        <f t="shared" si="6"/>
        <v>274</v>
      </c>
      <c r="L27" s="433">
        <f t="shared" si="6"/>
        <v>464</v>
      </c>
      <c r="M27" s="433">
        <f t="shared" si="6"/>
        <v>500</v>
      </c>
      <c r="N27" s="433">
        <f t="shared" si="6"/>
        <v>500</v>
      </c>
      <c r="O27" s="434">
        <f t="shared" si="1"/>
        <v>1</v>
      </c>
      <c r="P27" s="433">
        <f t="shared" si="6"/>
        <v>500</v>
      </c>
      <c r="Q27" s="435">
        <f t="shared" si="6"/>
        <v>501</v>
      </c>
    </row>
    <row r="28" spans="2:17" ht="13.5" thickBot="1">
      <c r="B28" s="48"/>
      <c r="C28" s="160"/>
      <c r="D28" s="2" t="s">
        <v>10</v>
      </c>
      <c r="E28" s="280">
        <v>0</v>
      </c>
      <c r="F28" s="280">
        <v>1826</v>
      </c>
      <c r="G28" s="280">
        <v>66</v>
      </c>
      <c r="H28" s="280">
        <v>770</v>
      </c>
      <c r="I28" s="280">
        <v>2589</v>
      </c>
      <c r="J28" s="8">
        <v>366</v>
      </c>
      <c r="K28" s="8">
        <v>274</v>
      </c>
      <c r="L28" s="6">
        <v>464</v>
      </c>
      <c r="M28" s="106">
        <v>500</v>
      </c>
      <c r="N28" s="106">
        <v>500</v>
      </c>
      <c r="O28" s="322">
        <f t="shared" si="1"/>
        <v>1</v>
      </c>
      <c r="P28" s="105">
        <v>500</v>
      </c>
      <c r="Q28" s="183">
        <v>501</v>
      </c>
    </row>
    <row r="29" spans="2:17" s="26" customFormat="1" ht="15.75" thickBot="1">
      <c r="B29" s="475" t="s">
        <v>138</v>
      </c>
      <c r="C29" s="619" t="s">
        <v>52</v>
      </c>
      <c r="D29" s="687"/>
      <c r="E29" s="476">
        <v>80362</v>
      </c>
      <c r="F29" s="476">
        <v>93674</v>
      </c>
      <c r="G29" s="476">
        <v>104461</v>
      </c>
      <c r="H29" s="476">
        <v>126342</v>
      </c>
      <c r="I29" s="433">
        <f aca="true" t="shared" si="7" ref="I29:N29">SUM(I30:I32)</f>
        <v>137485</v>
      </c>
      <c r="J29" s="433">
        <f t="shared" si="7"/>
        <v>141454</v>
      </c>
      <c r="K29" s="433">
        <f t="shared" si="7"/>
        <v>150296</v>
      </c>
      <c r="L29" s="433">
        <f t="shared" si="7"/>
        <v>153336</v>
      </c>
      <c r="M29" s="433">
        <f t="shared" si="7"/>
        <v>145373</v>
      </c>
      <c r="N29" s="433">
        <f t="shared" si="7"/>
        <v>153051</v>
      </c>
      <c r="O29" s="434">
        <f t="shared" si="1"/>
        <v>1.0528158598914517</v>
      </c>
      <c r="P29" s="433">
        <f>SUM(P30:P32)</f>
        <v>153051</v>
      </c>
      <c r="Q29" s="435">
        <f>SUM(Q30:Q32)</f>
        <v>153051</v>
      </c>
    </row>
    <row r="30" spans="2:17" ht="12.75">
      <c r="B30" s="715"/>
      <c r="C30" s="152">
        <v>610</v>
      </c>
      <c r="D30" s="10" t="s">
        <v>2</v>
      </c>
      <c r="E30" s="281"/>
      <c r="F30" s="281">
        <v>56762</v>
      </c>
      <c r="G30" s="281">
        <v>60944</v>
      </c>
      <c r="H30" s="281">
        <v>75340</v>
      </c>
      <c r="I30" s="281">
        <v>84414</v>
      </c>
      <c r="J30" s="10">
        <v>89012</v>
      </c>
      <c r="K30" s="10">
        <v>92984</v>
      </c>
      <c r="L30" s="11">
        <v>93001</v>
      </c>
      <c r="M30" s="11">
        <v>91727</v>
      </c>
      <c r="N30" s="88">
        <v>92621</v>
      </c>
      <c r="O30" s="316">
        <f t="shared" si="1"/>
        <v>1.0097463124270933</v>
      </c>
      <c r="P30" s="11">
        <v>92621</v>
      </c>
      <c r="Q30" s="124">
        <v>92621</v>
      </c>
    </row>
    <row r="31" spans="2:17" ht="12.75">
      <c r="B31" s="716"/>
      <c r="C31" s="153">
        <v>620</v>
      </c>
      <c r="D31" s="12" t="s">
        <v>3</v>
      </c>
      <c r="E31" s="282"/>
      <c r="F31" s="282">
        <v>20315</v>
      </c>
      <c r="G31" s="282">
        <v>21709</v>
      </c>
      <c r="H31" s="282">
        <v>27650</v>
      </c>
      <c r="I31" s="282">
        <v>30919</v>
      </c>
      <c r="J31" s="12">
        <v>32877</v>
      </c>
      <c r="K31" s="12">
        <v>34488</v>
      </c>
      <c r="L31" s="13">
        <v>34548</v>
      </c>
      <c r="M31" s="13">
        <v>34046</v>
      </c>
      <c r="N31" s="89">
        <v>34643</v>
      </c>
      <c r="O31" s="317">
        <f t="shared" si="1"/>
        <v>1.0175350995711685</v>
      </c>
      <c r="P31" s="13">
        <v>34643</v>
      </c>
      <c r="Q31" s="125">
        <v>34643</v>
      </c>
    </row>
    <row r="32" spans="2:17" ht="13.5" thickBot="1">
      <c r="B32" s="716"/>
      <c r="C32" s="153">
        <v>630</v>
      </c>
      <c r="D32" s="12" t="s">
        <v>47</v>
      </c>
      <c r="E32" s="282"/>
      <c r="F32" s="282">
        <v>16597</v>
      </c>
      <c r="G32" s="282">
        <v>21078</v>
      </c>
      <c r="H32" s="282">
        <v>23021</v>
      </c>
      <c r="I32" s="282">
        <f>22134+18</f>
        <v>22152</v>
      </c>
      <c r="J32" s="12">
        <v>19565</v>
      </c>
      <c r="K32" s="12">
        <v>22824</v>
      </c>
      <c r="L32" s="13">
        <v>25787</v>
      </c>
      <c r="M32" s="89">
        <v>19600</v>
      </c>
      <c r="N32" s="89">
        <v>25787</v>
      </c>
      <c r="O32" s="317">
        <f t="shared" si="1"/>
        <v>1.3156632653061224</v>
      </c>
      <c r="P32" s="13">
        <v>25787</v>
      </c>
      <c r="Q32" s="125">
        <v>25787</v>
      </c>
    </row>
    <row r="33" spans="2:17" ht="13.5" hidden="1" thickBot="1">
      <c r="B33" s="103"/>
      <c r="C33" s="153">
        <v>650</v>
      </c>
      <c r="D33" s="12" t="s">
        <v>187</v>
      </c>
      <c r="E33" s="280"/>
      <c r="F33" s="280"/>
      <c r="G33" s="280"/>
      <c r="H33" s="280"/>
      <c r="I33" s="280"/>
      <c r="J33" s="8"/>
      <c r="K33" s="8"/>
      <c r="L33" s="105"/>
      <c r="M33" s="106"/>
      <c r="N33" s="106"/>
      <c r="O33" s="322">
        <f t="shared" si="1"/>
        <v>0</v>
      </c>
      <c r="P33" s="349"/>
      <c r="Q33" s="108"/>
    </row>
    <row r="34" spans="2:17" s="26" customFormat="1" ht="15.75" thickBot="1">
      <c r="B34" s="475" t="s">
        <v>412</v>
      </c>
      <c r="C34" s="619" t="s">
        <v>12</v>
      </c>
      <c r="D34" s="687"/>
      <c r="E34" s="477">
        <f>E35</f>
        <v>1328</v>
      </c>
      <c r="F34" s="477">
        <f>F35</f>
        <v>332</v>
      </c>
      <c r="G34" s="477">
        <f>G35</f>
        <v>797</v>
      </c>
      <c r="H34" s="477">
        <f>H35</f>
        <v>3524</v>
      </c>
      <c r="I34" s="477">
        <f>I35</f>
        <v>112</v>
      </c>
      <c r="J34" s="433">
        <f aca="true" t="shared" si="8" ref="J34:Q34">J35</f>
        <v>600</v>
      </c>
      <c r="K34" s="433">
        <f t="shared" si="8"/>
        <v>1028</v>
      </c>
      <c r="L34" s="433">
        <f t="shared" si="8"/>
        <v>1230</v>
      </c>
      <c r="M34" s="433">
        <f t="shared" si="8"/>
        <v>1500</v>
      </c>
      <c r="N34" s="433">
        <f t="shared" si="8"/>
        <v>1500</v>
      </c>
      <c r="O34" s="434">
        <f t="shared" si="1"/>
        <v>1</v>
      </c>
      <c r="P34" s="433">
        <f t="shared" si="8"/>
        <v>1500</v>
      </c>
      <c r="Q34" s="435">
        <f t="shared" si="8"/>
        <v>1501</v>
      </c>
    </row>
    <row r="35" spans="2:17" ht="13.5" thickBot="1">
      <c r="B35" s="48"/>
      <c r="C35" s="161"/>
      <c r="D35" s="7" t="s">
        <v>13</v>
      </c>
      <c r="E35" s="283">
        <v>1328</v>
      </c>
      <c r="F35" s="283">
        <v>332</v>
      </c>
      <c r="G35" s="283">
        <v>797</v>
      </c>
      <c r="H35" s="283">
        <v>3524</v>
      </c>
      <c r="I35" s="283">
        <v>112</v>
      </c>
      <c r="J35" s="65">
        <v>600</v>
      </c>
      <c r="K35" s="65">
        <v>1028</v>
      </c>
      <c r="L35" s="6">
        <v>1230</v>
      </c>
      <c r="M35" s="6">
        <v>1500</v>
      </c>
      <c r="N35" s="6">
        <v>1500</v>
      </c>
      <c r="O35" s="323">
        <f t="shared" si="1"/>
        <v>1</v>
      </c>
      <c r="P35" s="6">
        <v>1500</v>
      </c>
      <c r="Q35" s="128">
        <v>1501</v>
      </c>
    </row>
    <row r="36" spans="2:17" s="223" customFormat="1" ht="15.75" thickBot="1">
      <c r="B36" s="478" t="s">
        <v>41</v>
      </c>
      <c r="C36" s="619" t="s">
        <v>42</v>
      </c>
      <c r="D36" s="687"/>
      <c r="E36" s="476">
        <v>64894</v>
      </c>
      <c r="F36" s="476">
        <v>59384</v>
      </c>
      <c r="G36" s="476">
        <v>62471</v>
      </c>
      <c r="H36" s="476">
        <v>47851</v>
      </c>
      <c r="I36" s="403">
        <f aca="true" t="shared" si="9" ref="I36:P36">SUM(I37:I39)</f>
        <v>43042</v>
      </c>
      <c r="J36" s="403">
        <f t="shared" si="9"/>
        <v>42993</v>
      </c>
      <c r="K36" s="403">
        <f t="shared" si="9"/>
        <v>45897</v>
      </c>
      <c r="L36" s="403">
        <f>SUM(L37:L40)</f>
        <v>45604</v>
      </c>
      <c r="M36" s="403">
        <f t="shared" si="9"/>
        <v>56442</v>
      </c>
      <c r="N36" s="403">
        <f t="shared" si="9"/>
        <v>50983</v>
      </c>
      <c r="O36" s="404">
        <f t="shared" si="1"/>
        <v>0.9032812444633429</v>
      </c>
      <c r="P36" s="403">
        <f t="shared" si="9"/>
        <v>49332</v>
      </c>
      <c r="Q36" s="405">
        <f>SUM(Q37:Q39)</f>
        <v>49332</v>
      </c>
    </row>
    <row r="37" spans="2:17" ht="12.75">
      <c r="B37" s="715"/>
      <c r="C37" s="152">
        <v>610</v>
      </c>
      <c r="D37" s="10" t="s">
        <v>2</v>
      </c>
      <c r="E37" s="281"/>
      <c r="F37" s="281"/>
      <c r="G37" s="281"/>
      <c r="H37" s="281"/>
      <c r="I37" s="281">
        <v>19662</v>
      </c>
      <c r="J37" s="10">
        <v>20165</v>
      </c>
      <c r="K37" s="10">
        <v>21683</v>
      </c>
      <c r="L37" s="11">
        <v>23558</v>
      </c>
      <c r="M37" s="88">
        <v>25482</v>
      </c>
      <c r="N37" s="88">
        <v>21624</v>
      </c>
      <c r="O37" s="316">
        <f t="shared" si="1"/>
        <v>0.8485990110666353</v>
      </c>
      <c r="P37" s="11">
        <v>20400</v>
      </c>
      <c r="Q37" s="124">
        <v>20400</v>
      </c>
    </row>
    <row r="38" spans="2:17" ht="12.75">
      <c r="B38" s="716"/>
      <c r="C38" s="153">
        <v>620</v>
      </c>
      <c r="D38" s="12" t="s">
        <v>3</v>
      </c>
      <c r="E38" s="282"/>
      <c r="F38" s="282"/>
      <c r="G38" s="282"/>
      <c r="H38" s="282"/>
      <c r="I38" s="282">
        <v>6810</v>
      </c>
      <c r="J38" s="12">
        <v>7285</v>
      </c>
      <c r="K38" s="12">
        <v>7713</v>
      </c>
      <c r="L38" s="13">
        <v>8188</v>
      </c>
      <c r="M38" s="89">
        <v>9410</v>
      </c>
      <c r="N38" s="89">
        <v>7809</v>
      </c>
      <c r="O38" s="317">
        <f t="shared" si="1"/>
        <v>0.8298618490967057</v>
      </c>
      <c r="P38" s="13">
        <v>7382</v>
      </c>
      <c r="Q38" s="125">
        <v>7382</v>
      </c>
    </row>
    <row r="39" spans="2:17" ht="12.75">
      <c r="B39" s="716"/>
      <c r="C39" s="153">
        <v>630</v>
      </c>
      <c r="D39" s="12" t="s">
        <v>47</v>
      </c>
      <c r="E39" s="282"/>
      <c r="F39" s="282"/>
      <c r="G39" s="282"/>
      <c r="H39" s="282"/>
      <c r="I39" s="282">
        <v>16570</v>
      </c>
      <c r="J39" s="12">
        <v>15543</v>
      </c>
      <c r="K39" s="12">
        <v>16501</v>
      </c>
      <c r="L39" s="13">
        <v>13727</v>
      </c>
      <c r="M39" s="89">
        <v>21550</v>
      </c>
      <c r="N39" s="89">
        <v>21550</v>
      </c>
      <c r="O39" s="317">
        <f t="shared" si="1"/>
        <v>1</v>
      </c>
      <c r="P39" s="13">
        <v>21550</v>
      </c>
      <c r="Q39" s="125">
        <v>21550</v>
      </c>
    </row>
    <row r="40" spans="2:17" ht="13.5" thickBot="1">
      <c r="B40" s="717"/>
      <c r="C40" s="153">
        <v>640</v>
      </c>
      <c r="D40" s="80"/>
      <c r="E40" s="278"/>
      <c r="F40" s="278"/>
      <c r="G40" s="278"/>
      <c r="H40" s="278"/>
      <c r="I40" s="278"/>
      <c r="J40" s="8"/>
      <c r="K40" s="8"/>
      <c r="L40" s="105">
        <v>131</v>
      </c>
      <c r="M40" s="106"/>
      <c r="N40" s="106"/>
      <c r="O40" s="322">
        <f t="shared" si="1"/>
        <v>0</v>
      </c>
      <c r="P40" s="105"/>
      <c r="Q40" s="183"/>
    </row>
    <row r="41" spans="2:17" s="26" customFormat="1" ht="15.75" thickBot="1">
      <c r="B41" s="475" t="s">
        <v>397</v>
      </c>
      <c r="C41" s="619" t="s">
        <v>14</v>
      </c>
      <c r="D41" s="687"/>
      <c r="E41" s="477">
        <f>E42</f>
        <v>0</v>
      </c>
      <c r="F41" s="477">
        <f>F42</f>
        <v>0</v>
      </c>
      <c r="G41" s="477">
        <f>G42</f>
        <v>0</v>
      </c>
      <c r="H41" s="477">
        <f>H42</f>
        <v>66</v>
      </c>
      <c r="I41" s="477">
        <f>I42</f>
        <v>175</v>
      </c>
      <c r="J41" s="433">
        <f aca="true" t="shared" si="10" ref="J41:Q41">J42</f>
        <v>269</v>
      </c>
      <c r="K41" s="433">
        <f t="shared" si="10"/>
        <v>182</v>
      </c>
      <c r="L41" s="433">
        <f t="shared" si="10"/>
        <v>104</v>
      </c>
      <c r="M41" s="433">
        <f t="shared" si="10"/>
        <v>200</v>
      </c>
      <c r="N41" s="433">
        <f t="shared" si="10"/>
        <v>200</v>
      </c>
      <c r="O41" s="434">
        <f t="shared" si="1"/>
        <v>1</v>
      </c>
      <c r="P41" s="433">
        <f t="shared" si="10"/>
        <v>200</v>
      </c>
      <c r="Q41" s="435">
        <f t="shared" si="10"/>
        <v>201</v>
      </c>
    </row>
    <row r="42" spans="2:17" ht="13.5" thickBot="1">
      <c r="B42" s="49"/>
      <c r="C42" s="162">
        <v>640</v>
      </c>
      <c r="D42" s="8" t="s">
        <v>205</v>
      </c>
      <c r="E42" s="280"/>
      <c r="F42" s="280"/>
      <c r="G42" s="280"/>
      <c r="H42" s="280">
        <v>66</v>
      </c>
      <c r="I42" s="280">
        <v>175</v>
      </c>
      <c r="J42" s="8">
        <v>269</v>
      </c>
      <c r="K42" s="8">
        <v>182</v>
      </c>
      <c r="L42" s="8">
        <v>104</v>
      </c>
      <c r="M42" s="6">
        <v>200</v>
      </c>
      <c r="N42" s="6">
        <v>200</v>
      </c>
      <c r="O42" s="323">
        <f t="shared" si="1"/>
        <v>1</v>
      </c>
      <c r="P42" s="6">
        <v>200</v>
      </c>
      <c r="Q42" s="128">
        <v>201</v>
      </c>
    </row>
    <row r="43" spans="2:17" ht="15.75" thickBot="1">
      <c r="B43" s="475" t="s">
        <v>120</v>
      </c>
      <c r="C43" s="619" t="s">
        <v>23</v>
      </c>
      <c r="D43" s="687"/>
      <c r="E43" s="476">
        <v>29310</v>
      </c>
      <c r="F43" s="476">
        <v>30173</v>
      </c>
      <c r="G43" s="476">
        <v>33061</v>
      </c>
      <c r="H43" s="476">
        <v>31215</v>
      </c>
      <c r="I43" s="403">
        <f aca="true" t="shared" si="11" ref="I43:P43">SUM(I44:I46)</f>
        <v>30188</v>
      </c>
      <c r="J43" s="403">
        <f t="shared" si="11"/>
        <v>30251</v>
      </c>
      <c r="K43" s="403">
        <f t="shared" si="11"/>
        <v>29902</v>
      </c>
      <c r="L43" s="403">
        <f t="shared" si="11"/>
        <v>27922</v>
      </c>
      <c r="M43" s="403">
        <f t="shared" si="11"/>
        <v>28226</v>
      </c>
      <c r="N43" s="403">
        <f t="shared" si="11"/>
        <v>28226</v>
      </c>
      <c r="O43" s="404">
        <f t="shared" si="1"/>
        <v>1</v>
      </c>
      <c r="P43" s="403">
        <f t="shared" si="11"/>
        <v>28226</v>
      </c>
      <c r="Q43" s="405">
        <f>SUM(Q44:Q46)</f>
        <v>28226</v>
      </c>
    </row>
    <row r="44" spans="2:17" ht="12.75">
      <c r="B44" s="715"/>
      <c r="C44" s="152">
        <v>610</v>
      </c>
      <c r="D44" s="10" t="s">
        <v>2</v>
      </c>
      <c r="E44" s="281"/>
      <c r="F44" s="281">
        <v>17128</v>
      </c>
      <c r="G44" s="281">
        <v>19186</v>
      </c>
      <c r="H44" s="281">
        <v>18647</v>
      </c>
      <c r="I44" s="281">
        <v>19330</v>
      </c>
      <c r="J44" s="10">
        <v>19430</v>
      </c>
      <c r="K44" s="10">
        <v>19249</v>
      </c>
      <c r="L44" s="10">
        <v>18860</v>
      </c>
      <c r="M44" s="11">
        <v>18628</v>
      </c>
      <c r="N44" s="11">
        <v>18628</v>
      </c>
      <c r="O44" s="316">
        <f t="shared" si="1"/>
        <v>1</v>
      </c>
      <c r="P44" s="11">
        <v>18628</v>
      </c>
      <c r="Q44" s="124">
        <v>18628</v>
      </c>
    </row>
    <row r="45" spans="2:17" ht="12.75">
      <c r="B45" s="716"/>
      <c r="C45" s="153">
        <v>620</v>
      </c>
      <c r="D45" s="12" t="s">
        <v>3</v>
      </c>
      <c r="E45" s="282"/>
      <c r="F45" s="282">
        <v>6174</v>
      </c>
      <c r="G45" s="282">
        <v>6440</v>
      </c>
      <c r="H45" s="282">
        <v>6250</v>
      </c>
      <c r="I45" s="282">
        <v>6780</v>
      </c>
      <c r="J45" s="12">
        <v>6793</v>
      </c>
      <c r="K45" s="12">
        <v>6741</v>
      </c>
      <c r="L45" s="12">
        <v>6528</v>
      </c>
      <c r="M45" s="13">
        <v>6533</v>
      </c>
      <c r="N45" s="13">
        <v>6533</v>
      </c>
      <c r="O45" s="317">
        <f t="shared" si="1"/>
        <v>1</v>
      </c>
      <c r="P45" s="13">
        <v>6533</v>
      </c>
      <c r="Q45" s="125">
        <v>6533</v>
      </c>
    </row>
    <row r="46" spans="2:17" ht="13.5" thickBot="1">
      <c r="B46" s="717"/>
      <c r="C46" s="154">
        <v>630</v>
      </c>
      <c r="D46" s="14" t="s">
        <v>47</v>
      </c>
      <c r="E46" s="288"/>
      <c r="F46" s="288">
        <v>6871</v>
      </c>
      <c r="G46" s="288">
        <v>7435</v>
      </c>
      <c r="H46" s="288">
        <v>6318</v>
      </c>
      <c r="I46" s="288">
        <v>4078</v>
      </c>
      <c r="J46" s="14">
        <v>4028</v>
      </c>
      <c r="K46" s="14">
        <v>3912</v>
      </c>
      <c r="L46" s="14">
        <f>27588-25054</f>
        <v>2534</v>
      </c>
      <c r="M46" s="15">
        <v>3065</v>
      </c>
      <c r="N46" s="15">
        <v>3065</v>
      </c>
      <c r="O46" s="333">
        <f t="shared" si="1"/>
        <v>1</v>
      </c>
      <c r="P46" s="15">
        <v>3065</v>
      </c>
      <c r="Q46" s="131">
        <v>3065</v>
      </c>
    </row>
    <row r="47" spans="2:17" s="26" customFormat="1" ht="15.75" thickBot="1">
      <c r="B47" s="475" t="s">
        <v>122</v>
      </c>
      <c r="C47" s="619" t="s">
        <v>15</v>
      </c>
      <c r="D47" s="687"/>
      <c r="E47" s="477">
        <v>13278</v>
      </c>
      <c r="F47" s="477">
        <v>366029</v>
      </c>
      <c r="G47" s="477">
        <v>277733</v>
      </c>
      <c r="H47" s="477">
        <v>398013</v>
      </c>
      <c r="I47" s="477">
        <v>368170</v>
      </c>
      <c r="J47" s="433">
        <f aca="true" t="shared" si="12" ref="J47:P47">SUM(J48:J51)</f>
        <v>294633</v>
      </c>
      <c r="K47" s="433">
        <f t="shared" si="12"/>
        <v>216960</v>
      </c>
      <c r="L47" s="433">
        <f t="shared" si="12"/>
        <v>236599</v>
      </c>
      <c r="M47" s="433">
        <f t="shared" si="12"/>
        <v>210344</v>
      </c>
      <c r="N47" s="433">
        <f t="shared" si="12"/>
        <v>231211</v>
      </c>
      <c r="O47" s="434">
        <f t="shared" si="1"/>
        <v>1.0992041608032557</v>
      </c>
      <c r="P47" s="433">
        <f t="shared" si="12"/>
        <v>226409</v>
      </c>
      <c r="Q47" s="435">
        <f>SUM(Q48:Q51)</f>
        <v>226409</v>
      </c>
    </row>
    <row r="48" spans="2:19" s="26" customFormat="1" ht="13.5" customHeight="1">
      <c r="B48" s="718"/>
      <c r="C48" s="164">
        <v>640</v>
      </c>
      <c r="D48" s="56" t="s">
        <v>140</v>
      </c>
      <c r="E48" s="284"/>
      <c r="F48" s="284"/>
      <c r="G48" s="284"/>
      <c r="H48" s="284"/>
      <c r="I48" s="284">
        <v>307476</v>
      </c>
      <c r="J48" s="188">
        <v>234550</v>
      </c>
      <c r="K48" s="188">
        <v>150070</v>
      </c>
      <c r="L48" s="227">
        <v>167336</v>
      </c>
      <c r="M48" s="86">
        <v>148104</v>
      </c>
      <c r="N48" s="86">
        <v>157211</v>
      </c>
      <c r="O48" s="319">
        <f t="shared" si="1"/>
        <v>1.061490574191109</v>
      </c>
      <c r="P48" s="17">
        <v>159209</v>
      </c>
      <c r="Q48" s="126">
        <v>159209</v>
      </c>
      <c r="S48" s="375"/>
    </row>
    <row r="49" spans="2:17" s="26" customFormat="1" ht="13.5" customHeight="1">
      <c r="B49" s="719"/>
      <c r="C49" s="165">
        <v>630</v>
      </c>
      <c r="D49" s="78" t="s">
        <v>244</v>
      </c>
      <c r="E49" s="285"/>
      <c r="F49" s="285"/>
      <c r="G49" s="285"/>
      <c r="H49" s="285"/>
      <c r="I49" s="285">
        <v>9596</v>
      </c>
      <c r="J49" s="189">
        <v>3094</v>
      </c>
      <c r="K49" s="189">
        <v>2060</v>
      </c>
      <c r="L49" s="228">
        <v>1011</v>
      </c>
      <c r="M49" s="92">
        <v>4000</v>
      </c>
      <c r="N49" s="92">
        <v>8000</v>
      </c>
      <c r="O49" s="324">
        <f t="shared" si="1"/>
        <v>2</v>
      </c>
      <c r="P49" s="55">
        <v>1200</v>
      </c>
      <c r="Q49" s="129">
        <v>1200</v>
      </c>
    </row>
    <row r="50" spans="2:17" s="26" customFormat="1" ht="13.5" customHeight="1" hidden="1">
      <c r="B50" s="719"/>
      <c r="C50" s="165">
        <v>630</v>
      </c>
      <c r="D50" s="78" t="s">
        <v>187</v>
      </c>
      <c r="E50" s="285"/>
      <c r="F50" s="285"/>
      <c r="G50" s="285"/>
      <c r="H50" s="285"/>
      <c r="I50" s="285"/>
      <c r="J50" s="189"/>
      <c r="K50" s="189"/>
      <c r="L50" s="229"/>
      <c r="M50" s="92"/>
      <c r="N50" s="92"/>
      <c r="O50" s="324">
        <f t="shared" si="1"/>
        <v>0</v>
      </c>
      <c r="P50" s="55"/>
      <c r="Q50" s="129"/>
    </row>
    <row r="51" spans="2:19" ht="13.5" thickBot="1">
      <c r="B51" s="720"/>
      <c r="C51" s="158">
        <v>640</v>
      </c>
      <c r="D51" s="107" t="s">
        <v>248</v>
      </c>
      <c r="E51" s="286"/>
      <c r="F51" s="286"/>
      <c r="G51" s="286"/>
      <c r="H51" s="286"/>
      <c r="I51" s="286">
        <v>49953</v>
      </c>
      <c r="J51" s="190">
        <v>56989</v>
      </c>
      <c r="K51" s="190">
        <v>64830</v>
      </c>
      <c r="L51" s="230">
        <v>68252</v>
      </c>
      <c r="M51" s="178">
        <v>58240</v>
      </c>
      <c r="N51" s="178">
        <v>66000</v>
      </c>
      <c r="O51" s="325">
        <f t="shared" si="1"/>
        <v>1.1332417582417582</v>
      </c>
      <c r="P51" s="63">
        <v>66000</v>
      </c>
      <c r="Q51" s="215">
        <v>66000</v>
      </c>
      <c r="S51" s="116"/>
    </row>
    <row r="52" spans="2:17" s="26" customFormat="1" ht="15.75" thickBot="1">
      <c r="B52" s="479" t="s">
        <v>398</v>
      </c>
      <c r="C52" s="734" t="s">
        <v>16</v>
      </c>
      <c r="D52" s="681"/>
      <c r="E52" s="481">
        <v>33426</v>
      </c>
      <c r="F52" s="481">
        <v>39800</v>
      </c>
      <c r="G52" s="481">
        <v>42953</v>
      </c>
      <c r="H52" s="481">
        <v>66506</v>
      </c>
      <c r="I52" s="481">
        <v>76065</v>
      </c>
      <c r="J52" s="438">
        <f>SUM(J57:J65)+J53</f>
        <v>59613</v>
      </c>
      <c r="K52" s="438">
        <f>SUM(K57:K65)+K53</f>
        <v>58168</v>
      </c>
      <c r="L52" s="438">
        <f>SUM(L57:L65)+L53</f>
        <v>57293</v>
      </c>
      <c r="M52" s="438">
        <f>SUM(M57:M66)+M53</f>
        <v>48835</v>
      </c>
      <c r="N52" s="438">
        <f>SUM(N57:N66)+N53</f>
        <v>48604</v>
      </c>
      <c r="O52" s="439">
        <f t="shared" si="1"/>
        <v>0.9952697860141292</v>
      </c>
      <c r="P52" s="438">
        <f>SUM(P57:P65)+P53</f>
        <v>44475</v>
      </c>
      <c r="Q52" s="441">
        <f>SUM(Q57:Q65)+Q53</f>
        <v>44475</v>
      </c>
    </row>
    <row r="53" spans="2:17" ht="13.5" thickBot="1">
      <c r="B53" s="712"/>
      <c r="C53" s="727" t="s">
        <v>193</v>
      </c>
      <c r="D53" s="728"/>
      <c r="E53" s="287">
        <v>0</v>
      </c>
      <c r="F53" s="287">
        <v>13477</v>
      </c>
      <c r="G53" s="287">
        <v>15800</v>
      </c>
      <c r="H53" s="287">
        <v>26596</v>
      </c>
      <c r="I53" s="287">
        <v>25323</v>
      </c>
      <c r="J53" s="139">
        <f aca="true" t="shared" si="13" ref="J53:P53">SUM(J54:J56)</f>
        <v>25388</v>
      </c>
      <c r="K53" s="139">
        <f t="shared" si="13"/>
        <v>23577</v>
      </c>
      <c r="L53" s="139">
        <f t="shared" si="13"/>
        <v>25508</v>
      </c>
      <c r="M53" s="139">
        <f t="shared" si="13"/>
        <v>24175</v>
      </c>
      <c r="N53" s="139">
        <f>SUM(N54:N56)</f>
        <v>24175</v>
      </c>
      <c r="O53" s="326">
        <f t="shared" si="1"/>
        <v>1</v>
      </c>
      <c r="P53" s="139">
        <f t="shared" si="13"/>
        <v>24175</v>
      </c>
      <c r="Q53" s="350">
        <f>SUM(Q54:Q56)</f>
        <v>24175</v>
      </c>
    </row>
    <row r="54" spans="2:17" ht="12.75">
      <c r="B54" s="713"/>
      <c r="C54" s="166">
        <v>610</v>
      </c>
      <c r="D54" s="54" t="s">
        <v>2</v>
      </c>
      <c r="E54" s="55"/>
      <c r="F54" s="55"/>
      <c r="G54" s="55"/>
      <c r="H54" s="55"/>
      <c r="I54" s="55">
        <v>16865</v>
      </c>
      <c r="J54" s="54">
        <v>17260</v>
      </c>
      <c r="K54" s="54">
        <v>15432</v>
      </c>
      <c r="L54" s="54">
        <v>15427</v>
      </c>
      <c r="M54" s="55">
        <v>16035</v>
      </c>
      <c r="N54" s="92">
        <v>16035</v>
      </c>
      <c r="O54" s="327">
        <f t="shared" si="1"/>
        <v>1</v>
      </c>
      <c r="P54" s="55">
        <v>16035</v>
      </c>
      <c r="Q54" s="129">
        <v>16035</v>
      </c>
    </row>
    <row r="55" spans="2:17" ht="12.75">
      <c r="B55" s="713"/>
      <c r="C55" s="166">
        <v>620</v>
      </c>
      <c r="D55" s="54" t="s">
        <v>3</v>
      </c>
      <c r="E55" s="55"/>
      <c r="F55" s="55"/>
      <c r="G55" s="55"/>
      <c r="H55" s="55"/>
      <c r="I55" s="55">
        <v>6017</v>
      </c>
      <c r="J55" s="54">
        <v>6225</v>
      </c>
      <c r="K55" s="54">
        <v>5547</v>
      </c>
      <c r="L55" s="54">
        <v>5746</v>
      </c>
      <c r="M55" s="55">
        <v>6070</v>
      </c>
      <c r="N55" s="92">
        <v>6070</v>
      </c>
      <c r="O55" s="327">
        <f t="shared" si="1"/>
        <v>1</v>
      </c>
      <c r="P55" s="55">
        <v>6070</v>
      </c>
      <c r="Q55" s="129">
        <v>6070</v>
      </c>
    </row>
    <row r="56" spans="2:17" ht="13.5" thickBot="1">
      <c r="B56" s="713"/>
      <c r="C56" s="167">
        <v>630</v>
      </c>
      <c r="D56" s="4" t="s">
        <v>47</v>
      </c>
      <c r="E56" s="63"/>
      <c r="F56" s="63"/>
      <c r="G56" s="63"/>
      <c r="H56" s="63"/>
      <c r="I56" s="63">
        <v>2441</v>
      </c>
      <c r="J56" s="4">
        <v>1903</v>
      </c>
      <c r="K56" s="4">
        <v>2598</v>
      </c>
      <c r="L56" s="231">
        <v>4335</v>
      </c>
      <c r="M56" s="178">
        <v>2070</v>
      </c>
      <c r="N56" s="178">
        <v>2070</v>
      </c>
      <c r="O56" s="328">
        <f t="shared" si="1"/>
        <v>1</v>
      </c>
      <c r="P56" s="20">
        <v>2070</v>
      </c>
      <c r="Q56" s="351">
        <v>2070</v>
      </c>
    </row>
    <row r="57" spans="2:17" ht="12.75">
      <c r="B57" s="713"/>
      <c r="C57" s="166">
        <v>600</v>
      </c>
      <c r="D57" s="54" t="s">
        <v>17</v>
      </c>
      <c r="E57" s="55"/>
      <c r="F57" s="55"/>
      <c r="G57" s="55"/>
      <c r="H57" s="55"/>
      <c r="I57" s="55"/>
      <c r="J57" s="54">
        <v>9190</v>
      </c>
      <c r="K57" s="54">
        <v>6912</v>
      </c>
      <c r="L57" s="54">
        <v>9446</v>
      </c>
      <c r="M57" s="17">
        <v>7000</v>
      </c>
      <c r="N57" s="17">
        <v>8000</v>
      </c>
      <c r="O57" s="327">
        <f t="shared" si="1"/>
        <v>1.1428571428571428</v>
      </c>
      <c r="P57" s="55">
        <v>8000</v>
      </c>
      <c r="Q57" s="129">
        <v>8000</v>
      </c>
    </row>
    <row r="58" spans="2:17" ht="12.75">
      <c r="B58" s="713"/>
      <c r="C58" s="166">
        <v>600</v>
      </c>
      <c r="D58" s="54" t="s">
        <v>312</v>
      </c>
      <c r="E58" s="55"/>
      <c r="F58" s="55"/>
      <c r="G58" s="55"/>
      <c r="H58" s="55"/>
      <c r="I58" s="55"/>
      <c r="J58" s="54">
        <v>2000</v>
      </c>
      <c r="K58" s="54"/>
      <c r="L58" s="54"/>
      <c r="M58" s="55"/>
      <c r="N58" s="55"/>
      <c r="O58" s="327">
        <f t="shared" si="1"/>
        <v>0</v>
      </c>
      <c r="P58" s="19"/>
      <c r="Q58" s="127"/>
    </row>
    <row r="59" spans="2:17" ht="12.75">
      <c r="B59" s="713"/>
      <c r="C59" s="166">
        <v>600</v>
      </c>
      <c r="D59" s="18" t="s">
        <v>18</v>
      </c>
      <c r="E59" s="19"/>
      <c r="F59" s="19"/>
      <c r="G59" s="19"/>
      <c r="H59" s="19"/>
      <c r="I59" s="19"/>
      <c r="J59" s="18">
        <v>10000</v>
      </c>
      <c r="K59" s="18">
        <v>1500</v>
      </c>
      <c r="L59" s="18">
        <v>370</v>
      </c>
      <c r="M59" s="19">
        <v>1000</v>
      </c>
      <c r="N59" s="19">
        <v>1000</v>
      </c>
      <c r="O59" s="329">
        <f t="shared" si="1"/>
        <v>1</v>
      </c>
      <c r="P59" s="19">
        <v>1000</v>
      </c>
      <c r="Q59" s="127">
        <v>1000</v>
      </c>
    </row>
    <row r="60" spans="2:17" ht="12.75">
      <c r="B60" s="713"/>
      <c r="C60" s="166">
        <v>600</v>
      </c>
      <c r="D60" s="18" t="s">
        <v>186</v>
      </c>
      <c r="E60" s="19"/>
      <c r="F60" s="19"/>
      <c r="G60" s="19"/>
      <c r="H60" s="19"/>
      <c r="I60" s="19"/>
      <c r="J60" s="18">
        <v>1871</v>
      </c>
      <c r="K60" s="18">
        <v>2416</v>
      </c>
      <c r="L60" s="18">
        <v>4274</v>
      </c>
      <c r="M60" s="19">
        <v>2000</v>
      </c>
      <c r="N60" s="19">
        <v>3500</v>
      </c>
      <c r="O60" s="329">
        <f t="shared" si="1"/>
        <v>1.75</v>
      </c>
      <c r="P60" s="19">
        <v>2000</v>
      </c>
      <c r="Q60" s="127">
        <v>2000</v>
      </c>
    </row>
    <row r="61" spans="2:17" ht="12.75">
      <c r="B61" s="713"/>
      <c r="C61" s="166">
        <v>600</v>
      </c>
      <c r="D61" s="18" t="s">
        <v>19</v>
      </c>
      <c r="E61" s="19"/>
      <c r="F61" s="19"/>
      <c r="G61" s="19"/>
      <c r="H61" s="19"/>
      <c r="I61" s="19"/>
      <c r="J61" s="18">
        <v>3240</v>
      </c>
      <c r="K61" s="18">
        <v>832</v>
      </c>
      <c r="L61" s="18">
        <v>1493</v>
      </c>
      <c r="M61" s="19">
        <v>2000</v>
      </c>
      <c r="N61" s="19">
        <v>1000</v>
      </c>
      <c r="O61" s="329">
        <f t="shared" si="1"/>
        <v>0.5</v>
      </c>
      <c r="P61" s="19">
        <v>2000</v>
      </c>
      <c r="Q61" s="127">
        <v>2000</v>
      </c>
    </row>
    <row r="62" spans="2:17" ht="13.5" customHeight="1">
      <c r="B62" s="713"/>
      <c r="C62" s="166">
        <v>600</v>
      </c>
      <c r="D62" s="18" t="s">
        <v>202</v>
      </c>
      <c r="E62" s="19"/>
      <c r="F62" s="19"/>
      <c r="G62" s="19"/>
      <c r="H62" s="19"/>
      <c r="I62" s="19"/>
      <c r="J62" s="18">
        <v>7924</v>
      </c>
      <c r="K62" s="18">
        <v>11969</v>
      </c>
      <c r="L62" s="18">
        <v>11202</v>
      </c>
      <c r="M62" s="19">
        <v>7660</v>
      </c>
      <c r="N62" s="19">
        <v>7300</v>
      </c>
      <c r="O62" s="329">
        <f t="shared" si="1"/>
        <v>0.9530026109660574</v>
      </c>
      <c r="P62" s="19">
        <v>7300</v>
      </c>
      <c r="Q62" s="127">
        <v>7300</v>
      </c>
    </row>
    <row r="63" spans="2:17" ht="13.5" customHeight="1">
      <c r="B63" s="713"/>
      <c r="C63" s="166">
        <v>600</v>
      </c>
      <c r="D63" s="18" t="s">
        <v>251</v>
      </c>
      <c r="E63" s="19"/>
      <c r="F63" s="19"/>
      <c r="G63" s="19"/>
      <c r="H63" s="19"/>
      <c r="I63" s="19"/>
      <c r="J63" s="18"/>
      <c r="K63" s="18">
        <v>4512</v>
      </c>
      <c r="L63" s="18">
        <v>5000</v>
      </c>
      <c r="M63" s="84"/>
      <c r="N63" s="84"/>
      <c r="O63" s="330">
        <f t="shared" si="1"/>
        <v>0</v>
      </c>
      <c r="P63" s="352"/>
      <c r="Q63" s="353"/>
    </row>
    <row r="64" spans="2:17" ht="13.5" customHeight="1">
      <c r="B64" s="713"/>
      <c r="C64" s="166"/>
      <c r="D64" s="18" t="s">
        <v>384</v>
      </c>
      <c r="E64" s="19"/>
      <c r="F64" s="19"/>
      <c r="G64" s="19"/>
      <c r="H64" s="19"/>
      <c r="I64" s="19"/>
      <c r="J64" s="18"/>
      <c r="K64" s="18"/>
      <c r="L64" s="54"/>
      <c r="M64" s="84"/>
      <c r="N64" s="84">
        <f>1629</f>
        <v>1629</v>
      </c>
      <c r="O64" s="330">
        <f t="shared" si="1"/>
        <v>0</v>
      </c>
      <c r="P64" s="352"/>
      <c r="Q64" s="353"/>
    </row>
    <row r="65" spans="2:17" ht="12.75">
      <c r="B65" s="713"/>
      <c r="C65" s="166">
        <v>600</v>
      </c>
      <c r="D65" s="85" t="s">
        <v>252</v>
      </c>
      <c r="E65" s="19"/>
      <c r="F65" s="19"/>
      <c r="G65" s="19"/>
      <c r="H65" s="19"/>
      <c r="I65" s="19"/>
      <c r="J65" s="18"/>
      <c r="K65" s="18">
        <v>6450</v>
      </c>
      <c r="L65" s="55"/>
      <c r="M65" s="19"/>
      <c r="N65" s="19"/>
      <c r="O65" s="329">
        <f t="shared" si="1"/>
        <v>0</v>
      </c>
      <c r="P65" s="352"/>
      <c r="Q65" s="353"/>
    </row>
    <row r="66" spans="2:17" ht="13.5" thickBot="1">
      <c r="B66" s="714"/>
      <c r="C66" s="168">
        <v>600</v>
      </c>
      <c r="D66" s="14" t="s">
        <v>341</v>
      </c>
      <c r="E66" s="105"/>
      <c r="F66" s="105"/>
      <c r="G66" s="105"/>
      <c r="H66" s="105"/>
      <c r="I66" s="105"/>
      <c r="J66" s="8"/>
      <c r="K66" s="8"/>
      <c r="L66" s="142"/>
      <c r="M66" s="63">
        <v>5000</v>
      </c>
      <c r="N66" s="20">
        <v>2000</v>
      </c>
      <c r="O66" s="331">
        <f t="shared" si="1"/>
        <v>0.4</v>
      </c>
      <c r="P66" s="354"/>
      <c r="Q66" s="355"/>
    </row>
    <row r="67" spans="1:17" s="26" customFormat="1" ht="15.75" thickBot="1">
      <c r="A67" s="223"/>
      <c r="B67" s="475" t="s">
        <v>399</v>
      </c>
      <c r="C67" s="619" t="s">
        <v>20</v>
      </c>
      <c r="D67" s="687"/>
      <c r="E67" s="476">
        <v>16132</v>
      </c>
      <c r="F67" s="476">
        <v>16995</v>
      </c>
      <c r="G67" s="476">
        <v>21045</v>
      </c>
      <c r="H67" s="476">
        <v>23225</v>
      </c>
      <c r="I67" s="476">
        <v>22830</v>
      </c>
      <c r="J67" s="482">
        <v>22296</v>
      </c>
      <c r="K67" s="482">
        <v>33352</v>
      </c>
      <c r="L67" s="433">
        <v>37492</v>
      </c>
      <c r="M67" s="483">
        <v>23680</v>
      </c>
      <c r="N67" s="483">
        <v>23680</v>
      </c>
      <c r="O67" s="484">
        <f t="shared" si="1"/>
        <v>1</v>
      </c>
      <c r="P67" s="433">
        <v>23680</v>
      </c>
      <c r="Q67" s="435">
        <v>23680</v>
      </c>
    </row>
    <row r="68" spans="2:17" ht="12.75" hidden="1">
      <c r="B68" s="712"/>
      <c r="C68" s="169" t="s">
        <v>53</v>
      </c>
      <c r="D68" s="16" t="s">
        <v>165</v>
      </c>
      <c r="E68" s="273"/>
      <c r="F68" s="273"/>
      <c r="G68" s="273"/>
      <c r="H68" s="273"/>
      <c r="I68" s="273"/>
      <c r="J68" s="16"/>
      <c r="K68" s="16"/>
      <c r="L68" s="17"/>
      <c r="M68" s="92"/>
      <c r="N68" s="92"/>
      <c r="O68" s="327">
        <f t="shared" si="1"/>
        <v>0</v>
      </c>
      <c r="P68" s="55"/>
      <c r="Q68" s="129"/>
    </row>
    <row r="69" spans="2:17" ht="12.75" hidden="1">
      <c r="B69" s="713"/>
      <c r="C69" s="170" t="s">
        <v>53</v>
      </c>
      <c r="D69" s="18" t="s">
        <v>166</v>
      </c>
      <c r="E69" s="274"/>
      <c r="F69" s="274"/>
      <c r="G69" s="274"/>
      <c r="H69" s="274"/>
      <c r="I69" s="274"/>
      <c r="J69" s="18"/>
      <c r="K69" s="18"/>
      <c r="L69" s="19"/>
      <c r="M69" s="93"/>
      <c r="N69" s="93"/>
      <c r="O69" s="329">
        <f aca="true" t="shared" si="14" ref="O69:O133">IF(M69=0,0,N69/M69)</f>
        <v>0</v>
      </c>
      <c r="P69" s="19"/>
      <c r="Q69" s="127"/>
    </row>
    <row r="70" spans="1:17" ht="15" hidden="1" thickBot="1">
      <c r="A70" s="223"/>
      <c r="B70" s="714"/>
      <c r="C70" s="154">
        <v>600</v>
      </c>
      <c r="D70" s="14" t="s">
        <v>167</v>
      </c>
      <c r="E70" s="288"/>
      <c r="F70" s="288"/>
      <c r="G70" s="288"/>
      <c r="H70" s="288"/>
      <c r="I70" s="288"/>
      <c r="J70" s="14"/>
      <c r="K70" s="14"/>
      <c r="L70" s="15"/>
      <c r="M70" s="91"/>
      <c r="N70" s="91"/>
      <c r="O70" s="332">
        <f t="shared" si="14"/>
        <v>0</v>
      </c>
      <c r="P70" s="25"/>
      <c r="Q70" s="135"/>
    </row>
    <row r="71" spans="1:17" s="26" customFormat="1" ht="18" customHeight="1" thickBot="1">
      <c r="A71" s="67"/>
      <c r="B71" s="479" t="s">
        <v>400</v>
      </c>
      <c r="C71" s="725" t="s">
        <v>316</v>
      </c>
      <c r="D71" s="726"/>
      <c r="E71" s="481">
        <v>1016763</v>
      </c>
      <c r="F71" s="481">
        <v>271062</v>
      </c>
      <c r="G71" s="481">
        <v>471453</v>
      </c>
      <c r="H71" s="481">
        <v>456862</v>
      </c>
      <c r="I71" s="438">
        <f aca="true" t="shared" si="15" ref="I71:P71">SUM(I72:I74)</f>
        <v>440003</v>
      </c>
      <c r="J71" s="438">
        <f t="shared" si="15"/>
        <v>428961</v>
      </c>
      <c r="K71" s="438">
        <f t="shared" si="15"/>
        <v>454364</v>
      </c>
      <c r="L71" s="438">
        <f t="shared" si="15"/>
        <v>445324</v>
      </c>
      <c r="M71" s="438">
        <f t="shared" si="15"/>
        <v>440673</v>
      </c>
      <c r="N71" s="438">
        <f t="shared" si="15"/>
        <v>465856</v>
      </c>
      <c r="O71" s="486">
        <f t="shared" si="14"/>
        <v>1.0571466824606908</v>
      </c>
      <c r="P71" s="438">
        <f t="shared" si="15"/>
        <v>473662</v>
      </c>
      <c r="Q71" s="441">
        <f>SUM(Q72:Q74)</f>
        <v>473662</v>
      </c>
    </row>
    <row r="72" spans="1:17" s="26" customFormat="1" ht="15" customHeight="1">
      <c r="A72" s="67"/>
      <c r="B72" s="718"/>
      <c r="C72" s="155">
        <v>650</v>
      </c>
      <c r="D72" s="69" t="s">
        <v>187</v>
      </c>
      <c r="E72" s="267"/>
      <c r="F72" s="267"/>
      <c r="G72" s="267"/>
      <c r="H72" s="267"/>
      <c r="I72" s="284">
        <v>4585</v>
      </c>
      <c r="J72" s="368">
        <v>1644</v>
      </c>
      <c r="K72" s="69"/>
      <c r="L72" s="17"/>
      <c r="M72" s="92"/>
      <c r="N72" s="92"/>
      <c r="O72" s="324">
        <f t="shared" si="14"/>
        <v>0</v>
      </c>
      <c r="P72" s="55"/>
      <c r="Q72" s="129"/>
    </row>
    <row r="73" spans="2:17" ht="15" customHeight="1">
      <c r="B73" s="719"/>
      <c r="C73" s="170" t="s">
        <v>221</v>
      </c>
      <c r="D73" s="70" t="s">
        <v>222</v>
      </c>
      <c r="E73" s="269"/>
      <c r="F73" s="269"/>
      <c r="G73" s="269"/>
      <c r="H73" s="269"/>
      <c r="I73" s="277">
        <v>7659</v>
      </c>
      <c r="J73" s="369">
        <v>5301</v>
      </c>
      <c r="K73" s="70">
        <v>3974</v>
      </c>
      <c r="L73" s="232">
        <v>3974</v>
      </c>
      <c r="M73" s="93">
        <v>3980</v>
      </c>
      <c r="N73" s="93">
        <v>3980</v>
      </c>
      <c r="O73" s="320">
        <f t="shared" si="14"/>
        <v>1</v>
      </c>
      <c r="P73" s="19">
        <v>3980</v>
      </c>
      <c r="Q73" s="127">
        <v>3980</v>
      </c>
    </row>
    <row r="74" spans="2:17" ht="15.75" customHeight="1" thickBot="1">
      <c r="B74" s="720"/>
      <c r="C74" s="157">
        <v>640</v>
      </c>
      <c r="D74" s="71" t="s">
        <v>211</v>
      </c>
      <c r="E74" s="15"/>
      <c r="F74" s="15"/>
      <c r="G74" s="15"/>
      <c r="H74" s="15"/>
      <c r="I74" s="288">
        <v>427759</v>
      </c>
      <c r="J74" s="370">
        <v>422016</v>
      </c>
      <c r="K74" s="71">
        <v>450390</v>
      </c>
      <c r="L74" s="233">
        <v>441350</v>
      </c>
      <c r="M74" s="179">
        <v>436693</v>
      </c>
      <c r="N74" s="179">
        <v>461876</v>
      </c>
      <c r="O74" s="372">
        <f t="shared" si="14"/>
        <v>1.0576675147071284</v>
      </c>
      <c r="P74" s="20">
        <v>469682</v>
      </c>
      <c r="Q74" s="351">
        <v>469682</v>
      </c>
    </row>
    <row r="75" spans="2:17" ht="15.75" customHeight="1" hidden="1" thickBot="1">
      <c r="B75" s="487" t="s">
        <v>297</v>
      </c>
      <c r="C75" s="729" t="s">
        <v>298</v>
      </c>
      <c r="D75" s="730"/>
      <c r="E75" s="488"/>
      <c r="F75" s="488"/>
      <c r="G75" s="488"/>
      <c r="H75" s="488"/>
      <c r="I75" s="488"/>
      <c r="J75" s="489">
        <v>0</v>
      </c>
      <c r="K75" s="489">
        <v>0</v>
      </c>
      <c r="L75" s="490">
        <f>L76</f>
        <v>0</v>
      </c>
      <c r="M75" s="490">
        <f>M76</f>
        <v>0</v>
      </c>
      <c r="N75" s="490">
        <f>N76</f>
        <v>0</v>
      </c>
      <c r="O75" s="491">
        <f t="shared" si="14"/>
        <v>0</v>
      </c>
      <c r="P75" s="490">
        <f>P76</f>
        <v>0</v>
      </c>
      <c r="Q75" s="492">
        <f>Q76</f>
        <v>0</v>
      </c>
    </row>
    <row r="76" spans="2:17" ht="15.75" customHeight="1" hidden="1" thickBot="1">
      <c r="B76" s="114"/>
      <c r="C76" s="167">
        <v>630</v>
      </c>
      <c r="D76" s="115" t="s">
        <v>299</v>
      </c>
      <c r="E76" s="268"/>
      <c r="F76" s="268"/>
      <c r="G76" s="268"/>
      <c r="H76" s="268"/>
      <c r="I76" s="268"/>
      <c r="J76" s="210" t="s">
        <v>323</v>
      </c>
      <c r="K76" s="210" t="s">
        <v>323</v>
      </c>
      <c r="L76" s="63"/>
      <c r="M76" s="178"/>
      <c r="N76" s="178"/>
      <c r="O76" s="325">
        <f t="shared" si="14"/>
        <v>0</v>
      </c>
      <c r="P76" s="63"/>
      <c r="Q76" s="215"/>
    </row>
    <row r="77" spans="2:17" ht="15.75" thickBot="1">
      <c r="B77" s="479" t="s">
        <v>401</v>
      </c>
      <c r="C77" s="725" t="s">
        <v>24</v>
      </c>
      <c r="D77" s="726"/>
      <c r="E77" s="481">
        <v>11817</v>
      </c>
      <c r="F77" s="481">
        <v>11784</v>
      </c>
      <c r="G77" s="481">
        <v>12315</v>
      </c>
      <c r="H77" s="481">
        <v>20259</v>
      </c>
      <c r="I77" s="438">
        <f aca="true" t="shared" si="16" ref="I77:P77">SUM(I78:I81)</f>
        <v>14522</v>
      </c>
      <c r="J77" s="438">
        <f t="shared" si="16"/>
        <v>159820</v>
      </c>
      <c r="K77" s="438">
        <f t="shared" si="16"/>
        <v>64721</v>
      </c>
      <c r="L77" s="438">
        <f t="shared" si="16"/>
        <v>10450</v>
      </c>
      <c r="M77" s="438">
        <f t="shared" si="16"/>
        <v>10917</v>
      </c>
      <c r="N77" s="438">
        <f t="shared" si="16"/>
        <v>10917</v>
      </c>
      <c r="O77" s="439">
        <f t="shared" si="14"/>
        <v>1</v>
      </c>
      <c r="P77" s="438">
        <f t="shared" si="16"/>
        <v>10917</v>
      </c>
      <c r="Q77" s="441">
        <f>SUM(Q78:Q81)</f>
        <v>10917</v>
      </c>
    </row>
    <row r="78" spans="2:17" ht="12.75">
      <c r="B78" s="712"/>
      <c r="C78" s="152">
        <v>610</v>
      </c>
      <c r="D78" s="10" t="s">
        <v>2</v>
      </c>
      <c r="E78" s="281"/>
      <c r="F78" s="281">
        <v>7435</v>
      </c>
      <c r="G78" s="281">
        <v>7170</v>
      </c>
      <c r="H78" s="281">
        <v>13170</v>
      </c>
      <c r="I78" s="281">
        <v>9057</v>
      </c>
      <c r="J78" s="10">
        <v>7158</v>
      </c>
      <c r="K78" s="10">
        <v>7062</v>
      </c>
      <c r="L78" s="10">
        <v>6902</v>
      </c>
      <c r="M78" s="11">
        <v>6906</v>
      </c>
      <c r="N78" s="11">
        <v>6906</v>
      </c>
      <c r="O78" s="316">
        <f t="shared" si="14"/>
        <v>1</v>
      </c>
      <c r="P78" s="11">
        <v>6906</v>
      </c>
      <c r="Q78" s="124">
        <v>6906</v>
      </c>
    </row>
    <row r="79" spans="2:17" ht="12.75">
      <c r="B79" s="713"/>
      <c r="C79" s="153">
        <v>620</v>
      </c>
      <c r="D79" s="12" t="s">
        <v>3</v>
      </c>
      <c r="E79" s="282"/>
      <c r="F79" s="282">
        <v>2722</v>
      </c>
      <c r="G79" s="282">
        <v>2589</v>
      </c>
      <c r="H79" s="282">
        <v>4447</v>
      </c>
      <c r="I79" s="282">
        <v>3981</v>
      </c>
      <c r="J79" s="12">
        <v>2874</v>
      </c>
      <c r="K79" s="12">
        <v>2706</v>
      </c>
      <c r="L79" s="12">
        <v>2594</v>
      </c>
      <c r="M79" s="13">
        <v>2630</v>
      </c>
      <c r="N79" s="13">
        <v>2630</v>
      </c>
      <c r="O79" s="317">
        <f t="shared" si="14"/>
        <v>1</v>
      </c>
      <c r="P79" s="13">
        <v>2630</v>
      </c>
      <c r="Q79" s="125">
        <v>2630</v>
      </c>
    </row>
    <row r="80" spans="2:17" ht="12.75">
      <c r="B80" s="713"/>
      <c r="C80" s="153">
        <v>630</v>
      </c>
      <c r="D80" s="12" t="s">
        <v>47</v>
      </c>
      <c r="E80" s="282"/>
      <c r="F80" s="282">
        <v>1627</v>
      </c>
      <c r="G80" s="282">
        <v>2556</v>
      </c>
      <c r="H80" s="282">
        <v>2642</v>
      </c>
      <c r="I80" s="282">
        <v>1484</v>
      </c>
      <c r="J80" s="12">
        <v>1204</v>
      </c>
      <c r="K80" s="12">
        <v>1574</v>
      </c>
      <c r="L80" s="12">
        <v>954</v>
      </c>
      <c r="M80" s="13">
        <v>1381</v>
      </c>
      <c r="N80" s="13">
        <v>1381</v>
      </c>
      <c r="O80" s="317">
        <f t="shared" si="14"/>
        <v>1</v>
      </c>
      <c r="P80" s="13">
        <v>1381</v>
      </c>
      <c r="Q80" s="125">
        <v>1381</v>
      </c>
    </row>
    <row r="81" spans="2:17" ht="13.5" thickBot="1">
      <c r="B81" s="714"/>
      <c r="C81" s="154">
        <v>600</v>
      </c>
      <c r="D81" s="23" t="s">
        <v>242</v>
      </c>
      <c r="E81" s="289"/>
      <c r="F81" s="289"/>
      <c r="G81" s="289"/>
      <c r="H81" s="289"/>
      <c r="I81" s="289"/>
      <c r="J81" s="23">
        <v>148584</v>
      </c>
      <c r="K81" s="23">
        <v>53379</v>
      </c>
      <c r="L81" s="15"/>
      <c r="M81" s="15"/>
      <c r="N81" s="15"/>
      <c r="O81" s="333">
        <f t="shared" si="14"/>
        <v>0</v>
      </c>
      <c r="P81" s="15"/>
      <c r="Q81" s="131"/>
    </row>
    <row r="82" spans="2:17" ht="15.75" thickBot="1">
      <c r="B82" s="479" t="s">
        <v>124</v>
      </c>
      <c r="C82" s="725" t="s">
        <v>25</v>
      </c>
      <c r="D82" s="726"/>
      <c r="E82" s="481">
        <v>11518</v>
      </c>
      <c r="F82" s="481">
        <v>13012</v>
      </c>
      <c r="G82" s="481">
        <v>13643</v>
      </c>
      <c r="H82" s="481">
        <v>15109</v>
      </c>
      <c r="I82" s="481">
        <v>14271</v>
      </c>
      <c r="J82" s="438">
        <f aca="true" t="shared" si="17" ref="J82:P82">SUM(J83:J85)</f>
        <v>14580</v>
      </c>
      <c r="K82" s="438">
        <f t="shared" si="17"/>
        <v>13755</v>
      </c>
      <c r="L82" s="438">
        <f t="shared" si="17"/>
        <v>12987</v>
      </c>
      <c r="M82" s="438">
        <f t="shared" si="17"/>
        <v>13017</v>
      </c>
      <c r="N82" s="438">
        <f t="shared" si="17"/>
        <v>13017</v>
      </c>
      <c r="O82" s="439">
        <f t="shared" si="14"/>
        <v>1</v>
      </c>
      <c r="P82" s="438">
        <f t="shared" si="17"/>
        <v>13017</v>
      </c>
      <c r="Q82" s="441">
        <f>SUM(Q83:Q85)</f>
        <v>13017</v>
      </c>
    </row>
    <row r="83" spans="2:17" ht="12.75">
      <c r="B83" s="712"/>
      <c r="C83" s="152">
        <v>610</v>
      </c>
      <c r="D83" s="10" t="s">
        <v>2</v>
      </c>
      <c r="E83" s="281"/>
      <c r="F83" s="281">
        <v>8099</v>
      </c>
      <c r="G83" s="281">
        <v>8597</v>
      </c>
      <c r="H83" s="281">
        <v>9417</v>
      </c>
      <c r="I83" s="281">
        <v>9528</v>
      </c>
      <c r="J83" s="10">
        <v>9523</v>
      </c>
      <c r="K83" s="10">
        <v>8900</v>
      </c>
      <c r="L83" s="10">
        <v>8730</v>
      </c>
      <c r="M83" s="11">
        <v>8730</v>
      </c>
      <c r="N83" s="88">
        <v>8730</v>
      </c>
      <c r="O83" s="316">
        <f t="shared" si="14"/>
        <v>1</v>
      </c>
      <c r="P83" s="11">
        <v>8730</v>
      </c>
      <c r="Q83" s="124">
        <v>8730</v>
      </c>
    </row>
    <row r="84" spans="2:17" ht="12.75">
      <c r="B84" s="713"/>
      <c r="C84" s="153">
        <v>620</v>
      </c>
      <c r="D84" s="12" t="s">
        <v>3</v>
      </c>
      <c r="E84" s="282"/>
      <c r="F84" s="282">
        <v>2855</v>
      </c>
      <c r="G84" s="282">
        <v>3220</v>
      </c>
      <c r="H84" s="282">
        <v>3567</v>
      </c>
      <c r="I84" s="282">
        <v>3607</v>
      </c>
      <c r="J84" s="12">
        <v>3617</v>
      </c>
      <c r="K84" s="12">
        <v>3393</v>
      </c>
      <c r="L84" s="12">
        <v>3330</v>
      </c>
      <c r="M84" s="13">
        <v>3303</v>
      </c>
      <c r="N84" s="89">
        <v>3303</v>
      </c>
      <c r="O84" s="317">
        <f t="shared" si="14"/>
        <v>1</v>
      </c>
      <c r="P84" s="13">
        <v>3303</v>
      </c>
      <c r="Q84" s="125">
        <v>3303</v>
      </c>
    </row>
    <row r="85" spans="2:17" ht="13.5" thickBot="1">
      <c r="B85" s="714"/>
      <c r="C85" s="154">
        <v>630</v>
      </c>
      <c r="D85" s="14" t="s">
        <v>47</v>
      </c>
      <c r="E85" s="288"/>
      <c r="F85" s="288">
        <v>2058</v>
      </c>
      <c r="G85" s="288">
        <v>1826</v>
      </c>
      <c r="H85" s="288">
        <v>2125</v>
      </c>
      <c r="I85" s="288">
        <v>1136</v>
      </c>
      <c r="J85" s="14">
        <v>1440</v>
      </c>
      <c r="K85" s="14">
        <v>1462</v>
      </c>
      <c r="L85" s="24">
        <v>927</v>
      </c>
      <c r="M85" s="25">
        <v>984</v>
      </c>
      <c r="N85" s="25">
        <v>984</v>
      </c>
      <c r="O85" s="334">
        <f t="shared" si="14"/>
        <v>1</v>
      </c>
      <c r="P85" s="25">
        <v>984</v>
      </c>
      <c r="Q85" s="135">
        <v>984</v>
      </c>
    </row>
    <row r="86" spans="2:17" ht="15.75" thickBot="1">
      <c r="B86" s="479" t="s">
        <v>141</v>
      </c>
      <c r="C86" s="734" t="s">
        <v>142</v>
      </c>
      <c r="D86" s="681"/>
      <c r="E86" s="481">
        <v>0</v>
      </c>
      <c r="F86" s="481">
        <v>221337</v>
      </c>
      <c r="G86" s="481">
        <v>136394</v>
      </c>
      <c r="H86" s="481">
        <v>214824</v>
      </c>
      <c r="I86" s="481">
        <v>646088</v>
      </c>
      <c r="J86" s="433">
        <f>SUM(J92:J104)</f>
        <v>207228</v>
      </c>
      <c r="K86" s="433">
        <f>SUM(K92:K104)</f>
        <v>355838</v>
      </c>
      <c r="L86" s="433">
        <f>SUM(L92:L104)</f>
        <v>219663</v>
      </c>
      <c r="M86" s="433">
        <f>SUM(M87:M104)</f>
        <v>482325</v>
      </c>
      <c r="N86" s="433">
        <f>SUM(N87:N104)</f>
        <v>207007</v>
      </c>
      <c r="O86" s="434">
        <f t="shared" si="14"/>
        <v>0.4291857150261753</v>
      </c>
      <c r="P86" s="433">
        <f>SUM(P92:P104)</f>
        <v>215402</v>
      </c>
      <c r="Q86" s="435">
        <f>SUM(Q92:Q104)</f>
        <v>215402</v>
      </c>
    </row>
    <row r="87" spans="2:17" ht="15">
      <c r="B87" s="718"/>
      <c r="C87" s="152">
        <v>630</v>
      </c>
      <c r="D87" s="10" t="s">
        <v>232</v>
      </c>
      <c r="E87" s="312"/>
      <c r="F87" s="312"/>
      <c r="G87" s="312"/>
      <c r="H87" s="312"/>
      <c r="I87" s="312"/>
      <c r="J87" s="250"/>
      <c r="K87" s="250"/>
      <c r="L87" s="250"/>
      <c r="M87" s="86">
        <v>164829</v>
      </c>
      <c r="N87" s="86">
        <v>7500</v>
      </c>
      <c r="O87" s="319">
        <f t="shared" si="14"/>
        <v>0.04550170176364596</v>
      </c>
      <c r="P87" s="250"/>
      <c r="Q87" s="251"/>
    </row>
    <row r="88" spans="2:17" ht="15">
      <c r="B88" s="719"/>
      <c r="C88" s="153">
        <v>630</v>
      </c>
      <c r="D88" s="24" t="s">
        <v>350</v>
      </c>
      <c r="E88" s="313"/>
      <c r="F88" s="313"/>
      <c r="G88" s="313"/>
      <c r="H88" s="313"/>
      <c r="I88" s="313"/>
      <c r="J88" s="256"/>
      <c r="K88" s="256"/>
      <c r="L88" s="256"/>
      <c r="M88" s="92">
        <v>9697</v>
      </c>
      <c r="N88" s="314"/>
      <c r="O88" s="324">
        <f t="shared" si="14"/>
        <v>0</v>
      </c>
      <c r="P88" s="256"/>
      <c r="Q88" s="257"/>
    </row>
    <row r="89" spans="2:17" ht="15">
      <c r="B89" s="719"/>
      <c r="C89" s="153">
        <v>630</v>
      </c>
      <c r="D89" s="24" t="s">
        <v>351</v>
      </c>
      <c r="E89" s="313"/>
      <c r="F89" s="313"/>
      <c r="G89" s="313"/>
      <c r="H89" s="313"/>
      <c r="I89" s="313"/>
      <c r="J89" s="256"/>
      <c r="K89" s="256"/>
      <c r="L89" s="256"/>
      <c r="M89" s="92">
        <v>9873</v>
      </c>
      <c r="N89" s="314"/>
      <c r="O89" s="324">
        <f t="shared" si="14"/>
        <v>0</v>
      </c>
      <c r="P89" s="256"/>
      <c r="Q89" s="257"/>
    </row>
    <row r="90" spans="2:17" ht="15">
      <c r="B90" s="719"/>
      <c r="C90" s="153">
        <v>630</v>
      </c>
      <c r="D90" s="24" t="s">
        <v>352</v>
      </c>
      <c r="E90" s="313"/>
      <c r="F90" s="313"/>
      <c r="G90" s="313"/>
      <c r="H90" s="313"/>
      <c r="I90" s="313"/>
      <c r="J90" s="256"/>
      <c r="K90" s="256"/>
      <c r="L90" s="256"/>
      <c r="M90" s="92">
        <v>11550</v>
      </c>
      <c r="N90" s="314"/>
      <c r="O90" s="324">
        <f t="shared" si="14"/>
        <v>0</v>
      </c>
      <c r="P90" s="256"/>
      <c r="Q90" s="257"/>
    </row>
    <row r="91" spans="2:17" ht="15">
      <c r="B91" s="719"/>
      <c r="C91" s="153">
        <v>630</v>
      </c>
      <c r="D91" s="12" t="s">
        <v>353</v>
      </c>
      <c r="E91" s="313"/>
      <c r="F91" s="313"/>
      <c r="G91" s="313"/>
      <c r="H91" s="313"/>
      <c r="I91" s="313"/>
      <c r="J91" s="256"/>
      <c r="K91" s="256"/>
      <c r="L91" s="256"/>
      <c r="M91" s="92">
        <v>12448</v>
      </c>
      <c r="N91" s="314"/>
      <c r="O91" s="324">
        <f t="shared" si="14"/>
        <v>0</v>
      </c>
      <c r="P91" s="256"/>
      <c r="Q91" s="257"/>
    </row>
    <row r="92" spans="2:17" ht="12.75">
      <c r="B92" s="719"/>
      <c r="C92" s="176">
        <v>630</v>
      </c>
      <c r="D92" s="30" t="s">
        <v>232</v>
      </c>
      <c r="E92" s="29"/>
      <c r="F92" s="29"/>
      <c r="G92" s="29"/>
      <c r="H92" s="29"/>
      <c r="I92" s="29"/>
      <c r="J92" s="30">
        <v>50567</v>
      </c>
      <c r="K92" s="30">
        <v>116166</v>
      </c>
      <c r="L92" s="29"/>
      <c r="M92" s="96"/>
      <c r="N92" s="96"/>
      <c r="O92" s="335">
        <f t="shared" si="14"/>
        <v>0</v>
      </c>
      <c r="P92" s="29"/>
      <c r="Q92" s="133"/>
    </row>
    <row r="93" spans="2:17" ht="12.75">
      <c r="B93" s="719"/>
      <c r="C93" s="163">
        <v>630</v>
      </c>
      <c r="D93" s="24" t="s">
        <v>266</v>
      </c>
      <c r="E93" s="25"/>
      <c r="F93" s="25"/>
      <c r="G93" s="25"/>
      <c r="H93" s="25"/>
      <c r="I93" s="25"/>
      <c r="J93" s="24"/>
      <c r="K93" s="24">
        <v>19980</v>
      </c>
      <c r="L93" s="13"/>
      <c r="M93" s="89">
        <v>47516</v>
      </c>
      <c r="N93" s="89"/>
      <c r="O93" s="317">
        <f t="shared" si="14"/>
        <v>0</v>
      </c>
      <c r="P93" s="13"/>
      <c r="Q93" s="125"/>
    </row>
    <row r="94" spans="2:17" ht="12.75">
      <c r="B94" s="719"/>
      <c r="C94" s="163">
        <v>630</v>
      </c>
      <c r="D94" s="24" t="s">
        <v>413</v>
      </c>
      <c r="E94" s="25"/>
      <c r="F94" s="25"/>
      <c r="G94" s="25"/>
      <c r="H94" s="25"/>
      <c r="I94" s="25"/>
      <c r="J94" s="24"/>
      <c r="K94" s="24"/>
      <c r="L94" s="13"/>
      <c r="M94" s="89">
        <v>41848</v>
      </c>
      <c r="N94" s="89"/>
      <c r="O94" s="317">
        <f t="shared" si="14"/>
        <v>0</v>
      </c>
      <c r="P94" s="13"/>
      <c r="Q94" s="125"/>
    </row>
    <row r="95" spans="2:17" ht="12.75" hidden="1">
      <c r="B95" s="719"/>
      <c r="C95" s="163"/>
      <c r="D95" s="24"/>
      <c r="E95" s="25"/>
      <c r="F95" s="25"/>
      <c r="G95" s="25"/>
      <c r="H95" s="25"/>
      <c r="I95" s="25"/>
      <c r="J95" s="24"/>
      <c r="K95" s="24"/>
      <c r="L95" s="13"/>
      <c r="M95" s="89"/>
      <c r="N95" s="89"/>
      <c r="O95" s="317">
        <f t="shared" si="14"/>
        <v>0</v>
      </c>
      <c r="P95" s="13"/>
      <c r="Q95" s="125"/>
    </row>
    <row r="96" spans="2:17" ht="12.75">
      <c r="B96" s="719"/>
      <c r="C96" s="163">
        <v>630</v>
      </c>
      <c r="D96" s="12" t="s">
        <v>269</v>
      </c>
      <c r="E96" s="13"/>
      <c r="F96" s="13"/>
      <c r="G96" s="13"/>
      <c r="H96" s="13"/>
      <c r="I96" s="13"/>
      <c r="J96" s="12">
        <v>4496</v>
      </c>
      <c r="K96" s="12">
        <v>46200</v>
      </c>
      <c r="L96" s="13"/>
      <c r="M96" s="89"/>
      <c r="N96" s="89"/>
      <c r="O96" s="317">
        <f t="shared" si="14"/>
        <v>0</v>
      </c>
      <c r="P96" s="13"/>
      <c r="Q96" s="125"/>
    </row>
    <row r="97" spans="2:17" ht="12.75" customHeight="1">
      <c r="B97" s="719"/>
      <c r="C97" s="163">
        <v>630</v>
      </c>
      <c r="D97" s="12" t="s">
        <v>245</v>
      </c>
      <c r="E97" s="13"/>
      <c r="F97" s="13"/>
      <c r="G97" s="13"/>
      <c r="H97" s="13"/>
      <c r="I97" s="13"/>
      <c r="J97" s="12">
        <v>800</v>
      </c>
      <c r="K97" s="12"/>
      <c r="L97" s="13"/>
      <c r="M97" s="89"/>
      <c r="N97" s="89"/>
      <c r="O97" s="317">
        <f t="shared" si="14"/>
        <v>0</v>
      </c>
      <c r="P97" s="13"/>
      <c r="Q97" s="125"/>
    </row>
    <row r="98" spans="2:17" ht="12.75">
      <c r="B98" s="719"/>
      <c r="C98" s="163">
        <v>630</v>
      </c>
      <c r="D98" s="12" t="s">
        <v>220</v>
      </c>
      <c r="E98" s="13"/>
      <c r="F98" s="13"/>
      <c r="G98" s="13"/>
      <c r="H98" s="13"/>
      <c r="I98" s="13"/>
      <c r="J98" s="12">
        <v>2124</v>
      </c>
      <c r="K98" s="12">
        <v>1200</v>
      </c>
      <c r="L98" s="89">
        <f>25728+5970+25054</f>
        <v>56752</v>
      </c>
      <c r="M98" s="89"/>
      <c r="N98" s="89"/>
      <c r="O98" s="317">
        <f t="shared" si="14"/>
        <v>0</v>
      </c>
      <c r="P98" s="13"/>
      <c r="Q98" s="125"/>
    </row>
    <row r="99" spans="2:17" ht="12.75">
      <c r="B99" s="719"/>
      <c r="C99" s="163">
        <v>630</v>
      </c>
      <c r="D99" s="12" t="s">
        <v>324</v>
      </c>
      <c r="E99" s="13"/>
      <c r="F99" s="13"/>
      <c r="G99" s="13"/>
      <c r="H99" s="13"/>
      <c r="I99" s="13"/>
      <c r="J99" s="12"/>
      <c r="K99" s="12">
        <v>22691</v>
      </c>
      <c r="L99" s="89">
        <v>859</v>
      </c>
      <c r="M99" s="89"/>
      <c r="N99" s="89"/>
      <c r="O99" s="317">
        <f t="shared" si="14"/>
        <v>0</v>
      </c>
      <c r="P99" s="13"/>
      <c r="Q99" s="125"/>
    </row>
    <row r="100" spans="2:17" ht="13.5" customHeight="1">
      <c r="B100" s="719"/>
      <c r="C100" s="163">
        <v>630</v>
      </c>
      <c r="D100" s="12" t="s">
        <v>219</v>
      </c>
      <c r="E100" s="13"/>
      <c r="F100" s="13"/>
      <c r="G100" s="13"/>
      <c r="H100" s="13"/>
      <c r="I100" s="13"/>
      <c r="J100" s="12">
        <v>4435</v>
      </c>
      <c r="K100" s="12"/>
      <c r="L100" s="13">
        <v>0</v>
      </c>
      <c r="M100" s="89">
        <v>8000</v>
      </c>
      <c r="N100" s="89">
        <v>8000</v>
      </c>
      <c r="O100" s="317">
        <f t="shared" si="14"/>
        <v>1</v>
      </c>
      <c r="P100" s="13">
        <v>8000</v>
      </c>
      <c r="Q100" s="125">
        <v>8000</v>
      </c>
    </row>
    <row r="101" spans="2:17" ht="13.5" customHeight="1">
      <c r="B101" s="719"/>
      <c r="C101" s="163">
        <v>630</v>
      </c>
      <c r="D101" s="24" t="s">
        <v>419</v>
      </c>
      <c r="E101" s="25"/>
      <c r="F101" s="25"/>
      <c r="G101" s="25"/>
      <c r="H101" s="25"/>
      <c r="I101" s="25"/>
      <c r="J101" s="24"/>
      <c r="K101" s="24"/>
      <c r="L101" s="25"/>
      <c r="M101" s="91"/>
      <c r="N101" s="91">
        <v>8000</v>
      </c>
      <c r="O101" s="317">
        <f t="shared" si="14"/>
        <v>0</v>
      </c>
      <c r="P101" s="25"/>
      <c r="Q101" s="135"/>
    </row>
    <row r="102" spans="2:17" ht="13.5" customHeight="1">
      <c r="B102" s="719"/>
      <c r="C102" s="163">
        <v>630</v>
      </c>
      <c r="D102" s="24" t="s">
        <v>304</v>
      </c>
      <c r="E102" s="25"/>
      <c r="F102" s="25"/>
      <c r="G102" s="25"/>
      <c r="H102" s="25"/>
      <c r="I102" s="25"/>
      <c r="J102" s="24">
        <v>931</v>
      </c>
      <c r="K102" s="24">
        <v>0</v>
      </c>
      <c r="L102" s="25"/>
      <c r="M102" s="25"/>
      <c r="N102" s="25"/>
      <c r="O102" s="334">
        <f t="shared" si="14"/>
        <v>0</v>
      </c>
      <c r="P102" s="25"/>
      <c r="Q102" s="135"/>
    </row>
    <row r="103" spans="2:17" ht="12.75">
      <c r="B103" s="719"/>
      <c r="C103" s="163">
        <v>630</v>
      </c>
      <c r="D103" s="24" t="s">
        <v>225</v>
      </c>
      <c r="E103" s="25"/>
      <c r="F103" s="25"/>
      <c r="G103" s="25"/>
      <c r="H103" s="25"/>
      <c r="I103" s="25"/>
      <c r="J103" s="12">
        <v>10805</v>
      </c>
      <c r="K103" s="12">
        <v>3148</v>
      </c>
      <c r="L103" s="25">
        <f>2890+1395+2974+8613+1646</f>
        <v>17518</v>
      </c>
      <c r="M103" s="91">
        <v>32030</v>
      </c>
      <c r="N103" s="91">
        <v>32030</v>
      </c>
      <c r="O103" s="334">
        <f t="shared" si="14"/>
        <v>1</v>
      </c>
      <c r="P103" s="25">
        <v>32030</v>
      </c>
      <c r="Q103" s="135">
        <v>32030</v>
      </c>
    </row>
    <row r="104" spans="2:17" ht="13.5" thickBot="1">
      <c r="B104" s="720"/>
      <c r="C104" s="154">
        <v>640</v>
      </c>
      <c r="D104" s="14" t="s">
        <v>143</v>
      </c>
      <c r="E104" s="15"/>
      <c r="F104" s="15">
        <v>217951</v>
      </c>
      <c r="G104" s="15">
        <v>132776</v>
      </c>
      <c r="H104" s="15">
        <v>141830</v>
      </c>
      <c r="I104" s="15">
        <v>137000</v>
      </c>
      <c r="J104" s="14">
        <v>133070</v>
      </c>
      <c r="K104" s="14">
        <v>146453</v>
      </c>
      <c r="L104" s="15">
        <v>144534</v>
      </c>
      <c r="M104" s="15">
        <v>144534</v>
      </c>
      <c r="N104" s="15">
        <v>151477</v>
      </c>
      <c r="O104" s="333">
        <f t="shared" si="14"/>
        <v>1.048037140050092</v>
      </c>
      <c r="P104" s="15">
        <v>175372</v>
      </c>
      <c r="Q104" s="131">
        <v>175372</v>
      </c>
    </row>
    <row r="105" spans="2:17" ht="15.75" thickBot="1">
      <c r="B105" s="475" t="s">
        <v>402</v>
      </c>
      <c r="C105" s="619" t="s">
        <v>26</v>
      </c>
      <c r="D105" s="687"/>
      <c r="E105" s="433">
        <f>E106</f>
        <v>10589</v>
      </c>
      <c r="F105" s="433">
        <f>F106</f>
        <v>11917</v>
      </c>
      <c r="G105" s="433">
        <f>G106</f>
        <v>11883</v>
      </c>
      <c r="H105" s="433">
        <f>H106</f>
        <v>4189</v>
      </c>
      <c r="I105" s="433">
        <v>5005</v>
      </c>
      <c r="J105" s="433">
        <f aca="true" t="shared" si="18" ref="J105:Q105">J106</f>
        <v>5041</v>
      </c>
      <c r="K105" s="433">
        <f t="shared" si="18"/>
        <v>5609</v>
      </c>
      <c r="L105" s="433">
        <f t="shared" si="18"/>
        <v>6003</v>
      </c>
      <c r="M105" s="433">
        <f t="shared" si="18"/>
        <v>6000</v>
      </c>
      <c r="N105" s="433">
        <f t="shared" si="18"/>
        <v>0</v>
      </c>
      <c r="O105" s="434">
        <f t="shared" si="14"/>
        <v>0</v>
      </c>
      <c r="P105" s="433">
        <f t="shared" si="18"/>
        <v>0</v>
      </c>
      <c r="Q105" s="435">
        <f t="shared" si="18"/>
        <v>0</v>
      </c>
    </row>
    <row r="106" spans="2:17" ht="13.5" thickBot="1">
      <c r="B106" s="50"/>
      <c r="C106" s="171"/>
      <c r="D106" s="5" t="s">
        <v>215</v>
      </c>
      <c r="E106" s="6">
        <v>10589</v>
      </c>
      <c r="F106" s="6">
        <v>11917</v>
      </c>
      <c r="G106" s="6">
        <v>11883</v>
      </c>
      <c r="H106" s="6">
        <v>4189</v>
      </c>
      <c r="I106" s="6">
        <v>5005</v>
      </c>
      <c r="J106" s="5">
        <v>5041</v>
      </c>
      <c r="K106" s="5">
        <v>5609</v>
      </c>
      <c r="L106" s="234">
        <v>6003</v>
      </c>
      <c r="M106" s="90">
        <v>6000</v>
      </c>
      <c r="N106" s="90"/>
      <c r="O106" s="323">
        <f t="shared" si="14"/>
        <v>0</v>
      </c>
      <c r="P106" s="6"/>
      <c r="Q106" s="128"/>
    </row>
    <row r="107" spans="2:17" ht="15.75" thickBot="1">
      <c r="B107" s="479" t="s">
        <v>126</v>
      </c>
      <c r="C107" s="734" t="s">
        <v>127</v>
      </c>
      <c r="D107" s="681"/>
      <c r="E107" s="438">
        <f>E108</f>
        <v>0</v>
      </c>
      <c r="F107" s="438">
        <f>F108</f>
        <v>122817</v>
      </c>
      <c r="G107" s="438">
        <f>G108</f>
        <v>236905</v>
      </c>
      <c r="H107" s="438">
        <f>H108</f>
        <v>210760</v>
      </c>
      <c r="I107" s="438">
        <v>216000</v>
      </c>
      <c r="J107" s="438">
        <f aca="true" t="shared" si="19" ref="J107:Q107">J108</f>
        <v>173560</v>
      </c>
      <c r="K107" s="438">
        <f t="shared" si="19"/>
        <v>168880</v>
      </c>
      <c r="L107" s="438">
        <f t="shared" si="19"/>
        <v>168880</v>
      </c>
      <c r="M107" s="438">
        <f t="shared" si="19"/>
        <v>166668</v>
      </c>
      <c r="N107" s="438">
        <f t="shared" si="19"/>
        <v>170364</v>
      </c>
      <c r="O107" s="439">
        <f t="shared" si="14"/>
        <v>1.0221758225934192</v>
      </c>
      <c r="P107" s="438">
        <f t="shared" si="19"/>
        <v>179164</v>
      </c>
      <c r="Q107" s="441">
        <f t="shared" si="19"/>
        <v>179165</v>
      </c>
    </row>
    <row r="108" spans="2:17" ht="13.5" thickBot="1">
      <c r="B108" s="50"/>
      <c r="C108" s="171">
        <v>640</v>
      </c>
      <c r="D108" s="5" t="s">
        <v>144</v>
      </c>
      <c r="E108" s="6"/>
      <c r="F108" s="6">
        <v>122817</v>
      </c>
      <c r="G108" s="6">
        <v>236905</v>
      </c>
      <c r="H108" s="6">
        <v>210760</v>
      </c>
      <c r="I108" s="6">
        <v>216000</v>
      </c>
      <c r="J108" s="5">
        <v>173560</v>
      </c>
      <c r="K108" s="5">
        <v>168880</v>
      </c>
      <c r="L108" s="234">
        <v>168880</v>
      </c>
      <c r="M108" s="90">
        <v>166668</v>
      </c>
      <c r="N108" s="90">
        <v>170364</v>
      </c>
      <c r="O108" s="323">
        <f t="shared" si="14"/>
        <v>1.0221758225934192</v>
      </c>
      <c r="P108" s="6">
        <v>179164</v>
      </c>
      <c r="Q108" s="128">
        <v>179165</v>
      </c>
    </row>
    <row r="109" spans="2:17" ht="15.75" thickBot="1">
      <c r="B109" s="479" t="s">
        <v>128</v>
      </c>
      <c r="C109" s="734" t="s">
        <v>129</v>
      </c>
      <c r="D109" s="681"/>
      <c r="E109" s="438">
        <v>0</v>
      </c>
      <c r="F109" s="438">
        <v>56430</v>
      </c>
      <c r="G109" s="438">
        <v>359789</v>
      </c>
      <c r="H109" s="438">
        <v>312928</v>
      </c>
      <c r="I109" s="438">
        <v>336361</v>
      </c>
      <c r="J109" s="438">
        <f aca="true" t="shared" si="20" ref="J109:P109">SUM(J110:J114)</f>
        <v>283963</v>
      </c>
      <c r="K109" s="438">
        <f t="shared" si="20"/>
        <v>347786</v>
      </c>
      <c r="L109" s="438">
        <f>SUM(L110:L114)</f>
        <v>268221</v>
      </c>
      <c r="M109" s="438">
        <f t="shared" si="20"/>
        <v>309829</v>
      </c>
      <c r="N109" s="438">
        <f t="shared" si="20"/>
        <v>312916</v>
      </c>
      <c r="O109" s="439">
        <f t="shared" si="14"/>
        <v>1.0099635605446875</v>
      </c>
      <c r="P109" s="438">
        <f t="shared" si="20"/>
        <v>350047</v>
      </c>
      <c r="Q109" s="441">
        <f>SUM(Q110:Q114)</f>
        <v>350047</v>
      </c>
    </row>
    <row r="110" spans="2:17" ht="12.75">
      <c r="B110" s="718"/>
      <c r="C110" s="152">
        <v>610</v>
      </c>
      <c r="D110" s="10" t="s">
        <v>2</v>
      </c>
      <c r="E110" s="11"/>
      <c r="F110" s="11"/>
      <c r="G110" s="11"/>
      <c r="H110" s="11"/>
      <c r="I110" s="11"/>
      <c r="J110" s="10">
        <v>264635</v>
      </c>
      <c r="K110" s="10">
        <v>24997</v>
      </c>
      <c r="L110" s="10">
        <v>24062</v>
      </c>
      <c r="M110" s="17">
        <v>24120</v>
      </c>
      <c r="N110" s="86">
        <v>26532</v>
      </c>
      <c r="O110" s="319">
        <f t="shared" si="14"/>
        <v>1.1</v>
      </c>
      <c r="P110" s="17">
        <v>26532</v>
      </c>
      <c r="Q110" s="126">
        <v>26532</v>
      </c>
    </row>
    <row r="111" spans="2:17" ht="12.75">
      <c r="B111" s="719"/>
      <c r="C111" s="153">
        <v>620</v>
      </c>
      <c r="D111" s="12" t="s">
        <v>3</v>
      </c>
      <c r="E111" s="13"/>
      <c r="F111" s="13"/>
      <c r="G111" s="13"/>
      <c r="H111" s="13"/>
      <c r="I111" s="13"/>
      <c r="J111" s="12"/>
      <c r="K111" s="12">
        <v>9316</v>
      </c>
      <c r="L111" s="12">
        <v>8959</v>
      </c>
      <c r="M111" s="19">
        <v>8860</v>
      </c>
      <c r="N111" s="93">
        <v>9746</v>
      </c>
      <c r="O111" s="320">
        <f t="shared" si="14"/>
        <v>1.1</v>
      </c>
      <c r="P111" s="19">
        <v>9746</v>
      </c>
      <c r="Q111" s="127">
        <v>9746</v>
      </c>
    </row>
    <row r="112" spans="2:17" ht="12.75">
      <c r="B112" s="719"/>
      <c r="C112" s="153">
        <v>630</v>
      </c>
      <c r="D112" s="12" t="s">
        <v>47</v>
      </c>
      <c r="E112" s="13"/>
      <c r="F112" s="13"/>
      <c r="G112" s="13"/>
      <c r="H112" s="13"/>
      <c r="I112" s="13"/>
      <c r="J112" s="12"/>
      <c r="K112" s="12">
        <v>291329</v>
      </c>
      <c r="L112" s="12">
        <f>212898</f>
        <v>212898</v>
      </c>
      <c r="M112" s="19">
        <v>249705</v>
      </c>
      <c r="N112" s="93">
        <f>290277-35000</f>
        <v>255277</v>
      </c>
      <c r="O112" s="320">
        <f t="shared" si="14"/>
        <v>1.0223143309104743</v>
      </c>
      <c r="P112" s="19">
        <v>290277</v>
      </c>
      <c r="Q112" s="127">
        <v>290277</v>
      </c>
    </row>
    <row r="113" spans="2:17" ht="12.75" hidden="1">
      <c r="B113" s="719"/>
      <c r="C113" s="184"/>
      <c r="D113" s="12"/>
      <c r="E113" s="13"/>
      <c r="F113" s="13"/>
      <c r="G113" s="13"/>
      <c r="H113" s="13"/>
      <c r="I113" s="13"/>
      <c r="J113" s="12"/>
      <c r="K113" s="12"/>
      <c r="L113" s="225">
        <v>158</v>
      </c>
      <c r="M113" s="93"/>
      <c r="N113" s="93"/>
      <c r="O113" s="320">
        <f t="shared" si="14"/>
        <v>0</v>
      </c>
      <c r="P113" s="19"/>
      <c r="Q113" s="127"/>
    </row>
    <row r="114" spans="2:17" ht="13.5" thickBot="1">
      <c r="B114" s="720"/>
      <c r="C114" s="158">
        <v>640</v>
      </c>
      <c r="D114" s="65" t="s">
        <v>144</v>
      </c>
      <c r="E114" s="64"/>
      <c r="F114" s="64">
        <v>56430</v>
      </c>
      <c r="G114" s="64">
        <v>66388</v>
      </c>
      <c r="H114" s="64">
        <v>33070</v>
      </c>
      <c r="I114" s="64">
        <v>34000</v>
      </c>
      <c r="J114" s="65">
        <v>19328</v>
      </c>
      <c r="K114" s="65">
        <v>22144</v>
      </c>
      <c r="L114" s="235">
        <v>22144</v>
      </c>
      <c r="M114" s="180">
        <v>27144</v>
      </c>
      <c r="N114" s="180">
        <v>21361</v>
      </c>
      <c r="O114" s="318">
        <f t="shared" si="14"/>
        <v>0.7869510757441792</v>
      </c>
      <c r="P114" s="64">
        <v>23492</v>
      </c>
      <c r="Q114" s="219">
        <v>23492</v>
      </c>
    </row>
    <row r="115" spans="2:17" ht="15.75" thickBot="1">
      <c r="B115" s="479" t="s">
        <v>130</v>
      </c>
      <c r="C115" s="734" t="s">
        <v>197</v>
      </c>
      <c r="D115" s="681"/>
      <c r="E115" s="438">
        <f>SUM(E116:E118)</f>
        <v>398161</v>
      </c>
      <c r="F115" s="438">
        <f>SUM(F116:F118)</f>
        <v>245269</v>
      </c>
      <c r="G115" s="438">
        <f>SUM(G116:G118)</f>
        <v>266050</v>
      </c>
      <c r="H115" s="438">
        <f>SUM(H116:H118)</f>
        <v>237941</v>
      </c>
      <c r="I115" s="438">
        <f>SUM(I116:I118)</f>
        <v>273708</v>
      </c>
      <c r="J115" s="438">
        <f aca="true" t="shared" si="21" ref="J115:P115">SUM(J116:J118)</f>
        <v>262675</v>
      </c>
      <c r="K115" s="438">
        <f t="shared" si="21"/>
        <v>162661</v>
      </c>
      <c r="L115" s="438">
        <f t="shared" si="21"/>
        <v>165913</v>
      </c>
      <c r="M115" s="438">
        <f t="shared" si="21"/>
        <v>170713</v>
      </c>
      <c r="N115" s="438">
        <f t="shared" si="21"/>
        <v>164838</v>
      </c>
      <c r="O115" s="439">
        <f t="shared" si="14"/>
        <v>0.9655855148699864</v>
      </c>
      <c r="P115" s="438">
        <f t="shared" si="21"/>
        <v>210434</v>
      </c>
      <c r="Q115" s="441">
        <f>SUM(Q116:Q118)</f>
        <v>210434</v>
      </c>
    </row>
    <row r="116" spans="2:17" ht="12.75">
      <c r="B116" s="712"/>
      <c r="C116" s="172"/>
      <c r="D116" s="10" t="s">
        <v>249</v>
      </c>
      <c r="E116" s="11">
        <v>373863</v>
      </c>
      <c r="F116" s="11">
        <v>211312</v>
      </c>
      <c r="G116" s="11">
        <v>220574</v>
      </c>
      <c r="H116" s="11">
        <v>190734</v>
      </c>
      <c r="I116" s="11">
        <v>216608</v>
      </c>
      <c r="J116" s="10">
        <v>202225</v>
      </c>
      <c r="K116" s="10">
        <v>118262</v>
      </c>
      <c r="L116" s="236">
        <v>116713</v>
      </c>
      <c r="M116" s="96">
        <v>116713</v>
      </c>
      <c r="N116" s="96">
        <v>121838</v>
      </c>
      <c r="O116" s="335">
        <f t="shared" si="14"/>
        <v>1.0439111324359753</v>
      </c>
      <c r="P116" s="29">
        <v>125464</v>
      </c>
      <c r="Q116" s="133">
        <v>125464</v>
      </c>
    </row>
    <row r="117" spans="2:17" ht="12.75">
      <c r="B117" s="713"/>
      <c r="C117" s="373"/>
      <c r="D117" s="8" t="s">
        <v>345</v>
      </c>
      <c r="E117" s="105"/>
      <c r="F117" s="105"/>
      <c r="G117" s="105"/>
      <c r="H117" s="105"/>
      <c r="I117" s="105"/>
      <c r="J117" s="8"/>
      <c r="K117" s="8"/>
      <c r="L117" s="374"/>
      <c r="M117" s="106"/>
      <c r="N117" s="106"/>
      <c r="O117" s="322">
        <f t="shared" si="14"/>
        <v>0</v>
      </c>
      <c r="P117" s="105">
        <v>39970</v>
      </c>
      <c r="Q117" s="183">
        <v>39970</v>
      </c>
    </row>
    <row r="118" spans="2:17" ht="13.5" thickBot="1">
      <c r="B118" s="714"/>
      <c r="C118" s="224"/>
      <c r="D118" s="14" t="s">
        <v>206</v>
      </c>
      <c r="E118" s="15">
        <v>24298</v>
      </c>
      <c r="F118" s="15">
        <v>33957</v>
      </c>
      <c r="G118" s="15">
        <v>45476</v>
      </c>
      <c r="H118" s="15">
        <v>47207</v>
      </c>
      <c r="I118" s="15">
        <v>57100</v>
      </c>
      <c r="J118" s="14">
        <v>60450</v>
      </c>
      <c r="K118" s="14">
        <v>44399</v>
      </c>
      <c r="L118" s="15">
        <v>49200</v>
      </c>
      <c r="M118" s="91">
        <v>54000</v>
      </c>
      <c r="N118" s="91">
        <v>43000</v>
      </c>
      <c r="O118" s="334">
        <f t="shared" si="14"/>
        <v>0.7962962962962963</v>
      </c>
      <c r="P118" s="25">
        <v>45000</v>
      </c>
      <c r="Q118" s="135">
        <v>45000</v>
      </c>
    </row>
    <row r="119" spans="2:17" ht="15.75" thickBot="1">
      <c r="B119" s="475" t="s">
        <v>403</v>
      </c>
      <c r="C119" s="619" t="s">
        <v>27</v>
      </c>
      <c r="D119" s="687"/>
      <c r="E119" s="433">
        <v>16298</v>
      </c>
      <c r="F119" s="433">
        <f>SUM(F120:F127)</f>
        <v>196674</v>
      </c>
      <c r="G119" s="433">
        <f>SUM(G120:G127)</f>
        <v>276704</v>
      </c>
      <c r="H119" s="433">
        <v>322185</v>
      </c>
      <c r="I119" s="433">
        <v>434860</v>
      </c>
      <c r="J119" s="433">
        <f>SUM(J120:J127)</f>
        <v>399432</v>
      </c>
      <c r="K119" s="433">
        <f>SUM(K120:K127)</f>
        <v>332348</v>
      </c>
      <c r="L119" s="433">
        <f>SUM(L120:L127)</f>
        <v>315787</v>
      </c>
      <c r="M119" s="433">
        <f>SUM(M120:M128)</f>
        <v>323912</v>
      </c>
      <c r="N119" s="433">
        <f>SUM(N120:N128)</f>
        <v>321912</v>
      </c>
      <c r="O119" s="434">
        <f t="shared" si="14"/>
        <v>0.9938254834646447</v>
      </c>
      <c r="P119" s="433">
        <f>SUM(P120:P128)</f>
        <v>321912</v>
      </c>
      <c r="Q119" s="435">
        <f>SUM(Q120:Q128)</f>
        <v>321912</v>
      </c>
    </row>
    <row r="120" spans="2:17" ht="12.75">
      <c r="B120" s="712"/>
      <c r="C120" s="173"/>
      <c r="D120" s="21" t="s">
        <v>28</v>
      </c>
      <c r="E120" s="264">
        <v>4913</v>
      </c>
      <c r="F120" s="264">
        <v>3850</v>
      </c>
      <c r="G120" s="264">
        <v>5112</v>
      </c>
      <c r="H120" s="264"/>
      <c r="I120" s="264"/>
      <c r="J120" s="21">
        <v>6756</v>
      </c>
      <c r="K120" s="21">
        <v>7114</v>
      </c>
      <c r="L120" s="11">
        <v>7113</v>
      </c>
      <c r="M120" s="88">
        <v>7000</v>
      </c>
      <c r="N120" s="88">
        <v>7000</v>
      </c>
      <c r="O120" s="316">
        <f t="shared" si="14"/>
        <v>1</v>
      </c>
      <c r="P120" s="11">
        <v>7000</v>
      </c>
      <c r="Q120" s="124">
        <v>7000</v>
      </c>
    </row>
    <row r="121" spans="2:17" ht="12.75">
      <c r="B121" s="713"/>
      <c r="C121" s="174"/>
      <c r="D121" s="22" t="s">
        <v>214</v>
      </c>
      <c r="E121" s="270"/>
      <c r="F121" s="270"/>
      <c r="G121" s="270"/>
      <c r="H121" s="270"/>
      <c r="I121" s="270"/>
      <c r="J121" s="53">
        <v>48971</v>
      </c>
      <c r="K121" s="53"/>
      <c r="L121" s="29"/>
      <c r="M121" s="96">
        <v>0</v>
      </c>
      <c r="N121" s="96">
        <v>0</v>
      </c>
      <c r="O121" s="335">
        <f t="shared" si="14"/>
        <v>0</v>
      </c>
      <c r="P121" s="29">
        <v>0</v>
      </c>
      <c r="Q121" s="133">
        <v>0</v>
      </c>
    </row>
    <row r="122" spans="2:17" ht="12.75">
      <c r="B122" s="713"/>
      <c r="C122" s="174"/>
      <c r="D122" s="22" t="s">
        <v>237</v>
      </c>
      <c r="E122" s="270"/>
      <c r="F122" s="270"/>
      <c r="G122" s="270"/>
      <c r="H122" s="270"/>
      <c r="I122" s="270"/>
      <c r="J122" s="53">
        <v>24304</v>
      </c>
      <c r="K122" s="53">
        <v>10566</v>
      </c>
      <c r="L122" s="29">
        <v>3350</v>
      </c>
      <c r="M122" s="96"/>
      <c r="N122" s="96"/>
      <c r="O122" s="335">
        <f t="shared" si="14"/>
        <v>0</v>
      </c>
      <c r="P122" s="29"/>
      <c r="Q122" s="133"/>
    </row>
    <row r="123" spans="2:17" ht="12.75" hidden="1">
      <c r="B123" s="713"/>
      <c r="C123" s="174"/>
      <c r="D123" s="22" t="s">
        <v>336</v>
      </c>
      <c r="E123" s="270"/>
      <c r="F123" s="270"/>
      <c r="G123" s="270"/>
      <c r="H123" s="270"/>
      <c r="I123" s="270"/>
      <c r="J123" s="53"/>
      <c r="K123" s="53"/>
      <c r="L123" s="29"/>
      <c r="M123" s="96"/>
      <c r="N123" s="96"/>
      <c r="O123" s="335">
        <f t="shared" si="14"/>
        <v>0</v>
      </c>
      <c r="P123" s="29"/>
      <c r="Q123" s="133"/>
    </row>
    <row r="124" spans="2:17" ht="12.75">
      <c r="B124" s="713"/>
      <c r="C124" s="175"/>
      <c r="D124" s="22" t="s">
        <v>247</v>
      </c>
      <c r="E124" s="265"/>
      <c r="F124" s="265">
        <v>7568</v>
      </c>
      <c r="G124" s="265">
        <v>15767</v>
      </c>
      <c r="H124" s="265">
        <v>15084</v>
      </c>
      <c r="I124" s="265"/>
      <c r="J124" s="22">
        <v>13552</v>
      </c>
      <c r="K124" s="22">
        <v>11060</v>
      </c>
      <c r="L124" s="13">
        <v>9650</v>
      </c>
      <c r="M124" s="89">
        <v>10000</v>
      </c>
      <c r="N124" s="89">
        <v>8000</v>
      </c>
      <c r="O124" s="317">
        <f t="shared" si="14"/>
        <v>0.8</v>
      </c>
      <c r="P124" s="13">
        <v>8000</v>
      </c>
      <c r="Q124" s="125">
        <v>8000</v>
      </c>
    </row>
    <row r="125" spans="2:17" ht="12.75">
      <c r="B125" s="713"/>
      <c r="C125" s="175"/>
      <c r="D125" s="22" t="s">
        <v>194</v>
      </c>
      <c r="E125" s="265"/>
      <c r="F125" s="265">
        <v>58189</v>
      </c>
      <c r="G125" s="265">
        <v>75483</v>
      </c>
      <c r="H125" s="265">
        <v>91400</v>
      </c>
      <c r="I125" s="265"/>
      <c r="J125" s="22">
        <v>152242</v>
      </c>
      <c r="K125" s="22">
        <v>162681</v>
      </c>
      <c r="L125" s="13">
        <v>150333</v>
      </c>
      <c r="M125" s="13">
        <v>134218</v>
      </c>
      <c r="N125" s="89">
        <v>154913</v>
      </c>
      <c r="O125" s="317">
        <f t="shared" si="14"/>
        <v>1.1541894529794812</v>
      </c>
      <c r="P125" s="13">
        <v>154913</v>
      </c>
      <c r="Q125" s="125">
        <v>154913</v>
      </c>
    </row>
    <row r="126" spans="2:17" ht="12.75">
      <c r="B126" s="713"/>
      <c r="C126" s="175"/>
      <c r="D126" s="22" t="s">
        <v>195</v>
      </c>
      <c r="E126" s="265"/>
      <c r="F126" s="265">
        <v>99250</v>
      </c>
      <c r="G126" s="265">
        <v>153754</v>
      </c>
      <c r="H126" s="265">
        <v>143286</v>
      </c>
      <c r="I126" s="265"/>
      <c r="J126" s="22">
        <v>86643</v>
      </c>
      <c r="K126" s="22">
        <v>82311</v>
      </c>
      <c r="L126" s="13">
        <v>93232</v>
      </c>
      <c r="M126" s="13">
        <v>109100</v>
      </c>
      <c r="N126" s="89">
        <v>88221</v>
      </c>
      <c r="O126" s="317">
        <f t="shared" si="14"/>
        <v>0.8086251145737855</v>
      </c>
      <c r="P126" s="13">
        <v>88221</v>
      </c>
      <c r="Q126" s="125">
        <v>88221</v>
      </c>
    </row>
    <row r="127" spans="2:17" ht="12.75">
      <c r="B127" s="713"/>
      <c r="C127" s="212"/>
      <c r="D127" s="12" t="s">
        <v>196</v>
      </c>
      <c r="E127" s="13"/>
      <c r="F127" s="13">
        <v>27817</v>
      </c>
      <c r="G127" s="13">
        <v>26588</v>
      </c>
      <c r="H127" s="13">
        <v>25790</v>
      </c>
      <c r="I127" s="13"/>
      <c r="J127" s="12">
        <v>66964</v>
      </c>
      <c r="K127" s="12">
        <v>58616</v>
      </c>
      <c r="L127" s="13">
        <v>52109</v>
      </c>
      <c r="M127" s="13">
        <v>49442</v>
      </c>
      <c r="N127" s="13">
        <v>49626</v>
      </c>
      <c r="O127" s="317">
        <f t="shared" si="14"/>
        <v>1.0037215323004733</v>
      </c>
      <c r="P127" s="13">
        <v>49626</v>
      </c>
      <c r="Q127" s="125">
        <v>49626</v>
      </c>
    </row>
    <row r="128" spans="2:17" ht="13.5" thickBot="1">
      <c r="B128" s="714"/>
      <c r="C128" s="213"/>
      <c r="D128" s="14" t="s">
        <v>344</v>
      </c>
      <c r="E128" s="15"/>
      <c r="F128" s="15"/>
      <c r="G128" s="15"/>
      <c r="H128" s="15"/>
      <c r="I128" s="15"/>
      <c r="J128" s="14"/>
      <c r="K128" s="14"/>
      <c r="L128" s="15"/>
      <c r="M128" s="15">
        <v>14152</v>
      </c>
      <c r="N128" s="15">
        <v>14152</v>
      </c>
      <c r="O128" s="333">
        <f t="shared" si="14"/>
        <v>1</v>
      </c>
      <c r="P128" s="15">
        <v>14152</v>
      </c>
      <c r="Q128" s="131">
        <v>14152</v>
      </c>
    </row>
    <row r="129" spans="2:17" s="27" customFormat="1" ht="15.75" thickBot="1">
      <c r="B129" s="487" t="s">
        <v>404</v>
      </c>
      <c r="C129" s="619" t="s">
        <v>135</v>
      </c>
      <c r="D129" s="687"/>
      <c r="E129" s="433">
        <f>SUM(E130:E131)</f>
        <v>0</v>
      </c>
      <c r="F129" s="433">
        <f>SUM(F130:F131)</f>
        <v>44944</v>
      </c>
      <c r="G129" s="433">
        <f>SUM(G130:G131)</f>
        <v>55765</v>
      </c>
      <c r="H129" s="433">
        <f>SUM(H130:H131)</f>
        <v>48780</v>
      </c>
      <c r="I129" s="433">
        <f aca="true" t="shared" si="22" ref="I129:P129">SUM(I130:I131)</f>
        <v>52570</v>
      </c>
      <c r="J129" s="433">
        <f t="shared" si="22"/>
        <v>48691</v>
      </c>
      <c r="K129" s="433">
        <f t="shared" si="22"/>
        <v>46108</v>
      </c>
      <c r="L129" s="438">
        <f t="shared" si="22"/>
        <v>47470</v>
      </c>
      <c r="M129" s="438">
        <f t="shared" si="22"/>
        <v>42400</v>
      </c>
      <c r="N129" s="438">
        <f t="shared" si="22"/>
        <v>46200</v>
      </c>
      <c r="O129" s="439">
        <f t="shared" si="14"/>
        <v>1.0896226415094339</v>
      </c>
      <c r="P129" s="438">
        <f t="shared" si="22"/>
        <v>42400</v>
      </c>
      <c r="Q129" s="441">
        <f>SUM(Q130:Q131)</f>
        <v>42400</v>
      </c>
    </row>
    <row r="130" spans="2:17" ht="12.75">
      <c r="B130" s="712"/>
      <c r="C130" s="152">
        <v>630</v>
      </c>
      <c r="D130" s="21" t="s">
        <v>136</v>
      </c>
      <c r="E130" s="264"/>
      <c r="F130" s="264">
        <v>36679</v>
      </c>
      <c r="G130" s="264">
        <v>46803</v>
      </c>
      <c r="H130" s="264">
        <v>39726</v>
      </c>
      <c r="I130" s="264">
        <v>43006</v>
      </c>
      <c r="J130" s="21">
        <v>38795</v>
      </c>
      <c r="K130" s="21">
        <v>36600</v>
      </c>
      <c r="L130" s="11">
        <v>37500</v>
      </c>
      <c r="M130" s="88">
        <v>34200</v>
      </c>
      <c r="N130" s="88">
        <v>38000</v>
      </c>
      <c r="O130" s="316">
        <f t="shared" si="14"/>
        <v>1.1111111111111112</v>
      </c>
      <c r="P130" s="11">
        <v>34200</v>
      </c>
      <c r="Q130" s="124">
        <v>34200</v>
      </c>
    </row>
    <row r="131" spans="2:17" ht="13.5" thickBot="1">
      <c r="B131" s="714"/>
      <c r="C131" s="154">
        <v>630</v>
      </c>
      <c r="D131" s="23" t="s">
        <v>137</v>
      </c>
      <c r="E131" s="242"/>
      <c r="F131" s="242">
        <v>8265</v>
      </c>
      <c r="G131" s="242">
        <v>8962</v>
      </c>
      <c r="H131" s="242">
        <v>9054</v>
      </c>
      <c r="I131" s="242">
        <v>9564</v>
      </c>
      <c r="J131" s="23">
        <v>9896</v>
      </c>
      <c r="K131" s="23">
        <v>9508</v>
      </c>
      <c r="L131" s="15">
        <v>9970</v>
      </c>
      <c r="M131" s="95">
        <v>8200</v>
      </c>
      <c r="N131" s="95">
        <v>8200</v>
      </c>
      <c r="O131" s="333">
        <f t="shared" si="14"/>
        <v>1</v>
      </c>
      <c r="P131" s="15">
        <v>8200</v>
      </c>
      <c r="Q131" s="131">
        <v>8200</v>
      </c>
    </row>
    <row r="132" spans="2:17" s="26" customFormat="1" ht="15.75" thickBot="1">
      <c r="B132" s="479" t="s">
        <v>405</v>
      </c>
      <c r="C132" s="619" t="s">
        <v>29</v>
      </c>
      <c r="D132" s="687"/>
      <c r="E132" s="433">
        <v>6008</v>
      </c>
      <c r="F132" s="433">
        <f>SUM(F133:F135)</f>
        <v>6373</v>
      </c>
      <c r="G132" s="433">
        <f>SUM(G133:G135)</f>
        <v>76413</v>
      </c>
      <c r="H132" s="433">
        <f>SUM(H133:H135)</f>
        <v>50904</v>
      </c>
      <c r="I132" s="433">
        <v>43602</v>
      </c>
      <c r="J132" s="433">
        <f aca="true" t="shared" si="23" ref="J132:P132">SUM(J133:J135)</f>
        <v>80402</v>
      </c>
      <c r="K132" s="433">
        <f t="shared" si="23"/>
        <v>65201</v>
      </c>
      <c r="L132" s="433">
        <f t="shared" si="23"/>
        <v>82763</v>
      </c>
      <c r="M132" s="433">
        <f t="shared" si="23"/>
        <v>88357</v>
      </c>
      <c r="N132" s="433">
        <f t="shared" si="23"/>
        <v>78275</v>
      </c>
      <c r="O132" s="434">
        <f t="shared" si="14"/>
        <v>0.8858947225460349</v>
      </c>
      <c r="P132" s="433">
        <f t="shared" si="23"/>
        <v>69719</v>
      </c>
      <c r="Q132" s="435">
        <f>SUM(Q133:Q135)</f>
        <v>69719</v>
      </c>
    </row>
    <row r="133" spans="2:17" ht="12.75">
      <c r="B133" s="732"/>
      <c r="C133" s="741"/>
      <c r="D133" s="12" t="s">
        <v>169</v>
      </c>
      <c r="E133" s="13"/>
      <c r="F133" s="13">
        <v>5842</v>
      </c>
      <c r="G133" s="13">
        <v>6108</v>
      </c>
      <c r="H133" s="13">
        <v>13480</v>
      </c>
      <c r="I133" s="13">
        <v>6009</v>
      </c>
      <c r="J133" s="12">
        <v>6900</v>
      </c>
      <c r="K133" s="12">
        <v>3787</v>
      </c>
      <c r="L133" s="13">
        <v>3290</v>
      </c>
      <c r="M133" s="96">
        <v>4300</v>
      </c>
      <c r="N133" s="96">
        <v>4300</v>
      </c>
      <c r="O133" s="335">
        <f t="shared" si="14"/>
        <v>1</v>
      </c>
      <c r="P133" s="29">
        <v>4000</v>
      </c>
      <c r="Q133" s="133">
        <v>4000</v>
      </c>
    </row>
    <row r="134" spans="2:17" ht="12.75">
      <c r="B134" s="732"/>
      <c r="C134" s="742"/>
      <c r="D134" s="12" t="s">
        <v>213</v>
      </c>
      <c r="E134" s="13"/>
      <c r="F134" s="13">
        <v>0</v>
      </c>
      <c r="G134" s="13">
        <v>66388</v>
      </c>
      <c r="H134" s="13">
        <v>33390</v>
      </c>
      <c r="I134" s="13">
        <v>32749</v>
      </c>
      <c r="J134" s="12">
        <v>70000</v>
      </c>
      <c r="K134" s="12">
        <v>59118</v>
      </c>
      <c r="L134" s="25">
        <v>75103</v>
      </c>
      <c r="M134" s="89">
        <v>81057</v>
      </c>
      <c r="N134" s="89">
        <v>70975</v>
      </c>
      <c r="O134" s="317">
        <f aca="true" t="shared" si="24" ref="O134:O188">IF(M134=0,0,N134/M134)</f>
        <v>0.8756183919957561</v>
      </c>
      <c r="P134" s="13">
        <v>62719</v>
      </c>
      <c r="Q134" s="125">
        <v>62719</v>
      </c>
    </row>
    <row r="135" spans="2:17" ht="13.5" thickBot="1">
      <c r="B135" s="733"/>
      <c r="C135" s="743"/>
      <c r="D135" s="65" t="s">
        <v>168</v>
      </c>
      <c r="E135" s="64"/>
      <c r="F135" s="64">
        <v>531</v>
      </c>
      <c r="G135" s="64">
        <v>3917</v>
      </c>
      <c r="H135" s="64">
        <v>4034</v>
      </c>
      <c r="I135" s="64">
        <v>796</v>
      </c>
      <c r="J135" s="65">
        <v>3502</v>
      </c>
      <c r="K135" s="65">
        <v>2296</v>
      </c>
      <c r="L135" s="15">
        <v>4370</v>
      </c>
      <c r="M135" s="106">
        <v>3000</v>
      </c>
      <c r="N135" s="106">
        <v>3000</v>
      </c>
      <c r="O135" s="322">
        <f t="shared" si="24"/>
        <v>1</v>
      </c>
      <c r="P135" s="29">
        <v>3000</v>
      </c>
      <c r="Q135" s="133">
        <v>3000</v>
      </c>
    </row>
    <row r="136" spans="2:17" s="26" customFormat="1" ht="15.75" thickBot="1">
      <c r="B136" s="475" t="s">
        <v>54</v>
      </c>
      <c r="C136" s="619" t="s">
        <v>30</v>
      </c>
      <c r="D136" s="687"/>
      <c r="E136" s="433">
        <v>2960832</v>
      </c>
      <c r="F136" s="433">
        <v>3369814</v>
      </c>
      <c r="G136" s="433">
        <v>3780057</v>
      </c>
      <c r="H136" s="433">
        <v>4405952.43</v>
      </c>
      <c r="I136" s="433">
        <v>4455752</v>
      </c>
      <c r="J136" s="433">
        <f aca="true" t="shared" si="25" ref="J136:P136">J137+J141</f>
        <v>4609033</v>
      </c>
      <c r="K136" s="433">
        <f t="shared" si="25"/>
        <v>4840194</v>
      </c>
      <c r="L136" s="433">
        <f t="shared" si="25"/>
        <v>4773475</v>
      </c>
      <c r="M136" s="433">
        <f t="shared" si="25"/>
        <v>4805829</v>
      </c>
      <c r="N136" s="433">
        <f t="shared" si="25"/>
        <v>4965389</v>
      </c>
      <c r="O136" s="434">
        <f t="shared" si="24"/>
        <v>1.0332013477799564</v>
      </c>
      <c r="P136" s="433">
        <f t="shared" si="25"/>
        <v>5005809</v>
      </c>
      <c r="Q136" s="435">
        <f>Q137+Q141</f>
        <v>5005809</v>
      </c>
    </row>
    <row r="137" spans="2:17" ht="13.5" thickBot="1">
      <c r="B137" s="731"/>
      <c r="C137" s="723" t="s">
        <v>31</v>
      </c>
      <c r="D137" s="724"/>
      <c r="E137" s="3">
        <v>29177</v>
      </c>
      <c r="F137" s="3">
        <v>27518</v>
      </c>
      <c r="G137" s="3">
        <v>28447</v>
      </c>
      <c r="H137" s="3">
        <v>30677</v>
      </c>
      <c r="I137" s="3">
        <v>31410</v>
      </c>
      <c r="J137" s="3">
        <f aca="true" t="shared" si="26" ref="J137:P137">SUM(J138:J140)</f>
        <v>41249</v>
      </c>
      <c r="K137" s="3">
        <f t="shared" si="26"/>
        <v>38808</v>
      </c>
      <c r="L137" s="3">
        <f t="shared" si="26"/>
        <v>36313</v>
      </c>
      <c r="M137" s="3">
        <f t="shared" si="26"/>
        <v>36311</v>
      </c>
      <c r="N137" s="3">
        <f t="shared" si="26"/>
        <v>36311</v>
      </c>
      <c r="O137" s="336">
        <f t="shared" si="24"/>
        <v>1</v>
      </c>
      <c r="P137" s="3">
        <f t="shared" si="26"/>
        <v>36311</v>
      </c>
      <c r="Q137" s="134">
        <f>SUM(Q138:Q140)</f>
        <v>36311</v>
      </c>
    </row>
    <row r="138" spans="2:17" ht="12.75">
      <c r="B138" s="732"/>
      <c r="C138" s="176">
        <v>610</v>
      </c>
      <c r="D138" s="30" t="s">
        <v>2</v>
      </c>
      <c r="E138" s="105"/>
      <c r="F138" s="105">
        <v>18854</v>
      </c>
      <c r="G138" s="105">
        <v>18290</v>
      </c>
      <c r="H138" s="105">
        <v>19464</v>
      </c>
      <c r="I138" s="105">
        <v>22248</v>
      </c>
      <c r="J138" s="8">
        <v>29541</v>
      </c>
      <c r="K138" s="8">
        <v>26330</v>
      </c>
      <c r="L138" s="8">
        <v>25388</v>
      </c>
      <c r="M138" s="117">
        <v>25008</v>
      </c>
      <c r="N138" s="117">
        <v>25008</v>
      </c>
      <c r="O138" s="337">
        <f t="shared" si="24"/>
        <v>1</v>
      </c>
      <c r="P138" s="117">
        <v>25008</v>
      </c>
      <c r="Q138" s="217">
        <v>25008</v>
      </c>
    </row>
    <row r="139" spans="2:17" ht="12.75">
      <c r="B139" s="732"/>
      <c r="C139" s="153">
        <v>620</v>
      </c>
      <c r="D139" s="12" t="s">
        <v>3</v>
      </c>
      <c r="E139" s="13"/>
      <c r="F139" s="13">
        <v>6473</v>
      </c>
      <c r="G139" s="13">
        <v>6340</v>
      </c>
      <c r="H139" s="13">
        <v>6869</v>
      </c>
      <c r="I139" s="13">
        <v>6877</v>
      </c>
      <c r="J139" s="12">
        <v>9575</v>
      </c>
      <c r="K139" s="12">
        <v>9735</v>
      </c>
      <c r="L139" s="12">
        <v>9358</v>
      </c>
      <c r="M139" s="118">
        <v>9170</v>
      </c>
      <c r="N139" s="118">
        <v>9170</v>
      </c>
      <c r="O139" s="315">
        <f t="shared" si="24"/>
        <v>1</v>
      </c>
      <c r="P139" s="118">
        <v>9170</v>
      </c>
      <c r="Q139" s="218">
        <v>9170</v>
      </c>
    </row>
    <row r="140" spans="2:17" ht="13.5" thickBot="1">
      <c r="B140" s="732"/>
      <c r="C140" s="154">
        <v>630</v>
      </c>
      <c r="D140" s="14" t="s">
        <v>47</v>
      </c>
      <c r="E140" s="15"/>
      <c r="F140" s="15">
        <v>2191</v>
      </c>
      <c r="G140" s="15">
        <v>3817</v>
      </c>
      <c r="H140" s="15">
        <v>4344</v>
      </c>
      <c r="I140" s="15">
        <v>2285</v>
      </c>
      <c r="J140" s="14">
        <v>2133</v>
      </c>
      <c r="K140" s="14">
        <v>2743</v>
      </c>
      <c r="L140" s="24">
        <v>1567</v>
      </c>
      <c r="M140" s="25">
        <v>2133</v>
      </c>
      <c r="N140" s="25">
        <v>2133</v>
      </c>
      <c r="O140" s="334">
        <f t="shared" si="24"/>
        <v>1</v>
      </c>
      <c r="P140" s="25">
        <v>2133</v>
      </c>
      <c r="Q140" s="135">
        <v>2133</v>
      </c>
    </row>
    <row r="141" spans="2:17" ht="13.5" thickBot="1">
      <c r="B141" s="732"/>
      <c r="C141" s="747" t="s">
        <v>139</v>
      </c>
      <c r="D141" s="748"/>
      <c r="E141" s="132">
        <v>2931655</v>
      </c>
      <c r="F141" s="132">
        <v>3342296</v>
      </c>
      <c r="G141" s="132">
        <v>3751610</v>
      </c>
      <c r="H141" s="132">
        <v>4375275.43</v>
      </c>
      <c r="I141" s="132">
        <v>4424342</v>
      </c>
      <c r="J141" s="132">
        <f aca="true" t="shared" si="27" ref="J141:P141">SUM(J142:J148)</f>
        <v>4567784</v>
      </c>
      <c r="K141" s="132">
        <f t="shared" si="27"/>
        <v>4801386</v>
      </c>
      <c r="L141" s="132">
        <f t="shared" si="27"/>
        <v>4737162</v>
      </c>
      <c r="M141" s="132">
        <f t="shared" si="27"/>
        <v>4769518</v>
      </c>
      <c r="N141" s="132">
        <f t="shared" si="27"/>
        <v>4929078</v>
      </c>
      <c r="O141" s="338">
        <f t="shared" si="24"/>
        <v>1.0334541142312494</v>
      </c>
      <c r="P141" s="132">
        <f t="shared" si="27"/>
        <v>4969498</v>
      </c>
      <c r="Q141" s="138">
        <f>SUM(Q142:Q148)</f>
        <v>4969498</v>
      </c>
    </row>
    <row r="142" spans="2:17" ht="12.75">
      <c r="B142" s="732"/>
      <c r="C142" s="741"/>
      <c r="D142" s="30" t="s">
        <v>207</v>
      </c>
      <c r="E142" s="29">
        <v>1541725</v>
      </c>
      <c r="F142" s="29">
        <v>1718084</v>
      </c>
      <c r="G142" s="29">
        <v>1793999</v>
      </c>
      <c r="H142" s="29">
        <v>1958942</v>
      </c>
      <c r="I142" s="29">
        <v>2084677</v>
      </c>
      <c r="J142" s="30">
        <v>2039732</v>
      </c>
      <c r="K142" s="30">
        <v>2241882</v>
      </c>
      <c r="L142" s="29">
        <v>2385291</v>
      </c>
      <c r="M142" s="96">
        <v>2374727</v>
      </c>
      <c r="N142" s="96">
        <v>2374727</v>
      </c>
      <c r="O142" s="335">
        <f t="shared" si="24"/>
        <v>1</v>
      </c>
      <c r="P142" s="29">
        <v>2374727</v>
      </c>
      <c r="Q142" s="133">
        <v>2374727</v>
      </c>
    </row>
    <row r="143" spans="2:17" ht="12.75">
      <c r="B143" s="732"/>
      <c r="C143" s="742"/>
      <c r="D143" s="12" t="s">
        <v>208</v>
      </c>
      <c r="E143" s="13">
        <v>1389930</v>
      </c>
      <c r="F143" s="13">
        <v>1591682</v>
      </c>
      <c r="G143" s="13">
        <v>1867423</v>
      </c>
      <c r="H143" s="13">
        <v>2134669.43</v>
      </c>
      <c r="I143" s="13">
        <v>2069302</v>
      </c>
      <c r="J143" s="12">
        <v>2182809</v>
      </c>
      <c r="K143" s="12">
        <v>2169532</v>
      </c>
      <c r="L143" s="13">
        <v>1972245</v>
      </c>
      <c r="M143" s="89">
        <v>2004277</v>
      </c>
      <c r="N143" s="89">
        <f>2161334-40434</f>
        <v>2120900</v>
      </c>
      <c r="O143" s="317">
        <f t="shared" si="24"/>
        <v>1.0581870669573117</v>
      </c>
      <c r="P143" s="13">
        <v>2161334</v>
      </c>
      <c r="Q143" s="125">
        <v>2161334</v>
      </c>
    </row>
    <row r="144" spans="2:17" ht="12.75">
      <c r="B144" s="732"/>
      <c r="C144" s="742"/>
      <c r="D144" s="24" t="s">
        <v>347</v>
      </c>
      <c r="E144" s="25"/>
      <c r="F144" s="25"/>
      <c r="G144" s="25"/>
      <c r="H144" s="25"/>
      <c r="I144" s="25"/>
      <c r="J144" s="24"/>
      <c r="K144" s="24"/>
      <c r="L144" s="25">
        <v>6822</v>
      </c>
      <c r="M144" s="91">
        <v>4780</v>
      </c>
      <c r="N144" s="91"/>
      <c r="O144" s="334">
        <f t="shared" si="24"/>
        <v>0</v>
      </c>
      <c r="P144" s="25"/>
      <c r="Q144" s="135"/>
    </row>
    <row r="145" spans="2:17" ht="12.75">
      <c r="B145" s="732"/>
      <c r="C145" s="742"/>
      <c r="D145" s="24" t="s">
        <v>224</v>
      </c>
      <c r="E145" s="25"/>
      <c r="F145" s="25"/>
      <c r="G145" s="25"/>
      <c r="H145" s="25"/>
      <c r="I145" s="25"/>
      <c r="J145" s="24">
        <v>11276</v>
      </c>
      <c r="K145" s="24">
        <v>23184</v>
      </c>
      <c r="L145" s="25">
        <v>0</v>
      </c>
      <c r="M145" s="91">
        <v>0</v>
      </c>
      <c r="N145" s="91">
        <v>0</v>
      </c>
      <c r="O145" s="334">
        <f t="shared" si="24"/>
        <v>0</v>
      </c>
      <c r="P145" s="25">
        <v>0</v>
      </c>
      <c r="Q145" s="135">
        <v>0</v>
      </c>
    </row>
    <row r="146" spans="2:17" ht="12.75">
      <c r="B146" s="732"/>
      <c r="C146" s="742"/>
      <c r="D146" s="24" t="s">
        <v>235</v>
      </c>
      <c r="E146" s="25"/>
      <c r="F146" s="25"/>
      <c r="G146" s="25"/>
      <c r="H146" s="25"/>
      <c r="I146" s="25">
        <v>2568</v>
      </c>
      <c r="J146" s="24">
        <v>2134</v>
      </c>
      <c r="K146" s="24"/>
      <c r="L146" s="25">
        <v>0</v>
      </c>
      <c r="M146" s="91">
        <v>0</v>
      </c>
      <c r="N146" s="91">
        <v>0</v>
      </c>
      <c r="O146" s="334">
        <f t="shared" si="24"/>
        <v>0</v>
      </c>
      <c r="P146" s="25">
        <v>0</v>
      </c>
      <c r="Q146" s="135">
        <v>0</v>
      </c>
    </row>
    <row r="147" spans="2:17" ht="12.75">
      <c r="B147" s="732"/>
      <c r="C147" s="742"/>
      <c r="D147" s="24" t="s">
        <v>223</v>
      </c>
      <c r="E147" s="25"/>
      <c r="F147" s="25"/>
      <c r="G147" s="25"/>
      <c r="H147" s="25"/>
      <c r="I147" s="25">
        <v>2166</v>
      </c>
      <c r="J147" s="24">
        <v>10924</v>
      </c>
      <c r="K147" s="24">
        <v>33868</v>
      </c>
      <c r="L147" s="25">
        <v>0</v>
      </c>
      <c r="M147" s="91">
        <v>18000</v>
      </c>
      <c r="N147" s="91"/>
      <c r="O147" s="334">
        <f t="shared" si="24"/>
        <v>0</v>
      </c>
      <c r="P147" s="25"/>
      <c r="Q147" s="135"/>
    </row>
    <row r="148" spans="2:17" ht="13.5" thickBot="1">
      <c r="B148" s="733"/>
      <c r="C148" s="743"/>
      <c r="D148" s="14" t="s">
        <v>313</v>
      </c>
      <c r="E148" s="15"/>
      <c r="F148" s="15">
        <v>32530</v>
      </c>
      <c r="G148" s="15">
        <v>90188</v>
      </c>
      <c r="H148" s="15">
        <v>281664</v>
      </c>
      <c r="I148" s="15">
        <v>265629</v>
      </c>
      <c r="J148" s="14">
        <v>320909</v>
      </c>
      <c r="K148" s="14">
        <v>332920</v>
      </c>
      <c r="L148" s="15">
        <v>372804</v>
      </c>
      <c r="M148" s="95">
        <f>337734+30000</f>
        <v>367734</v>
      </c>
      <c r="N148" s="95">
        <v>433451</v>
      </c>
      <c r="O148" s="333">
        <f t="shared" si="24"/>
        <v>1.1787079791370936</v>
      </c>
      <c r="P148" s="15">
        <v>433437</v>
      </c>
      <c r="Q148" s="131">
        <v>433437</v>
      </c>
    </row>
    <row r="149" spans="2:17" s="26" customFormat="1" ht="15.75" thickBot="1">
      <c r="B149" s="493" t="s">
        <v>406</v>
      </c>
      <c r="C149" s="619" t="s">
        <v>32</v>
      </c>
      <c r="D149" s="687"/>
      <c r="E149" s="433">
        <v>14672</v>
      </c>
      <c r="F149" s="433">
        <v>18356</v>
      </c>
      <c r="G149" s="433">
        <v>24962</v>
      </c>
      <c r="H149" s="433">
        <v>26012</v>
      </c>
      <c r="I149" s="433">
        <v>24167</v>
      </c>
      <c r="J149" s="433">
        <f>SUM(J150:J153)</f>
        <v>21978</v>
      </c>
      <c r="K149" s="433">
        <f>SUM(K150:K153)</f>
        <v>26182</v>
      </c>
      <c r="L149" s="433">
        <f>SUM(L150:L153)</f>
        <v>16605</v>
      </c>
      <c r="M149" s="433">
        <f>SUM(M150:M152)</f>
        <v>24296</v>
      </c>
      <c r="N149" s="433">
        <f>SUM(N150:N152)</f>
        <v>18302</v>
      </c>
      <c r="O149" s="434">
        <f t="shared" si="24"/>
        <v>0.7532927230819888</v>
      </c>
      <c r="P149" s="433">
        <f>SUM(P150:P152)</f>
        <v>18302</v>
      </c>
      <c r="Q149" s="435">
        <f>SUM(Q150:Q152)</f>
        <v>18302</v>
      </c>
    </row>
    <row r="150" spans="2:17" s="26" customFormat="1" ht="12.75" customHeight="1">
      <c r="B150" s="744"/>
      <c r="C150" s="185">
        <v>610</v>
      </c>
      <c r="D150" s="30" t="s">
        <v>2</v>
      </c>
      <c r="E150" s="29"/>
      <c r="F150" s="29">
        <v>11817</v>
      </c>
      <c r="G150" s="29">
        <v>16331</v>
      </c>
      <c r="H150" s="29">
        <v>16188</v>
      </c>
      <c r="I150" s="29">
        <v>16639</v>
      </c>
      <c r="J150" s="29">
        <v>14808</v>
      </c>
      <c r="K150" s="29">
        <v>14984</v>
      </c>
      <c r="L150" s="29">
        <v>11095</v>
      </c>
      <c r="M150" s="29">
        <v>16428</v>
      </c>
      <c r="N150" s="96">
        <v>12174</v>
      </c>
      <c r="O150" s="335">
        <f t="shared" si="24"/>
        <v>0.7410518626734843</v>
      </c>
      <c r="P150" s="29">
        <v>12174</v>
      </c>
      <c r="Q150" s="133">
        <v>12174</v>
      </c>
    </row>
    <row r="151" spans="2:17" s="26" customFormat="1" ht="12.75" customHeight="1">
      <c r="B151" s="745"/>
      <c r="C151" s="184">
        <v>620</v>
      </c>
      <c r="D151" s="12" t="s">
        <v>3</v>
      </c>
      <c r="E151" s="13"/>
      <c r="F151" s="13">
        <v>3983</v>
      </c>
      <c r="G151" s="13">
        <v>5610</v>
      </c>
      <c r="H151" s="13">
        <v>5689</v>
      </c>
      <c r="I151" s="13">
        <v>5822</v>
      </c>
      <c r="J151" s="13">
        <v>5320</v>
      </c>
      <c r="K151" s="13">
        <v>5972</v>
      </c>
      <c r="L151" s="13">
        <v>4227</v>
      </c>
      <c r="M151" s="13">
        <v>5993</v>
      </c>
      <c r="N151" s="89">
        <v>4253</v>
      </c>
      <c r="O151" s="317">
        <f t="shared" si="24"/>
        <v>0.7096612714833973</v>
      </c>
      <c r="P151" s="13">
        <v>4253</v>
      </c>
      <c r="Q151" s="125">
        <v>4253</v>
      </c>
    </row>
    <row r="152" spans="2:17" ht="12.75" customHeight="1">
      <c r="B152" s="745"/>
      <c r="C152" s="184">
        <v>630</v>
      </c>
      <c r="D152" s="12" t="s">
        <v>47</v>
      </c>
      <c r="E152" s="13"/>
      <c r="F152" s="13">
        <v>2556</v>
      </c>
      <c r="G152" s="13">
        <v>3021</v>
      </c>
      <c r="H152" s="13">
        <v>4135</v>
      </c>
      <c r="I152" s="13">
        <v>1706</v>
      </c>
      <c r="J152" s="13">
        <f>1591+259</f>
        <v>1850</v>
      </c>
      <c r="K152" s="13">
        <v>1495</v>
      </c>
      <c r="L152" s="13">
        <v>1200</v>
      </c>
      <c r="M152" s="89">
        <v>1875</v>
      </c>
      <c r="N152" s="89">
        <v>1875</v>
      </c>
      <c r="O152" s="317">
        <f t="shared" si="24"/>
        <v>1</v>
      </c>
      <c r="P152" s="13">
        <v>1875</v>
      </c>
      <c r="Q152" s="125">
        <v>1875</v>
      </c>
    </row>
    <row r="153" spans="2:17" ht="12.75" customHeight="1" thickBot="1">
      <c r="B153" s="746"/>
      <c r="C153" s="186">
        <v>640</v>
      </c>
      <c r="D153" s="14" t="s">
        <v>325</v>
      </c>
      <c r="E153" s="15"/>
      <c r="F153" s="15"/>
      <c r="G153" s="15"/>
      <c r="H153" s="15"/>
      <c r="I153" s="15"/>
      <c r="J153" s="15"/>
      <c r="K153" s="15">
        <v>3731</v>
      </c>
      <c r="L153" s="105">
        <v>83</v>
      </c>
      <c r="M153" s="106"/>
      <c r="N153" s="106"/>
      <c r="O153" s="322">
        <f t="shared" si="24"/>
        <v>0</v>
      </c>
      <c r="P153" s="105"/>
      <c r="Q153" s="183"/>
    </row>
    <row r="154" spans="2:17" s="26" customFormat="1" ht="15.75" thickBot="1">
      <c r="B154" s="475" t="s">
        <v>407</v>
      </c>
      <c r="C154" s="619" t="s">
        <v>33</v>
      </c>
      <c r="D154" s="687"/>
      <c r="E154" s="433">
        <v>42988</v>
      </c>
      <c r="F154" s="433">
        <v>41924</v>
      </c>
      <c r="G154" s="433">
        <v>49127</v>
      </c>
      <c r="H154" s="433">
        <v>48507</v>
      </c>
      <c r="I154" s="433">
        <v>53865</v>
      </c>
      <c r="J154" s="433">
        <f aca="true" t="shared" si="28" ref="J154:P154">J155+J161+J160</f>
        <v>59113.2</v>
      </c>
      <c r="K154" s="433">
        <f t="shared" si="28"/>
        <v>51352</v>
      </c>
      <c r="L154" s="433">
        <f t="shared" si="28"/>
        <v>57413</v>
      </c>
      <c r="M154" s="433">
        <f>M155+M161+M160</f>
        <v>116557</v>
      </c>
      <c r="N154" s="433">
        <f t="shared" si="28"/>
        <v>48134</v>
      </c>
      <c r="O154" s="434">
        <f t="shared" si="24"/>
        <v>0.4129653302675944</v>
      </c>
      <c r="P154" s="433">
        <f t="shared" si="28"/>
        <v>48134</v>
      </c>
      <c r="Q154" s="435">
        <f>Q155+Q161+Q160</f>
        <v>48135</v>
      </c>
    </row>
    <row r="155" spans="2:17" ht="13.5" thickBot="1">
      <c r="B155" s="731"/>
      <c r="C155" s="723" t="s">
        <v>34</v>
      </c>
      <c r="D155" s="724"/>
      <c r="E155" s="3">
        <v>39801</v>
      </c>
      <c r="F155" s="3">
        <v>41194</v>
      </c>
      <c r="G155" s="3">
        <v>47169</v>
      </c>
      <c r="H155" s="3">
        <v>47600</v>
      </c>
      <c r="I155" s="3">
        <v>53724</v>
      </c>
      <c r="J155" s="3">
        <f aca="true" t="shared" si="29" ref="J155:P155">SUM(J156:J158)</f>
        <v>56208.2</v>
      </c>
      <c r="K155" s="3">
        <f t="shared" si="29"/>
        <v>47897</v>
      </c>
      <c r="L155" s="3">
        <f>SUM(L156:L159)</f>
        <v>54913</v>
      </c>
      <c r="M155" s="3">
        <f>SUM(M156:M158)</f>
        <v>45634</v>
      </c>
      <c r="N155" s="3">
        <f t="shared" si="29"/>
        <v>45634</v>
      </c>
      <c r="O155" s="336">
        <f t="shared" si="24"/>
        <v>1</v>
      </c>
      <c r="P155" s="3">
        <f t="shared" si="29"/>
        <v>45634</v>
      </c>
      <c r="Q155" s="134">
        <f>SUM(Q156:Q158)</f>
        <v>45634</v>
      </c>
    </row>
    <row r="156" spans="2:17" ht="12.75">
      <c r="B156" s="732"/>
      <c r="C156" s="176">
        <v>610</v>
      </c>
      <c r="D156" s="30" t="s">
        <v>2</v>
      </c>
      <c r="E156" s="29"/>
      <c r="F156" s="29">
        <v>22141</v>
      </c>
      <c r="G156" s="29">
        <v>25294</v>
      </c>
      <c r="H156" s="29">
        <v>27320</v>
      </c>
      <c r="I156" s="29">
        <v>30945</v>
      </c>
      <c r="J156" s="29">
        <v>30403</v>
      </c>
      <c r="K156" s="29">
        <v>28630</v>
      </c>
      <c r="L156" s="29">
        <v>28741</v>
      </c>
      <c r="M156" s="96">
        <v>28774</v>
      </c>
      <c r="N156" s="96">
        <v>28774</v>
      </c>
      <c r="O156" s="335">
        <f t="shared" si="24"/>
        <v>1</v>
      </c>
      <c r="P156" s="29">
        <v>28774</v>
      </c>
      <c r="Q156" s="133">
        <v>28774</v>
      </c>
    </row>
    <row r="157" spans="2:17" ht="12.75">
      <c r="B157" s="732"/>
      <c r="C157" s="153">
        <v>620</v>
      </c>
      <c r="D157" s="12" t="s">
        <v>3</v>
      </c>
      <c r="E157" s="13"/>
      <c r="F157" s="13">
        <v>8265</v>
      </c>
      <c r="G157" s="13">
        <v>9427</v>
      </c>
      <c r="H157" s="13">
        <v>10234</v>
      </c>
      <c r="I157" s="13">
        <v>11482</v>
      </c>
      <c r="J157" s="13">
        <f>11947-(14.4+22.4+180)</f>
        <v>11730.2</v>
      </c>
      <c r="K157" s="13">
        <v>10691</v>
      </c>
      <c r="L157" s="13">
        <v>10646</v>
      </c>
      <c r="M157" s="89">
        <v>10741</v>
      </c>
      <c r="N157" s="89">
        <v>10741</v>
      </c>
      <c r="O157" s="317">
        <f t="shared" si="24"/>
        <v>1</v>
      </c>
      <c r="P157" s="13">
        <v>10741</v>
      </c>
      <c r="Q157" s="125">
        <v>10741</v>
      </c>
    </row>
    <row r="158" spans="2:17" ht="13.5" thickBot="1">
      <c r="B158" s="732"/>
      <c r="C158" s="154">
        <v>630</v>
      </c>
      <c r="D158" s="14" t="s">
        <v>47</v>
      </c>
      <c r="E158" s="15"/>
      <c r="F158" s="15">
        <v>10788</v>
      </c>
      <c r="G158" s="15">
        <v>12448</v>
      </c>
      <c r="H158" s="15">
        <v>10046</v>
      </c>
      <c r="I158" s="15">
        <v>11297</v>
      </c>
      <c r="J158" s="15">
        <f>16682-(2550+28+110)+81</f>
        <v>14075</v>
      </c>
      <c r="K158" s="15">
        <f>11880-3455+151</f>
        <v>8576</v>
      </c>
      <c r="L158" s="15">
        <v>15451</v>
      </c>
      <c r="M158" s="15">
        <v>6119</v>
      </c>
      <c r="N158" s="15">
        <v>6119</v>
      </c>
      <c r="O158" s="333">
        <f t="shared" si="24"/>
        <v>1</v>
      </c>
      <c r="P158" s="15">
        <v>6119</v>
      </c>
      <c r="Q158" s="131">
        <v>6119</v>
      </c>
    </row>
    <row r="159" spans="2:17" ht="13.5" hidden="1" thickBot="1">
      <c r="B159" s="732"/>
      <c r="C159" s="158"/>
      <c r="D159" s="107"/>
      <c r="E159" s="268"/>
      <c r="F159" s="268"/>
      <c r="G159" s="268"/>
      <c r="H159" s="268"/>
      <c r="I159" s="268"/>
      <c r="J159" s="15"/>
      <c r="K159" s="15"/>
      <c r="L159" s="15">
        <v>75</v>
      </c>
      <c r="M159" s="180"/>
      <c r="N159" s="180"/>
      <c r="O159" s="318">
        <f t="shared" si="24"/>
        <v>0</v>
      </c>
      <c r="P159" s="64"/>
      <c r="Q159" s="219"/>
    </row>
    <row r="160" spans="2:17" ht="13.5" customHeight="1" thickBot="1">
      <c r="B160" s="732"/>
      <c r="C160" s="171">
        <v>630</v>
      </c>
      <c r="D160" s="107" t="s">
        <v>334</v>
      </c>
      <c r="E160" s="268"/>
      <c r="F160" s="268"/>
      <c r="G160" s="268"/>
      <c r="H160" s="268"/>
      <c r="I160" s="268"/>
      <c r="J160" s="62"/>
      <c r="K160" s="62"/>
      <c r="L160" s="15"/>
      <c r="M160" s="180">
        <v>68423</v>
      </c>
      <c r="N160" s="180"/>
      <c r="O160" s="318">
        <f t="shared" si="24"/>
        <v>0</v>
      </c>
      <c r="P160" s="64"/>
      <c r="Q160" s="219"/>
    </row>
    <row r="161" spans="2:17" ht="13.5" thickBot="1">
      <c r="B161" s="732"/>
      <c r="C161" s="747" t="s">
        <v>35</v>
      </c>
      <c r="D161" s="748"/>
      <c r="E161" s="297">
        <v>3187</v>
      </c>
      <c r="F161" s="297">
        <v>730</v>
      </c>
      <c r="G161" s="297">
        <v>1958</v>
      </c>
      <c r="H161" s="297">
        <v>907</v>
      </c>
      <c r="I161" s="297">
        <v>141</v>
      </c>
      <c r="J161" s="62">
        <f aca="true" t="shared" si="30" ref="J161:Q161">J162</f>
        <v>2905</v>
      </c>
      <c r="K161" s="62">
        <f t="shared" si="30"/>
        <v>3455</v>
      </c>
      <c r="L161" s="62">
        <f t="shared" si="30"/>
        <v>2500</v>
      </c>
      <c r="M161" s="62">
        <f t="shared" si="30"/>
        <v>2500</v>
      </c>
      <c r="N161" s="62">
        <f t="shared" si="30"/>
        <v>2500</v>
      </c>
      <c r="O161" s="339">
        <f t="shared" si="24"/>
        <v>1</v>
      </c>
      <c r="P161" s="62">
        <f t="shared" si="30"/>
        <v>2500</v>
      </c>
      <c r="Q161" s="220">
        <f t="shared" si="30"/>
        <v>2501</v>
      </c>
    </row>
    <row r="162" spans="2:17" ht="13.5" thickBot="1">
      <c r="B162" s="733"/>
      <c r="C162" s="177">
        <v>630</v>
      </c>
      <c r="D162" s="14" t="s">
        <v>47</v>
      </c>
      <c r="E162" s="15">
        <v>3187</v>
      </c>
      <c r="F162" s="15">
        <v>730</v>
      </c>
      <c r="G162" s="15">
        <v>1958</v>
      </c>
      <c r="H162" s="15">
        <v>907</v>
      </c>
      <c r="I162" s="15">
        <v>141</v>
      </c>
      <c r="J162" s="14">
        <v>2905</v>
      </c>
      <c r="K162" s="14">
        <v>3455</v>
      </c>
      <c r="L162" s="15">
        <v>2500</v>
      </c>
      <c r="M162" s="95">
        <v>2500</v>
      </c>
      <c r="N162" s="95">
        <v>2500</v>
      </c>
      <c r="O162" s="333">
        <f t="shared" si="24"/>
        <v>1</v>
      </c>
      <c r="P162" s="15">
        <v>2500</v>
      </c>
      <c r="Q162" s="131">
        <v>2501</v>
      </c>
    </row>
    <row r="163" spans="2:17" s="27" customFormat="1" ht="15.75" thickBot="1">
      <c r="B163" s="382" t="s">
        <v>407</v>
      </c>
      <c r="C163" s="734" t="s">
        <v>57</v>
      </c>
      <c r="D163" s="681"/>
      <c r="E163" s="438">
        <v>90752</v>
      </c>
      <c r="F163" s="438">
        <v>96030</v>
      </c>
      <c r="G163" s="438">
        <v>117540</v>
      </c>
      <c r="H163" s="438">
        <v>141455</v>
      </c>
      <c r="I163" s="438">
        <f>SUM(I164:I168)</f>
        <v>157876</v>
      </c>
      <c r="J163" s="438">
        <f aca="true" t="shared" si="31" ref="J163:P163">SUM(J164:J168)</f>
        <v>153798</v>
      </c>
      <c r="K163" s="438">
        <f t="shared" si="31"/>
        <v>141580</v>
      </c>
      <c r="L163" s="438">
        <f>SUM(L164:L168)</f>
        <v>144793</v>
      </c>
      <c r="M163" s="438">
        <f t="shared" si="31"/>
        <v>138928</v>
      </c>
      <c r="N163" s="438">
        <f t="shared" si="31"/>
        <v>138928</v>
      </c>
      <c r="O163" s="439">
        <f t="shared" si="24"/>
        <v>1</v>
      </c>
      <c r="P163" s="438">
        <f t="shared" si="31"/>
        <v>138928</v>
      </c>
      <c r="Q163" s="441">
        <f>SUM(Q164:Q168)</f>
        <v>138928</v>
      </c>
    </row>
    <row r="164" spans="2:17" ht="12.75">
      <c r="B164" s="731"/>
      <c r="C164" s="152">
        <v>610</v>
      </c>
      <c r="D164" s="10" t="s">
        <v>2</v>
      </c>
      <c r="E164" s="11"/>
      <c r="F164" s="11">
        <v>65691</v>
      </c>
      <c r="G164" s="11">
        <v>80097</v>
      </c>
      <c r="H164" s="11">
        <v>93395</v>
      </c>
      <c r="I164" s="11">
        <v>102238</v>
      </c>
      <c r="J164" s="10">
        <v>102422</v>
      </c>
      <c r="K164" s="10">
        <v>93404</v>
      </c>
      <c r="L164" s="11">
        <v>93846</v>
      </c>
      <c r="M164" s="11">
        <v>93319</v>
      </c>
      <c r="N164" s="88">
        <f>93319</f>
        <v>93319</v>
      </c>
      <c r="O164" s="316">
        <f t="shared" si="24"/>
        <v>1</v>
      </c>
      <c r="P164" s="11">
        <v>93319</v>
      </c>
      <c r="Q164" s="124">
        <v>93319</v>
      </c>
    </row>
    <row r="165" spans="2:17" ht="12.75">
      <c r="B165" s="732"/>
      <c r="C165" s="153">
        <v>620</v>
      </c>
      <c r="D165" s="12" t="s">
        <v>3</v>
      </c>
      <c r="E165" s="13"/>
      <c r="F165" s="13">
        <v>22738</v>
      </c>
      <c r="G165" s="13">
        <v>27783</v>
      </c>
      <c r="H165" s="13">
        <v>32056</v>
      </c>
      <c r="I165" s="13">
        <v>35361</v>
      </c>
      <c r="J165" s="12">
        <v>35526</v>
      </c>
      <c r="K165" s="12">
        <v>32703</v>
      </c>
      <c r="L165" s="13">
        <v>32877</v>
      </c>
      <c r="M165" s="13">
        <v>32649</v>
      </c>
      <c r="N165" s="89">
        <f>32649</f>
        <v>32649</v>
      </c>
      <c r="O165" s="317">
        <f t="shared" si="24"/>
        <v>1</v>
      </c>
      <c r="P165" s="13">
        <v>32649</v>
      </c>
      <c r="Q165" s="125">
        <v>32649</v>
      </c>
    </row>
    <row r="166" spans="2:17" ht="12.75">
      <c r="B166" s="732"/>
      <c r="C166" s="163">
        <v>630</v>
      </c>
      <c r="D166" s="24" t="s">
        <v>47</v>
      </c>
      <c r="E166" s="25"/>
      <c r="F166" s="25">
        <v>7369</v>
      </c>
      <c r="G166" s="25">
        <v>8830</v>
      </c>
      <c r="H166" s="25">
        <v>15669</v>
      </c>
      <c r="I166" s="25">
        <v>19477</v>
      </c>
      <c r="J166" s="24">
        <v>15050</v>
      </c>
      <c r="K166" s="24">
        <v>14133</v>
      </c>
      <c r="L166" s="25">
        <v>17748</v>
      </c>
      <c r="M166" s="91">
        <v>12960</v>
      </c>
      <c r="N166" s="91">
        <v>12960</v>
      </c>
      <c r="O166" s="334">
        <f t="shared" si="24"/>
        <v>1</v>
      </c>
      <c r="P166" s="25">
        <v>12960</v>
      </c>
      <c r="Q166" s="135">
        <v>12960</v>
      </c>
    </row>
    <row r="167" spans="2:17" ht="13.5" thickBot="1">
      <c r="B167" s="732"/>
      <c r="C167" s="154">
        <v>640</v>
      </c>
      <c r="D167" s="14" t="s">
        <v>277</v>
      </c>
      <c r="E167" s="15"/>
      <c r="F167" s="15"/>
      <c r="G167" s="15"/>
      <c r="H167" s="15"/>
      <c r="I167" s="15"/>
      <c r="J167" s="14"/>
      <c r="K167" s="14">
        <v>1340</v>
      </c>
      <c r="L167" s="15">
        <v>322</v>
      </c>
      <c r="M167" s="95"/>
      <c r="N167" s="95"/>
      <c r="O167" s="333">
        <f t="shared" si="24"/>
        <v>0</v>
      </c>
      <c r="P167" s="15"/>
      <c r="Q167" s="131"/>
    </row>
    <row r="168" spans="2:17" ht="13.5" thickBot="1">
      <c r="B168" s="733"/>
      <c r="C168" s="158">
        <v>630</v>
      </c>
      <c r="D168" s="65" t="s">
        <v>209</v>
      </c>
      <c r="E168" s="64"/>
      <c r="F168" s="64">
        <v>232</v>
      </c>
      <c r="G168" s="64">
        <v>830</v>
      </c>
      <c r="H168" s="64">
        <v>335</v>
      </c>
      <c r="I168" s="64">
        <v>800</v>
      </c>
      <c r="J168" s="65">
        <v>800</v>
      </c>
      <c r="K168" s="65"/>
      <c r="L168" s="64"/>
      <c r="M168" s="180"/>
      <c r="N168" s="180"/>
      <c r="O168" s="318">
        <f t="shared" si="24"/>
        <v>0</v>
      </c>
      <c r="P168" s="64"/>
      <c r="Q168" s="219"/>
    </row>
    <row r="169" spans="2:17" s="27" customFormat="1" ht="15.75" thickBot="1">
      <c r="B169" s="494" t="s">
        <v>408</v>
      </c>
      <c r="C169" s="734" t="s">
        <v>58</v>
      </c>
      <c r="D169" s="681"/>
      <c r="E169" s="481">
        <v>35152</v>
      </c>
      <c r="F169" s="481">
        <v>34654</v>
      </c>
      <c r="G169" s="481">
        <v>45741</v>
      </c>
      <c r="H169" s="481">
        <v>45381</v>
      </c>
      <c r="I169" s="438">
        <f>SUM(I170:I173)</f>
        <v>47758</v>
      </c>
      <c r="J169" s="438">
        <f>SUM(J170:J173)</f>
        <v>57427</v>
      </c>
      <c r="K169" s="438">
        <f>SUM(K170:K172)</f>
        <v>33860</v>
      </c>
      <c r="L169" s="438">
        <f>SUM(L170:L173)</f>
        <v>33843</v>
      </c>
      <c r="M169" s="438">
        <f>SUM(M170:M172)</f>
        <v>33166</v>
      </c>
      <c r="N169" s="438">
        <f>SUM(N170:N172)</f>
        <v>33166</v>
      </c>
      <c r="O169" s="439">
        <f t="shared" si="24"/>
        <v>1</v>
      </c>
      <c r="P169" s="438">
        <f>SUM(P170:P172)</f>
        <v>33166</v>
      </c>
      <c r="Q169" s="441">
        <f>SUM(Q170:Q172)</f>
        <v>33166</v>
      </c>
    </row>
    <row r="170" spans="2:17" s="27" customFormat="1" ht="12.75" customHeight="1">
      <c r="B170" s="754"/>
      <c r="C170" s="152">
        <v>610</v>
      </c>
      <c r="D170" s="21" t="s">
        <v>2</v>
      </c>
      <c r="E170" s="264"/>
      <c r="F170" s="264">
        <v>21277</v>
      </c>
      <c r="G170" s="264">
        <v>26622</v>
      </c>
      <c r="H170" s="264">
        <v>27938</v>
      </c>
      <c r="I170" s="264">
        <v>29205</v>
      </c>
      <c r="J170" s="11">
        <v>32982</v>
      </c>
      <c r="K170" s="11">
        <v>19537</v>
      </c>
      <c r="L170" s="11">
        <v>19331</v>
      </c>
      <c r="M170" s="11">
        <v>19199</v>
      </c>
      <c r="N170" s="88">
        <v>19199</v>
      </c>
      <c r="O170" s="316">
        <f t="shared" si="24"/>
        <v>1</v>
      </c>
      <c r="P170" s="11">
        <v>19199</v>
      </c>
      <c r="Q170" s="124">
        <v>19199</v>
      </c>
    </row>
    <row r="171" spans="2:17" s="27" customFormat="1" ht="12.75" customHeight="1">
      <c r="B171" s="755"/>
      <c r="C171" s="153">
        <v>620</v>
      </c>
      <c r="D171" s="22" t="s">
        <v>3</v>
      </c>
      <c r="E171" s="265"/>
      <c r="F171" s="265">
        <v>8033</v>
      </c>
      <c r="G171" s="265">
        <v>9792</v>
      </c>
      <c r="H171" s="265">
        <v>10190</v>
      </c>
      <c r="I171" s="265">
        <v>10431</v>
      </c>
      <c r="J171" s="13">
        <v>13206</v>
      </c>
      <c r="K171" s="13">
        <v>7857</v>
      </c>
      <c r="L171" s="13">
        <v>7510</v>
      </c>
      <c r="M171" s="13">
        <v>7390</v>
      </c>
      <c r="N171" s="89">
        <v>7390</v>
      </c>
      <c r="O171" s="317">
        <f t="shared" si="24"/>
        <v>1</v>
      </c>
      <c r="P171" s="13">
        <v>7390</v>
      </c>
      <c r="Q171" s="125">
        <v>7390</v>
      </c>
    </row>
    <row r="172" spans="2:17" s="27" customFormat="1" ht="12.75" customHeight="1">
      <c r="B172" s="755"/>
      <c r="C172" s="153">
        <v>630</v>
      </c>
      <c r="D172" s="22" t="s">
        <v>47</v>
      </c>
      <c r="E172" s="265"/>
      <c r="F172" s="265">
        <v>5344</v>
      </c>
      <c r="G172" s="265">
        <v>9327</v>
      </c>
      <c r="H172" s="265">
        <v>7253</v>
      </c>
      <c r="I172" s="265">
        <v>8122</v>
      </c>
      <c r="J172" s="13">
        <v>7483</v>
      </c>
      <c r="K172" s="13">
        <v>6466</v>
      </c>
      <c r="L172" s="13">
        <v>6899</v>
      </c>
      <c r="M172" s="89">
        <v>6577</v>
      </c>
      <c r="N172" s="89">
        <v>6577</v>
      </c>
      <c r="O172" s="317">
        <f t="shared" si="24"/>
        <v>1</v>
      </c>
      <c r="P172" s="13">
        <v>6577</v>
      </c>
      <c r="Q172" s="125">
        <v>6577</v>
      </c>
    </row>
    <row r="173" spans="2:17" s="27" customFormat="1" ht="12.75" customHeight="1" thickBot="1">
      <c r="B173" s="756"/>
      <c r="C173" s="158">
        <v>640</v>
      </c>
      <c r="D173" s="107" t="s">
        <v>277</v>
      </c>
      <c r="E173" s="268"/>
      <c r="F173" s="268"/>
      <c r="G173" s="268"/>
      <c r="H173" s="268"/>
      <c r="I173" s="268"/>
      <c r="J173" s="64">
        <v>3756</v>
      </c>
      <c r="K173" s="64"/>
      <c r="L173" s="64">
        <v>103</v>
      </c>
      <c r="M173" s="15"/>
      <c r="N173" s="15"/>
      <c r="O173" s="333">
        <f t="shared" si="24"/>
        <v>0</v>
      </c>
      <c r="P173" s="15"/>
      <c r="Q173" s="131"/>
    </row>
    <row r="174" spans="2:17" s="223" customFormat="1" ht="30.75" customHeight="1" thickBot="1">
      <c r="B174" s="495" t="s">
        <v>409</v>
      </c>
      <c r="C174" s="750" t="s">
        <v>55</v>
      </c>
      <c r="D174" s="751"/>
      <c r="E174" s="496">
        <v>105855</v>
      </c>
      <c r="F174" s="496">
        <v>102071</v>
      </c>
      <c r="G174" s="496">
        <v>77475</v>
      </c>
      <c r="H174" s="496">
        <v>119794</v>
      </c>
      <c r="I174" s="497">
        <v>122484</v>
      </c>
      <c r="J174" s="497">
        <f aca="true" t="shared" si="32" ref="J174:P174">J175+J180+J181+J182+J183+J184+J186+J187+J185</f>
        <v>95592</v>
      </c>
      <c r="K174" s="497">
        <f t="shared" si="32"/>
        <v>235945</v>
      </c>
      <c r="L174" s="497">
        <f t="shared" si="32"/>
        <v>566990</v>
      </c>
      <c r="M174" s="497">
        <f t="shared" si="32"/>
        <v>340716</v>
      </c>
      <c r="N174" s="497">
        <f t="shared" si="32"/>
        <v>340716</v>
      </c>
      <c r="O174" s="498">
        <f t="shared" si="24"/>
        <v>1</v>
      </c>
      <c r="P174" s="497">
        <f t="shared" si="32"/>
        <v>340716</v>
      </c>
      <c r="Q174" s="499">
        <f>Q175+Q180+Q181+Q182+Q183+Q184+Q186+Q187+Q185</f>
        <v>340716</v>
      </c>
    </row>
    <row r="175" spans="2:17" ht="13.5" thickBot="1">
      <c r="B175" s="749"/>
      <c r="C175" s="752" t="s">
        <v>36</v>
      </c>
      <c r="D175" s="753"/>
      <c r="E175" s="298">
        <v>26024</v>
      </c>
      <c r="F175" s="298">
        <v>26422</v>
      </c>
      <c r="G175" s="298">
        <v>12381</v>
      </c>
      <c r="H175" s="298">
        <v>67096</v>
      </c>
      <c r="I175" s="102">
        <f aca="true" t="shared" si="33" ref="I175:P175">SUM(I176:I178)</f>
        <v>63788</v>
      </c>
      <c r="J175" s="102">
        <f t="shared" si="33"/>
        <v>2494</v>
      </c>
      <c r="K175" s="102">
        <f t="shared" si="33"/>
        <v>41385</v>
      </c>
      <c r="L175" s="102">
        <f>SUM(L176:L179)</f>
        <v>80229</v>
      </c>
      <c r="M175" s="102">
        <f>SUM(M176:M178)</f>
        <v>85592</v>
      </c>
      <c r="N175" s="102">
        <f t="shared" si="33"/>
        <v>85592</v>
      </c>
      <c r="O175" s="340">
        <f t="shared" si="24"/>
        <v>1</v>
      </c>
      <c r="P175" s="102">
        <f t="shared" si="33"/>
        <v>85592</v>
      </c>
      <c r="Q175" s="221">
        <f>SUM(Q176:Q178)</f>
        <v>85592</v>
      </c>
    </row>
    <row r="176" spans="2:17" ht="12.75">
      <c r="B176" s="749"/>
      <c r="C176" s="237">
        <v>610</v>
      </c>
      <c r="D176" s="10" t="s">
        <v>2</v>
      </c>
      <c r="E176" s="11"/>
      <c r="F176" s="11">
        <v>16132</v>
      </c>
      <c r="G176" s="11">
        <v>7933</v>
      </c>
      <c r="H176" s="11">
        <v>43567</v>
      </c>
      <c r="I176" s="11">
        <v>42257</v>
      </c>
      <c r="J176" s="109">
        <v>2163</v>
      </c>
      <c r="K176" s="109">
        <v>27310</v>
      </c>
      <c r="L176" s="109">
        <v>54820</v>
      </c>
      <c r="M176" s="109">
        <v>57902</v>
      </c>
      <c r="N176" s="109">
        <v>57902</v>
      </c>
      <c r="O176" s="341">
        <f t="shared" si="24"/>
        <v>1</v>
      </c>
      <c r="P176" s="109">
        <v>57902</v>
      </c>
      <c r="Q176" s="222">
        <v>57902</v>
      </c>
    </row>
    <row r="177" spans="2:17" ht="12.75">
      <c r="B177" s="749"/>
      <c r="C177" s="184">
        <v>620</v>
      </c>
      <c r="D177" s="12" t="s">
        <v>3</v>
      </c>
      <c r="E177" s="13"/>
      <c r="F177" s="13">
        <v>5344</v>
      </c>
      <c r="G177" s="13">
        <v>2622</v>
      </c>
      <c r="H177" s="13">
        <v>14529</v>
      </c>
      <c r="I177" s="13">
        <v>14713</v>
      </c>
      <c r="J177" s="110">
        <v>323</v>
      </c>
      <c r="K177" s="110">
        <v>10254</v>
      </c>
      <c r="L177" s="110">
        <v>19614</v>
      </c>
      <c r="M177" s="181">
        <v>20830</v>
      </c>
      <c r="N177" s="181">
        <v>20830</v>
      </c>
      <c r="O177" s="342">
        <f t="shared" si="24"/>
        <v>1</v>
      </c>
      <c r="P177" s="110">
        <v>20830</v>
      </c>
      <c r="Q177" s="136">
        <v>20830</v>
      </c>
    </row>
    <row r="178" spans="2:17" ht="12.75">
      <c r="B178" s="749"/>
      <c r="C178" s="184">
        <v>630</v>
      </c>
      <c r="D178" s="12" t="s">
        <v>47</v>
      </c>
      <c r="E178" s="13"/>
      <c r="F178" s="13">
        <v>4946</v>
      </c>
      <c r="G178" s="13">
        <v>1826</v>
      </c>
      <c r="H178" s="13">
        <v>9000</v>
      </c>
      <c r="I178" s="13">
        <v>6818</v>
      </c>
      <c r="J178" s="13">
        <v>8</v>
      </c>
      <c r="K178" s="13">
        <f>3526+295</f>
        <v>3821</v>
      </c>
      <c r="L178" s="110">
        <v>5011</v>
      </c>
      <c r="M178" s="181">
        <v>6860</v>
      </c>
      <c r="N178" s="181">
        <v>6860</v>
      </c>
      <c r="O178" s="342">
        <f t="shared" si="24"/>
        <v>1</v>
      </c>
      <c r="P178" s="110">
        <v>6860</v>
      </c>
      <c r="Q178" s="136">
        <v>6860</v>
      </c>
    </row>
    <row r="179" spans="2:17" ht="13.5" thickBot="1">
      <c r="B179" s="749"/>
      <c r="C179" s="186"/>
      <c r="D179" s="23"/>
      <c r="E179" s="242"/>
      <c r="F179" s="242"/>
      <c r="G179" s="242"/>
      <c r="H179" s="242"/>
      <c r="I179" s="242"/>
      <c r="J179" s="242"/>
      <c r="K179" s="242"/>
      <c r="L179" s="243">
        <v>784</v>
      </c>
      <c r="M179" s="244"/>
      <c r="N179" s="244"/>
      <c r="O179" s="343">
        <f t="shared" si="24"/>
        <v>0</v>
      </c>
      <c r="P179" s="243"/>
      <c r="Q179" s="245"/>
    </row>
    <row r="180" spans="2:17" ht="12.75">
      <c r="B180" s="749"/>
      <c r="C180" s="241"/>
      <c r="D180" s="53" t="s">
        <v>37</v>
      </c>
      <c r="E180" s="270"/>
      <c r="F180" s="270"/>
      <c r="G180" s="270"/>
      <c r="H180" s="270"/>
      <c r="I180" s="270"/>
      <c r="J180" s="53">
        <v>9265</v>
      </c>
      <c r="K180" s="53">
        <v>11343</v>
      </c>
      <c r="L180" s="246">
        <v>6313</v>
      </c>
      <c r="M180" s="96">
        <v>7000</v>
      </c>
      <c r="N180" s="96">
        <v>7000</v>
      </c>
      <c r="O180" s="335">
        <f t="shared" si="24"/>
        <v>1</v>
      </c>
      <c r="P180" s="29">
        <v>7000</v>
      </c>
      <c r="Q180" s="133">
        <v>7000</v>
      </c>
    </row>
    <row r="181" spans="2:17" ht="12.75" hidden="1">
      <c r="B181" s="749"/>
      <c r="C181" s="238"/>
      <c r="D181" s="22" t="s">
        <v>250</v>
      </c>
      <c r="E181" s="265"/>
      <c r="F181" s="265"/>
      <c r="G181" s="265"/>
      <c r="H181" s="265"/>
      <c r="I181" s="265"/>
      <c r="J181" s="22"/>
      <c r="K181" s="22"/>
      <c r="L181" s="247"/>
      <c r="M181" s="89">
        <v>0</v>
      </c>
      <c r="N181" s="89">
        <v>0</v>
      </c>
      <c r="O181" s="317">
        <f t="shared" si="24"/>
        <v>0</v>
      </c>
      <c r="P181" s="13">
        <v>0</v>
      </c>
      <c r="Q181" s="125">
        <v>0</v>
      </c>
    </row>
    <row r="182" spans="2:17" ht="12.75" customHeight="1" hidden="1">
      <c r="B182" s="749"/>
      <c r="C182" s="238">
        <v>630</v>
      </c>
      <c r="D182" s="22" t="s">
        <v>250</v>
      </c>
      <c r="E182" s="265"/>
      <c r="F182" s="265"/>
      <c r="G182" s="265"/>
      <c r="H182" s="265"/>
      <c r="I182" s="265"/>
      <c r="J182" s="22"/>
      <c r="K182" s="22"/>
      <c r="L182" s="247"/>
      <c r="M182" s="89">
        <v>0</v>
      </c>
      <c r="N182" s="89">
        <v>0</v>
      </c>
      <c r="O182" s="317">
        <f t="shared" si="24"/>
        <v>0</v>
      </c>
      <c r="P182" s="13">
        <v>0</v>
      </c>
      <c r="Q182" s="125">
        <v>0</v>
      </c>
    </row>
    <row r="183" spans="2:17" ht="12.75">
      <c r="B183" s="749"/>
      <c r="C183" s="238">
        <v>630</v>
      </c>
      <c r="D183" s="22" t="s">
        <v>38</v>
      </c>
      <c r="E183" s="265"/>
      <c r="F183" s="265"/>
      <c r="G183" s="265"/>
      <c r="H183" s="265"/>
      <c r="I183" s="265"/>
      <c r="J183" s="22">
        <v>66358</v>
      </c>
      <c r="K183" s="22">
        <v>95746</v>
      </c>
      <c r="L183" s="247">
        <f>5530+80179</f>
        <v>85709</v>
      </c>
      <c r="M183" s="89">
        <v>35000</v>
      </c>
      <c r="N183" s="89">
        <v>35000</v>
      </c>
      <c r="O183" s="317">
        <f t="shared" si="24"/>
        <v>1</v>
      </c>
      <c r="P183" s="13">
        <v>35000</v>
      </c>
      <c r="Q183" s="125">
        <v>35000</v>
      </c>
    </row>
    <row r="184" spans="2:17" ht="12.75">
      <c r="B184" s="749"/>
      <c r="C184" s="238">
        <v>630</v>
      </c>
      <c r="D184" s="22" t="s">
        <v>250</v>
      </c>
      <c r="E184" s="265"/>
      <c r="F184" s="265"/>
      <c r="G184" s="265"/>
      <c r="H184" s="265"/>
      <c r="I184" s="265"/>
      <c r="J184" s="13">
        <v>642</v>
      </c>
      <c r="K184" s="22"/>
      <c r="L184" s="247"/>
      <c r="M184" s="89">
        <v>0</v>
      </c>
      <c r="N184" s="89">
        <v>0</v>
      </c>
      <c r="O184" s="317">
        <f t="shared" si="24"/>
        <v>0</v>
      </c>
      <c r="P184" s="13">
        <v>0</v>
      </c>
      <c r="Q184" s="125">
        <v>0</v>
      </c>
    </row>
    <row r="185" spans="2:17" ht="12.75">
      <c r="B185" s="749"/>
      <c r="C185" s="238"/>
      <c r="D185" s="22" t="s">
        <v>293</v>
      </c>
      <c r="E185" s="265"/>
      <c r="F185" s="265"/>
      <c r="G185" s="265"/>
      <c r="H185" s="265"/>
      <c r="I185" s="265"/>
      <c r="J185" s="22"/>
      <c r="K185" s="22">
        <v>85602</v>
      </c>
      <c r="L185" s="247">
        <f>4915+388479</f>
        <v>393394</v>
      </c>
      <c r="M185" s="89">
        <v>192900</v>
      </c>
      <c r="N185" s="89">
        <v>192900</v>
      </c>
      <c r="O185" s="317">
        <f t="shared" si="24"/>
        <v>1</v>
      </c>
      <c r="P185" s="13">
        <v>192900</v>
      </c>
      <c r="Q185" s="125">
        <v>192900</v>
      </c>
    </row>
    <row r="186" spans="2:17" ht="12.75">
      <c r="B186" s="749"/>
      <c r="C186" s="238">
        <v>630</v>
      </c>
      <c r="D186" s="22" t="s">
        <v>39</v>
      </c>
      <c r="E186" s="265"/>
      <c r="F186" s="265"/>
      <c r="G186" s="265"/>
      <c r="H186" s="265"/>
      <c r="I186" s="265"/>
      <c r="J186" s="22">
        <v>16833</v>
      </c>
      <c r="K186" s="22">
        <v>1809</v>
      </c>
      <c r="L186" s="247">
        <v>1345</v>
      </c>
      <c r="M186" s="89">
        <v>20224</v>
      </c>
      <c r="N186" s="89">
        <v>20224</v>
      </c>
      <c r="O186" s="317">
        <f t="shared" si="24"/>
        <v>1</v>
      </c>
      <c r="P186" s="13">
        <v>20224</v>
      </c>
      <c r="Q186" s="125">
        <v>20224</v>
      </c>
    </row>
    <row r="187" spans="2:17" ht="13.5" thickBot="1">
      <c r="B187" s="749"/>
      <c r="C187" s="239">
        <v>630</v>
      </c>
      <c r="D187" s="151" t="s">
        <v>40</v>
      </c>
      <c r="E187" s="271"/>
      <c r="F187" s="271"/>
      <c r="G187" s="271"/>
      <c r="H187" s="271"/>
      <c r="I187" s="271"/>
      <c r="J187" s="151"/>
      <c r="K187" s="151">
        <v>60</v>
      </c>
      <c r="L187" s="247"/>
      <c r="M187" s="240"/>
      <c r="N187" s="240"/>
      <c r="O187" s="344">
        <f t="shared" si="24"/>
        <v>0</v>
      </c>
      <c r="P187" s="356"/>
      <c r="Q187" s="216"/>
    </row>
    <row r="188" spans="2:17" s="28" customFormat="1" ht="17.25" thickBot="1" thickTop="1">
      <c r="B188" s="500"/>
      <c r="C188" s="501"/>
      <c r="D188" s="502" t="s">
        <v>43</v>
      </c>
      <c r="E188" s="465">
        <f aca="true" t="shared" si="34" ref="E188:N188">E4+E10+E14+E25+E27+E29+E34+E36+E41+E47+E52+E67+E71+E77+E82+E86+E105+E107+E115+E119+E129+E132+E136+E149+E154+E163+E169+E174+E109+E19+E43+E75</f>
        <v>5867125</v>
      </c>
      <c r="F188" s="465">
        <f t="shared" si="34"/>
        <v>6460200</v>
      </c>
      <c r="G188" s="465">
        <f t="shared" si="34"/>
        <v>7832271</v>
      </c>
      <c r="H188" s="465">
        <f t="shared" si="34"/>
        <v>8716285.43</v>
      </c>
      <c r="I188" s="465">
        <f t="shared" si="34"/>
        <v>9309387</v>
      </c>
      <c r="J188" s="465">
        <f t="shared" si="34"/>
        <v>8798575.2</v>
      </c>
      <c r="K188" s="465">
        <f t="shared" si="34"/>
        <v>9090417</v>
      </c>
      <c r="L188" s="465">
        <f t="shared" si="34"/>
        <v>8934542</v>
      </c>
      <c r="M188" s="465">
        <f t="shared" si="34"/>
        <v>9065389</v>
      </c>
      <c r="N188" s="465">
        <f t="shared" si="34"/>
        <v>8933786</v>
      </c>
      <c r="O188" s="466">
        <f t="shared" si="24"/>
        <v>0.9854829175008375</v>
      </c>
      <c r="P188" s="465">
        <f>P4+P10+P14+P25+P27+P29+P34+P36+P41+P47+P52+P67+P71+P77+P82+P86+P105+P107+P115+P119+P129+P132+P136+P149+P154+P163+P169+P174+P109+P19+P43+P75</f>
        <v>9049689</v>
      </c>
      <c r="Q188" s="467">
        <f>Q4+Q10+Q14+Q25+Q27+Q29+Q34+Q36+Q41+Q47+Q52+Q67+Q71+Q77+Q82+Q86+Q105+Q107+Q115+Q119+Q129+Q132+Q136+Q149+Q154+Q163+Q169+Q174+Q109+Q19+Q43+Q75</f>
        <v>9049695</v>
      </c>
    </row>
    <row r="189" ht="13.5" thickTop="1"/>
    <row r="192" spans="5:16" ht="12.75">
      <c r="E192" s="116"/>
      <c r="F192" s="116"/>
      <c r="G192" s="116"/>
      <c r="H192" s="116"/>
      <c r="I192" s="116"/>
      <c r="P192" s="116"/>
    </row>
    <row r="193" spans="9:16" ht="12.75">
      <c r="I193" s="116"/>
      <c r="J193" s="116"/>
      <c r="K193" s="116"/>
      <c r="P193" s="116"/>
    </row>
    <row r="197" spans="2:15" ht="12.75">
      <c r="B197" s="9"/>
      <c r="C197" s="58"/>
      <c r="D197" s="9"/>
      <c r="E197" s="9"/>
      <c r="F197" s="9"/>
      <c r="G197" s="9"/>
      <c r="H197" s="9"/>
      <c r="I197" s="9"/>
      <c r="J197" s="9"/>
      <c r="K197" s="9"/>
      <c r="L197" s="77"/>
      <c r="M197" s="77"/>
      <c r="N197" s="77"/>
      <c r="O197" s="77"/>
    </row>
  </sheetData>
  <sheetProtection/>
  <mergeCells count="82">
    <mergeCell ref="C169:D169"/>
    <mergeCell ref="C163:D163"/>
    <mergeCell ref="B130:B131"/>
    <mergeCell ref="C119:D119"/>
    <mergeCell ref="B120:B128"/>
    <mergeCell ref="C136:D136"/>
    <mergeCell ref="C149:D149"/>
    <mergeCell ref="C141:D141"/>
    <mergeCell ref="C132:D132"/>
    <mergeCell ref="B133:B135"/>
    <mergeCell ref="B175:B187"/>
    <mergeCell ref="C174:D174"/>
    <mergeCell ref="C175:D175"/>
    <mergeCell ref="B170:B173"/>
    <mergeCell ref="B68:B70"/>
    <mergeCell ref="C67:D67"/>
    <mergeCell ref="B72:B74"/>
    <mergeCell ref="B116:B118"/>
    <mergeCell ref="B83:B85"/>
    <mergeCell ref="C82:D82"/>
    <mergeCell ref="B87:B104"/>
    <mergeCell ref="B110:B114"/>
    <mergeCell ref="B164:B168"/>
    <mergeCell ref="Q2:Q3"/>
    <mergeCell ref="O2:O3"/>
    <mergeCell ref="C115:D115"/>
    <mergeCell ref="C129:D129"/>
    <mergeCell ref="B155:B162"/>
    <mergeCell ref="B150:B153"/>
    <mergeCell ref="C142:C148"/>
    <mergeCell ref="C161:D161"/>
    <mergeCell ref="C155:D155"/>
    <mergeCell ref="C154:D154"/>
    <mergeCell ref="C107:D107"/>
    <mergeCell ref="C86:D86"/>
    <mergeCell ref="C105:D105"/>
    <mergeCell ref="C133:C135"/>
    <mergeCell ref="C109:D109"/>
    <mergeCell ref="J2:J3"/>
    <mergeCell ref="C10:D10"/>
    <mergeCell ref="C52:D52"/>
    <mergeCell ref="C2:C3"/>
    <mergeCell ref="D2:D3"/>
    <mergeCell ref="C41:D41"/>
    <mergeCell ref="C36:D36"/>
    <mergeCell ref="C14:D14"/>
    <mergeCell ref="C4:D4"/>
    <mergeCell ref="E2:E3"/>
    <mergeCell ref="B48:B51"/>
    <mergeCell ref="C27:D27"/>
    <mergeCell ref="B2:B3"/>
    <mergeCell ref="C137:D137"/>
    <mergeCell ref="C77:D77"/>
    <mergeCell ref="C71:D71"/>
    <mergeCell ref="C53:D53"/>
    <mergeCell ref="C75:D75"/>
    <mergeCell ref="B137:B148"/>
    <mergeCell ref="B78:B81"/>
    <mergeCell ref="F2:F3"/>
    <mergeCell ref="B53:B66"/>
    <mergeCell ref="G2:G3"/>
    <mergeCell ref="H2:H3"/>
    <mergeCell ref="C43:D43"/>
    <mergeCell ref="C47:D47"/>
    <mergeCell ref="B44:B46"/>
    <mergeCell ref="B11:B13"/>
    <mergeCell ref="B20:B24"/>
    <mergeCell ref="C25:D25"/>
    <mergeCell ref="C34:D34"/>
    <mergeCell ref="B30:B32"/>
    <mergeCell ref="C29:D29"/>
    <mergeCell ref="B37:B40"/>
    <mergeCell ref="N2:N3"/>
    <mergeCell ref="K2:K3"/>
    <mergeCell ref="B1:Q1"/>
    <mergeCell ref="C19:D19"/>
    <mergeCell ref="B15:B18"/>
    <mergeCell ref="I2:I3"/>
    <mergeCell ref="B5:B9"/>
    <mergeCell ref="P2:P3"/>
    <mergeCell ref="L2:L3"/>
    <mergeCell ref="M2:M3"/>
  </mergeCells>
  <printOptions/>
  <pageMargins left="0.3937007874015748" right="0.1968503937007874" top="0.5905511811023623" bottom="0.15748031496062992" header="0.2755905511811024" footer="0.15748031496062992"/>
  <pageSetup horizontalDpi="300" verticalDpi="300" orientation="landscape" paperSize="9" scale="79" r:id="rId1"/>
  <rowBreaks count="3" manualBreakCount="3">
    <brk id="46" max="255" man="1"/>
    <brk id="104" max="255" man="1"/>
    <brk id="148" max="16" man="1"/>
  </rowBreaks>
  <ignoredErrors>
    <ignoredError sqref="C68:C70 C73 J76:K76" numberStoredAsText="1"/>
    <ignoredError sqref="B43 B47 B10 B107 B86 B109 B14 B75" twoDigitTextYear="1"/>
    <ignoredError sqref="M155 P52:P53 P71 J71:N71 J52:M52 J53:M53" formulaRange="1"/>
    <ignoredError sqref="L14 L36 O136:O141 O132:O135 O115:O129 O105:O114 O77:O86 O71 O4:O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R53"/>
  <sheetViews>
    <sheetView showGridLines="0" zoomScalePageLayoutView="0" workbookViewId="0" topLeftCell="A1">
      <selection activeCell="B1" sqref="B1:P1"/>
    </sheetView>
  </sheetViews>
  <sheetFormatPr defaultColWidth="9.140625" defaultRowHeight="12.75"/>
  <cols>
    <col min="1" max="1" width="1.421875" style="504" customWidth="1"/>
    <col min="2" max="2" width="8.140625" style="504" customWidth="1"/>
    <col min="3" max="3" width="7.7109375" style="547" customWidth="1"/>
    <col min="4" max="4" width="36.00390625" style="504" customWidth="1"/>
    <col min="5" max="9" width="12.140625" style="504" hidden="1" customWidth="1"/>
    <col min="10" max="11" width="12.28125" style="504" customWidth="1"/>
    <col min="12" max="12" width="12.7109375" style="504" customWidth="1"/>
    <col min="13" max="13" width="11.57421875" style="504" customWidth="1"/>
    <col min="14" max="14" width="12.421875" style="504" customWidth="1"/>
    <col min="15" max="15" width="10.00390625" style="504" customWidth="1"/>
    <col min="16" max="16" width="12.421875" style="504" customWidth="1"/>
    <col min="17" max="17" width="12.00390625" style="504" customWidth="1"/>
    <col min="18" max="16384" width="9.140625" style="504" customWidth="1"/>
  </cols>
  <sheetData>
    <row r="1" spans="2:16" ht="12.75">
      <c r="B1" s="761" t="s">
        <v>116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</row>
    <row r="2" spans="2:16" ht="13.5" thickBot="1">
      <c r="B2" s="440" t="s">
        <v>117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</row>
    <row r="3" spans="2:17" ht="15.75" customHeight="1" thickTop="1">
      <c r="B3" s="697" t="s">
        <v>93</v>
      </c>
      <c r="C3" s="384" t="s">
        <v>45</v>
      </c>
      <c r="D3" s="386" t="s">
        <v>108</v>
      </c>
      <c r="E3" s="386" t="s">
        <v>360</v>
      </c>
      <c r="F3" s="386" t="s">
        <v>361</v>
      </c>
      <c r="G3" s="386" t="s">
        <v>362</v>
      </c>
      <c r="H3" s="386" t="s">
        <v>363</v>
      </c>
      <c r="I3" s="386" t="s">
        <v>364</v>
      </c>
      <c r="J3" s="386" t="s">
        <v>321</v>
      </c>
      <c r="K3" s="386" t="s">
        <v>322</v>
      </c>
      <c r="L3" s="386" t="s">
        <v>365</v>
      </c>
      <c r="M3" s="386" t="s">
        <v>422</v>
      </c>
      <c r="N3" s="699" t="s">
        <v>319</v>
      </c>
      <c r="O3" s="386" t="s">
        <v>378</v>
      </c>
      <c r="P3" s="386" t="s">
        <v>320</v>
      </c>
      <c r="Q3" s="709" t="s">
        <v>385</v>
      </c>
    </row>
    <row r="4" spans="2:17" ht="27.75" customHeight="1" thickBot="1">
      <c r="B4" s="698"/>
      <c r="C4" s="385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700"/>
      <c r="O4" s="383"/>
      <c r="P4" s="383"/>
      <c r="Q4" s="710"/>
    </row>
    <row r="5" spans="2:17" s="28" customFormat="1" ht="17.25" thickBot="1" thickTop="1">
      <c r="B5" s="505">
        <v>200</v>
      </c>
      <c r="C5" s="707" t="s">
        <v>100</v>
      </c>
      <c r="D5" s="708"/>
      <c r="E5" s="506">
        <f>E6</f>
        <v>355009</v>
      </c>
      <c r="F5" s="506">
        <f>F6</f>
        <v>311359</v>
      </c>
      <c r="G5" s="506">
        <f>G6</f>
        <v>955255</v>
      </c>
      <c r="H5" s="506">
        <f>H6</f>
        <v>1090339</v>
      </c>
      <c r="I5" s="506">
        <f>I6</f>
        <v>496614</v>
      </c>
      <c r="J5" s="506">
        <f aca="true" t="shared" si="0" ref="J5:Q5">J6</f>
        <v>174771</v>
      </c>
      <c r="K5" s="506">
        <f t="shared" si="0"/>
        <v>74221</v>
      </c>
      <c r="L5" s="506">
        <f t="shared" si="0"/>
        <v>98051</v>
      </c>
      <c r="M5" s="506">
        <f t="shared" si="0"/>
        <v>212821</v>
      </c>
      <c r="N5" s="506">
        <f t="shared" si="0"/>
        <v>0</v>
      </c>
      <c r="O5" s="507">
        <f aca="true" t="shared" si="1" ref="O5:O47">IF(M5=0,0,N5/M5)</f>
        <v>0</v>
      </c>
      <c r="P5" s="506">
        <f t="shared" si="0"/>
        <v>0</v>
      </c>
      <c r="Q5" s="508">
        <f t="shared" si="0"/>
        <v>0</v>
      </c>
    </row>
    <row r="6" spans="2:17" s="26" customFormat="1" ht="15.75" thickBot="1">
      <c r="B6" s="509">
        <v>230</v>
      </c>
      <c r="C6" s="686" t="s">
        <v>109</v>
      </c>
      <c r="D6" s="687"/>
      <c r="E6" s="483">
        <f>E7+E10</f>
        <v>355009</v>
      </c>
      <c r="F6" s="483">
        <f>F7+F10</f>
        <v>311359</v>
      </c>
      <c r="G6" s="483">
        <f>G7+G10</f>
        <v>955255</v>
      </c>
      <c r="H6" s="483">
        <f>H7+H10</f>
        <v>1090339</v>
      </c>
      <c r="I6" s="483">
        <f>I7+I10</f>
        <v>496614</v>
      </c>
      <c r="J6" s="483">
        <f aca="true" t="shared" si="2" ref="J6:P6">J7+J10</f>
        <v>174771</v>
      </c>
      <c r="K6" s="483">
        <f t="shared" si="2"/>
        <v>74221</v>
      </c>
      <c r="L6" s="483">
        <f>L7+L10</f>
        <v>98051</v>
      </c>
      <c r="M6" s="483">
        <f t="shared" si="2"/>
        <v>212821</v>
      </c>
      <c r="N6" s="483">
        <f t="shared" si="2"/>
        <v>0</v>
      </c>
      <c r="O6" s="434">
        <f t="shared" si="1"/>
        <v>0</v>
      </c>
      <c r="P6" s="433">
        <f t="shared" si="2"/>
        <v>0</v>
      </c>
      <c r="Q6" s="435">
        <f>Q7+Q10</f>
        <v>0</v>
      </c>
    </row>
    <row r="7" spans="2:17" s="67" customFormat="1" ht="13.5" thickBot="1">
      <c r="B7" s="682"/>
      <c r="C7" s="510">
        <v>231</v>
      </c>
      <c r="D7" s="431" t="s">
        <v>113</v>
      </c>
      <c r="E7" s="461">
        <f>SUM(E8:E9)</f>
        <v>351125</v>
      </c>
      <c r="F7" s="461">
        <f>SUM(F8:F9)</f>
        <v>106121</v>
      </c>
      <c r="G7" s="461">
        <f>SUM(G8:G9)</f>
        <v>227246</v>
      </c>
      <c r="H7" s="461">
        <f>SUM(H8:H9)</f>
        <v>45397</v>
      </c>
      <c r="I7" s="461">
        <f>SUM(I8:I9)</f>
        <v>103200</v>
      </c>
      <c r="J7" s="461">
        <f aca="true" t="shared" si="3" ref="J7:P7">SUM(J8:J9)</f>
        <v>85320</v>
      </c>
      <c r="K7" s="461">
        <f t="shared" si="3"/>
        <v>21933</v>
      </c>
      <c r="L7" s="461">
        <f>SUM(L8:L9)</f>
        <v>32153</v>
      </c>
      <c r="M7" s="461">
        <f t="shared" si="3"/>
        <v>80000</v>
      </c>
      <c r="N7" s="461">
        <f t="shared" si="3"/>
        <v>0</v>
      </c>
      <c r="O7" s="336">
        <f t="shared" si="1"/>
        <v>0</v>
      </c>
      <c r="P7" s="3">
        <f t="shared" si="3"/>
        <v>0</v>
      </c>
      <c r="Q7" s="134">
        <f>SUM(Q8:Q9)</f>
        <v>0</v>
      </c>
    </row>
    <row r="8" spans="2:17" s="388" customFormat="1" ht="12.75">
      <c r="B8" s="683"/>
      <c r="C8" s="695"/>
      <c r="D8" s="511" t="s">
        <v>339</v>
      </c>
      <c r="E8" s="512">
        <v>192923</v>
      </c>
      <c r="F8" s="512">
        <v>101839</v>
      </c>
      <c r="G8" s="512">
        <v>227246</v>
      </c>
      <c r="H8" s="512">
        <v>45397</v>
      </c>
      <c r="I8" s="512">
        <v>103200</v>
      </c>
      <c r="J8" s="446">
        <v>85320</v>
      </c>
      <c r="K8" s="446">
        <v>21933</v>
      </c>
      <c r="L8" s="96">
        <v>23657</v>
      </c>
      <c r="M8" s="96">
        <v>80000</v>
      </c>
      <c r="N8" s="96"/>
      <c r="O8" s="335">
        <f t="shared" si="1"/>
        <v>0</v>
      </c>
      <c r="P8" s="29"/>
      <c r="Q8" s="133"/>
    </row>
    <row r="9" spans="2:17" s="388" customFormat="1" ht="13.5" thickBot="1">
      <c r="B9" s="683"/>
      <c r="C9" s="617"/>
      <c r="D9" s="14" t="s">
        <v>110</v>
      </c>
      <c r="E9" s="429">
        <v>158202</v>
      </c>
      <c r="F9" s="429">
        <v>4282</v>
      </c>
      <c r="G9" s="429">
        <v>0</v>
      </c>
      <c r="H9" s="429"/>
      <c r="I9" s="429"/>
      <c r="J9" s="429"/>
      <c r="K9" s="429"/>
      <c r="L9" s="95">
        <v>8496</v>
      </c>
      <c r="M9" s="106"/>
      <c r="N9" s="106"/>
      <c r="O9" s="322">
        <f t="shared" si="1"/>
        <v>0</v>
      </c>
      <c r="P9" s="29"/>
      <c r="Q9" s="133"/>
    </row>
    <row r="10" spans="2:17" s="388" customFormat="1" ht="13.5" thickBot="1">
      <c r="B10" s="683"/>
      <c r="C10" s="513">
        <v>233</v>
      </c>
      <c r="D10" s="430" t="s">
        <v>114</v>
      </c>
      <c r="E10" s="461">
        <f>SUM(E11:E15)</f>
        <v>3884</v>
      </c>
      <c r="F10" s="461">
        <f>SUM(F11:F15)</f>
        <v>205238</v>
      </c>
      <c r="G10" s="461">
        <f>SUM(G11:G15)</f>
        <v>728009</v>
      </c>
      <c r="H10" s="461">
        <f>SUM(H11:H15)</f>
        <v>1044942</v>
      </c>
      <c r="I10" s="461">
        <f>SUM(I11:I15)</f>
        <v>393414</v>
      </c>
      <c r="J10" s="461">
        <f aca="true" t="shared" si="4" ref="J10:P10">SUM(J11:J15)</f>
        <v>89451</v>
      </c>
      <c r="K10" s="461">
        <f t="shared" si="4"/>
        <v>52288</v>
      </c>
      <c r="L10" s="461">
        <f>SUM(L11:L15)</f>
        <v>65898</v>
      </c>
      <c r="M10" s="461">
        <f t="shared" si="4"/>
        <v>132821</v>
      </c>
      <c r="N10" s="461">
        <f t="shared" si="4"/>
        <v>0</v>
      </c>
      <c r="O10" s="336">
        <f t="shared" si="1"/>
        <v>0</v>
      </c>
      <c r="P10" s="3">
        <f t="shared" si="4"/>
        <v>0</v>
      </c>
      <c r="Q10" s="134">
        <f>SUM(Q11:Q15)</f>
        <v>0</v>
      </c>
    </row>
    <row r="11" spans="2:17" s="388" customFormat="1" ht="12.75">
      <c r="B11" s="683"/>
      <c r="C11" s="695"/>
      <c r="D11" s="10" t="s">
        <v>287</v>
      </c>
      <c r="E11" s="236">
        <v>3884</v>
      </c>
      <c r="F11" s="236">
        <v>205238</v>
      </c>
      <c r="G11" s="236">
        <v>728009</v>
      </c>
      <c r="H11" s="236">
        <v>98695</v>
      </c>
      <c r="I11" s="236">
        <v>393414</v>
      </c>
      <c r="J11" s="236">
        <v>89451</v>
      </c>
      <c r="K11" s="236">
        <v>52288</v>
      </c>
      <c r="L11" s="96">
        <v>65898</v>
      </c>
      <c r="M11" s="96">
        <v>121821</v>
      </c>
      <c r="N11" s="96"/>
      <c r="O11" s="335">
        <f t="shared" si="1"/>
        <v>0</v>
      </c>
      <c r="P11" s="29"/>
      <c r="Q11" s="133"/>
    </row>
    <row r="12" spans="2:17" s="67" customFormat="1" ht="12.75">
      <c r="B12" s="683"/>
      <c r="C12" s="696"/>
      <c r="D12" s="352" t="s">
        <v>284</v>
      </c>
      <c r="E12" s="514"/>
      <c r="F12" s="514"/>
      <c r="G12" s="514"/>
      <c r="H12" s="514"/>
      <c r="I12" s="514"/>
      <c r="J12" s="514"/>
      <c r="K12" s="514"/>
      <c r="L12" s="209"/>
      <c r="M12" s="515">
        <v>4000</v>
      </c>
      <c r="N12" s="515"/>
      <c r="O12" s="516">
        <f t="shared" si="1"/>
        <v>0</v>
      </c>
      <c r="P12" s="517"/>
      <c r="Q12" s="518"/>
    </row>
    <row r="13" spans="2:17" s="67" customFormat="1" ht="12.75">
      <c r="B13" s="683"/>
      <c r="C13" s="696"/>
      <c r="D13" s="352" t="s">
        <v>285</v>
      </c>
      <c r="E13" s="514"/>
      <c r="F13" s="514"/>
      <c r="G13" s="514"/>
      <c r="H13" s="514"/>
      <c r="I13" s="514"/>
      <c r="J13" s="514"/>
      <c r="K13" s="514"/>
      <c r="L13" s="209"/>
      <c r="M13" s="515"/>
      <c r="N13" s="515"/>
      <c r="O13" s="516">
        <f t="shared" si="1"/>
        <v>0</v>
      </c>
      <c r="P13" s="517"/>
      <c r="Q13" s="518"/>
    </row>
    <row r="14" spans="2:17" s="67" customFormat="1" ht="12.75">
      <c r="B14" s="683"/>
      <c r="C14" s="696"/>
      <c r="D14" s="352" t="s">
        <v>286</v>
      </c>
      <c r="E14" s="514"/>
      <c r="F14" s="514"/>
      <c r="G14" s="514"/>
      <c r="H14" s="514"/>
      <c r="I14" s="514"/>
      <c r="J14" s="514"/>
      <c r="K14" s="514"/>
      <c r="L14" s="209"/>
      <c r="M14" s="515"/>
      <c r="N14" s="515"/>
      <c r="O14" s="516">
        <f t="shared" si="1"/>
        <v>0</v>
      </c>
      <c r="P14" s="517"/>
      <c r="Q14" s="518"/>
    </row>
    <row r="15" spans="2:17" ht="13.5" thickBot="1">
      <c r="B15" s="683"/>
      <c r="C15" s="617"/>
      <c r="D15" s="14" t="s">
        <v>181</v>
      </c>
      <c r="E15" s="429"/>
      <c r="F15" s="429"/>
      <c r="G15" s="429"/>
      <c r="H15" s="429">
        <v>946247</v>
      </c>
      <c r="I15" s="429"/>
      <c r="J15" s="429"/>
      <c r="K15" s="429"/>
      <c r="L15" s="95"/>
      <c r="M15" s="106">
        <v>7000</v>
      </c>
      <c r="N15" s="106"/>
      <c r="O15" s="322">
        <f t="shared" si="1"/>
        <v>0</v>
      </c>
      <c r="P15" s="29"/>
      <c r="Q15" s="133"/>
    </row>
    <row r="16" spans="2:17" s="457" customFormat="1" ht="16.5" thickBot="1">
      <c r="B16" s="519">
        <v>300</v>
      </c>
      <c r="C16" s="542" t="s">
        <v>103</v>
      </c>
      <c r="D16" s="757"/>
      <c r="E16" s="520">
        <f>E17+E43</f>
        <v>1758083</v>
      </c>
      <c r="F16" s="520">
        <f>F17+F43</f>
        <v>706599</v>
      </c>
      <c r="G16" s="520">
        <f>G17+G43</f>
        <v>290114</v>
      </c>
      <c r="H16" s="520">
        <f>H17+H43</f>
        <v>3301074</v>
      </c>
      <c r="I16" s="520">
        <v>2959527</v>
      </c>
      <c r="J16" s="520">
        <f>J17+J43</f>
        <v>4474942</v>
      </c>
      <c r="K16" s="520">
        <f>K17+K43</f>
        <v>4428553.06</v>
      </c>
      <c r="L16" s="520">
        <f>L17+L43</f>
        <v>3580446</v>
      </c>
      <c r="M16" s="520">
        <f>M17+M43</f>
        <v>3544988</v>
      </c>
      <c r="N16" s="520">
        <f>N17+N43</f>
        <v>1665541</v>
      </c>
      <c r="O16" s="521">
        <f t="shared" si="1"/>
        <v>0.46982979914177425</v>
      </c>
      <c r="P16" s="522">
        <f>P17+P43</f>
        <v>0</v>
      </c>
      <c r="Q16" s="523">
        <f>Q17+Q43</f>
        <v>0</v>
      </c>
    </row>
    <row r="17" spans="2:17" s="26" customFormat="1" ht="15.75" thickBot="1">
      <c r="B17" s="509">
        <v>320</v>
      </c>
      <c r="C17" s="686" t="s">
        <v>111</v>
      </c>
      <c r="D17" s="687"/>
      <c r="E17" s="524">
        <f>E18</f>
        <v>1758083</v>
      </c>
      <c r="F17" s="524">
        <f>F18</f>
        <v>706599</v>
      </c>
      <c r="G17" s="524">
        <f>G18</f>
        <v>290114</v>
      </c>
      <c r="H17" s="524">
        <f>H18</f>
        <v>3301074</v>
      </c>
      <c r="I17" s="524">
        <v>2959527</v>
      </c>
      <c r="J17" s="524">
        <f aca="true" t="shared" si="5" ref="J17:Q17">J18</f>
        <v>4417142</v>
      </c>
      <c r="K17" s="524">
        <f t="shared" si="5"/>
        <v>4408068.06</v>
      </c>
      <c r="L17" s="524">
        <f t="shared" si="5"/>
        <v>3580446</v>
      </c>
      <c r="M17" s="524">
        <f t="shared" si="5"/>
        <v>3544988</v>
      </c>
      <c r="N17" s="524">
        <f t="shared" si="5"/>
        <v>1665541</v>
      </c>
      <c r="O17" s="525">
        <f t="shared" si="1"/>
        <v>0.46982979914177425</v>
      </c>
      <c r="P17" s="526">
        <f t="shared" si="5"/>
        <v>0</v>
      </c>
      <c r="Q17" s="527">
        <f t="shared" si="5"/>
        <v>0</v>
      </c>
    </row>
    <row r="18" spans="2:17" s="67" customFormat="1" ht="13.5" thickBot="1">
      <c r="B18" s="758"/>
      <c r="C18" s="510">
        <v>321</v>
      </c>
      <c r="D18" s="430" t="s">
        <v>105</v>
      </c>
      <c r="E18" s="431">
        <v>1758083</v>
      </c>
      <c r="F18" s="431">
        <v>706599</v>
      </c>
      <c r="G18" s="431">
        <v>290114</v>
      </c>
      <c r="H18" s="431">
        <v>3301074</v>
      </c>
      <c r="I18" s="431">
        <v>2959527</v>
      </c>
      <c r="J18" s="528">
        <v>4417142</v>
      </c>
      <c r="K18" s="528">
        <v>4408068.06</v>
      </c>
      <c r="L18" s="528">
        <v>3580446</v>
      </c>
      <c r="M18" s="528">
        <v>3544988</v>
      </c>
      <c r="N18" s="528">
        <f>SUM(N19:N42)</f>
        <v>1665541</v>
      </c>
      <c r="O18" s="338">
        <f t="shared" si="1"/>
        <v>0.46982979914177425</v>
      </c>
      <c r="P18" s="132">
        <f>SUM(P19:P42)</f>
        <v>0</v>
      </c>
      <c r="Q18" s="138">
        <f>SUM(Q19:Q42)</f>
        <v>0</v>
      </c>
    </row>
    <row r="19" spans="2:17" ht="12.75">
      <c r="B19" s="759"/>
      <c r="C19" s="760"/>
      <c r="D19" s="16" t="s">
        <v>301</v>
      </c>
      <c r="E19" s="446"/>
      <c r="F19" s="446"/>
      <c r="G19" s="446"/>
      <c r="H19" s="446"/>
      <c r="I19" s="446"/>
      <c r="J19" s="446"/>
      <c r="K19" s="446"/>
      <c r="L19" s="92"/>
      <c r="M19" s="92">
        <v>30000</v>
      </c>
      <c r="N19" s="92">
        <f>37919</f>
        <v>37919</v>
      </c>
      <c r="O19" s="324">
        <f t="shared" si="1"/>
        <v>1.2639666666666667</v>
      </c>
      <c r="P19" s="29"/>
      <c r="Q19" s="133"/>
    </row>
    <row r="20" spans="2:17" ht="12.75">
      <c r="B20" s="759"/>
      <c r="C20" s="760"/>
      <c r="D20" s="54" t="s">
        <v>421</v>
      </c>
      <c r="E20" s="446"/>
      <c r="F20" s="446"/>
      <c r="G20" s="446"/>
      <c r="H20" s="446"/>
      <c r="I20" s="446"/>
      <c r="J20" s="446"/>
      <c r="K20" s="446"/>
      <c r="L20" s="92"/>
      <c r="M20" s="92"/>
      <c r="N20" s="92">
        <v>57267</v>
      </c>
      <c r="O20" s="324"/>
      <c r="P20" s="29"/>
      <c r="Q20" s="133"/>
    </row>
    <row r="21" spans="2:17" ht="12.75">
      <c r="B21" s="759"/>
      <c r="C21" s="760"/>
      <c r="D21" s="54" t="s">
        <v>345</v>
      </c>
      <c r="E21" s="236"/>
      <c r="F21" s="236"/>
      <c r="G21" s="236"/>
      <c r="H21" s="236"/>
      <c r="I21" s="236"/>
      <c r="J21" s="236"/>
      <c r="K21" s="236"/>
      <c r="L21" s="92"/>
      <c r="M21" s="92">
        <v>1000000</v>
      </c>
      <c r="N21" s="92"/>
      <c r="O21" s="324">
        <f t="shared" si="1"/>
        <v>0</v>
      </c>
      <c r="P21" s="29"/>
      <c r="Q21" s="133"/>
    </row>
    <row r="22" spans="2:18" ht="12.75">
      <c r="B22" s="759"/>
      <c r="C22" s="760"/>
      <c r="D22" s="54" t="s">
        <v>329</v>
      </c>
      <c r="E22" s="54"/>
      <c r="F22" s="54"/>
      <c r="G22" s="54"/>
      <c r="H22" s="54"/>
      <c r="I22" s="54">
        <v>341897</v>
      </c>
      <c r="J22" s="55">
        <v>341897</v>
      </c>
      <c r="K22" s="55">
        <v>344900</v>
      </c>
      <c r="L22" s="93"/>
      <c r="M22" s="92">
        <v>341900</v>
      </c>
      <c r="N22" s="92"/>
      <c r="O22" s="324">
        <f t="shared" si="1"/>
        <v>0</v>
      </c>
      <c r="P22" s="29"/>
      <c r="Q22" s="133"/>
      <c r="R22" s="530"/>
    </row>
    <row r="23" spans="2:17" ht="12.75">
      <c r="B23" s="759"/>
      <c r="C23" s="760"/>
      <c r="D23" s="12" t="s">
        <v>332</v>
      </c>
      <c r="E23" s="225"/>
      <c r="F23" s="225"/>
      <c r="G23" s="225"/>
      <c r="H23" s="225"/>
      <c r="I23" s="225"/>
      <c r="J23" s="225"/>
      <c r="K23" s="225"/>
      <c r="L23" s="93"/>
      <c r="M23" s="92">
        <v>104632</v>
      </c>
      <c r="N23" s="92">
        <v>6610</v>
      </c>
      <c r="O23" s="324">
        <f t="shared" si="1"/>
        <v>0.06317379004511048</v>
      </c>
      <c r="P23" s="29"/>
      <c r="Q23" s="133"/>
    </row>
    <row r="24" spans="2:17" ht="12.75">
      <c r="B24" s="759"/>
      <c r="C24" s="760"/>
      <c r="D24" s="12" t="s">
        <v>283</v>
      </c>
      <c r="E24" s="225"/>
      <c r="F24" s="225"/>
      <c r="G24" s="225"/>
      <c r="H24" s="225"/>
      <c r="I24" s="225"/>
      <c r="J24" s="225"/>
      <c r="K24" s="225"/>
      <c r="L24" s="93"/>
      <c r="M24" s="92">
        <v>6945</v>
      </c>
      <c r="N24" s="92"/>
      <c r="O24" s="324">
        <f t="shared" si="1"/>
        <v>0</v>
      </c>
      <c r="P24" s="29"/>
      <c r="Q24" s="133"/>
    </row>
    <row r="25" spans="2:17" ht="12.75">
      <c r="B25" s="759"/>
      <c r="C25" s="760"/>
      <c r="D25" s="531" t="s">
        <v>348</v>
      </c>
      <c r="E25" s="532"/>
      <c r="F25" s="532"/>
      <c r="G25" s="532"/>
      <c r="H25" s="532"/>
      <c r="I25" s="532"/>
      <c r="J25" s="225"/>
      <c r="K25" s="225"/>
      <c r="L25" s="93"/>
      <c r="M25" s="92">
        <v>5000</v>
      </c>
      <c r="N25" s="92"/>
      <c r="O25" s="324">
        <f t="shared" si="1"/>
        <v>0</v>
      </c>
      <c r="P25" s="29"/>
      <c r="Q25" s="133"/>
    </row>
    <row r="26" spans="2:17" ht="12.75">
      <c r="B26" s="759"/>
      <c r="C26" s="760"/>
      <c r="D26" s="12" t="s">
        <v>340</v>
      </c>
      <c r="E26" s="225"/>
      <c r="F26" s="225"/>
      <c r="G26" s="225"/>
      <c r="H26" s="225"/>
      <c r="I26" s="225"/>
      <c r="J26" s="225"/>
      <c r="K26" s="225"/>
      <c r="L26" s="93"/>
      <c r="M26" s="93">
        <v>30000</v>
      </c>
      <c r="N26" s="93"/>
      <c r="O26" s="320">
        <f t="shared" si="1"/>
        <v>0</v>
      </c>
      <c r="P26" s="13"/>
      <c r="Q26" s="125"/>
    </row>
    <row r="27" spans="2:17" ht="15">
      <c r="B27" s="529"/>
      <c r="C27" s="760"/>
      <c r="D27" s="12" t="s">
        <v>350</v>
      </c>
      <c r="E27" s="225"/>
      <c r="F27" s="225"/>
      <c r="G27" s="225"/>
      <c r="H27" s="225"/>
      <c r="I27" s="225"/>
      <c r="J27" s="225"/>
      <c r="K27" s="225"/>
      <c r="L27" s="93"/>
      <c r="M27" s="93">
        <v>9910</v>
      </c>
      <c r="N27" s="93"/>
      <c r="O27" s="320">
        <f t="shared" si="1"/>
        <v>0</v>
      </c>
      <c r="P27" s="13"/>
      <c r="Q27" s="125"/>
    </row>
    <row r="28" spans="2:17" ht="15" hidden="1">
      <c r="B28" s="529"/>
      <c r="C28" s="760"/>
      <c r="D28" s="12" t="s">
        <v>282</v>
      </c>
      <c r="E28" s="225"/>
      <c r="F28" s="225"/>
      <c r="G28" s="225"/>
      <c r="H28" s="225"/>
      <c r="I28" s="225"/>
      <c r="J28" s="225"/>
      <c r="K28" s="225"/>
      <c r="L28" s="93"/>
      <c r="M28" s="93">
        <v>171790</v>
      </c>
      <c r="N28" s="93"/>
      <c r="O28" s="320">
        <f t="shared" si="1"/>
        <v>0</v>
      </c>
      <c r="P28" s="13"/>
      <c r="Q28" s="125"/>
    </row>
    <row r="29" spans="2:17" ht="15">
      <c r="B29" s="529"/>
      <c r="C29" s="760"/>
      <c r="D29" s="12" t="s">
        <v>335</v>
      </c>
      <c r="E29" s="225"/>
      <c r="F29" s="225"/>
      <c r="G29" s="225"/>
      <c r="H29" s="225"/>
      <c r="I29" s="225"/>
      <c r="J29" s="225"/>
      <c r="K29" s="225"/>
      <c r="L29" s="93"/>
      <c r="M29" s="93">
        <v>19798</v>
      </c>
      <c r="N29" s="93"/>
      <c r="O29" s="320">
        <f t="shared" si="1"/>
        <v>0</v>
      </c>
      <c r="P29" s="13"/>
      <c r="Q29" s="125"/>
    </row>
    <row r="30" spans="2:17" ht="15">
      <c r="B30" s="529"/>
      <c r="C30" s="760"/>
      <c r="D30" s="30" t="s">
        <v>367</v>
      </c>
      <c r="E30" s="374"/>
      <c r="F30" s="374"/>
      <c r="G30" s="374"/>
      <c r="H30" s="374"/>
      <c r="I30" s="374"/>
      <c r="J30" s="225"/>
      <c r="K30" s="225"/>
      <c r="L30" s="93"/>
      <c r="M30" s="93">
        <v>411880</v>
      </c>
      <c r="N30" s="93"/>
      <c r="O30" s="320">
        <f t="shared" si="1"/>
        <v>0</v>
      </c>
      <c r="P30" s="533"/>
      <c r="Q30" s="534"/>
    </row>
    <row r="31" spans="2:17" ht="15">
      <c r="B31" s="529"/>
      <c r="C31" s="760"/>
      <c r="D31" s="30" t="s">
        <v>353</v>
      </c>
      <c r="E31" s="236"/>
      <c r="F31" s="236"/>
      <c r="G31" s="236"/>
      <c r="H31" s="236"/>
      <c r="I31" s="236"/>
      <c r="J31" s="225"/>
      <c r="K31" s="225"/>
      <c r="L31" s="93"/>
      <c r="M31" s="93">
        <v>0</v>
      </c>
      <c r="N31" s="93"/>
      <c r="O31" s="320">
        <f t="shared" si="1"/>
        <v>0</v>
      </c>
      <c r="P31" s="533"/>
      <c r="Q31" s="534"/>
    </row>
    <row r="32" spans="2:17" ht="15">
      <c r="B32" s="529"/>
      <c r="C32" s="760"/>
      <c r="D32" s="30" t="s">
        <v>368</v>
      </c>
      <c r="E32" s="225"/>
      <c r="F32" s="225"/>
      <c r="G32" s="225"/>
      <c r="H32" s="225"/>
      <c r="I32" s="225"/>
      <c r="J32" s="225"/>
      <c r="K32" s="225"/>
      <c r="L32" s="93">
        <v>0</v>
      </c>
      <c r="M32" s="93">
        <v>0</v>
      </c>
      <c r="N32" s="93"/>
      <c r="O32" s="320">
        <f t="shared" si="1"/>
        <v>0</v>
      </c>
      <c r="P32" s="533"/>
      <c r="Q32" s="534"/>
    </row>
    <row r="33" spans="2:17" ht="15">
      <c r="B33" s="529"/>
      <c r="C33" s="760"/>
      <c r="D33" s="30" t="s">
        <v>369</v>
      </c>
      <c r="E33" s="225"/>
      <c r="F33" s="225"/>
      <c r="G33" s="225"/>
      <c r="H33" s="225"/>
      <c r="I33" s="225"/>
      <c r="J33" s="225"/>
      <c r="K33" s="225"/>
      <c r="L33" s="93">
        <v>0</v>
      </c>
      <c r="M33" s="93">
        <v>21428</v>
      </c>
      <c r="N33" s="93"/>
      <c r="O33" s="320">
        <f t="shared" si="1"/>
        <v>0</v>
      </c>
      <c r="P33" s="533"/>
      <c r="Q33" s="534"/>
    </row>
    <row r="34" spans="2:17" ht="15">
      <c r="B34" s="529"/>
      <c r="C34" s="760"/>
      <c r="D34" s="30" t="s">
        <v>370</v>
      </c>
      <c r="E34" s="225"/>
      <c r="F34" s="225"/>
      <c r="G34" s="225"/>
      <c r="H34" s="225"/>
      <c r="I34" s="225"/>
      <c r="J34" s="225"/>
      <c r="K34" s="225"/>
      <c r="L34" s="93"/>
      <c r="M34" s="93">
        <v>0</v>
      </c>
      <c r="N34" s="93"/>
      <c r="O34" s="320">
        <f t="shared" si="1"/>
        <v>0</v>
      </c>
      <c r="P34" s="533"/>
      <c r="Q34" s="534"/>
    </row>
    <row r="35" spans="2:17" ht="15" hidden="1">
      <c r="B35" s="529"/>
      <c r="C35" s="760"/>
      <c r="D35" s="12" t="s">
        <v>371</v>
      </c>
      <c r="E35" s="225"/>
      <c r="F35" s="225"/>
      <c r="G35" s="225"/>
      <c r="H35" s="225"/>
      <c r="I35" s="225"/>
      <c r="J35" s="225"/>
      <c r="K35" s="225"/>
      <c r="L35" s="93"/>
      <c r="M35" s="93">
        <v>0</v>
      </c>
      <c r="N35" s="93"/>
      <c r="O35" s="320">
        <f t="shared" si="1"/>
        <v>0</v>
      </c>
      <c r="P35" s="533"/>
      <c r="Q35" s="534"/>
    </row>
    <row r="36" spans="2:17" ht="15" hidden="1">
      <c r="B36" s="529"/>
      <c r="C36" s="760"/>
      <c r="D36" s="12" t="s">
        <v>372</v>
      </c>
      <c r="E36" s="225"/>
      <c r="F36" s="225"/>
      <c r="G36" s="225"/>
      <c r="H36" s="225"/>
      <c r="I36" s="225"/>
      <c r="J36" s="225"/>
      <c r="K36" s="225"/>
      <c r="L36" s="93"/>
      <c r="M36" s="93">
        <v>0</v>
      </c>
      <c r="N36" s="93"/>
      <c r="O36" s="320">
        <f t="shared" si="1"/>
        <v>0</v>
      </c>
      <c r="P36" s="533"/>
      <c r="Q36" s="534"/>
    </row>
    <row r="37" spans="2:17" ht="15" hidden="1">
      <c r="B37" s="529"/>
      <c r="C37" s="760"/>
      <c r="D37" s="12" t="s">
        <v>373</v>
      </c>
      <c r="E37" s="225"/>
      <c r="F37" s="225"/>
      <c r="G37" s="225"/>
      <c r="H37" s="225"/>
      <c r="I37" s="225"/>
      <c r="J37" s="225"/>
      <c r="K37" s="225"/>
      <c r="L37" s="93"/>
      <c r="M37" s="93">
        <v>0</v>
      </c>
      <c r="N37" s="93"/>
      <c r="O37" s="320">
        <f t="shared" si="1"/>
        <v>0</v>
      </c>
      <c r="P37" s="533"/>
      <c r="Q37" s="534"/>
    </row>
    <row r="38" spans="2:17" ht="15" hidden="1">
      <c r="B38" s="529"/>
      <c r="C38" s="760"/>
      <c r="D38" s="12" t="s">
        <v>374</v>
      </c>
      <c r="E38" s="225"/>
      <c r="F38" s="225"/>
      <c r="G38" s="225"/>
      <c r="H38" s="225"/>
      <c r="I38" s="225"/>
      <c r="J38" s="225"/>
      <c r="K38" s="225"/>
      <c r="L38" s="93"/>
      <c r="M38" s="93">
        <v>0</v>
      </c>
      <c r="N38" s="93"/>
      <c r="O38" s="320">
        <f t="shared" si="1"/>
        <v>0</v>
      </c>
      <c r="P38" s="533"/>
      <c r="Q38" s="534"/>
    </row>
    <row r="39" spans="2:17" ht="15">
      <c r="B39" s="529"/>
      <c r="C39" s="760"/>
      <c r="D39" s="12" t="s">
        <v>381</v>
      </c>
      <c r="E39" s="225"/>
      <c r="F39" s="225"/>
      <c r="G39" s="225"/>
      <c r="H39" s="225"/>
      <c r="I39" s="225"/>
      <c r="J39" s="225"/>
      <c r="K39" s="225"/>
      <c r="L39" s="93"/>
      <c r="M39" s="93">
        <v>0</v>
      </c>
      <c r="N39" s="93">
        <v>196127</v>
      </c>
      <c r="O39" s="320">
        <f t="shared" si="1"/>
        <v>0</v>
      </c>
      <c r="P39" s="533"/>
      <c r="Q39" s="534"/>
    </row>
    <row r="40" spans="2:17" ht="15">
      <c r="B40" s="529"/>
      <c r="C40" s="760"/>
      <c r="D40" s="12" t="s">
        <v>375</v>
      </c>
      <c r="E40" s="225"/>
      <c r="F40" s="225"/>
      <c r="G40" s="225"/>
      <c r="H40" s="225"/>
      <c r="I40" s="225"/>
      <c r="J40" s="225"/>
      <c r="K40" s="225"/>
      <c r="L40" s="93"/>
      <c r="M40" s="93">
        <v>24087</v>
      </c>
      <c r="N40" s="93"/>
      <c r="O40" s="320">
        <f t="shared" si="1"/>
        <v>0</v>
      </c>
      <c r="P40" s="533"/>
      <c r="Q40" s="534"/>
    </row>
    <row r="41" spans="2:17" ht="15">
      <c r="B41" s="529"/>
      <c r="C41" s="760"/>
      <c r="D41" s="12" t="s">
        <v>376</v>
      </c>
      <c r="E41" s="225"/>
      <c r="F41" s="225"/>
      <c r="G41" s="225"/>
      <c r="H41" s="225"/>
      <c r="I41" s="225"/>
      <c r="J41" s="225"/>
      <c r="K41" s="225"/>
      <c r="L41" s="93"/>
      <c r="M41" s="93">
        <v>1367618</v>
      </c>
      <c r="N41" s="93">
        <v>1367618</v>
      </c>
      <c r="O41" s="320">
        <f t="shared" si="1"/>
        <v>1</v>
      </c>
      <c r="P41" s="533"/>
      <c r="Q41" s="534"/>
    </row>
    <row r="42" spans="2:17" ht="15.75" thickBot="1">
      <c r="B42" s="529"/>
      <c r="C42" s="760"/>
      <c r="D42" s="12" t="s">
        <v>377</v>
      </c>
      <c r="E42" s="225"/>
      <c r="F42" s="225"/>
      <c r="G42" s="225"/>
      <c r="H42" s="225"/>
      <c r="I42" s="225"/>
      <c r="J42" s="225"/>
      <c r="K42" s="225"/>
      <c r="L42" s="93"/>
      <c r="M42" s="93">
        <v>0</v>
      </c>
      <c r="N42" s="93"/>
      <c r="O42" s="320">
        <f t="shared" si="1"/>
        <v>0</v>
      </c>
      <c r="P42" s="533"/>
      <c r="Q42" s="534"/>
    </row>
    <row r="43" spans="2:17" s="26" customFormat="1" ht="15.75" thickBot="1">
      <c r="B43" s="535">
        <v>330</v>
      </c>
      <c r="C43" s="686" t="s">
        <v>91</v>
      </c>
      <c r="D43" s="687"/>
      <c r="E43" s="536">
        <f aca="true" t="shared" si="6" ref="E43:I44">E44</f>
        <v>0</v>
      </c>
      <c r="F43" s="536">
        <f t="shared" si="6"/>
        <v>0</v>
      </c>
      <c r="G43" s="536">
        <f t="shared" si="6"/>
        <v>0</v>
      </c>
      <c r="H43" s="536">
        <f t="shared" si="6"/>
        <v>0</v>
      </c>
      <c r="I43" s="536">
        <f t="shared" si="6"/>
        <v>0</v>
      </c>
      <c r="J43" s="536">
        <f aca="true" t="shared" si="7" ref="J43:Q43">J44</f>
        <v>57800</v>
      </c>
      <c r="K43" s="537">
        <f t="shared" si="7"/>
        <v>20485</v>
      </c>
      <c r="L43" s="536">
        <f t="shared" si="7"/>
        <v>0</v>
      </c>
      <c r="M43" s="536">
        <f t="shared" si="7"/>
        <v>0</v>
      </c>
      <c r="N43" s="536">
        <f t="shared" si="7"/>
        <v>0</v>
      </c>
      <c r="O43" s="538">
        <f t="shared" si="1"/>
        <v>0</v>
      </c>
      <c r="P43" s="539">
        <f t="shared" si="7"/>
        <v>0</v>
      </c>
      <c r="Q43" s="540">
        <f t="shared" si="7"/>
        <v>0</v>
      </c>
    </row>
    <row r="44" spans="2:17" ht="13.5" thickBot="1">
      <c r="B44" s="715"/>
      <c r="C44" s="513">
        <v>332</v>
      </c>
      <c r="D44" s="430" t="s">
        <v>115</v>
      </c>
      <c r="E44" s="431">
        <f t="shared" si="6"/>
        <v>0</v>
      </c>
      <c r="F44" s="431">
        <f t="shared" si="6"/>
        <v>0</v>
      </c>
      <c r="G44" s="431">
        <f t="shared" si="6"/>
        <v>0</v>
      </c>
      <c r="H44" s="431">
        <f t="shared" si="6"/>
        <v>0</v>
      </c>
      <c r="I44" s="431">
        <f t="shared" si="6"/>
        <v>0</v>
      </c>
      <c r="J44" s="431">
        <f>J45</f>
        <v>57800</v>
      </c>
      <c r="K44" s="431">
        <f>K45</f>
        <v>20485</v>
      </c>
      <c r="L44" s="431">
        <f>L45</f>
        <v>0</v>
      </c>
      <c r="M44" s="431">
        <f>M45</f>
        <v>0</v>
      </c>
      <c r="N44" s="431">
        <f>N45</f>
        <v>0</v>
      </c>
      <c r="O44" s="336">
        <f t="shared" si="1"/>
        <v>0</v>
      </c>
      <c r="P44" s="541"/>
      <c r="Q44" s="543"/>
    </row>
    <row r="45" spans="2:17" ht="12.75">
      <c r="B45" s="716"/>
      <c r="C45" s="695"/>
      <c r="D45" s="16" t="s">
        <v>214</v>
      </c>
      <c r="E45" s="445"/>
      <c r="F45" s="445"/>
      <c r="G45" s="445"/>
      <c r="H45" s="445"/>
      <c r="I45" s="445"/>
      <c r="J45" s="445">
        <v>57800</v>
      </c>
      <c r="K45" s="445">
        <v>20485</v>
      </c>
      <c r="L45" s="86"/>
      <c r="M45" s="92"/>
      <c r="N45" s="92"/>
      <c r="O45" s="324">
        <f t="shared" si="1"/>
        <v>0</v>
      </c>
      <c r="P45" s="436"/>
      <c r="Q45" s="544"/>
    </row>
    <row r="46" spans="2:17" ht="13.5" thickBot="1">
      <c r="B46" s="716"/>
      <c r="C46" s="696"/>
      <c r="D46" s="8"/>
      <c r="E46" s="291"/>
      <c r="F46" s="291"/>
      <c r="G46" s="291"/>
      <c r="H46" s="291"/>
      <c r="I46" s="291"/>
      <c r="J46" s="291"/>
      <c r="K46" s="291"/>
      <c r="L46" s="106"/>
      <c r="M46" s="106"/>
      <c r="N46" s="106"/>
      <c r="O46" s="322">
        <f t="shared" si="1"/>
        <v>0</v>
      </c>
      <c r="P46" s="436"/>
      <c r="Q46" s="544"/>
    </row>
    <row r="47" spans="2:17" s="28" customFormat="1" ht="17.25" thickBot="1" thickTop="1">
      <c r="B47" s="545"/>
      <c r="C47" s="546"/>
      <c r="D47" s="502" t="s">
        <v>112</v>
      </c>
      <c r="E47" s="465">
        <f>E16+E5</f>
        <v>2113092</v>
      </c>
      <c r="F47" s="465">
        <f>F16+F5</f>
        <v>1017958</v>
      </c>
      <c r="G47" s="465">
        <f>G16+G5</f>
        <v>1245369</v>
      </c>
      <c r="H47" s="465">
        <f>H16+H5</f>
        <v>4391413</v>
      </c>
      <c r="I47" s="465">
        <f>I16+I5</f>
        <v>3456141</v>
      </c>
      <c r="J47" s="465">
        <f aca="true" t="shared" si="8" ref="J47:P47">J16+J5</f>
        <v>4649713</v>
      </c>
      <c r="K47" s="465">
        <f t="shared" si="8"/>
        <v>4502774.06</v>
      </c>
      <c r="L47" s="465">
        <f>L16+L5</f>
        <v>3678497</v>
      </c>
      <c r="M47" s="465">
        <f t="shared" si="8"/>
        <v>3757809</v>
      </c>
      <c r="N47" s="465">
        <f t="shared" si="8"/>
        <v>1665541</v>
      </c>
      <c r="O47" s="466">
        <f t="shared" si="1"/>
        <v>0.4432213026260781</v>
      </c>
      <c r="P47" s="465">
        <f t="shared" si="8"/>
        <v>0</v>
      </c>
      <c r="Q47" s="467">
        <f>Q16+Q5</f>
        <v>0</v>
      </c>
    </row>
    <row r="48" ht="13.5" thickTop="1"/>
    <row r="51" spans="5:16" ht="12.75">
      <c r="E51" s="530"/>
      <c r="F51" s="530"/>
      <c r="G51" s="530"/>
      <c r="H51" s="530"/>
      <c r="P51" s="530"/>
    </row>
    <row r="53" spans="5:16" ht="12.75">
      <c r="E53" s="530"/>
      <c r="F53" s="530"/>
      <c r="G53" s="530"/>
      <c r="H53" s="530"/>
      <c r="P53" s="530"/>
    </row>
  </sheetData>
  <sheetProtection/>
  <mergeCells count="30">
    <mergeCell ref="H3:H4"/>
    <mergeCell ref="L3:L4"/>
    <mergeCell ref="B3:B4"/>
    <mergeCell ref="Q3:Q4"/>
    <mergeCell ref="M3:M4"/>
    <mergeCell ref="O3:O4"/>
    <mergeCell ref="B1:P1"/>
    <mergeCell ref="N3:N4"/>
    <mergeCell ref="B2:P2"/>
    <mergeCell ref="J3:J4"/>
    <mergeCell ref="E3:E4"/>
    <mergeCell ref="F3:F4"/>
    <mergeCell ref="P3:P4"/>
    <mergeCell ref="K3:K4"/>
    <mergeCell ref="I3:I4"/>
    <mergeCell ref="G3:G4"/>
    <mergeCell ref="B7:B15"/>
    <mergeCell ref="D3:D4"/>
    <mergeCell ref="C3:C4"/>
    <mergeCell ref="C11:C15"/>
    <mergeCell ref="C8:C9"/>
    <mergeCell ref="C6:D6"/>
    <mergeCell ref="C5:D5"/>
    <mergeCell ref="C16:D16"/>
    <mergeCell ref="C17:D17"/>
    <mergeCell ref="B44:B46"/>
    <mergeCell ref="C45:C46"/>
    <mergeCell ref="B18:B26"/>
    <mergeCell ref="C43:D43"/>
    <mergeCell ref="C19:C42"/>
  </mergeCells>
  <printOptions/>
  <pageMargins left="0.2362204724409449" right="0.15748031496062992" top="0.4330708661417323" bottom="0.2362204724409449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S100"/>
  <sheetViews>
    <sheetView showGridLines="0" zoomScalePageLayoutView="0" workbookViewId="0" topLeftCell="A1">
      <selection activeCell="C88" sqref="C88:D88"/>
    </sheetView>
  </sheetViews>
  <sheetFormatPr defaultColWidth="9.140625" defaultRowHeight="12.75"/>
  <cols>
    <col min="1" max="1" width="1.421875" style="67" customWidth="1"/>
    <col min="2" max="2" width="10.421875" style="67" customWidth="1"/>
    <col min="3" max="3" width="8.140625" style="67" customWidth="1"/>
    <col min="4" max="4" width="31.28125" style="67" customWidth="1"/>
    <col min="5" max="9" width="11.8515625" style="67" hidden="1" customWidth="1"/>
    <col min="10" max="11" width="12.57421875" style="67" customWidth="1"/>
    <col min="12" max="14" width="11.421875" style="67" customWidth="1"/>
    <col min="15" max="15" width="10.7109375" style="67" customWidth="1"/>
    <col min="16" max="16" width="11.57421875" style="67" customWidth="1"/>
    <col min="17" max="17" width="10.7109375" style="67" customWidth="1"/>
    <col min="18" max="18" width="11.421875" style="67" bestFit="1" customWidth="1"/>
    <col min="19" max="16384" width="9.140625" style="67" customWidth="1"/>
  </cols>
  <sheetData>
    <row r="1" spans="2:15" ht="13.5" thickBot="1">
      <c r="B1" s="711" t="s">
        <v>118</v>
      </c>
      <c r="C1" s="711"/>
      <c r="D1" s="711"/>
      <c r="E1" s="711"/>
      <c r="F1" s="711"/>
      <c r="G1" s="711"/>
      <c r="H1" s="711"/>
      <c r="I1" s="711"/>
      <c r="J1" s="711"/>
      <c r="K1" s="711"/>
      <c r="L1" s="548"/>
      <c r="M1" s="548"/>
      <c r="N1" s="548"/>
      <c r="O1" s="548"/>
    </row>
    <row r="2" spans="2:17" ht="13.5" customHeight="1" thickTop="1">
      <c r="B2" s="721" t="s">
        <v>44</v>
      </c>
      <c r="C2" s="764" t="s">
        <v>45</v>
      </c>
      <c r="D2" s="737" t="s">
        <v>46</v>
      </c>
      <c r="E2" s="386" t="s">
        <v>360</v>
      </c>
      <c r="F2" s="386" t="s">
        <v>361</v>
      </c>
      <c r="G2" s="386" t="s">
        <v>362</v>
      </c>
      <c r="H2" s="386" t="s">
        <v>363</v>
      </c>
      <c r="I2" s="386" t="s">
        <v>364</v>
      </c>
      <c r="J2" s="386" t="s">
        <v>321</v>
      </c>
      <c r="K2" s="386" t="s">
        <v>322</v>
      </c>
      <c r="L2" s="386" t="s">
        <v>365</v>
      </c>
      <c r="M2" s="386" t="s">
        <v>422</v>
      </c>
      <c r="N2" s="699" t="s">
        <v>319</v>
      </c>
      <c r="O2" s="762" t="s">
        <v>378</v>
      </c>
      <c r="P2" s="386" t="s">
        <v>320</v>
      </c>
      <c r="Q2" s="709" t="s">
        <v>385</v>
      </c>
    </row>
    <row r="3" spans="2:17" ht="25.5" customHeight="1" thickBot="1">
      <c r="B3" s="722"/>
      <c r="C3" s="765"/>
      <c r="D3" s="738"/>
      <c r="E3" s="383"/>
      <c r="F3" s="383"/>
      <c r="G3" s="383"/>
      <c r="H3" s="383"/>
      <c r="I3" s="383"/>
      <c r="J3" s="383"/>
      <c r="K3" s="383"/>
      <c r="L3" s="383"/>
      <c r="M3" s="383"/>
      <c r="N3" s="700"/>
      <c r="O3" s="763"/>
      <c r="P3" s="383"/>
      <c r="Q3" s="710"/>
    </row>
    <row r="4" spans="2:17" s="26" customFormat="1" ht="16.5" thickBot="1" thickTop="1">
      <c r="B4" s="479" t="s">
        <v>395</v>
      </c>
      <c r="C4" s="766" t="s">
        <v>119</v>
      </c>
      <c r="D4" s="766"/>
      <c r="E4" s="549">
        <v>372735</v>
      </c>
      <c r="F4" s="549">
        <v>64629</v>
      </c>
      <c r="G4" s="549">
        <v>39833</v>
      </c>
      <c r="H4" s="549">
        <v>3383</v>
      </c>
      <c r="I4" s="549"/>
      <c r="J4" s="550">
        <v>18260</v>
      </c>
      <c r="K4" s="550">
        <v>0</v>
      </c>
      <c r="L4" s="550">
        <v>0</v>
      </c>
      <c r="M4" s="551">
        <f>M5+M6</f>
        <v>15000</v>
      </c>
      <c r="N4" s="550">
        <v>0</v>
      </c>
      <c r="O4" s="552">
        <f aca="true" t="shared" si="0" ref="O4:O67">IF(M4=0,0,N4/M4)</f>
        <v>0</v>
      </c>
      <c r="P4" s="486"/>
      <c r="Q4" s="553"/>
    </row>
    <row r="5" spans="2:17" ht="13.5" thickBot="1">
      <c r="B5" s="712"/>
      <c r="C5" s="773"/>
      <c r="D5" s="30" t="s">
        <v>338</v>
      </c>
      <c r="E5" s="96"/>
      <c r="F5" s="96"/>
      <c r="G5" s="96"/>
      <c r="H5" s="96"/>
      <c r="I5" s="236"/>
      <c r="J5" s="236"/>
      <c r="K5" s="236"/>
      <c r="L5" s="96"/>
      <c r="M5" s="96">
        <v>15000</v>
      </c>
      <c r="N5" s="96"/>
      <c r="O5" s="554">
        <f t="shared" si="0"/>
        <v>0</v>
      </c>
      <c r="P5" s="436"/>
      <c r="Q5" s="544"/>
    </row>
    <row r="6" spans="2:17" ht="13.5" hidden="1" thickBot="1">
      <c r="B6" s="714"/>
      <c r="C6" s="775"/>
      <c r="D6" s="30"/>
      <c r="E6" s="96"/>
      <c r="F6" s="96"/>
      <c r="G6" s="96"/>
      <c r="H6" s="96"/>
      <c r="I6" s="236"/>
      <c r="J6" s="236"/>
      <c r="K6" s="236"/>
      <c r="L6" s="96"/>
      <c r="M6" s="96"/>
      <c r="N6" s="96"/>
      <c r="O6" s="554">
        <f t="shared" si="0"/>
        <v>0</v>
      </c>
      <c r="P6" s="436"/>
      <c r="Q6" s="544"/>
    </row>
    <row r="7" spans="2:18" s="26" customFormat="1" ht="15.75" thickBot="1">
      <c r="B7" s="475" t="s">
        <v>138</v>
      </c>
      <c r="C7" s="769" t="s">
        <v>11</v>
      </c>
      <c r="D7" s="769"/>
      <c r="E7" s="477">
        <v>17958</v>
      </c>
      <c r="F7" s="477">
        <v>0</v>
      </c>
      <c r="G7" s="477">
        <v>19916</v>
      </c>
      <c r="H7" s="477">
        <v>18253</v>
      </c>
      <c r="I7" s="477">
        <v>16675</v>
      </c>
      <c r="J7" s="536">
        <v>3031</v>
      </c>
      <c r="K7" s="536">
        <v>0</v>
      </c>
      <c r="L7" s="433">
        <f>SUM(L8:L9)</f>
        <v>10398</v>
      </c>
      <c r="M7" s="433">
        <f>SUM(M8:M9)</f>
        <v>0</v>
      </c>
      <c r="N7" s="433">
        <f>SUM(N8:N9)</f>
        <v>0</v>
      </c>
      <c r="O7" s="555">
        <f t="shared" si="0"/>
        <v>0</v>
      </c>
      <c r="P7" s="433"/>
      <c r="Q7" s="435"/>
      <c r="R7" s="375"/>
    </row>
    <row r="8" spans="2:18" ht="15" thickBot="1">
      <c r="B8" s="556"/>
      <c r="C8" s="773"/>
      <c r="D8" s="10" t="s">
        <v>199</v>
      </c>
      <c r="E8" s="88"/>
      <c r="F8" s="88"/>
      <c r="G8" s="88"/>
      <c r="H8" s="88"/>
      <c r="I8" s="290"/>
      <c r="J8" s="290"/>
      <c r="K8" s="290"/>
      <c r="L8" s="88">
        <v>10398</v>
      </c>
      <c r="M8" s="88"/>
      <c r="N8" s="88"/>
      <c r="O8" s="557">
        <f t="shared" si="0"/>
        <v>0</v>
      </c>
      <c r="P8" s="11"/>
      <c r="Q8" s="124"/>
      <c r="R8" s="375"/>
    </row>
    <row r="9" spans="2:18" ht="15" hidden="1" thickBot="1">
      <c r="B9" s="556"/>
      <c r="C9" s="775"/>
      <c r="D9" s="8"/>
      <c r="E9" s="106"/>
      <c r="F9" s="106"/>
      <c r="G9" s="106"/>
      <c r="H9" s="106"/>
      <c r="I9" s="291"/>
      <c r="J9" s="291"/>
      <c r="K9" s="291"/>
      <c r="L9" s="106"/>
      <c r="M9" s="106"/>
      <c r="N9" s="106"/>
      <c r="O9" s="558">
        <f t="shared" si="0"/>
        <v>0</v>
      </c>
      <c r="P9" s="29"/>
      <c r="Q9" s="133"/>
      <c r="R9" s="375"/>
    </row>
    <row r="10" spans="2:18" s="26" customFormat="1" ht="15.75" thickBot="1">
      <c r="B10" s="475" t="s">
        <v>120</v>
      </c>
      <c r="C10" s="769" t="s">
        <v>121</v>
      </c>
      <c r="D10" s="769"/>
      <c r="E10" s="477">
        <v>894211</v>
      </c>
      <c r="F10" s="477">
        <v>382958</v>
      </c>
      <c r="G10" s="477">
        <v>343590</v>
      </c>
      <c r="H10" s="477">
        <v>610914</v>
      </c>
      <c r="I10" s="477">
        <v>1718795</v>
      </c>
      <c r="J10" s="536">
        <v>495900</v>
      </c>
      <c r="K10" s="536">
        <v>421522</v>
      </c>
      <c r="L10" s="433">
        <f>SUM(L11:L18)</f>
        <v>2058954</v>
      </c>
      <c r="M10" s="433">
        <f>SUM(M11:M18)</f>
        <v>1899851</v>
      </c>
      <c r="N10" s="433">
        <f>SUM(N11:N18)</f>
        <v>2060933</v>
      </c>
      <c r="O10" s="555">
        <f t="shared" si="0"/>
        <v>1.0847866490582683</v>
      </c>
      <c r="P10" s="433"/>
      <c r="Q10" s="435"/>
      <c r="R10" s="375"/>
    </row>
    <row r="11" spans="2:18" ht="14.25">
      <c r="B11" s="713"/>
      <c r="C11" s="781"/>
      <c r="D11" s="30" t="s">
        <v>262</v>
      </c>
      <c r="E11" s="96"/>
      <c r="F11" s="96"/>
      <c r="G11" s="96"/>
      <c r="H11" s="96"/>
      <c r="I11" s="236"/>
      <c r="J11" s="236"/>
      <c r="K11" s="236"/>
      <c r="L11" s="96">
        <v>47371</v>
      </c>
      <c r="M11" s="96">
        <v>31000</v>
      </c>
      <c r="N11" s="96">
        <v>9347</v>
      </c>
      <c r="O11" s="554">
        <f t="shared" si="0"/>
        <v>0.30151612903225805</v>
      </c>
      <c r="P11" s="29"/>
      <c r="Q11" s="133"/>
      <c r="R11" s="375"/>
    </row>
    <row r="12" spans="2:18" ht="14.25">
      <c r="B12" s="713"/>
      <c r="C12" s="781"/>
      <c r="D12" s="12" t="s">
        <v>348</v>
      </c>
      <c r="E12" s="89"/>
      <c r="F12" s="89"/>
      <c r="G12" s="89"/>
      <c r="H12" s="89"/>
      <c r="I12" s="225"/>
      <c r="J12" s="225"/>
      <c r="K12" s="225"/>
      <c r="L12" s="89"/>
      <c r="M12" s="96">
        <v>5000</v>
      </c>
      <c r="N12" s="96"/>
      <c r="O12" s="554">
        <f t="shared" si="0"/>
        <v>0</v>
      </c>
      <c r="P12" s="29"/>
      <c r="Q12" s="133"/>
      <c r="R12" s="375"/>
    </row>
    <row r="13" spans="2:18" ht="14.25">
      <c r="B13" s="713"/>
      <c r="C13" s="781"/>
      <c r="D13" s="24" t="s">
        <v>260</v>
      </c>
      <c r="E13" s="91"/>
      <c r="F13" s="91"/>
      <c r="G13" s="91"/>
      <c r="H13" s="91"/>
      <c r="I13" s="374"/>
      <c r="J13" s="374"/>
      <c r="K13" s="374"/>
      <c r="L13" s="91">
        <v>282056</v>
      </c>
      <c r="M13" s="89"/>
      <c r="N13" s="13"/>
      <c r="O13" s="554">
        <f t="shared" si="0"/>
        <v>0</v>
      </c>
      <c r="P13" s="29"/>
      <c r="Q13" s="133"/>
      <c r="R13" s="375"/>
    </row>
    <row r="14" spans="2:18" ht="14.25">
      <c r="B14" s="713"/>
      <c r="C14" s="781"/>
      <c r="D14" s="12" t="s">
        <v>261</v>
      </c>
      <c r="E14" s="89"/>
      <c r="F14" s="89"/>
      <c r="G14" s="89"/>
      <c r="H14" s="89"/>
      <c r="I14" s="225"/>
      <c r="J14" s="225"/>
      <c r="K14" s="225"/>
      <c r="L14" s="89">
        <v>881052</v>
      </c>
      <c r="M14" s="96">
        <v>76005</v>
      </c>
      <c r="N14" s="96">
        <v>5000</v>
      </c>
      <c r="O14" s="554">
        <f t="shared" si="0"/>
        <v>0.06578514571409776</v>
      </c>
      <c r="P14" s="29"/>
      <c r="Q14" s="133"/>
      <c r="R14" s="375"/>
    </row>
    <row r="15" spans="2:18" ht="14.25">
      <c r="B15" s="713"/>
      <c r="C15" s="781"/>
      <c r="D15" s="12" t="s">
        <v>314</v>
      </c>
      <c r="E15" s="89"/>
      <c r="F15" s="89"/>
      <c r="G15" s="89"/>
      <c r="H15" s="89"/>
      <c r="I15" s="225"/>
      <c r="J15" s="225"/>
      <c r="K15" s="225"/>
      <c r="L15" s="89">
        <v>100004</v>
      </c>
      <c r="M15" s="96"/>
      <c r="N15" s="96"/>
      <c r="O15" s="554">
        <f t="shared" si="0"/>
        <v>0</v>
      </c>
      <c r="P15" s="29"/>
      <c r="Q15" s="133"/>
      <c r="R15" s="375"/>
    </row>
    <row r="16" spans="2:18" ht="14.25">
      <c r="B16" s="713"/>
      <c r="C16" s="781"/>
      <c r="D16" s="12" t="s">
        <v>349</v>
      </c>
      <c r="E16" s="89"/>
      <c r="F16" s="89"/>
      <c r="G16" s="89"/>
      <c r="H16" s="89"/>
      <c r="I16" s="225"/>
      <c r="J16" s="225"/>
      <c r="K16" s="225"/>
      <c r="L16" s="89">
        <v>0</v>
      </c>
      <c r="M16" s="96">
        <v>1787846</v>
      </c>
      <c r="N16" s="96">
        <v>1837286</v>
      </c>
      <c r="O16" s="554">
        <f t="shared" si="0"/>
        <v>1.027653388490955</v>
      </c>
      <c r="P16" s="29"/>
      <c r="Q16" s="133"/>
      <c r="R16" s="375"/>
    </row>
    <row r="17" spans="2:18" ht="14.25">
      <c r="B17" s="713"/>
      <c r="C17" s="781"/>
      <c r="D17" s="12" t="s">
        <v>381</v>
      </c>
      <c r="E17" s="89"/>
      <c r="F17" s="89"/>
      <c r="G17" s="89"/>
      <c r="H17" s="89"/>
      <c r="I17" s="225"/>
      <c r="J17" s="225"/>
      <c r="K17" s="225"/>
      <c r="L17" s="89"/>
      <c r="M17" s="96"/>
      <c r="N17" s="96">
        <v>209300</v>
      </c>
      <c r="O17" s="554">
        <f t="shared" si="0"/>
        <v>0</v>
      </c>
      <c r="P17" s="29"/>
      <c r="Q17" s="133"/>
      <c r="R17" s="375"/>
    </row>
    <row r="18" spans="2:18" ht="15" thickBot="1">
      <c r="B18" s="714"/>
      <c r="C18" s="782"/>
      <c r="D18" s="8" t="s">
        <v>217</v>
      </c>
      <c r="E18" s="106"/>
      <c r="F18" s="106"/>
      <c r="G18" s="106"/>
      <c r="H18" s="106"/>
      <c r="I18" s="291"/>
      <c r="J18" s="291"/>
      <c r="K18" s="291"/>
      <c r="L18" s="106">
        <v>748471</v>
      </c>
      <c r="M18" s="106"/>
      <c r="N18" s="106"/>
      <c r="O18" s="558">
        <f t="shared" si="0"/>
        <v>0</v>
      </c>
      <c r="P18" s="29"/>
      <c r="Q18" s="133"/>
      <c r="R18" s="375"/>
    </row>
    <row r="19" spans="2:18" s="26" customFormat="1" ht="15.75" thickBot="1">
      <c r="B19" s="559" t="s">
        <v>122</v>
      </c>
      <c r="C19" s="686" t="s">
        <v>123</v>
      </c>
      <c r="D19" s="687"/>
      <c r="E19" s="477">
        <v>154053</v>
      </c>
      <c r="F19" s="477">
        <v>194317</v>
      </c>
      <c r="G19" s="477">
        <v>340238</v>
      </c>
      <c r="H19" s="477">
        <v>484191</v>
      </c>
      <c r="I19" s="477">
        <v>181309</v>
      </c>
      <c r="J19" s="536">
        <v>33695</v>
      </c>
      <c r="K19" s="536">
        <v>79908</v>
      </c>
      <c r="L19" s="433">
        <f>SUM(L20:L27)</f>
        <v>0</v>
      </c>
      <c r="M19" s="433">
        <f>SUM(M20:M23)</f>
        <v>76454</v>
      </c>
      <c r="N19" s="433">
        <f>SUM(N20:N24)</f>
        <v>38000</v>
      </c>
      <c r="O19" s="555">
        <f t="shared" si="0"/>
        <v>0.4970308943940147</v>
      </c>
      <c r="P19" s="433"/>
      <c r="Q19" s="435"/>
      <c r="R19" s="375"/>
    </row>
    <row r="20" spans="2:18" ht="14.25">
      <c r="B20" s="556"/>
      <c r="C20" s="560"/>
      <c r="D20" s="12" t="s">
        <v>335</v>
      </c>
      <c r="E20" s="89"/>
      <c r="F20" s="89"/>
      <c r="G20" s="89"/>
      <c r="H20" s="89"/>
      <c r="I20" s="225"/>
      <c r="J20" s="561"/>
      <c r="K20" s="561"/>
      <c r="L20" s="89"/>
      <c r="M20" s="96">
        <v>24589</v>
      </c>
      <c r="N20" s="96"/>
      <c r="O20" s="554">
        <f t="shared" si="0"/>
        <v>0</v>
      </c>
      <c r="P20" s="29"/>
      <c r="Q20" s="133"/>
      <c r="R20" s="375"/>
    </row>
    <row r="21" spans="2:18" ht="14.25">
      <c r="B21" s="556"/>
      <c r="C21" s="560"/>
      <c r="D21" s="12" t="s">
        <v>375</v>
      </c>
      <c r="E21" s="89"/>
      <c r="F21" s="89"/>
      <c r="G21" s="89"/>
      <c r="H21" s="89"/>
      <c r="I21" s="225"/>
      <c r="J21" s="561"/>
      <c r="K21" s="561"/>
      <c r="L21" s="89"/>
      <c r="M21" s="96">
        <v>28905</v>
      </c>
      <c r="N21" s="96"/>
      <c r="O21" s="554">
        <f t="shared" si="0"/>
        <v>0</v>
      </c>
      <c r="P21" s="29"/>
      <c r="Q21" s="133"/>
      <c r="R21" s="375"/>
    </row>
    <row r="22" spans="2:18" ht="14.25">
      <c r="B22" s="556"/>
      <c r="C22" s="560"/>
      <c r="D22" s="12" t="s">
        <v>275</v>
      </c>
      <c r="E22" s="89"/>
      <c r="F22" s="89"/>
      <c r="G22" s="89"/>
      <c r="H22" s="89"/>
      <c r="I22" s="225"/>
      <c r="J22" s="561"/>
      <c r="K22" s="561"/>
      <c r="L22" s="89"/>
      <c r="M22" s="96">
        <v>22960</v>
      </c>
      <c r="N22" s="96"/>
      <c r="O22" s="554">
        <f t="shared" si="0"/>
        <v>0</v>
      </c>
      <c r="P22" s="29"/>
      <c r="Q22" s="133"/>
      <c r="R22" s="375"/>
    </row>
    <row r="23" spans="2:18" ht="14.25">
      <c r="B23" s="556"/>
      <c r="C23" s="560"/>
      <c r="D23" s="12" t="s">
        <v>417</v>
      </c>
      <c r="E23" s="91"/>
      <c r="F23" s="91"/>
      <c r="G23" s="91"/>
      <c r="H23" s="91"/>
      <c r="I23" s="374"/>
      <c r="J23" s="562"/>
      <c r="K23" s="562"/>
      <c r="L23" s="91"/>
      <c r="M23" s="89"/>
      <c r="N23" s="89">
        <v>20000</v>
      </c>
      <c r="O23" s="563">
        <f t="shared" si="0"/>
        <v>0</v>
      </c>
      <c r="P23" s="29"/>
      <c r="Q23" s="133"/>
      <c r="R23" s="375"/>
    </row>
    <row r="24" spans="2:18" ht="15" thickBot="1">
      <c r="B24" s="556"/>
      <c r="C24" s="560"/>
      <c r="D24" s="12" t="s">
        <v>418</v>
      </c>
      <c r="E24" s="91"/>
      <c r="F24" s="91"/>
      <c r="G24" s="91"/>
      <c r="H24" s="91"/>
      <c r="I24" s="374"/>
      <c r="J24" s="562"/>
      <c r="K24" s="562"/>
      <c r="L24" s="91"/>
      <c r="M24" s="89"/>
      <c r="N24" s="89">
        <v>18000</v>
      </c>
      <c r="O24" s="563">
        <f t="shared" si="0"/>
        <v>0</v>
      </c>
      <c r="P24" s="29"/>
      <c r="Q24" s="133"/>
      <c r="R24" s="375"/>
    </row>
    <row r="25" spans="2:18" ht="14.25" hidden="1">
      <c r="B25" s="556"/>
      <c r="C25" s="560"/>
      <c r="D25" s="12" t="s">
        <v>273</v>
      </c>
      <c r="E25" s="91"/>
      <c r="F25" s="91"/>
      <c r="G25" s="91"/>
      <c r="H25" s="91"/>
      <c r="I25" s="374"/>
      <c r="J25" s="562"/>
      <c r="K25" s="562"/>
      <c r="L25" s="91"/>
      <c r="M25" s="89"/>
      <c r="N25" s="89"/>
      <c r="O25" s="563">
        <f t="shared" si="0"/>
        <v>0</v>
      </c>
      <c r="P25" s="29"/>
      <c r="Q25" s="133"/>
      <c r="R25" s="375"/>
    </row>
    <row r="26" spans="2:18" ht="14.25" hidden="1">
      <c r="B26" s="556"/>
      <c r="C26" s="560"/>
      <c r="D26" s="12" t="s">
        <v>288</v>
      </c>
      <c r="E26" s="91"/>
      <c r="F26" s="91"/>
      <c r="G26" s="91"/>
      <c r="H26" s="91"/>
      <c r="I26" s="374"/>
      <c r="J26" s="562"/>
      <c r="K26" s="562"/>
      <c r="L26" s="91"/>
      <c r="M26" s="89"/>
      <c r="N26" s="89"/>
      <c r="O26" s="563">
        <f t="shared" si="0"/>
        <v>0</v>
      </c>
      <c r="P26" s="29"/>
      <c r="Q26" s="133"/>
      <c r="R26" s="375"/>
    </row>
    <row r="27" spans="2:18" ht="15" hidden="1" thickBot="1">
      <c r="B27" s="556"/>
      <c r="C27" s="560"/>
      <c r="D27" s="12" t="s">
        <v>275</v>
      </c>
      <c r="E27" s="91"/>
      <c r="F27" s="91"/>
      <c r="G27" s="91"/>
      <c r="H27" s="91"/>
      <c r="I27" s="374"/>
      <c r="J27" s="562"/>
      <c r="K27" s="562"/>
      <c r="L27" s="91"/>
      <c r="M27" s="95"/>
      <c r="N27" s="95"/>
      <c r="O27" s="564">
        <f t="shared" si="0"/>
        <v>0</v>
      </c>
      <c r="P27" s="29"/>
      <c r="Q27" s="133"/>
      <c r="R27" s="375"/>
    </row>
    <row r="28" spans="2:18" s="26" customFormat="1" ht="15.75" thickBot="1">
      <c r="B28" s="565" t="s">
        <v>400</v>
      </c>
      <c r="C28" s="686" t="s">
        <v>22</v>
      </c>
      <c r="D28" s="687"/>
      <c r="E28" s="566">
        <v>80894</v>
      </c>
      <c r="F28" s="477">
        <v>8298</v>
      </c>
      <c r="G28" s="477">
        <v>71666</v>
      </c>
      <c r="H28" s="477">
        <v>1330064</v>
      </c>
      <c r="I28" s="477">
        <v>2147096</v>
      </c>
      <c r="J28" s="536">
        <v>8121</v>
      </c>
      <c r="K28" s="536">
        <v>93729</v>
      </c>
      <c r="L28" s="433">
        <f>SUM(L29:L33)</f>
        <v>28919</v>
      </c>
      <c r="M28" s="433">
        <f>SUM(M29:M33)</f>
        <v>0</v>
      </c>
      <c r="N28" s="433">
        <f>SUM(N29:N33)</f>
        <v>0</v>
      </c>
      <c r="O28" s="555">
        <f t="shared" si="0"/>
        <v>0</v>
      </c>
      <c r="P28" s="433"/>
      <c r="Q28" s="435"/>
      <c r="R28" s="375"/>
    </row>
    <row r="29" spans="2:18" ht="15" thickBot="1">
      <c r="B29" s="567"/>
      <c r="C29" s="568"/>
      <c r="D29" s="10" t="s">
        <v>309</v>
      </c>
      <c r="E29" s="88"/>
      <c r="F29" s="88"/>
      <c r="G29" s="88"/>
      <c r="H29" s="88"/>
      <c r="I29" s="290"/>
      <c r="J29" s="200"/>
      <c r="K29" s="200"/>
      <c r="L29" s="88">
        <v>28919</v>
      </c>
      <c r="M29" s="96"/>
      <c r="N29" s="96"/>
      <c r="O29" s="554">
        <f t="shared" si="0"/>
        <v>0</v>
      </c>
      <c r="P29" s="29"/>
      <c r="Q29" s="133"/>
      <c r="R29" s="375"/>
    </row>
    <row r="30" spans="2:18" ht="14.25" hidden="1">
      <c r="B30" s="556"/>
      <c r="C30" s="560"/>
      <c r="D30" s="30" t="s">
        <v>276</v>
      </c>
      <c r="E30" s="96"/>
      <c r="F30" s="96"/>
      <c r="G30" s="96"/>
      <c r="H30" s="96"/>
      <c r="I30" s="236"/>
      <c r="J30" s="569"/>
      <c r="K30" s="569"/>
      <c r="L30" s="96"/>
      <c r="M30" s="96"/>
      <c r="N30" s="96"/>
      <c r="O30" s="554">
        <f t="shared" si="0"/>
        <v>0</v>
      </c>
      <c r="P30" s="29"/>
      <c r="Q30" s="133"/>
      <c r="R30" s="375"/>
    </row>
    <row r="31" spans="2:18" ht="14.25" hidden="1">
      <c r="B31" s="556"/>
      <c r="C31" s="560"/>
      <c r="D31" s="12" t="s">
        <v>295</v>
      </c>
      <c r="E31" s="96"/>
      <c r="F31" s="96"/>
      <c r="G31" s="96"/>
      <c r="H31" s="96"/>
      <c r="I31" s="236"/>
      <c r="J31" s="569"/>
      <c r="K31" s="569"/>
      <c r="L31" s="96"/>
      <c r="M31" s="96"/>
      <c r="N31" s="96"/>
      <c r="O31" s="554">
        <f t="shared" si="0"/>
        <v>0</v>
      </c>
      <c r="P31" s="29"/>
      <c r="Q31" s="133"/>
      <c r="R31" s="375"/>
    </row>
    <row r="32" spans="2:18" ht="14.25" hidden="1">
      <c r="B32" s="556"/>
      <c r="C32" s="560"/>
      <c r="D32" s="8" t="s">
        <v>264</v>
      </c>
      <c r="E32" s="106"/>
      <c r="F32" s="106"/>
      <c r="G32" s="106"/>
      <c r="H32" s="106"/>
      <c r="I32" s="291"/>
      <c r="J32" s="201"/>
      <c r="K32" s="201"/>
      <c r="L32" s="89"/>
      <c r="M32" s="96"/>
      <c r="N32" s="96"/>
      <c r="O32" s="554">
        <f t="shared" si="0"/>
        <v>0</v>
      </c>
      <c r="P32" s="29"/>
      <c r="Q32" s="133"/>
      <c r="R32" s="375"/>
    </row>
    <row r="33" spans="2:18" ht="15" hidden="1" thickBot="1">
      <c r="B33" s="570"/>
      <c r="C33" s="571"/>
      <c r="D33" s="12" t="s">
        <v>263</v>
      </c>
      <c r="E33" s="91"/>
      <c r="F33" s="91"/>
      <c r="G33" s="91"/>
      <c r="H33" s="91"/>
      <c r="I33" s="374"/>
      <c r="J33" s="562"/>
      <c r="K33" s="562"/>
      <c r="L33" s="95"/>
      <c r="M33" s="106"/>
      <c r="N33" s="106"/>
      <c r="O33" s="558">
        <f t="shared" si="0"/>
        <v>0</v>
      </c>
      <c r="P33" s="29"/>
      <c r="Q33" s="133"/>
      <c r="R33" s="375"/>
    </row>
    <row r="34" spans="2:18" s="26" customFormat="1" ht="15.75" hidden="1" thickBot="1">
      <c r="B34" s="572" t="s">
        <v>124</v>
      </c>
      <c r="C34" s="769" t="s">
        <v>125</v>
      </c>
      <c r="D34" s="769"/>
      <c r="E34" s="573"/>
      <c r="F34" s="573"/>
      <c r="G34" s="573"/>
      <c r="H34" s="573"/>
      <c r="I34" s="574">
        <v>182399</v>
      </c>
      <c r="J34" s="574"/>
      <c r="K34" s="574"/>
      <c r="L34" s="483"/>
      <c r="M34" s="483"/>
      <c r="N34" s="483"/>
      <c r="O34" s="555">
        <f t="shared" si="0"/>
        <v>0</v>
      </c>
      <c r="P34" s="433"/>
      <c r="Q34" s="435"/>
      <c r="R34" s="375"/>
    </row>
    <row r="35" spans="2:18" ht="15" hidden="1" thickBot="1">
      <c r="B35" s="556"/>
      <c r="C35" s="560"/>
      <c r="D35" s="291"/>
      <c r="E35" s="106"/>
      <c r="F35" s="106"/>
      <c r="G35" s="106"/>
      <c r="H35" s="106"/>
      <c r="I35" s="291"/>
      <c r="J35" s="201"/>
      <c r="K35" s="201"/>
      <c r="L35" s="106"/>
      <c r="M35" s="106"/>
      <c r="N35" s="106"/>
      <c r="O35" s="558">
        <f t="shared" si="0"/>
        <v>0</v>
      </c>
      <c r="P35" s="105"/>
      <c r="Q35" s="183"/>
      <c r="R35" s="375"/>
    </row>
    <row r="36" spans="2:18" ht="15.75" thickBot="1">
      <c r="B36" s="475" t="s">
        <v>141</v>
      </c>
      <c r="C36" s="686" t="s">
        <v>142</v>
      </c>
      <c r="D36" s="687"/>
      <c r="E36" s="476">
        <v>0</v>
      </c>
      <c r="F36" s="476">
        <v>0</v>
      </c>
      <c r="G36" s="476">
        <v>6639</v>
      </c>
      <c r="H36" s="476">
        <v>113606</v>
      </c>
      <c r="I36" s="476">
        <v>254005</v>
      </c>
      <c r="J36" s="482">
        <v>2699311</v>
      </c>
      <c r="K36" s="482">
        <v>3603230</v>
      </c>
      <c r="L36" s="433">
        <f>SUM(L42:L42)</f>
        <v>1781346</v>
      </c>
      <c r="M36" s="433">
        <f>SUM(M37:M42)</f>
        <v>11891</v>
      </c>
      <c r="N36" s="433">
        <f>SUM(N37:N42)</f>
        <v>0</v>
      </c>
      <c r="O36" s="555">
        <f t="shared" si="0"/>
        <v>0</v>
      </c>
      <c r="P36" s="433"/>
      <c r="Q36" s="435"/>
      <c r="R36" s="375"/>
    </row>
    <row r="37" spans="2:18" ht="15">
      <c r="B37" s="718"/>
      <c r="C37" s="770"/>
      <c r="D37" s="258" t="s">
        <v>350</v>
      </c>
      <c r="E37" s="301"/>
      <c r="F37" s="301"/>
      <c r="G37" s="301"/>
      <c r="H37" s="301"/>
      <c r="I37" s="258"/>
      <c r="J37" s="249"/>
      <c r="K37" s="249"/>
      <c r="L37" s="250"/>
      <c r="M37" s="17">
        <v>11891</v>
      </c>
      <c r="N37" s="250"/>
      <c r="O37" s="376">
        <f t="shared" si="0"/>
        <v>0</v>
      </c>
      <c r="P37" s="250"/>
      <c r="Q37" s="251"/>
      <c r="R37" s="375"/>
    </row>
    <row r="38" spans="2:18" ht="15" hidden="1">
      <c r="B38" s="719"/>
      <c r="C38" s="771"/>
      <c r="D38" s="259" t="s">
        <v>204</v>
      </c>
      <c r="E38" s="302"/>
      <c r="F38" s="302"/>
      <c r="G38" s="302"/>
      <c r="H38" s="302"/>
      <c r="I38" s="259"/>
      <c r="J38" s="255"/>
      <c r="K38" s="255"/>
      <c r="L38" s="256"/>
      <c r="M38" s="55"/>
      <c r="N38" s="345"/>
      <c r="O38" s="377">
        <f t="shared" si="0"/>
        <v>0</v>
      </c>
      <c r="P38" s="256"/>
      <c r="Q38" s="257"/>
      <c r="R38" s="375"/>
    </row>
    <row r="39" spans="2:18" ht="15" hidden="1">
      <c r="B39" s="719"/>
      <c r="C39" s="771"/>
      <c r="D39" s="259" t="s">
        <v>351</v>
      </c>
      <c r="E39" s="302"/>
      <c r="F39" s="302"/>
      <c r="G39" s="302"/>
      <c r="H39" s="302"/>
      <c r="I39" s="259"/>
      <c r="J39" s="255"/>
      <c r="K39" s="255"/>
      <c r="L39" s="256"/>
      <c r="M39" s="55"/>
      <c r="N39" s="256"/>
      <c r="O39" s="378">
        <f t="shared" si="0"/>
        <v>0</v>
      </c>
      <c r="P39" s="256"/>
      <c r="Q39" s="257"/>
      <c r="R39" s="375"/>
    </row>
    <row r="40" spans="2:18" ht="15" hidden="1">
      <c r="B40" s="719"/>
      <c r="C40" s="771"/>
      <c r="D40" s="260" t="s">
        <v>352</v>
      </c>
      <c r="E40" s="303"/>
      <c r="F40" s="303"/>
      <c r="G40" s="303"/>
      <c r="H40" s="303"/>
      <c r="I40" s="260"/>
      <c r="J40" s="252"/>
      <c r="K40" s="252"/>
      <c r="L40" s="253"/>
      <c r="M40" s="19"/>
      <c r="N40" s="253"/>
      <c r="O40" s="379">
        <f t="shared" si="0"/>
        <v>0</v>
      </c>
      <c r="P40" s="253"/>
      <c r="Q40" s="254"/>
      <c r="R40" s="375"/>
    </row>
    <row r="41" spans="2:18" ht="15" hidden="1">
      <c r="B41" s="719"/>
      <c r="C41" s="771"/>
      <c r="D41" s="260" t="s">
        <v>353</v>
      </c>
      <c r="E41" s="303"/>
      <c r="F41" s="303"/>
      <c r="G41" s="303"/>
      <c r="H41" s="303"/>
      <c r="I41" s="260"/>
      <c r="J41" s="252"/>
      <c r="K41" s="252"/>
      <c r="L41" s="253"/>
      <c r="M41" s="19"/>
      <c r="N41" s="253"/>
      <c r="O41" s="379">
        <f t="shared" si="0"/>
        <v>0</v>
      </c>
      <c r="P41" s="253"/>
      <c r="Q41" s="254"/>
      <c r="R41" s="375"/>
    </row>
    <row r="42" spans="2:19" ht="15" thickBot="1">
      <c r="B42" s="720"/>
      <c r="C42" s="772"/>
      <c r="D42" s="14" t="s">
        <v>225</v>
      </c>
      <c r="E42" s="95"/>
      <c r="F42" s="95"/>
      <c r="G42" s="95"/>
      <c r="H42" s="95"/>
      <c r="I42" s="429"/>
      <c r="J42" s="575"/>
      <c r="K42" s="575"/>
      <c r="L42" s="95">
        <v>1781346</v>
      </c>
      <c r="M42" s="178"/>
      <c r="N42" s="180"/>
      <c r="O42" s="576">
        <f t="shared" si="0"/>
        <v>0</v>
      </c>
      <c r="P42" s="64"/>
      <c r="Q42" s="219"/>
      <c r="R42" s="375"/>
      <c r="S42" s="116"/>
    </row>
    <row r="43" spans="2:18" s="26" customFormat="1" ht="15.75" thickBot="1">
      <c r="B43" s="572" t="s">
        <v>126</v>
      </c>
      <c r="C43" s="766" t="s">
        <v>127</v>
      </c>
      <c r="D43" s="766"/>
      <c r="E43" s="549">
        <v>38040</v>
      </c>
      <c r="F43" s="549">
        <v>144792</v>
      </c>
      <c r="G43" s="549">
        <v>36414</v>
      </c>
      <c r="H43" s="549">
        <v>3228</v>
      </c>
      <c r="I43" s="549">
        <v>15058</v>
      </c>
      <c r="J43" s="550"/>
      <c r="K43" s="550"/>
      <c r="L43" s="577">
        <f>SUM(L44:L45)</f>
        <v>5000</v>
      </c>
      <c r="M43" s="577">
        <f>SUM(M44:M45)</f>
        <v>35484</v>
      </c>
      <c r="N43" s="577">
        <f>SUM(N44:N45)</f>
        <v>0</v>
      </c>
      <c r="O43" s="578">
        <f t="shared" si="0"/>
        <v>0</v>
      </c>
      <c r="P43" s="438"/>
      <c r="Q43" s="441"/>
      <c r="R43" s="375"/>
    </row>
    <row r="44" spans="2:18" s="223" customFormat="1" ht="13.5" customHeight="1">
      <c r="B44" s="718"/>
      <c r="C44" s="776"/>
      <c r="D44" s="10" t="s">
        <v>303</v>
      </c>
      <c r="E44" s="88"/>
      <c r="F44" s="88"/>
      <c r="G44" s="88"/>
      <c r="H44" s="88"/>
      <c r="I44" s="290"/>
      <c r="J44" s="200"/>
      <c r="K44" s="200"/>
      <c r="L44" s="100">
        <v>5000</v>
      </c>
      <c r="M44" s="88">
        <v>20504</v>
      </c>
      <c r="N44" s="100"/>
      <c r="O44" s="380">
        <f t="shared" si="0"/>
        <v>0</v>
      </c>
      <c r="P44" s="357"/>
      <c r="Q44" s="148"/>
      <c r="R44" s="375"/>
    </row>
    <row r="45" spans="2:18" ht="15" thickBot="1">
      <c r="B45" s="720"/>
      <c r="C45" s="777"/>
      <c r="D45" s="12" t="s">
        <v>354</v>
      </c>
      <c r="E45" s="106"/>
      <c r="F45" s="106"/>
      <c r="G45" s="106"/>
      <c r="H45" s="106"/>
      <c r="I45" s="291"/>
      <c r="J45" s="201"/>
      <c r="K45" s="201"/>
      <c r="L45" s="106"/>
      <c r="M45" s="106">
        <v>14980</v>
      </c>
      <c r="N45" s="106"/>
      <c r="O45" s="558">
        <f t="shared" si="0"/>
        <v>0</v>
      </c>
      <c r="P45" s="105"/>
      <c r="Q45" s="183"/>
      <c r="R45" s="375"/>
    </row>
    <row r="46" spans="2:18" s="26" customFormat="1" ht="15.75" thickBot="1">
      <c r="B46" s="559" t="s">
        <v>128</v>
      </c>
      <c r="C46" s="769" t="s">
        <v>129</v>
      </c>
      <c r="D46" s="769"/>
      <c r="E46" s="477">
        <v>326960</v>
      </c>
      <c r="F46" s="477">
        <v>144858</v>
      </c>
      <c r="G46" s="477">
        <v>123880</v>
      </c>
      <c r="H46" s="477">
        <v>20761</v>
      </c>
      <c r="I46" s="477">
        <v>158221</v>
      </c>
      <c r="J46" s="536">
        <v>92051</v>
      </c>
      <c r="K46" s="536">
        <v>68225</v>
      </c>
      <c r="L46" s="433">
        <f>SUM(L47:L65)</f>
        <v>16198</v>
      </c>
      <c r="M46" s="433">
        <f>SUM(M47:M65)</f>
        <v>1322250</v>
      </c>
      <c r="N46" s="433">
        <f>SUM(N47:N65)</f>
        <v>114500</v>
      </c>
      <c r="O46" s="555">
        <f t="shared" si="0"/>
        <v>0.08659481943656645</v>
      </c>
      <c r="P46" s="433">
        <f>SUM(P47:P65)</f>
        <v>45467</v>
      </c>
      <c r="Q46" s="435">
        <f>SUM(Q47:Q65)</f>
        <v>0</v>
      </c>
      <c r="R46" s="375"/>
    </row>
    <row r="47" spans="2:18" ht="14.25" hidden="1">
      <c r="B47" s="712"/>
      <c r="C47" s="773"/>
      <c r="D47" s="579" t="s">
        <v>258</v>
      </c>
      <c r="E47" s="580"/>
      <c r="F47" s="580"/>
      <c r="G47" s="580"/>
      <c r="H47" s="580"/>
      <c r="I47" s="581"/>
      <c r="J47" s="582"/>
      <c r="K47" s="582"/>
      <c r="L47" s="88"/>
      <c r="M47" s="88"/>
      <c r="N47" s="88"/>
      <c r="O47" s="557">
        <f t="shared" si="0"/>
        <v>0</v>
      </c>
      <c r="P47" s="11"/>
      <c r="Q47" s="124"/>
      <c r="R47" s="375"/>
    </row>
    <row r="48" spans="2:18" ht="14.25" hidden="1">
      <c r="B48" s="713"/>
      <c r="C48" s="774"/>
      <c r="D48" s="22" t="s">
        <v>259</v>
      </c>
      <c r="E48" s="247"/>
      <c r="F48" s="247"/>
      <c r="G48" s="247"/>
      <c r="H48" s="247"/>
      <c r="I48" s="583"/>
      <c r="J48" s="584"/>
      <c r="K48" s="584"/>
      <c r="L48" s="89"/>
      <c r="M48" s="96"/>
      <c r="N48" s="96"/>
      <c r="O48" s="554">
        <f t="shared" si="0"/>
        <v>0</v>
      </c>
      <c r="P48" s="29"/>
      <c r="Q48" s="133"/>
      <c r="R48" s="375"/>
    </row>
    <row r="49" spans="2:18" ht="14.25" hidden="1">
      <c r="B49" s="713"/>
      <c r="C49" s="774"/>
      <c r="D49" s="22" t="s">
        <v>246</v>
      </c>
      <c r="E49" s="247"/>
      <c r="F49" s="247"/>
      <c r="G49" s="247"/>
      <c r="H49" s="247"/>
      <c r="I49" s="583"/>
      <c r="J49" s="584"/>
      <c r="K49" s="584"/>
      <c r="L49" s="89"/>
      <c r="M49" s="96"/>
      <c r="N49" s="96"/>
      <c r="O49" s="554">
        <f t="shared" si="0"/>
        <v>0</v>
      </c>
      <c r="P49" s="29"/>
      <c r="Q49" s="133"/>
      <c r="R49" s="375"/>
    </row>
    <row r="50" spans="2:18" ht="14.25" hidden="1">
      <c r="B50" s="713"/>
      <c r="C50" s="774"/>
      <c r="D50" s="22" t="s">
        <v>198</v>
      </c>
      <c r="E50" s="247"/>
      <c r="F50" s="247"/>
      <c r="G50" s="247"/>
      <c r="H50" s="247"/>
      <c r="I50" s="583"/>
      <c r="J50" s="584"/>
      <c r="K50" s="584"/>
      <c r="L50" s="89"/>
      <c r="M50" s="96"/>
      <c r="N50" s="96"/>
      <c r="O50" s="554">
        <f t="shared" si="0"/>
        <v>0</v>
      </c>
      <c r="P50" s="29"/>
      <c r="Q50" s="133"/>
      <c r="R50" s="375"/>
    </row>
    <row r="51" spans="2:18" ht="14.25" hidden="1">
      <c r="B51" s="713"/>
      <c r="C51" s="774"/>
      <c r="D51" s="22" t="s">
        <v>230</v>
      </c>
      <c r="E51" s="247"/>
      <c r="F51" s="247"/>
      <c r="G51" s="247"/>
      <c r="H51" s="247"/>
      <c r="I51" s="583"/>
      <c r="J51" s="584"/>
      <c r="K51" s="584"/>
      <c r="L51" s="89"/>
      <c r="M51" s="96"/>
      <c r="N51" s="96"/>
      <c r="O51" s="554">
        <f t="shared" si="0"/>
        <v>0</v>
      </c>
      <c r="P51" s="29"/>
      <c r="Q51" s="133"/>
      <c r="R51" s="375"/>
    </row>
    <row r="52" spans="2:18" ht="14.25" hidden="1">
      <c r="B52" s="713"/>
      <c r="C52" s="774"/>
      <c r="D52" s="585" t="s">
        <v>253</v>
      </c>
      <c r="E52" s="586"/>
      <c r="F52" s="586"/>
      <c r="G52" s="586"/>
      <c r="H52" s="586"/>
      <c r="I52" s="587"/>
      <c r="J52" s="588"/>
      <c r="K52" s="588"/>
      <c r="L52" s="91"/>
      <c r="M52" s="106"/>
      <c r="N52" s="106"/>
      <c r="O52" s="558">
        <f t="shared" si="0"/>
        <v>0</v>
      </c>
      <c r="P52" s="29"/>
      <c r="Q52" s="133"/>
      <c r="R52" s="375"/>
    </row>
    <row r="53" spans="2:18" ht="14.25" hidden="1">
      <c r="B53" s="713"/>
      <c r="C53" s="774"/>
      <c r="D53" s="589" t="s">
        <v>254</v>
      </c>
      <c r="E53" s="590"/>
      <c r="F53" s="590"/>
      <c r="G53" s="590"/>
      <c r="H53" s="590"/>
      <c r="I53" s="591"/>
      <c r="J53" s="592"/>
      <c r="K53" s="592"/>
      <c r="L53" s="91"/>
      <c r="M53" s="106"/>
      <c r="N53" s="106"/>
      <c r="O53" s="558">
        <f t="shared" si="0"/>
        <v>0</v>
      </c>
      <c r="P53" s="29"/>
      <c r="Q53" s="133"/>
      <c r="R53" s="375"/>
    </row>
    <row r="54" spans="2:18" ht="14.25" hidden="1">
      <c r="B54" s="713"/>
      <c r="C54" s="774"/>
      <c r="D54" s="22" t="s">
        <v>255</v>
      </c>
      <c r="E54" s="590"/>
      <c r="F54" s="590"/>
      <c r="G54" s="590"/>
      <c r="H54" s="590"/>
      <c r="I54" s="591"/>
      <c r="J54" s="592"/>
      <c r="K54" s="592"/>
      <c r="L54" s="91"/>
      <c r="M54" s="106"/>
      <c r="N54" s="106"/>
      <c r="O54" s="558">
        <f t="shared" si="0"/>
        <v>0</v>
      </c>
      <c r="P54" s="29"/>
      <c r="Q54" s="133"/>
      <c r="R54" s="375"/>
    </row>
    <row r="55" spans="2:18" ht="14.25" hidden="1">
      <c r="B55" s="713"/>
      <c r="C55" s="774"/>
      <c r="D55" s="12" t="s">
        <v>274</v>
      </c>
      <c r="E55" s="89"/>
      <c r="F55" s="89"/>
      <c r="G55" s="89"/>
      <c r="H55" s="89"/>
      <c r="I55" s="225"/>
      <c r="J55" s="561"/>
      <c r="K55" s="561"/>
      <c r="L55" s="89"/>
      <c r="M55" s="89"/>
      <c r="N55" s="89"/>
      <c r="O55" s="593">
        <f t="shared" si="0"/>
        <v>0</v>
      </c>
      <c r="P55" s="13"/>
      <c r="Q55" s="125"/>
      <c r="R55" s="375"/>
    </row>
    <row r="56" spans="2:18" ht="14.25">
      <c r="B56" s="713"/>
      <c r="C56" s="774"/>
      <c r="D56" s="12" t="s">
        <v>289</v>
      </c>
      <c r="E56" s="89"/>
      <c r="F56" s="89"/>
      <c r="G56" s="89"/>
      <c r="H56" s="89"/>
      <c r="I56" s="225"/>
      <c r="J56" s="561"/>
      <c r="K56" s="561"/>
      <c r="L56" s="89">
        <v>7632</v>
      </c>
      <c r="M56" s="89"/>
      <c r="N56" s="89"/>
      <c r="O56" s="593">
        <f t="shared" si="0"/>
        <v>0</v>
      </c>
      <c r="P56" s="13"/>
      <c r="Q56" s="125"/>
      <c r="R56" s="375"/>
    </row>
    <row r="57" spans="2:18" ht="14.25" hidden="1">
      <c r="B57" s="713"/>
      <c r="C57" s="774"/>
      <c r="D57" s="12"/>
      <c r="E57" s="89"/>
      <c r="F57" s="89"/>
      <c r="G57" s="89"/>
      <c r="H57" s="89"/>
      <c r="I57" s="225"/>
      <c r="J57" s="561"/>
      <c r="K57" s="561"/>
      <c r="L57" s="89"/>
      <c r="M57" s="89"/>
      <c r="N57" s="89"/>
      <c r="O57" s="593">
        <f t="shared" si="0"/>
        <v>0</v>
      </c>
      <c r="P57" s="13"/>
      <c r="Q57" s="125"/>
      <c r="R57" s="375"/>
    </row>
    <row r="58" spans="2:18" ht="12.75" customHeight="1" hidden="1">
      <c r="B58" s="713"/>
      <c r="C58" s="774"/>
      <c r="D58" s="12" t="s">
        <v>294</v>
      </c>
      <c r="E58" s="89"/>
      <c r="F58" s="89"/>
      <c r="G58" s="89"/>
      <c r="H58" s="89"/>
      <c r="I58" s="225"/>
      <c r="J58" s="561"/>
      <c r="K58" s="561"/>
      <c r="L58" s="89">
        <v>0</v>
      </c>
      <c r="M58" s="89"/>
      <c r="N58" s="89"/>
      <c r="O58" s="593">
        <f t="shared" si="0"/>
        <v>0</v>
      </c>
      <c r="P58" s="13"/>
      <c r="Q58" s="125"/>
      <c r="R58" s="375"/>
    </row>
    <row r="59" spans="2:18" ht="14.25">
      <c r="B59" s="713"/>
      <c r="C59" s="774"/>
      <c r="D59" s="12" t="s">
        <v>337</v>
      </c>
      <c r="E59" s="89"/>
      <c r="F59" s="89"/>
      <c r="G59" s="89"/>
      <c r="H59" s="89"/>
      <c r="I59" s="225"/>
      <c r="J59" s="561"/>
      <c r="K59" s="561"/>
      <c r="L59" s="89">
        <v>0</v>
      </c>
      <c r="M59" s="89">
        <v>1316250</v>
      </c>
      <c r="N59" s="89">
        <v>50000</v>
      </c>
      <c r="O59" s="593">
        <f t="shared" si="0"/>
        <v>0.03798670465337132</v>
      </c>
      <c r="P59" s="13">
        <v>45467</v>
      </c>
      <c r="Q59" s="125"/>
      <c r="R59" s="375"/>
    </row>
    <row r="60" spans="2:19" ht="14.25">
      <c r="B60" s="713"/>
      <c r="C60" s="774"/>
      <c r="D60" s="12" t="s">
        <v>380</v>
      </c>
      <c r="E60" s="89"/>
      <c r="F60" s="89"/>
      <c r="G60" s="89"/>
      <c r="H60" s="89"/>
      <c r="I60" s="225"/>
      <c r="J60" s="561"/>
      <c r="K60" s="561"/>
      <c r="L60" s="89"/>
      <c r="M60" s="89"/>
      <c r="N60" s="89">
        <v>40000</v>
      </c>
      <c r="O60" s="593">
        <f t="shared" si="0"/>
        <v>0</v>
      </c>
      <c r="P60" s="13"/>
      <c r="Q60" s="125"/>
      <c r="R60" s="375"/>
      <c r="S60" s="116"/>
    </row>
    <row r="61" spans="2:19" ht="14.25" hidden="1">
      <c r="B61" s="713"/>
      <c r="C61" s="774"/>
      <c r="D61" s="12" t="s">
        <v>290</v>
      </c>
      <c r="E61" s="89"/>
      <c r="F61" s="89"/>
      <c r="G61" s="89"/>
      <c r="H61" s="89"/>
      <c r="I61" s="225"/>
      <c r="J61" s="561"/>
      <c r="K61" s="561"/>
      <c r="L61" s="89"/>
      <c r="M61" s="89"/>
      <c r="N61" s="89"/>
      <c r="O61" s="593">
        <f t="shared" si="0"/>
        <v>0</v>
      </c>
      <c r="P61" s="13"/>
      <c r="Q61" s="125"/>
      <c r="R61" s="375"/>
      <c r="S61" s="116"/>
    </row>
    <row r="62" spans="2:18" ht="14.25" hidden="1">
      <c r="B62" s="713"/>
      <c r="C62" s="774"/>
      <c r="D62" s="12" t="s">
        <v>382</v>
      </c>
      <c r="E62" s="89"/>
      <c r="F62" s="89"/>
      <c r="G62" s="89"/>
      <c r="H62" s="89"/>
      <c r="I62" s="225"/>
      <c r="J62" s="561"/>
      <c r="K62" s="561"/>
      <c r="L62" s="89"/>
      <c r="M62" s="89"/>
      <c r="N62" s="89"/>
      <c r="O62" s="593">
        <f t="shared" si="0"/>
        <v>0</v>
      </c>
      <c r="P62" s="13"/>
      <c r="Q62" s="125"/>
      <c r="R62" s="375"/>
    </row>
    <row r="63" spans="2:18" ht="13.5" customHeight="1">
      <c r="B63" s="713"/>
      <c r="C63" s="774"/>
      <c r="D63" s="12" t="s">
        <v>291</v>
      </c>
      <c r="E63" s="89"/>
      <c r="F63" s="89"/>
      <c r="G63" s="89"/>
      <c r="H63" s="89"/>
      <c r="I63" s="225"/>
      <c r="J63" s="561"/>
      <c r="K63" s="561"/>
      <c r="L63" s="89">
        <v>8090</v>
      </c>
      <c r="M63" s="89">
        <v>3000</v>
      </c>
      <c r="N63" s="89"/>
      <c r="O63" s="593">
        <f t="shared" si="0"/>
        <v>0</v>
      </c>
      <c r="P63" s="13"/>
      <c r="Q63" s="125"/>
      <c r="R63" s="375"/>
    </row>
    <row r="64" spans="2:17" ht="15" customHeight="1" hidden="1">
      <c r="B64" s="713"/>
      <c r="C64" s="774"/>
      <c r="D64" s="12" t="s">
        <v>379</v>
      </c>
      <c r="E64" s="89"/>
      <c r="F64" s="89"/>
      <c r="G64" s="89"/>
      <c r="H64" s="89"/>
      <c r="I64" s="225"/>
      <c r="J64" s="561"/>
      <c r="K64" s="561"/>
      <c r="L64" s="89"/>
      <c r="M64" s="89"/>
      <c r="N64" s="89"/>
      <c r="O64" s="593">
        <f t="shared" si="0"/>
        <v>0</v>
      </c>
      <c r="P64" s="13"/>
      <c r="Q64" s="125"/>
    </row>
    <row r="65" spans="2:17" ht="13.5" customHeight="1" thickBot="1">
      <c r="B65" s="714"/>
      <c r="C65" s="775"/>
      <c r="D65" s="65" t="s">
        <v>198</v>
      </c>
      <c r="E65" s="95"/>
      <c r="F65" s="95"/>
      <c r="G65" s="95"/>
      <c r="H65" s="95"/>
      <c r="I65" s="429"/>
      <c r="J65" s="575"/>
      <c r="K65" s="575"/>
      <c r="L65" s="95">
        <v>476</v>
      </c>
      <c r="M65" s="95">
        <v>3000</v>
      </c>
      <c r="N65" s="95">
        <v>24500</v>
      </c>
      <c r="O65" s="594">
        <f t="shared" si="0"/>
        <v>8.166666666666666</v>
      </c>
      <c r="P65" s="15"/>
      <c r="Q65" s="131"/>
    </row>
    <row r="66" spans="2:17" ht="15.75" customHeight="1" hidden="1" thickBot="1">
      <c r="B66" s="487" t="s">
        <v>134</v>
      </c>
      <c r="C66" s="680" t="s">
        <v>135</v>
      </c>
      <c r="D66" s="681"/>
      <c r="E66" s="595"/>
      <c r="F66" s="595"/>
      <c r="G66" s="595"/>
      <c r="H66" s="595"/>
      <c r="I66" s="480"/>
      <c r="J66" s="596"/>
      <c r="K66" s="596"/>
      <c r="L66" s="577"/>
      <c r="M66" s="577"/>
      <c r="N66" s="577"/>
      <c r="O66" s="578">
        <f t="shared" si="0"/>
        <v>0</v>
      </c>
      <c r="P66" s="438"/>
      <c r="Q66" s="441"/>
    </row>
    <row r="67" spans="2:17" ht="13.5" customHeight="1" hidden="1">
      <c r="B67" s="556"/>
      <c r="C67" s="560"/>
      <c r="D67" s="12" t="s">
        <v>190</v>
      </c>
      <c r="E67" s="89"/>
      <c r="F67" s="89"/>
      <c r="G67" s="89"/>
      <c r="H67" s="89"/>
      <c r="I67" s="225"/>
      <c r="J67" s="561"/>
      <c r="K67" s="561"/>
      <c r="L67" s="89"/>
      <c r="M67" s="89"/>
      <c r="N67" s="89"/>
      <c r="O67" s="593">
        <f t="shared" si="0"/>
        <v>0</v>
      </c>
      <c r="P67" s="13"/>
      <c r="Q67" s="125"/>
    </row>
    <row r="68" spans="2:17" ht="13.5" customHeight="1" hidden="1">
      <c r="B68" s="556"/>
      <c r="C68" s="560"/>
      <c r="D68" s="12"/>
      <c r="E68" s="89"/>
      <c r="F68" s="89"/>
      <c r="G68" s="89"/>
      <c r="H68" s="89"/>
      <c r="I68" s="225"/>
      <c r="J68" s="561"/>
      <c r="K68" s="561"/>
      <c r="L68" s="89"/>
      <c r="M68" s="89"/>
      <c r="N68" s="89"/>
      <c r="O68" s="593">
        <f aca="true" t="shared" si="1" ref="O68:O93">IF(M68=0,0,N68/M68)</f>
        <v>0</v>
      </c>
      <c r="P68" s="13"/>
      <c r="Q68" s="125"/>
    </row>
    <row r="69" spans="2:17" ht="16.5" customHeight="1" hidden="1" thickBot="1">
      <c r="B69" s="556"/>
      <c r="C69" s="560"/>
      <c r="D69" s="24"/>
      <c r="E69" s="91"/>
      <c r="F69" s="91"/>
      <c r="G69" s="91"/>
      <c r="H69" s="91"/>
      <c r="I69" s="374"/>
      <c r="J69" s="562"/>
      <c r="K69" s="562"/>
      <c r="L69" s="91"/>
      <c r="M69" s="91"/>
      <c r="N69" s="91"/>
      <c r="O69" s="597">
        <f t="shared" si="1"/>
        <v>0</v>
      </c>
      <c r="P69" s="25"/>
      <c r="Q69" s="135"/>
    </row>
    <row r="70" spans="2:17" ht="15.75" thickBot="1">
      <c r="B70" s="559" t="s">
        <v>130</v>
      </c>
      <c r="C70" s="769" t="s">
        <v>131</v>
      </c>
      <c r="D70" s="769"/>
      <c r="E70" s="477">
        <v>8298</v>
      </c>
      <c r="F70" s="477">
        <v>3983</v>
      </c>
      <c r="G70" s="477">
        <v>175065</v>
      </c>
      <c r="H70" s="477">
        <v>138049</v>
      </c>
      <c r="I70" s="477">
        <v>127764</v>
      </c>
      <c r="J70" s="536">
        <v>149292</v>
      </c>
      <c r="K70" s="536">
        <v>3000</v>
      </c>
      <c r="L70" s="433">
        <f>SUM(L73:L74)</f>
        <v>6455</v>
      </c>
      <c r="M70" s="433">
        <f>SUM(M71:M74)</f>
        <v>1010513</v>
      </c>
      <c r="N70" s="433">
        <f>SUM(N71:N74)</f>
        <v>891859</v>
      </c>
      <c r="O70" s="555">
        <f t="shared" si="1"/>
        <v>0.8825804319192331</v>
      </c>
      <c r="P70" s="433">
        <f>SUM(P71:P74)</f>
        <v>16661</v>
      </c>
      <c r="Q70" s="435">
        <f>SUM(Q71:Q74)</f>
        <v>161306</v>
      </c>
    </row>
    <row r="71" spans="2:17" ht="15" customHeight="1">
      <c r="B71" s="718"/>
      <c r="C71" s="770"/>
      <c r="D71" s="258" t="s">
        <v>345</v>
      </c>
      <c r="E71" s="309"/>
      <c r="F71" s="309"/>
      <c r="G71" s="309"/>
      <c r="H71" s="309"/>
      <c r="I71" s="296"/>
      <c r="J71" s="261"/>
      <c r="K71" s="261"/>
      <c r="L71" s="86"/>
      <c r="M71" s="86">
        <v>1000000</v>
      </c>
      <c r="N71" s="86">
        <v>876859</v>
      </c>
      <c r="O71" s="381">
        <f t="shared" si="1"/>
        <v>0.876859</v>
      </c>
      <c r="P71" s="17">
        <f>32225+18597+11306-45467</f>
        <v>16661</v>
      </c>
      <c r="Q71" s="126">
        <f>150000+11306</f>
        <v>161306</v>
      </c>
    </row>
    <row r="72" spans="2:17" ht="15" customHeight="1">
      <c r="B72" s="719"/>
      <c r="C72" s="771"/>
      <c r="D72" s="259" t="s">
        <v>383</v>
      </c>
      <c r="E72" s="346"/>
      <c r="F72" s="346"/>
      <c r="G72" s="346"/>
      <c r="H72" s="346"/>
      <c r="I72" s="347"/>
      <c r="J72" s="348"/>
      <c r="K72" s="348"/>
      <c r="L72" s="92"/>
      <c r="M72" s="92"/>
      <c r="N72" s="92">
        <v>15000</v>
      </c>
      <c r="O72" s="377">
        <f t="shared" si="1"/>
        <v>0</v>
      </c>
      <c r="P72" s="55"/>
      <c r="Q72" s="129"/>
    </row>
    <row r="73" spans="2:17" ht="12.75">
      <c r="B73" s="719"/>
      <c r="C73" s="771"/>
      <c r="D73" s="30" t="s">
        <v>306</v>
      </c>
      <c r="E73" s="96"/>
      <c r="F73" s="96"/>
      <c r="G73" s="96"/>
      <c r="H73" s="96"/>
      <c r="I73" s="236"/>
      <c r="J73" s="569"/>
      <c r="K73" s="569"/>
      <c r="L73" s="96">
        <v>6455</v>
      </c>
      <c r="M73" s="96"/>
      <c r="N73" s="96"/>
      <c r="O73" s="554">
        <f t="shared" si="1"/>
        <v>0</v>
      </c>
      <c r="P73" s="29"/>
      <c r="Q73" s="133"/>
    </row>
    <row r="74" spans="2:17" ht="13.5" thickBot="1">
      <c r="B74" s="720"/>
      <c r="C74" s="772"/>
      <c r="D74" s="14" t="s">
        <v>333</v>
      </c>
      <c r="E74" s="95"/>
      <c r="F74" s="95"/>
      <c r="G74" s="95"/>
      <c r="H74" s="95"/>
      <c r="I74" s="429"/>
      <c r="J74" s="575"/>
      <c r="K74" s="575"/>
      <c r="L74" s="95"/>
      <c r="M74" s="180">
        <v>10513</v>
      </c>
      <c r="N74" s="180"/>
      <c r="O74" s="576">
        <f t="shared" si="1"/>
        <v>0</v>
      </c>
      <c r="P74" s="64"/>
      <c r="Q74" s="219"/>
    </row>
    <row r="75" spans="2:17" ht="15.75" thickBot="1">
      <c r="B75" s="559" t="s">
        <v>234</v>
      </c>
      <c r="C75" s="769" t="s">
        <v>27</v>
      </c>
      <c r="D75" s="769"/>
      <c r="E75" s="477"/>
      <c r="F75" s="477">
        <v>22472</v>
      </c>
      <c r="G75" s="477">
        <v>20713</v>
      </c>
      <c r="H75" s="477">
        <v>11074</v>
      </c>
      <c r="I75" s="477">
        <v>15914</v>
      </c>
      <c r="J75" s="536">
        <v>116842</v>
      </c>
      <c r="K75" s="536">
        <v>38905</v>
      </c>
      <c r="L75" s="433">
        <f>SUM(L76:L77)</f>
        <v>15848</v>
      </c>
      <c r="M75" s="433">
        <f>SUM(M76:M77)</f>
        <v>3000</v>
      </c>
      <c r="N75" s="483"/>
      <c r="O75" s="555">
        <f t="shared" si="1"/>
        <v>0</v>
      </c>
      <c r="P75" s="433"/>
      <c r="Q75" s="435"/>
    </row>
    <row r="76" spans="2:17" ht="12.75">
      <c r="B76" s="712"/>
      <c r="C76" s="773"/>
      <c r="D76" s="10" t="s">
        <v>192</v>
      </c>
      <c r="E76" s="88"/>
      <c r="F76" s="88"/>
      <c r="G76" s="88"/>
      <c r="H76" s="88"/>
      <c r="I76" s="290"/>
      <c r="J76" s="200"/>
      <c r="K76" s="200"/>
      <c r="L76" s="88">
        <v>7000</v>
      </c>
      <c r="M76" s="96">
        <v>3000</v>
      </c>
      <c r="N76" s="96"/>
      <c r="O76" s="554">
        <f t="shared" si="1"/>
        <v>0</v>
      </c>
      <c r="P76" s="29"/>
      <c r="Q76" s="133"/>
    </row>
    <row r="77" spans="2:19" ht="13.5" thickBot="1">
      <c r="B77" s="714"/>
      <c r="C77" s="775"/>
      <c r="D77" s="14" t="s">
        <v>257</v>
      </c>
      <c r="E77" s="95"/>
      <c r="F77" s="95"/>
      <c r="G77" s="95"/>
      <c r="H77" s="95"/>
      <c r="I77" s="429"/>
      <c r="J77" s="575"/>
      <c r="K77" s="575"/>
      <c r="L77" s="95">
        <v>8848</v>
      </c>
      <c r="M77" s="95"/>
      <c r="N77" s="95"/>
      <c r="O77" s="594">
        <f t="shared" si="1"/>
        <v>0</v>
      </c>
      <c r="P77" s="15"/>
      <c r="Q77" s="131"/>
      <c r="S77" s="116"/>
    </row>
    <row r="78" spans="2:17" ht="15.75" thickBot="1">
      <c r="B78" s="572" t="s">
        <v>231</v>
      </c>
      <c r="C78" s="686" t="s">
        <v>29</v>
      </c>
      <c r="D78" s="687"/>
      <c r="E78" s="595"/>
      <c r="F78" s="595"/>
      <c r="G78" s="595"/>
      <c r="H78" s="595"/>
      <c r="I78" s="480"/>
      <c r="J78" s="596"/>
      <c r="K78" s="596"/>
      <c r="L78" s="577">
        <v>5500</v>
      </c>
      <c r="M78" s="577"/>
      <c r="N78" s="577"/>
      <c r="O78" s="578">
        <f t="shared" si="1"/>
        <v>0</v>
      </c>
      <c r="P78" s="438"/>
      <c r="Q78" s="441"/>
    </row>
    <row r="79" spans="2:17" ht="13.5" thickBot="1">
      <c r="B79" s="556"/>
      <c r="C79" s="560"/>
      <c r="D79" s="65" t="s">
        <v>204</v>
      </c>
      <c r="E79" s="106"/>
      <c r="F79" s="106"/>
      <c r="G79" s="106"/>
      <c r="H79" s="106"/>
      <c r="I79" s="291"/>
      <c r="J79" s="201"/>
      <c r="K79" s="201"/>
      <c r="L79" s="106">
        <v>5500</v>
      </c>
      <c r="M79" s="106"/>
      <c r="N79" s="106"/>
      <c r="O79" s="558">
        <f t="shared" si="1"/>
        <v>0</v>
      </c>
      <c r="P79" s="13"/>
      <c r="Q79" s="125"/>
    </row>
    <row r="80" spans="2:17" ht="15.75" thickBot="1">
      <c r="B80" s="598" t="s">
        <v>54</v>
      </c>
      <c r="C80" s="780" t="s">
        <v>30</v>
      </c>
      <c r="D80" s="780"/>
      <c r="E80" s="477">
        <v>666567</v>
      </c>
      <c r="F80" s="477">
        <v>223164</v>
      </c>
      <c r="G80" s="477">
        <v>527019</v>
      </c>
      <c r="H80" s="477">
        <v>279677</v>
      </c>
      <c r="I80" s="477">
        <v>1160065</v>
      </c>
      <c r="J80" s="599">
        <v>2097438</v>
      </c>
      <c r="K80" s="599">
        <v>344577</v>
      </c>
      <c r="L80" s="433">
        <f>SUM(L81:L87)</f>
        <v>11076</v>
      </c>
      <c r="M80" s="433">
        <f>SUM(M81:M87)</f>
        <v>31326</v>
      </c>
      <c r="N80" s="483"/>
      <c r="O80" s="555">
        <f t="shared" si="1"/>
        <v>0</v>
      </c>
      <c r="P80" s="433"/>
      <c r="Q80" s="435"/>
    </row>
    <row r="81" spans="2:19" ht="12.75">
      <c r="B81" s="712"/>
      <c r="C81" s="773"/>
      <c r="D81" s="12" t="s">
        <v>302</v>
      </c>
      <c r="E81" s="225"/>
      <c r="F81" s="225"/>
      <c r="G81" s="225"/>
      <c r="H81" s="225"/>
      <c r="I81" s="225"/>
      <c r="J81" s="561"/>
      <c r="K81" s="561"/>
      <c r="L81" s="89">
        <v>11076</v>
      </c>
      <c r="M81" s="96"/>
      <c r="N81" s="96"/>
      <c r="O81" s="554">
        <f t="shared" si="1"/>
        <v>0</v>
      </c>
      <c r="P81" s="29"/>
      <c r="Q81" s="133"/>
      <c r="S81" s="116"/>
    </row>
    <row r="82" spans="2:17" ht="12.75" hidden="1">
      <c r="B82" s="713"/>
      <c r="C82" s="774"/>
      <c r="D82" s="12" t="s">
        <v>307</v>
      </c>
      <c r="E82" s="225"/>
      <c r="F82" s="225"/>
      <c r="G82" s="225"/>
      <c r="H82" s="225"/>
      <c r="I82" s="225"/>
      <c r="J82" s="561"/>
      <c r="K82" s="561"/>
      <c r="L82" s="89"/>
      <c r="M82" s="96"/>
      <c r="N82" s="96"/>
      <c r="O82" s="554">
        <f t="shared" si="1"/>
        <v>0</v>
      </c>
      <c r="P82" s="29"/>
      <c r="Q82" s="133"/>
    </row>
    <row r="83" spans="2:17" ht="13.5" thickBot="1">
      <c r="B83" s="713"/>
      <c r="C83" s="774"/>
      <c r="D83" s="12" t="s">
        <v>340</v>
      </c>
      <c r="E83" s="225"/>
      <c r="F83" s="225"/>
      <c r="G83" s="225"/>
      <c r="H83" s="225"/>
      <c r="I83" s="225"/>
      <c r="J83" s="561"/>
      <c r="K83" s="561"/>
      <c r="L83" s="89"/>
      <c r="M83" s="96">
        <v>31326</v>
      </c>
      <c r="N83" s="96"/>
      <c r="O83" s="554">
        <f t="shared" si="1"/>
        <v>0</v>
      </c>
      <c r="P83" s="29"/>
      <c r="Q83" s="133"/>
    </row>
    <row r="84" spans="2:17" ht="12.75" hidden="1">
      <c r="B84" s="713"/>
      <c r="C84" s="774"/>
      <c r="D84" s="12" t="s">
        <v>238</v>
      </c>
      <c r="E84" s="225"/>
      <c r="F84" s="225"/>
      <c r="G84" s="225"/>
      <c r="H84" s="225"/>
      <c r="I84" s="225"/>
      <c r="J84" s="561"/>
      <c r="K84" s="561"/>
      <c r="L84" s="89"/>
      <c r="M84" s="96"/>
      <c r="N84" s="96"/>
      <c r="O84" s="554">
        <f t="shared" si="1"/>
        <v>0</v>
      </c>
      <c r="P84" s="29"/>
      <c r="Q84" s="133"/>
    </row>
    <row r="85" spans="2:17" ht="12.75" hidden="1">
      <c r="B85" s="713"/>
      <c r="C85" s="774"/>
      <c r="D85" s="12" t="s">
        <v>212</v>
      </c>
      <c r="E85" s="225"/>
      <c r="F85" s="225"/>
      <c r="G85" s="225"/>
      <c r="H85" s="225"/>
      <c r="I85" s="225"/>
      <c r="J85" s="561"/>
      <c r="K85" s="561"/>
      <c r="L85" s="89"/>
      <c r="M85" s="96"/>
      <c r="N85" s="96"/>
      <c r="O85" s="554">
        <f t="shared" si="1"/>
        <v>0</v>
      </c>
      <c r="P85" s="29"/>
      <c r="Q85" s="133"/>
    </row>
    <row r="86" spans="2:17" ht="12.75" hidden="1">
      <c r="B86" s="713"/>
      <c r="C86" s="774"/>
      <c r="D86" s="12" t="s">
        <v>271</v>
      </c>
      <c r="E86" s="374"/>
      <c r="F86" s="374"/>
      <c r="G86" s="374"/>
      <c r="H86" s="374"/>
      <c r="I86" s="374"/>
      <c r="J86" s="562"/>
      <c r="K86" s="562"/>
      <c r="L86" s="91"/>
      <c r="M86" s="106"/>
      <c r="N86" s="106"/>
      <c r="O86" s="558">
        <f t="shared" si="1"/>
        <v>0</v>
      </c>
      <c r="P86" s="29"/>
      <c r="Q86" s="133"/>
    </row>
    <row r="87" spans="2:17" ht="13.5" hidden="1" thickBot="1">
      <c r="B87" s="714"/>
      <c r="C87" s="775"/>
      <c r="D87" s="24" t="s">
        <v>305</v>
      </c>
      <c r="E87" s="374"/>
      <c r="F87" s="374"/>
      <c r="G87" s="374"/>
      <c r="H87" s="374"/>
      <c r="I87" s="374"/>
      <c r="J87" s="562"/>
      <c r="K87" s="562"/>
      <c r="L87" s="91"/>
      <c r="M87" s="91"/>
      <c r="N87" s="91"/>
      <c r="O87" s="597">
        <f t="shared" si="1"/>
        <v>0</v>
      </c>
      <c r="P87" s="13"/>
      <c r="Q87" s="125"/>
    </row>
    <row r="88" spans="2:17" ht="14.25" customHeight="1" thickBot="1">
      <c r="B88" s="475" t="s">
        <v>407</v>
      </c>
      <c r="C88" s="686" t="s">
        <v>33</v>
      </c>
      <c r="D88" s="687"/>
      <c r="E88" s="394"/>
      <c r="F88" s="394"/>
      <c r="G88" s="394"/>
      <c r="H88" s="394"/>
      <c r="I88" s="394"/>
      <c r="J88" s="482">
        <v>104542</v>
      </c>
      <c r="K88" s="482">
        <v>66000</v>
      </c>
      <c r="L88" s="433">
        <f>L89+L90</f>
        <v>0</v>
      </c>
      <c r="M88" s="433">
        <f>M89+M90</f>
        <v>0</v>
      </c>
      <c r="N88" s="483"/>
      <c r="O88" s="555">
        <f t="shared" si="1"/>
        <v>0</v>
      </c>
      <c r="P88" s="433"/>
      <c r="Q88" s="435"/>
    </row>
    <row r="89" spans="15:17" ht="13.5" hidden="1" thickBot="1">
      <c r="O89" s="600">
        <f t="shared" si="1"/>
        <v>0</v>
      </c>
      <c r="P89" s="531"/>
      <c r="Q89" s="601"/>
    </row>
    <row r="90" spans="2:17" ht="14.25" customHeight="1" hidden="1" thickBot="1">
      <c r="B90" s="556"/>
      <c r="C90" s="560"/>
      <c r="D90" s="8" t="s">
        <v>243</v>
      </c>
      <c r="E90" s="291"/>
      <c r="F90" s="291"/>
      <c r="G90" s="291"/>
      <c r="H90" s="291"/>
      <c r="I90" s="291"/>
      <c r="J90" s="291"/>
      <c r="K90" s="291"/>
      <c r="L90" s="106"/>
      <c r="M90" s="106"/>
      <c r="N90" s="106"/>
      <c r="O90" s="558">
        <f t="shared" si="1"/>
        <v>0</v>
      </c>
      <c r="P90" s="105" t="e">
        <f>#REF!+#REF!+#REF!+#REF!</f>
        <v>#REF!</v>
      </c>
      <c r="Q90" s="183" t="e">
        <f>#REF!+#REF!+#REF!+#REF!</f>
        <v>#REF!</v>
      </c>
    </row>
    <row r="91" spans="2:17" ht="14.25" customHeight="1" thickBot="1">
      <c r="B91" s="602" t="s">
        <v>416</v>
      </c>
      <c r="C91" s="778" t="s">
        <v>55</v>
      </c>
      <c r="D91" s="779"/>
      <c r="E91" s="603"/>
      <c r="F91" s="603"/>
      <c r="G91" s="603"/>
      <c r="H91" s="603"/>
      <c r="I91" s="603"/>
      <c r="J91" s="528">
        <f>J92</f>
        <v>0</v>
      </c>
      <c r="K91" s="528">
        <f>K92</f>
        <v>0</v>
      </c>
      <c r="L91" s="528">
        <f>L92</f>
        <v>0</v>
      </c>
      <c r="M91" s="528">
        <f>M92</f>
        <v>114885</v>
      </c>
      <c r="N91" s="528">
        <v>7400</v>
      </c>
      <c r="O91" s="604">
        <f t="shared" si="1"/>
        <v>0.0644122383252818</v>
      </c>
      <c r="P91" s="605"/>
      <c r="Q91" s="606"/>
    </row>
    <row r="92" spans="2:17" ht="14.25" customHeight="1" thickBot="1">
      <c r="B92" s="556"/>
      <c r="C92" s="560"/>
      <c r="D92" s="67" t="s">
        <v>332</v>
      </c>
      <c r="J92" s="291"/>
      <c r="K92" s="291"/>
      <c r="L92" s="106"/>
      <c r="M92" s="106">
        <v>114885</v>
      </c>
      <c r="N92" s="106">
        <f>442+5914+696+348</f>
        <v>7400</v>
      </c>
      <c r="O92" s="558">
        <f t="shared" si="1"/>
        <v>0.0644122383252818</v>
      </c>
      <c r="P92" s="349"/>
      <c r="Q92" s="108"/>
    </row>
    <row r="93" spans="2:17" ht="17.25" thickBot="1" thickTop="1">
      <c r="B93" s="767" t="s">
        <v>133</v>
      </c>
      <c r="C93" s="768"/>
      <c r="D93" s="768"/>
      <c r="E93" s="465">
        <v>2988050</v>
      </c>
      <c r="F93" s="465">
        <v>1793069</v>
      </c>
      <c r="G93" s="465">
        <v>2942409</v>
      </c>
      <c r="H93" s="465">
        <v>4880528</v>
      </c>
      <c r="I93" s="465">
        <f>I80+I70+I75+I66+I46+I43+I36+I34+I28+I19+I10+I7+I4+I78+I88+I91</f>
        <v>5977301</v>
      </c>
      <c r="J93" s="465">
        <f aca="true" t="shared" si="2" ref="J93:P93">J80+J70+J75+J66+J46+J43+J36+J34+J28+J19+J10+J7+J4+J78+J88+J91</f>
        <v>5818483</v>
      </c>
      <c r="K93" s="465">
        <f t="shared" si="2"/>
        <v>4719096</v>
      </c>
      <c r="L93" s="465">
        <f t="shared" si="2"/>
        <v>3939694</v>
      </c>
      <c r="M93" s="465">
        <f t="shared" si="2"/>
        <v>4520654</v>
      </c>
      <c r="N93" s="465">
        <f t="shared" si="2"/>
        <v>3112692</v>
      </c>
      <c r="O93" s="607">
        <f t="shared" si="1"/>
        <v>0.6885490462220731</v>
      </c>
      <c r="P93" s="465">
        <f t="shared" si="2"/>
        <v>62128</v>
      </c>
      <c r="Q93" s="467">
        <f>Q80+Q70+Q75+Q66+Q46+Q43+Q36+Q34+Q28+Q19+Q10+Q7+Q4+Q78+Q88+Q91</f>
        <v>161306</v>
      </c>
    </row>
    <row r="94" ht="13.5" thickTop="1"/>
    <row r="96" spans="12:18" ht="15.75">
      <c r="L96" s="116"/>
      <c r="M96" s="116"/>
      <c r="N96" s="116"/>
      <c r="O96" s="116"/>
      <c r="R96" s="608"/>
    </row>
    <row r="97" spans="12:16" ht="12.75">
      <c r="L97" s="116"/>
      <c r="M97" s="116"/>
      <c r="N97" s="116"/>
      <c r="O97" s="116"/>
      <c r="P97" s="116"/>
    </row>
    <row r="98" spans="5:18" ht="12.75">
      <c r="E98" s="116"/>
      <c r="F98" s="116"/>
      <c r="G98" s="116"/>
      <c r="H98" s="116"/>
      <c r="L98" s="116"/>
      <c r="N98" s="116"/>
      <c r="R98" s="470"/>
    </row>
    <row r="99" spans="14:19" ht="12.75">
      <c r="N99" s="116"/>
      <c r="S99" s="470"/>
    </row>
    <row r="100" ht="12.75">
      <c r="R100" s="470"/>
    </row>
  </sheetData>
  <sheetProtection/>
  <mergeCells count="51">
    <mergeCell ref="B5:B6"/>
    <mergeCell ref="C10:D10"/>
    <mergeCell ref="C11:C18"/>
    <mergeCell ref="C19:D19"/>
    <mergeCell ref="B11:B18"/>
    <mergeCell ref="C5:C6"/>
    <mergeCell ref="C7:D7"/>
    <mergeCell ref="C8:C9"/>
    <mergeCell ref="C28:D28"/>
    <mergeCell ref="B76:B77"/>
    <mergeCell ref="C91:D91"/>
    <mergeCell ref="C81:C87"/>
    <mergeCell ref="C76:C77"/>
    <mergeCell ref="C34:D34"/>
    <mergeCell ref="C66:D66"/>
    <mergeCell ref="B37:B42"/>
    <mergeCell ref="C80:D80"/>
    <mergeCell ref="Q2:Q3"/>
    <mergeCell ref="B71:B74"/>
    <mergeCell ref="B47:B65"/>
    <mergeCell ref="C47:C65"/>
    <mergeCell ref="C46:D46"/>
    <mergeCell ref="B44:B45"/>
    <mergeCell ref="C44:C45"/>
    <mergeCell ref="C36:D36"/>
    <mergeCell ref="C37:C42"/>
    <mergeCell ref="C43:D43"/>
    <mergeCell ref="B93:D93"/>
    <mergeCell ref="C88:D88"/>
    <mergeCell ref="C78:D78"/>
    <mergeCell ref="C70:D70"/>
    <mergeCell ref="C75:D75"/>
    <mergeCell ref="B81:B87"/>
    <mergeCell ref="C71:C74"/>
    <mergeCell ref="C4:D4"/>
    <mergeCell ref="L2:L3"/>
    <mergeCell ref="M2:M3"/>
    <mergeCell ref="N2:N3"/>
    <mergeCell ref="G2:G3"/>
    <mergeCell ref="I2:I3"/>
    <mergeCell ref="K2:K3"/>
    <mergeCell ref="E2:E3"/>
    <mergeCell ref="F2:F3"/>
    <mergeCell ref="H2:H3"/>
    <mergeCell ref="P2:P3"/>
    <mergeCell ref="O2:O3"/>
    <mergeCell ref="B1:K1"/>
    <mergeCell ref="D2:D3"/>
    <mergeCell ref="B2:B3"/>
    <mergeCell ref="C2:C3"/>
    <mergeCell ref="J2:J3"/>
  </mergeCells>
  <printOptions/>
  <pageMargins left="0.31496062992125984" right="0.15748031496062992" top="0.31496062992125984" bottom="0.15748031496062992" header="0.31496062992125984" footer="0.1968503937007874"/>
  <pageSetup horizontalDpi="300" verticalDpi="300" orientation="landscape" paperSize="9" scale="73" r:id="rId1"/>
  <ignoredErrors>
    <ignoredError sqref="B34 B36 B43:B44 B7 B19 B10" twoDigitTextYear="1"/>
    <ignoredError sqref="M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U36"/>
  <sheetViews>
    <sheetView showGridLines="0" zoomScalePageLayoutView="0" workbookViewId="0" topLeftCell="A1">
      <selection activeCell="J21" sqref="J21"/>
    </sheetView>
  </sheetViews>
  <sheetFormatPr defaultColWidth="9.140625" defaultRowHeight="12.75"/>
  <cols>
    <col min="1" max="1" width="3.421875" style="504" customWidth="1"/>
    <col min="2" max="2" width="9.7109375" style="504" customWidth="1"/>
    <col min="3" max="3" width="8.140625" style="504" customWidth="1"/>
    <col min="4" max="4" width="40.421875" style="504" customWidth="1"/>
    <col min="5" max="9" width="11.140625" style="504" hidden="1" customWidth="1"/>
    <col min="10" max="11" width="11.57421875" style="504" customWidth="1"/>
    <col min="12" max="12" width="12.7109375" style="504" customWidth="1"/>
    <col min="13" max="13" width="12.8515625" style="504" customWidth="1"/>
    <col min="14" max="14" width="12.7109375" style="504" customWidth="1"/>
    <col min="15" max="15" width="9.8515625" style="504" customWidth="1"/>
    <col min="16" max="16" width="12.421875" style="504" customWidth="1"/>
    <col min="17" max="17" width="12.8515625" style="504" customWidth="1"/>
    <col min="18" max="16384" width="9.140625" style="504" customWidth="1"/>
  </cols>
  <sheetData>
    <row r="1" spans="2:15" ht="12.75">
      <c r="B1" s="761" t="s">
        <v>151</v>
      </c>
      <c r="C1" s="761"/>
      <c r="D1" s="761"/>
      <c r="E1" s="761"/>
      <c r="F1" s="761"/>
      <c r="G1" s="761"/>
      <c r="H1" s="761"/>
      <c r="I1" s="761"/>
      <c r="J1" s="761"/>
      <c r="K1" s="761"/>
      <c r="L1" s="503"/>
      <c r="M1" s="503"/>
      <c r="N1" s="503"/>
      <c r="O1" s="503"/>
    </row>
    <row r="2" spans="2:15" ht="13.5" thickBot="1">
      <c r="B2" s="440" t="s">
        <v>152</v>
      </c>
      <c r="C2" s="440"/>
      <c r="D2" s="440"/>
      <c r="E2" s="440"/>
      <c r="F2" s="440"/>
      <c r="G2" s="440"/>
      <c r="H2" s="440"/>
      <c r="I2" s="440"/>
      <c r="J2" s="440"/>
      <c r="K2" s="440"/>
      <c r="L2" s="387"/>
      <c r="M2" s="387"/>
      <c r="N2" s="387"/>
      <c r="O2" s="387"/>
    </row>
    <row r="3" spans="2:17" ht="12.75" customHeight="1" thickTop="1">
      <c r="B3" s="697" t="s">
        <v>93</v>
      </c>
      <c r="C3" s="384" t="s">
        <v>45</v>
      </c>
      <c r="D3" s="386" t="s">
        <v>108</v>
      </c>
      <c r="E3" s="386" t="s">
        <v>360</v>
      </c>
      <c r="F3" s="386" t="s">
        <v>361</v>
      </c>
      <c r="G3" s="386" t="s">
        <v>362</v>
      </c>
      <c r="H3" s="386" t="s">
        <v>363</v>
      </c>
      <c r="I3" s="386" t="s">
        <v>364</v>
      </c>
      <c r="J3" s="386" t="s">
        <v>321</v>
      </c>
      <c r="K3" s="386" t="s">
        <v>322</v>
      </c>
      <c r="L3" s="386" t="s">
        <v>365</v>
      </c>
      <c r="M3" s="386" t="s">
        <v>422</v>
      </c>
      <c r="N3" s="699" t="s">
        <v>319</v>
      </c>
      <c r="O3" s="386" t="s">
        <v>378</v>
      </c>
      <c r="P3" s="386" t="s">
        <v>320</v>
      </c>
      <c r="Q3" s="709" t="s">
        <v>385</v>
      </c>
    </row>
    <row r="4" spans="2:17" ht="30" customHeight="1" thickBot="1">
      <c r="B4" s="698"/>
      <c r="C4" s="385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700"/>
      <c r="O4" s="383"/>
      <c r="P4" s="383"/>
      <c r="Q4" s="710"/>
    </row>
    <row r="5" spans="2:17" ht="14.25" thickBot="1" thickTop="1">
      <c r="B5" s="419">
        <v>519</v>
      </c>
      <c r="C5" s="786" t="s">
        <v>145</v>
      </c>
      <c r="D5" s="787"/>
      <c r="E5" s="407">
        <f aca="true" t="shared" si="0" ref="E5:N5">SUM(E6:E7)</f>
        <v>0</v>
      </c>
      <c r="F5" s="407">
        <f t="shared" si="0"/>
        <v>0</v>
      </c>
      <c r="G5" s="407">
        <f t="shared" si="0"/>
        <v>806731</v>
      </c>
      <c r="H5" s="407">
        <f t="shared" si="0"/>
        <v>1932030</v>
      </c>
      <c r="I5" s="407">
        <f t="shared" si="0"/>
        <v>1218758</v>
      </c>
      <c r="J5" s="407">
        <f t="shared" si="0"/>
        <v>1712805</v>
      </c>
      <c r="K5" s="407">
        <f t="shared" si="0"/>
        <v>796126</v>
      </c>
      <c r="L5" s="407">
        <f t="shared" si="0"/>
        <v>889265</v>
      </c>
      <c r="M5" s="407">
        <f t="shared" si="0"/>
        <v>1044496</v>
      </c>
      <c r="N5" s="407">
        <f t="shared" si="0"/>
        <v>189362</v>
      </c>
      <c r="O5" s="609">
        <f aca="true" t="shared" si="1" ref="O5:O16">IF(M5=0,0,N5/M5)</f>
        <v>0.181295093518788</v>
      </c>
      <c r="P5" s="407">
        <f>SUM(P6:P7)</f>
        <v>0</v>
      </c>
      <c r="Q5" s="409">
        <f>SUM(Q6:Q7)</f>
        <v>0</v>
      </c>
    </row>
    <row r="6" spans="2:17" ht="12.75">
      <c r="B6" s="682"/>
      <c r="C6" s="610"/>
      <c r="D6" s="10" t="s">
        <v>146</v>
      </c>
      <c r="E6" s="10"/>
      <c r="F6" s="10"/>
      <c r="G6" s="10"/>
      <c r="H6" s="10">
        <v>186636</v>
      </c>
      <c r="I6" s="10">
        <v>1102901</v>
      </c>
      <c r="J6" s="10">
        <v>1052724</v>
      </c>
      <c r="K6" s="10">
        <v>232649</v>
      </c>
      <c r="L6" s="11">
        <v>638944</v>
      </c>
      <c r="M6" s="11">
        <v>99621</v>
      </c>
      <c r="N6" s="11"/>
      <c r="O6" s="611">
        <f t="shared" si="1"/>
        <v>0</v>
      </c>
      <c r="P6" s="11"/>
      <c r="Q6" s="124"/>
    </row>
    <row r="7" spans="2:17" ht="13.5" thickBot="1">
      <c r="B7" s="703"/>
      <c r="C7" s="612"/>
      <c r="D7" s="14" t="s">
        <v>147</v>
      </c>
      <c r="E7" s="14"/>
      <c r="F7" s="14"/>
      <c r="G7" s="14">
        <v>806731</v>
      </c>
      <c r="H7" s="14">
        <v>1745394</v>
      </c>
      <c r="I7" s="14">
        <v>115857</v>
      </c>
      <c r="J7" s="14">
        <v>660081</v>
      </c>
      <c r="K7" s="14">
        <v>563477</v>
      </c>
      <c r="L7" s="288">
        <v>250321</v>
      </c>
      <c r="M7" s="288">
        <v>944875</v>
      </c>
      <c r="N7" s="288">
        <v>189362</v>
      </c>
      <c r="O7" s="613">
        <f t="shared" si="1"/>
        <v>0.20040957798650616</v>
      </c>
      <c r="P7" s="15"/>
      <c r="Q7" s="131"/>
    </row>
    <row r="8" spans="2:21" ht="13.5" thickBot="1">
      <c r="B8" s="411">
        <v>450</v>
      </c>
      <c r="C8" s="783" t="s">
        <v>89</v>
      </c>
      <c r="D8" s="724"/>
      <c r="E8" s="3">
        <f>SUM(E9:E15)</f>
        <v>499436</v>
      </c>
      <c r="F8" s="3">
        <v>313085</v>
      </c>
      <c r="G8" s="3">
        <v>834018</v>
      </c>
      <c r="H8" s="3">
        <f>SUM(H9:H15)</f>
        <v>822908</v>
      </c>
      <c r="I8" s="3">
        <f>SUM(I9:I15)</f>
        <v>3260676</v>
      </c>
      <c r="J8" s="3">
        <f aca="true" t="shared" si="2" ref="J8:P8">SUM(J9:J15)</f>
        <v>553863</v>
      </c>
      <c r="K8" s="3">
        <f t="shared" si="2"/>
        <v>509280</v>
      </c>
      <c r="L8" s="3">
        <f t="shared" si="2"/>
        <v>620269</v>
      </c>
      <c r="M8" s="3">
        <f t="shared" si="2"/>
        <v>64791</v>
      </c>
      <c r="N8" s="3">
        <f t="shared" si="2"/>
        <v>1223759</v>
      </c>
      <c r="O8" s="541">
        <f t="shared" si="1"/>
        <v>18.887793057677765</v>
      </c>
      <c r="P8" s="3">
        <f t="shared" si="2"/>
        <v>0</v>
      </c>
      <c r="Q8" s="134">
        <f>SUM(Q9:Q15)</f>
        <v>0</v>
      </c>
      <c r="U8" s="530"/>
    </row>
    <row r="9" spans="2:21" s="388" customFormat="1" ht="12.75">
      <c r="B9" s="682"/>
      <c r="C9" s="610"/>
      <c r="D9" s="620" t="s">
        <v>155</v>
      </c>
      <c r="E9" s="620">
        <v>190367</v>
      </c>
      <c r="F9" s="620"/>
      <c r="G9" s="620"/>
      <c r="H9" s="11">
        <f>265551+398</f>
        <v>265949</v>
      </c>
      <c r="I9" s="620">
        <v>1534133</v>
      </c>
      <c r="J9" s="620">
        <v>43800</v>
      </c>
      <c r="K9" s="620"/>
      <c r="L9" s="281">
        <v>9775</v>
      </c>
      <c r="M9" s="281">
        <v>30000</v>
      </c>
      <c r="N9" s="281"/>
      <c r="O9" s="621">
        <f t="shared" si="1"/>
        <v>0</v>
      </c>
      <c r="P9" s="11"/>
      <c r="Q9" s="124"/>
      <c r="U9" s="437"/>
    </row>
    <row r="10" spans="2:19" ht="12.75">
      <c r="B10" s="683"/>
      <c r="C10" s="622"/>
      <c r="D10" s="623" t="s">
        <v>311</v>
      </c>
      <c r="E10" s="623"/>
      <c r="F10" s="623"/>
      <c r="G10" s="623"/>
      <c r="H10" s="29"/>
      <c r="I10" s="623">
        <v>921499</v>
      </c>
      <c r="J10" s="623">
        <v>220604</v>
      </c>
      <c r="K10" s="623">
        <v>192501</v>
      </c>
      <c r="L10" s="624">
        <v>494</v>
      </c>
      <c r="M10" s="624"/>
      <c r="N10" s="624">
        <f>876859+341900</f>
        <v>1218759</v>
      </c>
      <c r="O10" s="625">
        <f t="shared" si="1"/>
        <v>0</v>
      </c>
      <c r="P10" s="29"/>
      <c r="Q10" s="133"/>
      <c r="S10" s="530"/>
    </row>
    <row r="11" spans="2:17" ht="12.75">
      <c r="B11" s="683"/>
      <c r="C11" s="622"/>
      <c r="D11" s="623" t="s">
        <v>366</v>
      </c>
      <c r="E11" s="623"/>
      <c r="F11" s="623"/>
      <c r="G11" s="623"/>
      <c r="H11" s="29">
        <v>545044</v>
      </c>
      <c r="I11" s="623">
        <v>545044</v>
      </c>
      <c r="J11" s="623"/>
      <c r="K11" s="623"/>
      <c r="L11" s="624"/>
      <c r="M11" s="624"/>
      <c r="N11" s="624"/>
      <c r="O11" s="625">
        <f t="shared" si="1"/>
        <v>0</v>
      </c>
      <c r="P11" s="29"/>
      <c r="Q11" s="133"/>
    </row>
    <row r="12" spans="2:17" ht="12.75" customHeight="1">
      <c r="B12" s="683"/>
      <c r="C12" s="622"/>
      <c r="D12" s="623" t="s">
        <v>148</v>
      </c>
      <c r="E12" s="623">
        <v>309069</v>
      </c>
      <c r="F12" s="623"/>
      <c r="G12" s="623"/>
      <c r="H12" s="29"/>
      <c r="I12" s="623">
        <v>260000</v>
      </c>
      <c r="J12" s="623">
        <v>277803</v>
      </c>
      <c r="K12" s="623">
        <v>316779</v>
      </c>
      <c r="L12" s="624">
        <v>610000</v>
      </c>
      <c r="M12" s="624">
        <v>34791</v>
      </c>
      <c r="N12" s="624">
        <v>5000</v>
      </c>
      <c r="O12" s="625">
        <f t="shared" si="1"/>
        <v>0.1437153286769567</v>
      </c>
      <c r="P12" s="29"/>
      <c r="Q12" s="133"/>
    </row>
    <row r="13" spans="2:17" ht="12.75" customHeight="1" thickBot="1">
      <c r="B13" s="683"/>
      <c r="C13" s="622"/>
      <c r="D13" s="623" t="s">
        <v>149</v>
      </c>
      <c r="E13" s="623"/>
      <c r="F13" s="623"/>
      <c r="G13" s="623"/>
      <c r="H13" s="623">
        <v>11915</v>
      </c>
      <c r="I13" s="623"/>
      <c r="J13" s="623">
        <v>11656</v>
      </c>
      <c r="K13" s="623"/>
      <c r="L13" s="29"/>
      <c r="M13" s="29"/>
      <c r="N13" s="29"/>
      <c r="O13" s="436">
        <f t="shared" si="1"/>
        <v>0</v>
      </c>
      <c r="P13" s="29"/>
      <c r="Q13" s="133"/>
    </row>
    <row r="14" spans="2:17" ht="12.75" customHeight="1" hidden="1">
      <c r="B14" s="683"/>
      <c r="C14" s="626"/>
      <c r="D14" s="627" t="s">
        <v>180</v>
      </c>
      <c r="E14" s="627"/>
      <c r="F14" s="627"/>
      <c r="G14" s="627"/>
      <c r="H14" s="627"/>
      <c r="I14" s="627"/>
      <c r="J14" s="627"/>
      <c r="K14" s="627"/>
      <c r="L14" s="13"/>
      <c r="M14" s="13"/>
      <c r="N14" s="13"/>
      <c r="O14" s="533">
        <f t="shared" si="1"/>
        <v>0</v>
      </c>
      <c r="P14" s="13"/>
      <c r="Q14" s="125"/>
    </row>
    <row r="15" spans="2:17" ht="13.5" customHeight="1" hidden="1" thickBot="1">
      <c r="B15" s="684"/>
      <c r="C15" s="626"/>
      <c r="D15" s="627" t="s">
        <v>154</v>
      </c>
      <c r="E15" s="627"/>
      <c r="F15" s="627"/>
      <c r="G15" s="627"/>
      <c r="H15" s="627"/>
      <c r="I15" s="627"/>
      <c r="J15" s="627"/>
      <c r="K15" s="627"/>
      <c r="L15" s="13"/>
      <c r="M15" s="13"/>
      <c r="N15" s="13"/>
      <c r="O15" s="533">
        <f t="shared" si="1"/>
        <v>0</v>
      </c>
      <c r="P15" s="13"/>
      <c r="Q15" s="125"/>
    </row>
    <row r="16" spans="2:18" ht="14.25" thickBot="1" thickTop="1">
      <c r="B16" s="788" t="s">
        <v>150</v>
      </c>
      <c r="C16" s="789"/>
      <c r="D16" s="790"/>
      <c r="E16" s="628">
        <f>E8+E5</f>
        <v>499436</v>
      </c>
      <c r="F16" s="628">
        <f>F8+F5</f>
        <v>313085</v>
      </c>
      <c r="G16" s="628">
        <f>G8+G5</f>
        <v>1640749</v>
      </c>
      <c r="H16" s="628">
        <f>H8+H5</f>
        <v>2754938</v>
      </c>
      <c r="I16" s="628">
        <f>I8+I5</f>
        <v>4479434</v>
      </c>
      <c r="J16" s="628">
        <f aca="true" t="shared" si="3" ref="J16:P16">J8+J5</f>
        <v>2266668</v>
      </c>
      <c r="K16" s="628">
        <f t="shared" si="3"/>
        <v>1305406</v>
      </c>
      <c r="L16" s="628">
        <f t="shared" si="3"/>
        <v>1509534</v>
      </c>
      <c r="M16" s="628">
        <f t="shared" si="3"/>
        <v>1109287</v>
      </c>
      <c r="N16" s="628">
        <f t="shared" si="3"/>
        <v>1413121</v>
      </c>
      <c r="O16" s="629">
        <f t="shared" si="1"/>
        <v>1.2739002620602242</v>
      </c>
      <c r="P16" s="628">
        <f t="shared" si="3"/>
        <v>0</v>
      </c>
      <c r="Q16" s="630">
        <f>Q8+Q5</f>
        <v>0</v>
      </c>
      <c r="R16" s="530"/>
    </row>
    <row r="17" spans="2:15" ht="13.5" thickTop="1">
      <c r="B17" s="794"/>
      <c r="C17" s="794"/>
      <c r="D17" s="794"/>
      <c r="E17" s="794"/>
      <c r="F17" s="794"/>
      <c r="G17" s="794"/>
      <c r="H17" s="794"/>
      <c r="I17" s="794"/>
      <c r="J17" s="794"/>
      <c r="K17" s="794"/>
      <c r="L17" s="631"/>
      <c r="M17" s="631"/>
      <c r="N17" s="631"/>
      <c r="O17" s="631"/>
    </row>
    <row r="18" spans="2:15" ht="13.5" thickBot="1">
      <c r="B18" s="711" t="s">
        <v>153</v>
      </c>
      <c r="C18" s="711"/>
      <c r="D18" s="711"/>
      <c r="E18" s="711"/>
      <c r="F18" s="711"/>
      <c r="G18" s="711"/>
      <c r="H18" s="711"/>
      <c r="I18" s="711"/>
      <c r="J18" s="711"/>
      <c r="K18" s="711"/>
      <c r="L18" s="548"/>
      <c r="M18" s="548"/>
      <c r="N18" s="548"/>
      <c r="O18" s="548"/>
    </row>
    <row r="19" spans="2:17" ht="13.5" customHeight="1" thickTop="1">
      <c r="B19" s="784" t="s">
        <v>44</v>
      </c>
      <c r="C19" s="764" t="s">
        <v>45</v>
      </c>
      <c r="D19" s="737" t="s">
        <v>46</v>
      </c>
      <c r="E19" s="386" t="s">
        <v>360</v>
      </c>
      <c r="F19" s="386" t="s">
        <v>361</v>
      </c>
      <c r="G19" s="386" t="s">
        <v>362</v>
      </c>
      <c r="H19" s="386" t="s">
        <v>363</v>
      </c>
      <c r="I19" s="386" t="s">
        <v>364</v>
      </c>
      <c r="J19" s="386" t="s">
        <v>321</v>
      </c>
      <c r="K19" s="386" t="s">
        <v>322</v>
      </c>
      <c r="L19" s="386" t="s">
        <v>317</v>
      </c>
      <c r="M19" s="386" t="s">
        <v>318</v>
      </c>
      <c r="N19" s="699" t="s">
        <v>319</v>
      </c>
      <c r="O19" s="386" t="s">
        <v>378</v>
      </c>
      <c r="P19" s="386" t="s">
        <v>320</v>
      </c>
      <c r="Q19" s="709" t="s">
        <v>385</v>
      </c>
    </row>
    <row r="20" spans="2:17" ht="26.25" customHeight="1" thickBot="1">
      <c r="B20" s="785"/>
      <c r="C20" s="765"/>
      <c r="D20" s="738"/>
      <c r="E20" s="383"/>
      <c r="F20" s="383"/>
      <c r="G20" s="383"/>
      <c r="H20" s="383"/>
      <c r="I20" s="383"/>
      <c r="J20" s="383"/>
      <c r="K20" s="383"/>
      <c r="L20" s="383"/>
      <c r="M20" s="383"/>
      <c r="N20" s="700"/>
      <c r="O20" s="383"/>
      <c r="P20" s="383"/>
      <c r="Q20" s="710"/>
    </row>
    <row r="21" spans="2:17" ht="14.25" thickBot="1" thickTop="1">
      <c r="B21" s="632" t="s">
        <v>6</v>
      </c>
      <c r="C21" s="786" t="s">
        <v>145</v>
      </c>
      <c r="D21" s="787"/>
      <c r="E21" s="633">
        <f>SUM(E22:E27)</f>
        <v>477793</v>
      </c>
      <c r="F21" s="633">
        <f>SUM(F22:F27)</f>
        <v>470856</v>
      </c>
      <c r="G21" s="633">
        <f>SUM(G22:G27)</f>
        <v>334085</v>
      </c>
      <c r="H21" s="633">
        <f>SUM(H22:H27)</f>
        <v>1303204</v>
      </c>
      <c r="I21" s="633">
        <f>SUM(I22:I27)</f>
        <v>978096</v>
      </c>
      <c r="J21" s="633">
        <f aca="true" t="shared" si="4" ref="J21:P21">SUM(J22:J27)</f>
        <v>1356608</v>
      </c>
      <c r="K21" s="633">
        <f t="shared" si="4"/>
        <v>1191263</v>
      </c>
      <c r="L21" s="633">
        <f t="shared" si="4"/>
        <v>977990</v>
      </c>
      <c r="M21" s="633">
        <f t="shared" si="4"/>
        <v>529834</v>
      </c>
      <c r="N21" s="633">
        <f t="shared" si="4"/>
        <v>403435</v>
      </c>
      <c r="O21" s="634">
        <f aca="true" t="shared" si="5" ref="O21:O28">IF(M21=0,0,N21/M21)</f>
        <v>0.7614366008976396</v>
      </c>
      <c r="P21" s="633">
        <f t="shared" si="4"/>
        <v>386462</v>
      </c>
      <c r="Q21" s="635">
        <f>SUM(Q22:Q27)</f>
        <v>412908</v>
      </c>
    </row>
    <row r="22" spans="2:18" ht="12.75">
      <c r="B22" s="791"/>
      <c r="C22" s="636"/>
      <c r="D22" s="636" t="s">
        <v>164</v>
      </c>
      <c r="E22" s="636">
        <v>307741</v>
      </c>
      <c r="F22" s="636">
        <v>188873</v>
      </c>
      <c r="G22" s="636">
        <v>209516</v>
      </c>
      <c r="H22" s="636">
        <v>326854</v>
      </c>
      <c r="I22" s="636">
        <v>199897</v>
      </c>
      <c r="J22" s="636">
        <v>22394</v>
      </c>
      <c r="K22" s="636">
        <v>122620</v>
      </c>
      <c r="L22" s="637">
        <v>207083</v>
      </c>
      <c r="M22" s="637">
        <v>198326</v>
      </c>
      <c r="N22" s="637">
        <f>319709-80000</f>
        <v>239709</v>
      </c>
      <c r="O22" s="638">
        <f t="shared" si="5"/>
        <v>1.2086614967276101</v>
      </c>
      <c r="P22" s="639">
        <v>319709</v>
      </c>
      <c r="Q22" s="640">
        <f>319709+26446</f>
        <v>346155</v>
      </c>
      <c r="R22" s="530"/>
    </row>
    <row r="23" spans="2:17" ht="12.75">
      <c r="B23" s="792"/>
      <c r="C23" s="641"/>
      <c r="D23" s="642" t="s">
        <v>229</v>
      </c>
      <c r="E23" s="642"/>
      <c r="F23" s="642"/>
      <c r="G23" s="642"/>
      <c r="H23" s="642"/>
      <c r="I23" s="642">
        <v>490783</v>
      </c>
      <c r="J23" s="642">
        <v>1098574</v>
      </c>
      <c r="K23" s="642">
        <v>733308</v>
      </c>
      <c r="L23" s="643">
        <v>631012</v>
      </c>
      <c r="M23" s="643">
        <v>271411</v>
      </c>
      <c r="N23" s="643">
        <v>96973</v>
      </c>
      <c r="O23" s="644">
        <f t="shared" si="5"/>
        <v>0.3572920773292166</v>
      </c>
      <c r="P23" s="118"/>
      <c r="Q23" s="218"/>
    </row>
    <row r="24" spans="2:17" ht="12.75">
      <c r="B24" s="792"/>
      <c r="C24" s="645"/>
      <c r="D24" s="352" t="s">
        <v>218</v>
      </c>
      <c r="E24" s="352"/>
      <c r="F24" s="352"/>
      <c r="G24" s="352"/>
      <c r="H24" s="352"/>
      <c r="I24" s="352">
        <v>52527</v>
      </c>
      <c r="J24" s="352">
        <v>53214</v>
      </c>
      <c r="K24" s="352">
        <v>53736</v>
      </c>
      <c r="L24" s="643">
        <v>54692</v>
      </c>
      <c r="M24" s="643">
        <v>60097</v>
      </c>
      <c r="N24" s="643">
        <f>54753+9000</f>
        <v>63753</v>
      </c>
      <c r="O24" s="644">
        <f t="shared" si="5"/>
        <v>1.0608349834434332</v>
      </c>
      <c r="P24" s="643">
        <v>63753</v>
      </c>
      <c r="Q24" s="646">
        <v>63753</v>
      </c>
    </row>
    <row r="25" spans="2:17" s="650" customFormat="1" ht="13.5" customHeight="1">
      <c r="B25" s="792"/>
      <c r="C25" s="647"/>
      <c r="D25" s="648" t="s">
        <v>189</v>
      </c>
      <c r="E25" s="648">
        <v>2622</v>
      </c>
      <c r="F25" s="648">
        <v>6805</v>
      </c>
      <c r="G25" s="648">
        <v>5206</v>
      </c>
      <c r="H25" s="648">
        <v>73230</v>
      </c>
      <c r="I25" s="648">
        <v>22330</v>
      </c>
      <c r="J25" s="648">
        <v>7462</v>
      </c>
      <c r="K25" s="648"/>
      <c r="L25" s="118"/>
      <c r="M25" s="118"/>
      <c r="N25" s="118">
        <v>3000</v>
      </c>
      <c r="O25" s="649">
        <f t="shared" si="5"/>
        <v>0</v>
      </c>
      <c r="P25" s="118">
        <v>3000</v>
      </c>
      <c r="Q25" s="218">
        <v>3000</v>
      </c>
    </row>
    <row r="26" spans="2:17" ht="13.5" customHeight="1">
      <c r="B26" s="792"/>
      <c r="C26" s="645"/>
      <c r="D26" s="645" t="s">
        <v>279</v>
      </c>
      <c r="E26" s="645"/>
      <c r="F26" s="645">
        <v>275178</v>
      </c>
      <c r="G26" s="645"/>
      <c r="H26" s="645">
        <v>903120</v>
      </c>
      <c r="I26" s="645">
        <v>212559</v>
      </c>
      <c r="J26" s="645">
        <v>174964</v>
      </c>
      <c r="K26" s="645">
        <v>281599</v>
      </c>
      <c r="L26" s="651">
        <v>85203</v>
      </c>
      <c r="M26" s="651"/>
      <c r="N26" s="651"/>
      <c r="O26" s="652">
        <f t="shared" si="5"/>
        <v>0</v>
      </c>
      <c r="P26" s="651"/>
      <c r="Q26" s="653"/>
    </row>
    <row r="27" spans="2:17" ht="13.5" customHeight="1" thickBot="1">
      <c r="B27" s="793"/>
      <c r="C27" s="654"/>
      <c r="D27" s="645"/>
      <c r="E27" s="654">
        <v>167430</v>
      </c>
      <c r="F27" s="654">
        <v>0</v>
      </c>
      <c r="G27" s="654">
        <v>119363</v>
      </c>
      <c r="H27" s="654"/>
      <c r="I27" s="654"/>
      <c r="J27" s="654"/>
      <c r="K27" s="654"/>
      <c r="L27" s="655"/>
      <c r="M27" s="655"/>
      <c r="N27" s="655"/>
      <c r="O27" s="656">
        <f t="shared" si="5"/>
        <v>0</v>
      </c>
      <c r="P27" s="656"/>
      <c r="Q27" s="657"/>
    </row>
    <row r="28" spans="2:17" ht="14.25" thickBot="1" thickTop="1">
      <c r="B28" s="788" t="s">
        <v>150</v>
      </c>
      <c r="C28" s="789"/>
      <c r="D28" s="790"/>
      <c r="E28" s="628">
        <f>E21</f>
        <v>477793</v>
      </c>
      <c r="F28" s="628">
        <f>F21</f>
        <v>470856</v>
      </c>
      <c r="G28" s="628">
        <f>G21</f>
        <v>334085</v>
      </c>
      <c r="H28" s="628">
        <f>H21</f>
        <v>1303204</v>
      </c>
      <c r="I28" s="628">
        <f>I21</f>
        <v>978096</v>
      </c>
      <c r="J28" s="628">
        <f aca="true" t="shared" si="6" ref="J28:P28">J21</f>
        <v>1356608</v>
      </c>
      <c r="K28" s="628">
        <f t="shared" si="6"/>
        <v>1191263</v>
      </c>
      <c r="L28" s="628">
        <f t="shared" si="6"/>
        <v>977990</v>
      </c>
      <c r="M28" s="628">
        <f t="shared" si="6"/>
        <v>529834</v>
      </c>
      <c r="N28" s="628">
        <f t="shared" si="6"/>
        <v>403435</v>
      </c>
      <c r="O28" s="629">
        <f t="shared" si="5"/>
        <v>0.7614366008976396</v>
      </c>
      <c r="P28" s="628">
        <f t="shared" si="6"/>
        <v>386462</v>
      </c>
      <c r="Q28" s="630">
        <f>Q21</f>
        <v>412908</v>
      </c>
    </row>
    <row r="29" ht="13.5" thickTop="1"/>
    <row r="30" ht="12.75">
      <c r="N30" s="530"/>
    </row>
    <row r="31" spans="12:15" ht="12.75">
      <c r="L31" s="530"/>
      <c r="M31" s="530"/>
      <c r="N31" s="530"/>
      <c r="O31" s="530"/>
    </row>
    <row r="34" spans="5:8" ht="12.75">
      <c r="E34" s="530"/>
      <c r="F34" s="530"/>
      <c r="G34" s="530"/>
      <c r="H34" s="530"/>
    </row>
    <row r="36" spans="14:15" ht="12.75">
      <c r="N36" s="530"/>
      <c r="O36" s="530"/>
    </row>
  </sheetData>
  <sheetProtection/>
  <mergeCells count="44">
    <mergeCell ref="Q3:Q4"/>
    <mergeCell ref="Q19:Q20"/>
    <mergeCell ref="B28:D28"/>
    <mergeCell ref="B22:B27"/>
    <mergeCell ref="B9:B15"/>
    <mergeCell ref="B17:K17"/>
    <mergeCell ref="B18:K18"/>
    <mergeCell ref="B16:D16"/>
    <mergeCell ref="D19:D20"/>
    <mergeCell ref="C21:D21"/>
    <mergeCell ref="B19:B20"/>
    <mergeCell ref="B1:K1"/>
    <mergeCell ref="B2:K2"/>
    <mergeCell ref="B3:B4"/>
    <mergeCell ref="C3:C4"/>
    <mergeCell ref="D3:D4"/>
    <mergeCell ref="B6:B7"/>
    <mergeCell ref="C5:D5"/>
    <mergeCell ref="H3:H4"/>
    <mergeCell ref="G19:G20"/>
    <mergeCell ref="P19:P20"/>
    <mergeCell ref="P3:P4"/>
    <mergeCell ref="N3:N4"/>
    <mergeCell ref="N19:N20"/>
    <mergeCell ref="O3:O4"/>
    <mergeCell ref="O19:O20"/>
    <mergeCell ref="M19:M20"/>
    <mergeCell ref="K19:K20"/>
    <mergeCell ref="L3:L4"/>
    <mergeCell ref="C8:D8"/>
    <mergeCell ref="J3:J4"/>
    <mergeCell ref="M3:M4"/>
    <mergeCell ref="E3:E4"/>
    <mergeCell ref="F3:F4"/>
    <mergeCell ref="E19:E20"/>
    <mergeCell ref="F19:F20"/>
    <mergeCell ref="L19:L20"/>
    <mergeCell ref="C19:C20"/>
    <mergeCell ref="G3:G4"/>
    <mergeCell ref="K3:K4"/>
    <mergeCell ref="H19:H20"/>
    <mergeCell ref="I19:I20"/>
    <mergeCell ref="I3:I4"/>
    <mergeCell ref="J19:J20"/>
  </mergeCells>
  <printOptions/>
  <pageMargins left="0.16" right="0.15" top="1" bottom="1" header="0.4921259845" footer="0.4921259845"/>
  <pageSetup horizontalDpi="300" verticalDpi="300" orientation="landscape" paperSize="9" scale="90" r:id="rId1"/>
  <ignoredErrors>
    <ignoredError sqref="L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31"/>
  <sheetViews>
    <sheetView showGridLines="0" zoomScalePageLayoutView="0" workbookViewId="0" topLeftCell="A1">
      <selection activeCell="K5" sqref="K5"/>
    </sheetView>
  </sheetViews>
  <sheetFormatPr defaultColWidth="9.140625" defaultRowHeight="12.75"/>
  <cols>
    <col min="1" max="1" width="44.421875" style="504" customWidth="1"/>
    <col min="2" max="6" width="12.421875" style="504" hidden="1" customWidth="1"/>
    <col min="7" max="8" width="12.00390625" style="504" customWidth="1"/>
    <col min="9" max="9" width="11.7109375" style="504" customWidth="1"/>
    <col min="10" max="10" width="12.421875" style="504" customWidth="1"/>
    <col min="11" max="11" width="12.8515625" style="504" customWidth="1"/>
    <col min="12" max="12" width="10.140625" style="504" customWidth="1"/>
    <col min="13" max="14" width="12.140625" style="504" customWidth="1"/>
    <col min="15" max="16384" width="9.140625" style="504" customWidth="1"/>
  </cols>
  <sheetData>
    <row r="1" spans="1:13" ht="15">
      <c r="A1" s="795" t="s">
        <v>182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</row>
    <row r="2" spans="1:13" ht="13.5" thickBot="1">
      <c r="A2" s="796"/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</row>
    <row r="3" spans="1:14" ht="13.5" customHeight="1" thickTop="1">
      <c r="A3" s="797" t="s">
        <v>108</v>
      </c>
      <c r="B3" s="386" t="s">
        <v>360</v>
      </c>
      <c r="C3" s="386" t="s">
        <v>361</v>
      </c>
      <c r="D3" s="386" t="s">
        <v>362</v>
      </c>
      <c r="E3" s="386" t="s">
        <v>363</v>
      </c>
      <c r="F3" s="386" t="s">
        <v>364</v>
      </c>
      <c r="G3" s="386" t="s">
        <v>321</v>
      </c>
      <c r="H3" s="386" t="s">
        <v>322</v>
      </c>
      <c r="I3" s="386" t="s">
        <v>365</v>
      </c>
      <c r="J3" s="386" t="s">
        <v>422</v>
      </c>
      <c r="K3" s="386" t="s">
        <v>319</v>
      </c>
      <c r="L3" s="386" t="s">
        <v>378</v>
      </c>
      <c r="M3" s="386" t="s">
        <v>320</v>
      </c>
      <c r="N3" s="709" t="s">
        <v>385</v>
      </c>
    </row>
    <row r="4" spans="1:14" ht="27" customHeight="1" thickBot="1">
      <c r="A4" s="798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710"/>
    </row>
    <row r="5" spans="1:16" ht="13.5" thickTop="1">
      <c r="A5" s="658" t="s">
        <v>170</v>
      </c>
      <c r="B5" s="659">
        <f>'BEŽNÉ PRÍJMY'!E98</f>
        <v>7125871</v>
      </c>
      <c r="C5" s="659">
        <f>'BEŽNÉ PRÍJMY'!F98</f>
        <v>7561840</v>
      </c>
      <c r="D5" s="659">
        <f>'BEŽNÉ PRÍJMY'!G98</f>
        <v>9082354</v>
      </c>
      <c r="E5" s="659">
        <f>'BEŽNÉ PRÍJMY'!H98</f>
        <v>9080838</v>
      </c>
      <c r="F5" s="659">
        <f>'BEŽNÉ PRÍJMY'!I98</f>
        <v>8537685</v>
      </c>
      <c r="G5" s="659">
        <f>'BEŽNÉ PRÍJMY'!J98</f>
        <v>9096722</v>
      </c>
      <c r="H5" s="659">
        <f>'BEŽNÉ PRÍJMY'!K98</f>
        <v>9201831</v>
      </c>
      <c r="I5" s="659">
        <f>'BEŽNÉ PRÍJMY'!L98</f>
        <v>9722622</v>
      </c>
      <c r="J5" s="659">
        <f>'BEŽNÉ PRÍJMY'!M98</f>
        <v>9248781</v>
      </c>
      <c r="K5" s="659">
        <f>'BEŽNÉ PRÍJMY'!N98</f>
        <v>9371251</v>
      </c>
      <c r="L5" s="660">
        <f>IF(J5=0,0,K5/J5)</f>
        <v>1.0132417450472662</v>
      </c>
      <c r="M5" s="659">
        <f>'BEŽNÉ PRÍJMY'!P98</f>
        <v>9498279</v>
      </c>
      <c r="N5" s="661">
        <f>'BEŽNÉ PRÍJMY'!Q98</f>
        <v>9623909</v>
      </c>
      <c r="O5" s="530"/>
      <c r="P5" s="530"/>
    </row>
    <row r="6" spans="1:16" ht="14.25" customHeight="1" thickBot="1">
      <c r="A6" s="662" t="s">
        <v>171</v>
      </c>
      <c r="B6" s="655">
        <f>'BEŽNÉ VÝDAVKY'!E188</f>
        <v>5867125</v>
      </c>
      <c r="C6" s="655">
        <f>'BEŽNÉ VÝDAVKY'!F188</f>
        <v>6460200</v>
      </c>
      <c r="D6" s="655">
        <f>'BEŽNÉ VÝDAVKY'!G188</f>
        <v>7832271</v>
      </c>
      <c r="E6" s="655">
        <f>'BEŽNÉ VÝDAVKY'!H188</f>
        <v>8716285.43</v>
      </c>
      <c r="F6" s="655">
        <f>'BEŽNÉ VÝDAVKY'!I188</f>
        <v>9309387</v>
      </c>
      <c r="G6" s="655">
        <f>'BEŽNÉ VÝDAVKY'!J188</f>
        <v>8798575.2</v>
      </c>
      <c r="H6" s="655">
        <f>'BEŽNÉ VÝDAVKY'!K188</f>
        <v>9090417</v>
      </c>
      <c r="I6" s="655">
        <f>'BEŽNÉ VÝDAVKY'!L188</f>
        <v>8934542</v>
      </c>
      <c r="J6" s="655">
        <f>'BEŽNÉ VÝDAVKY'!M188</f>
        <v>9065389</v>
      </c>
      <c r="K6" s="655">
        <f>'BEŽNÉ VÝDAVKY'!N188</f>
        <v>8933786</v>
      </c>
      <c r="L6" s="656">
        <f>IF(J6=0,0,K6/J6)</f>
        <v>0.9854829175008375</v>
      </c>
      <c r="M6" s="655">
        <f>'BEŽNÉ VÝDAVKY'!P188</f>
        <v>9049689</v>
      </c>
      <c r="N6" s="663">
        <f>'BEŽNÉ VÝDAVKY'!Q188</f>
        <v>9049695</v>
      </c>
      <c r="O6" s="530"/>
      <c r="P6" s="530"/>
    </row>
    <row r="7" spans="1:17" ht="15.75" thickBot="1">
      <c r="A7" s="664" t="s">
        <v>172</v>
      </c>
      <c r="B7" s="665">
        <f>B5-B6</f>
        <v>1258746</v>
      </c>
      <c r="C7" s="665">
        <f>C5-C6</f>
        <v>1101640</v>
      </c>
      <c r="D7" s="665">
        <f>D5-D6</f>
        <v>1250083</v>
      </c>
      <c r="E7" s="665">
        <f>E5-E6</f>
        <v>364552.5700000003</v>
      </c>
      <c r="F7" s="665">
        <f>F5-F6</f>
        <v>-771702</v>
      </c>
      <c r="G7" s="665">
        <f aca="true" t="shared" si="0" ref="G7:M7">G5-G6</f>
        <v>298146.80000000075</v>
      </c>
      <c r="H7" s="665">
        <f t="shared" si="0"/>
        <v>111414</v>
      </c>
      <c r="I7" s="665">
        <f t="shared" si="0"/>
        <v>788080</v>
      </c>
      <c r="J7" s="665">
        <f t="shared" si="0"/>
        <v>183392</v>
      </c>
      <c r="K7" s="665">
        <f t="shared" si="0"/>
        <v>437465</v>
      </c>
      <c r="L7" s="665"/>
      <c r="M7" s="665">
        <f t="shared" si="0"/>
        <v>448590</v>
      </c>
      <c r="N7" s="666">
        <f>N5-N6</f>
        <v>574214</v>
      </c>
      <c r="O7" s="530"/>
      <c r="P7" s="530"/>
      <c r="Q7" s="530"/>
    </row>
    <row r="8" spans="1:16" ht="14.25" thickBot="1" thickTop="1">
      <c r="A8" s="800"/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2"/>
      <c r="P8" s="530"/>
    </row>
    <row r="9" spans="1:16" ht="13.5" thickTop="1">
      <c r="A9" s="658" t="s">
        <v>173</v>
      </c>
      <c r="B9" s="659">
        <f>'KAPITÁLOVÉ PRÍJMY'!E47</f>
        <v>2113092</v>
      </c>
      <c r="C9" s="659">
        <f>'KAPITÁLOVÉ PRÍJMY'!F47</f>
        <v>1017958</v>
      </c>
      <c r="D9" s="659">
        <f>'KAPITÁLOVÉ PRÍJMY'!G47</f>
        <v>1245369</v>
      </c>
      <c r="E9" s="659">
        <f>'KAPITÁLOVÉ PRÍJMY'!H47</f>
        <v>4391413</v>
      </c>
      <c r="F9" s="659">
        <f>'KAPITÁLOVÉ PRÍJMY'!I47</f>
        <v>3456141</v>
      </c>
      <c r="G9" s="659">
        <f>'KAPITÁLOVÉ PRÍJMY'!J47</f>
        <v>4649713</v>
      </c>
      <c r="H9" s="659">
        <f>'KAPITÁLOVÉ PRÍJMY'!K47</f>
        <v>4502774.06</v>
      </c>
      <c r="I9" s="659">
        <f>'KAPITÁLOVÉ PRÍJMY'!L47</f>
        <v>3678497</v>
      </c>
      <c r="J9" s="659">
        <f>'KAPITÁLOVÉ PRÍJMY'!M47</f>
        <v>3757809</v>
      </c>
      <c r="K9" s="659">
        <f>'KAPITÁLOVÉ PRÍJMY'!N47</f>
        <v>1665541</v>
      </c>
      <c r="L9" s="660">
        <f>IF(J9=0,0,K9/J9)</f>
        <v>0.4432213026260781</v>
      </c>
      <c r="M9" s="659">
        <f>'KAPITÁLOVÉ PRÍJMY'!P47</f>
        <v>0</v>
      </c>
      <c r="N9" s="661">
        <f>'KAPITÁLOVÉ PRÍJMY'!Q47</f>
        <v>0</v>
      </c>
      <c r="P9" s="530"/>
    </row>
    <row r="10" spans="1:15" ht="15" customHeight="1" thickBot="1">
      <c r="A10" s="662" t="s">
        <v>174</v>
      </c>
      <c r="B10" s="655">
        <f>'KAPITÁLVÉ VÝDAVKY'!E93</f>
        <v>2988050</v>
      </c>
      <c r="C10" s="655">
        <f>'KAPITÁLVÉ VÝDAVKY'!F93</f>
        <v>1793069</v>
      </c>
      <c r="D10" s="655">
        <f>'KAPITÁLVÉ VÝDAVKY'!G93</f>
        <v>2942409</v>
      </c>
      <c r="E10" s="655">
        <f>'KAPITÁLVÉ VÝDAVKY'!H93</f>
        <v>4880528</v>
      </c>
      <c r="F10" s="655">
        <f>'KAPITÁLVÉ VÝDAVKY'!I93</f>
        <v>5977301</v>
      </c>
      <c r="G10" s="655">
        <f>'KAPITÁLVÉ VÝDAVKY'!J93</f>
        <v>5818483</v>
      </c>
      <c r="H10" s="655">
        <f>'KAPITÁLVÉ VÝDAVKY'!K93</f>
        <v>4719096</v>
      </c>
      <c r="I10" s="655">
        <f>'KAPITÁLVÉ VÝDAVKY'!L93</f>
        <v>3939694</v>
      </c>
      <c r="J10" s="655">
        <f>'KAPITÁLVÉ VÝDAVKY'!M93</f>
        <v>4520654</v>
      </c>
      <c r="K10" s="655">
        <f>'KAPITÁLVÉ VÝDAVKY'!N93</f>
        <v>3112692</v>
      </c>
      <c r="L10" s="656">
        <f>IF(J10=0,0,K10/J10)</f>
        <v>0.6885490462220731</v>
      </c>
      <c r="M10" s="655">
        <f>'KAPITÁLVÉ VÝDAVKY'!P93</f>
        <v>62128</v>
      </c>
      <c r="N10" s="663">
        <f>'KAPITÁLVÉ VÝDAVKY'!Q93</f>
        <v>161306</v>
      </c>
      <c r="O10" s="530"/>
    </row>
    <row r="11" spans="1:14" ht="15.75" thickBot="1">
      <c r="A11" s="667" t="s">
        <v>175</v>
      </c>
      <c r="B11" s="668">
        <f>B9-B10</f>
        <v>-874958</v>
      </c>
      <c r="C11" s="668">
        <f>C9-C10</f>
        <v>-775111</v>
      </c>
      <c r="D11" s="668">
        <f>D9-D10</f>
        <v>-1697040</v>
      </c>
      <c r="E11" s="668">
        <f>E9-E10</f>
        <v>-489115</v>
      </c>
      <c r="F11" s="668">
        <f>F9-F10</f>
        <v>-2521160</v>
      </c>
      <c r="G11" s="668">
        <f aca="true" t="shared" si="1" ref="G11:M11">G9-G10</f>
        <v>-1168770</v>
      </c>
      <c r="H11" s="668">
        <f t="shared" si="1"/>
        <v>-216321.9400000004</v>
      </c>
      <c r="I11" s="668">
        <f t="shared" si="1"/>
        <v>-261197</v>
      </c>
      <c r="J11" s="668">
        <f t="shared" si="1"/>
        <v>-762845</v>
      </c>
      <c r="K11" s="668">
        <f t="shared" si="1"/>
        <v>-1447151</v>
      </c>
      <c r="L11" s="668"/>
      <c r="M11" s="668">
        <f t="shared" si="1"/>
        <v>-62128</v>
      </c>
      <c r="N11" s="669">
        <f>N9-N10</f>
        <v>-161306</v>
      </c>
    </row>
    <row r="12" spans="1:14" ht="14.25" thickBot="1" thickTop="1">
      <c r="A12" s="800"/>
      <c r="B12" s="801"/>
      <c r="C12" s="801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2"/>
    </row>
    <row r="13" spans="1:14" ht="13.5" thickTop="1">
      <c r="A13" s="658" t="s">
        <v>176</v>
      </c>
      <c r="B13" s="659">
        <f>'FINANČNÉ OPERÁCIE'!E16</f>
        <v>499436</v>
      </c>
      <c r="C13" s="659">
        <f>'FINANČNÉ OPERÁCIE'!F16</f>
        <v>313085</v>
      </c>
      <c r="D13" s="659">
        <f>'FINANČNÉ OPERÁCIE'!G16</f>
        <v>1640749</v>
      </c>
      <c r="E13" s="659">
        <f>'FINANČNÉ OPERÁCIE'!H16</f>
        <v>2754938</v>
      </c>
      <c r="F13" s="659">
        <f>'FINANČNÉ OPERÁCIE'!I16</f>
        <v>4479434</v>
      </c>
      <c r="G13" s="659">
        <f>'FINANČNÉ OPERÁCIE'!J16</f>
        <v>2266668</v>
      </c>
      <c r="H13" s="659">
        <f>'FINANČNÉ OPERÁCIE'!K16</f>
        <v>1305406</v>
      </c>
      <c r="I13" s="659">
        <f>'FINANČNÉ OPERÁCIE'!L16</f>
        <v>1509534</v>
      </c>
      <c r="J13" s="659">
        <f>'FINANČNÉ OPERÁCIE'!M16</f>
        <v>1109287</v>
      </c>
      <c r="K13" s="659">
        <f>'FINANČNÉ OPERÁCIE'!N16</f>
        <v>1413121</v>
      </c>
      <c r="L13" s="660">
        <f>IF(J13=0,0,K13/J13)</f>
        <v>1.2739002620602242</v>
      </c>
      <c r="M13" s="659">
        <f>'FINANČNÉ OPERÁCIE'!P16</f>
        <v>0</v>
      </c>
      <c r="N13" s="661">
        <f>'FINANČNÉ OPERÁCIE'!Q16</f>
        <v>0</v>
      </c>
    </row>
    <row r="14" spans="1:15" ht="15" customHeight="1" thickBot="1">
      <c r="A14" s="662" t="s">
        <v>177</v>
      </c>
      <c r="B14" s="655">
        <f>'FINANČNÉ OPERÁCIE'!E28</f>
        <v>477793</v>
      </c>
      <c r="C14" s="655">
        <f>'FINANČNÉ OPERÁCIE'!F28</f>
        <v>470856</v>
      </c>
      <c r="D14" s="655">
        <f>'FINANČNÉ OPERÁCIE'!G28</f>
        <v>334085</v>
      </c>
      <c r="E14" s="655">
        <f>'FINANČNÉ OPERÁCIE'!H28</f>
        <v>1303204</v>
      </c>
      <c r="F14" s="655">
        <f>'FINANČNÉ OPERÁCIE'!I28</f>
        <v>978096</v>
      </c>
      <c r="G14" s="655">
        <f>'FINANČNÉ OPERÁCIE'!J28</f>
        <v>1356608</v>
      </c>
      <c r="H14" s="655">
        <f>'FINANČNÉ OPERÁCIE'!K28</f>
        <v>1191263</v>
      </c>
      <c r="I14" s="655">
        <f>'FINANČNÉ OPERÁCIE'!L28</f>
        <v>977990</v>
      </c>
      <c r="J14" s="655">
        <f>'FINANČNÉ OPERÁCIE'!M28</f>
        <v>529834</v>
      </c>
      <c r="K14" s="655">
        <f>'FINANČNÉ OPERÁCIE'!N28</f>
        <v>403435</v>
      </c>
      <c r="L14" s="656">
        <f>IF(J14=0,0,K14/J14)</f>
        <v>0.7614366008976396</v>
      </c>
      <c r="M14" s="655">
        <f>'FINANČNÉ OPERÁCIE'!P28</f>
        <v>386462</v>
      </c>
      <c r="N14" s="663">
        <f>'FINANČNÉ OPERÁCIE'!Q28</f>
        <v>412908</v>
      </c>
      <c r="O14" s="530"/>
    </row>
    <row r="15" spans="1:17" ht="15.75" thickBot="1">
      <c r="A15" s="667" t="s">
        <v>178</v>
      </c>
      <c r="B15" s="668">
        <f>B13-B14</f>
        <v>21643</v>
      </c>
      <c r="C15" s="668">
        <f>C13-C14</f>
        <v>-157771</v>
      </c>
      <c r="D15" s="668">
        <f>D13-D14</f>
        <v>1306664</v>
      </c>
      <c r="E15" s="668">
        <f>E13-E14</f>
        <v>1451734</v>
      </c>
      <c r="F15" s="668">
        <f>F13-F14</f>
        <v>3501338</v>
      </c>
      <c r="G15" s="668">
        <f aca="true" t="shared" si="2" ref="G15:M15">G13-G14</f>
        <v>910060</v>
      </c>
      <c r="H15" s="668">
        <f t="shared" si="2"/>
        <v>114143</v>
      </c>
      <c r="I15" s="668">
        <f t="shared" si="2"/>
        <v>531544</v>
      </c>
      <c r="J15" s="668">
        <f t="shared" si="2"/>
        <v>579453</v>
      </c>
      <c r="K15" s="668">
        <f t="shared" si="2"/>
        <v>1009686</v>
      </c>
      <c r="L15" s="668"/>
      <c r="M15" s="668">
        <f t="shared" si="2"/>
        <v>-386462</v>
      </c>
      <c r="N15" s="669">
        <f>N13-N14</f>
        <v>-412908</v>
      </c>
      <c r="Q15" s="530"/>
    </row>
    <row r="16" spans="1:14" ht="16.5" customHeight="1" thickBot="1" thickTop="1">
      <c r="A16" s="800"/>
      <c r="B16" s="801"/>
      <c r="C16" s="801"/>
      <c r="D16" s="801"/>
      <c r="E16" s="801"/>
      <c r="F16" s="801"/>
      <c r="G16" s="801"/>
      <c r="H16" s="801"/>
      <c r="I16" s="801"/>
      <c r="J16" s="801"/>
      <c r="K16" s="801"/>
      <c r="L16" s="801"/>
      <c r="M16" s="801"/>
      <c r="N16" s="802"/>
    </row>
    <row r="17" spans="1:14" ht="13.5" customHeight="1" thickBot="1" thickTop="1">
      <c r="A17" s="803" t="s">
        <v>233</v>
      </c>
      <c r="B17" s="804"/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5"/>
    </row>
    <row r="18" spans="1:14" ht="13.5" customHeight="1" thickBot="1" thickTop="1">
      <c r="A18" s="803"/>
      <c r="B18" s="804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5"/>
    </row>
    <row r="19" spans="1:15" ht="17.25" thickBot="1" thickTop="1">
      <c r="A19" s="670" t="s">
        <v>179</v>
      </c>
      <c r="B19" s="671">
        <f aca="true" t="shared" si="3" ref="B19:K19">B7+B11+B15</f>
        <v>405431</v>
      </c>
      <c r="C19" s="671">
        <f t="shared" si="3"/>
        <v>168758</v>
      </c>
      <c r="D19" s="671">
        <f t="shared" si="3"/>
        <v>859707</v>
      </c>
      <c r="E19" s="671">
        <f t="shared" si="3"/>
        <v>1327171.5700000003</v>
      </c>
      <c r="F19" s="671">
        <f t="shared" si="3"/>
        <v>208476</v>
      </c>
      <c r="G19" s="671">
        <f t="shared" si="3"/>
        <v>39436.800000000745</v>
      </c>
      <c r="H19" s="671">
        <f t="shared" si="3"/>
        <v>9235.05999999959</v>
      </c>
      <c r="I19" s="671">
        <f t="shared" si="3"/>
        <v>1058427</v>
      </c>
      <c r="J19" s="671">
        <f t="shared" si="3"/>
        <v>0</v>
      </c>
      <c r="K19" s="671">
        <f t="shared" si="3"/>
        <v>0</v>
      </c>
      <c r="L19" s="671"/>
      <c r="M19" s="671">
        <f>M15+M11+M7</f>
        <v>0</v>
      </c>
      <c r="N19" s="672">
        <f>N15+N11+N7</f>
        <v>0</v>
      </c>
      <c r="O19" s="67" t="s">
        <v>70</v>
      </c>
    </row>
    <row r="20" spans="1:12" ht="13.5" thickTop="1">
      <c r="A20" s="673"/>
      <c r="B20" s="673"/>
      <c r="C20" s="673"/>
      <c r="D20" s="673"/>
      <c r="E20" s="673"/>
      <c r="F20" s="673"/>
      <c r="G20" s="673"/>
      <c r="H20" s="673"/>
      <c r="I20" s="674"/>
      <c r="J20" s="674"/>
      <c r="K20" s="674"/>
      <c r="L20" s="674"/>
    </row>
    <row r="21" spans="1:12" ht="12.75">
      <c r="A21" s="673"/>
      <c r="B21" s="673"/>
      <c r="C21" s="673"/>
      <c r="D21" s="673"/>
      <c r="E21" s="673"/>
      <c r="F21" s="673"/>
      <c r="G21" s="673"/>
      <c r="H21" s="673"/>
      <c r="I21" s="674"/>
      <c r="J21" s="674"/>
      <c r="K21" s="674"/>
      <c r="L21" s="674"/>
    </row>
    <row r="22" spans="1:12" ht="12.75">
      <c r="A22" s="673"/>
      <c r="B22" s="673"/>
      <c r="C22" s="673"/>
      <c r="D22" s="673"/>
      <c r="E22" s="673"/>
      <c r="F22" s="673"/>
      <c r="G22" s="673"/>
      <c r="H22" s="673"/>
      <c r="I22" s="674"/>
      <c r="J22" s="674"/>
      <c r="K22" s="674"/>
      <c r="L22" s="674"/>
    </row>
    <row r="23" spans="1:12" ht="12.75">
      <c r="A23" s="673" t="s">
        <v>393</v>
      </c>
      <c r="B23" s="673"/>
      <c r="C23" s="673"/>
      <c r="D23" s="673"/>
      <c r="E23" s="673"/>
      <c r="F23" s="673"/>
      <c r="G23" s="673"/>
      <c r="H23" s="673"/>
      <c r="I23" s="674"/>
      <c r="J23" s="675"/>
      <c r="K23" s="674"/>
      <c r="L23" s="674"/>
    </row>
    <row r="24" spans="1:12" ht="12.75">
      <c r="A24" s="504" t="s">
        <v>394</v>
      </c>
      <c r="I24" s="676"/>
      <c r="J24" s="676"/>
      <c r="K24" s="676"/>
      <c r="L24" s="676"/>
    </row>
    <row r="25" spans="9:12" ht="12.75">
      <c r="I25" s="676"/>
      <c r="J25" s="676"/>
      <c r="K25" s="676"/>
      <c r="L25" s="676"/>
    </row>
    <row r="26" spans="9:12" ht="12.75">
      <c r="I26" s="676"/>
      <c r="J26" s="676"/>
      <c r="K26" s="676"/>
      <c r="L26" s="676"/>
    </row>
    <row r="27" spans="9:12" ht="12.75">
      <c r="I27" s="676"/>
      <c r="J27" s="677"/>
      <c r="K27" s="676"/>
      <c r="L27" s="676"/>
    </row>
    <row r="28" spans="1:14" ht="12.75">
      <c r="A28" s="673"/>
      <c r="B28" s="673"/>
      <c r="C28" s="673"/>
      <c r="D28" s="673"/>
      <c r="E28" s="673"/>
      <c r="F28" s="673"/>
      <c r="G28" s="673"/>
      <c r="H28" s="673"/>
      <c r="I28" s="674"/>
      <c r="J28" s="799" t="s">
        <v>415</v>
      </c>
      <c r="K28" s="799"/>
      <c r="L28" s="799"/>
      <c r="M28" s="799"/>
      <c r="N28" s="799"/>
    </row>
    <row r="29" spans="1:14" ht="12.75">
      <c r="A29" s="673"/>
      <c r="B29" s="673"/>
      <c r="C29" s="673"/>
      <c r="D29" s="673"/>
      <c r="E29" s="673"/>
      <c r="F29" s="673"/>
      <c r="G29" s="673"/>
      <c r="H29" s="673"/>
      <c r="I29" s="674"/>
      <c r="J29" s="799" t="s">
        <v>414</v>
      </c>
      <c r="K29" s="799"/>
      <c r="L29" s="799"/>
      <c r="M29" s="799"/>
      <c r="N29" s="799"/>
    </row>
    <row r="30" spans="1:13" ht="12.75">
      <c r="A30" s="673"/>
      <c r="B30" s="673"/>
      <c r="C30" s="673"/>
      <c r="D30" s="673"/>
      <c r="E30" s="673"/>
      <c r="F30" s="673"/>
      <c r="G30" s="673"/>
      <c r="H30" s="673"/>
      <c r="J30" s="799"/>
      <c r="K30" s="799"/>
      <c r="L30" s="799"/>
      <c r="M30" s="799"/>
    </row>
    <row r="31" spans="10:13" ht="12.75">
      <c r="J31" s="799"/>
      <c r="K31" s="799"/>
      <c r="L31" s="799"/>
      <c r="M31" s="799"/>
    </row>
  </sheetData>
  <sheetProtection/>
  <mergeCells count="24">
    <mergeCell ref="J29:N29"/>
    <mergeCell ref="G3:G4"/>
    <mergeCell ref="J28:N28"/>
    <mergeCell ref="I3:I4"/>
    <mergeCell ref="J30:M30"/>
    <mergeCell ref="J31:M31"/>
    <mergeCell ref="N3:N4"/>
    <mergeCell ref="A8:N8"/>
    <mergeCell ref="A16:N16"/>
    <mergeCell ref="F3:F4"/>
    <mergeCell ref="A17:N18"/>
    <mergeCell ref="A12:N12"/>
    <mergeCell ref="H3:H4"/>
    <mergeCell ref="J3:J4"/>
    <mergeCell ref="A1:M1"/>
    <mergeCell ref="A2:M2"/>
    <mergeCell ref="M3:M4"/>
    <mergeCell ref="A3:A4"/>
    <mergeCell ref="K3:K4"/>
    <mergeCell ref="B3:B4"/>
    <mergeCell ref="C3:C4"/>
    <mergeCell ref="D3:D4"/>
    <mergeCell ref="E3:E4"/>
    <mergeCell ref="L3:L4"/>
  </mergeCells>
  <printOptions/>
  <pageMargins left="0.58" right="0.15" top="0.75" bottom="1" header="0.4921259845" footer="0.4921259845"/>
  <pageSetup horizontalDpi="300" verticalDpi="300" orientation="landscape" paperSize="9" scale="95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B1">
      <selection activeCell="B99" sqref="B99"/>
    </sheetView>
  </sheetViews>
  <sheetFormatPr defaultColWidth="9.140625" defaultRowHeight="12.75"/>
  <cols>
    <col min="1" max="1" width="9.8515625" style="0" customWidth="1"/>
    <col min="2" max="2" width="36.57421875" style="0" customWidth="1"/>
    <col min="3" max="12" width="0" style="0" hidden="1" customWidth="1"/>
    <col min="13" max="13" width="13.421875" style="0" customWidth="1"/>
    <col min="14" max="14" width="13.140625" style="0" customWidth="1"/>
    <col min="15" max="15" width="11.57421875" style="0" customWidth="1"/>
    <col min="16" max="18" width="12.00390625" style="0" customWidth="1"/>
    <col min="19" max="19" width="11.28125" style="0" customWidth="1"/>
    <col min="20" max="20" width="12.28125" style="0" customWidth="1"/>
  </cols>
  <sheetData>
    <row r="1" spans="1:20" ht="14.25" thickBot="1" thickTop="1">
      <c r="A1" s="806" t="s">
        <v>44</v>
      </c>
      <c r="B1" s="815" t="s">
        <v>45</v>
      </c>
      <c r="C1" s="817" t="s">
        <v>46</v>
      </c>
      <c r="D1" s="808" t="s">
        <v>360</v>
      </c>
      <c r="E1" s="808" t="s">
        <v>361</v>
      </c>
      <c r="F1" s="808" t="s">
        <v>362</v>
      </c>
      <c r="G1" s="808" t="s">
        <v>363</v>
      </c>
      <c r="H1" s="808" t="s">
        <v>364</v>
      </c>
      <c r="I1" s="808" t="s">
        <v>321</v>
      </c>
      <c r="J1" s="808" t="s">
        <v>322</v>
      </c>
      <c r="K1" s="808" t="s">
        <v>317</v>
      </c>
      <c r="L1" s="808" t="s">
        <v>318</v>
      </c>
      <c r="M1" s="808" t="s">
        <v>319</v>
      </c>
      <c r="N1" s="831" t="s">
        <v>420</v>
      </c>
      <c r="O1" s="831"/>
      <c r="P1" s="831"/>
      <c r="Q1" s="831"/>
      <c r="R1" s="831"/>
      <c r="S1" s="831"/>
      <c r="T1" s="823" t="s">
        <v>391</v>
      </c>
    </row>
    <row r="2" spans="1:20" ht="29.25" customHeight="1" thickBot="1">
      <c r="A2" s="807"/>
      <c r="B2" s="816"/>
      <c r="C2" s="818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360" t="s">
        <v>386</v>
      </c>
      <c r="O2" s="360" t="s">
        <v>387</v>
      </c>
      <c r="P2" s="360" t="s">
        <v>392</v>
      </c>
      <c r="Q2" s="360" t="s">
        <v>388</v>
      </c>
      <c r="R2" s="360" t="s">
        <v>389</v>
      </c>
      <c r="S2" s="360" t="s">
        <v>390</v>
      </c>
      <c r="T2" s="824"/>
    </row>
    <row r="3" spans="1:20" ht="16.5" hidden="1" thickBot="1" thickTop="1">
      <c r="A3" s="51" t="s">
        <v>48</v>
      </c>
      <c r="B3" s="810" t="s">
        <v>119</v>
      </c>
      <c r="C3" s="810"/>
      <c r="D3" s="299">
        <v>372735</v>
      </c>
      <c r="E3" s="299">
        <v>64629</v>
      </c>
      <c r="F3" s="299">
        <v>39833</v>
      </c>
      <c r="G3" s="299">
        <v>3383</v>
      </c>
      <c r="H3" s="299"/>
      <c r="I3" s="199">
        <v>18260</v>
      </c>
      <c r="J3" s="199">
        <v>0</v>
      </c>
      <c r="K3" s="199">
        <v>0</v>
      </c>
      <c r="L3" s="211">
        <f>L4+L5</f>
        <v>15000</v>
      </c>
      <c r="M3" s="199">
        <v>0</v>
      </c>
      <c r="N3" s="199"/>
      <c r="O3" s="199"/>
      <c r="P3" s="199"/>
      <c r="Q3" s="199"/>
      <c r="R3" s="199"/>
      <c r="S3" s="199"/>
      <c r="T3" s="361">
        <f>SUM(N3:S3)</f>
        <v>0</v>
      </c>
    </row>
    <row r="4" spans="1:20" ht="12.75" hidden="1">
      <c r="A4" s="811"/>
      <c r="B4" s="813"/>
      <c r="C4" s="40" t="s">
        <v>338</v>
      </c>
      <c r="D4" s="81"/>
      <c r="E4" s="81"/>
      <c r="F4" s="81"/>
      <c r="G4" s="81"/>
      <c r="H4" s="104"/>
      <c r="I4" s="104"/>
      <c r="J4" s="104"/>
      <c r="K4" s="81"/>
      <c r="L4" s="81">
        <v>15000</v>
      </c>
      <c r="M4" s="81"/>
      <c r="N4" s="81"/>
      <c r="O4" s="81"/>
      <c r="P4" s="81"/>
      <c r="Q4" s="81"/>
      <c r="R4" s="81"/>
      <c r="S4" s="81"/>
      <c r="T4" s="143">
        <f aca="true" t="shared" si="0" ref="T4:T67">SUM(N4:S4)</f>
        <v>0</v>
      </c>
    </row>
    <row r="5" spans="1:20" ht="13.5" hidden="1" thickBot="1">
      <c r="A5" s="812"/>
      <c r="B5" s="814"/>
      <c r="C5" s="40"/>
      <c r="D5" s="81"/>
      <c r="E5" s="81"/>
      <c r="F5" s="81"/>
      <c r="G5" s="81"/>
      <c r="H5" s="104"/>
      <c r="I5" s="104"/>
      <c r="J5" s="104"/>
      <c r="K5" s="81"/>
      <c r="L5" s="81"/>
      <c r="M5" s="81"/>
      <c r="N5" s="81"/>
      <c r="O5" s="81"/>
      <c r="P5" s="81"/>
      <c r="Q5" s="81"/>
      <c r="R5" s="81"/>
      <c r="S5" s="81"/>
      <c r="T5" s="143">
        <f t="shared" si="0"/>
        <v>0</v>
      </c>
    </row>
    <row r="6" spans="1:20" ht="15.75" hidden="1" thickBot="1">
      <c r="A6" s="46" t="s">
        <v>138</v>
      </c>
      <c r="B6" s="819" t="s">
        <v>11</v>
      </c>
      <c r="C6" s="819"/>
      <c r="D6" s="279">
        <v>17958</v>
      </c>
      <c r="E6" s="279">
        <v>0</v>
      </c>
      <c r="F6" s="279">
        <v>19916</v>
      </c>
      <c r="G6" s="279">
        <v>18253</v>
      </c>
      <c r="H6" s="279">
        <v>16675</v>
      </c>
      <c r="I6" s="191">
        <v>3031</v>
      </c>
      <c r="J6" s="191">
        <v>0</v>
      </c>
      <c r="K6" s="31">
        <f>SUM(K7:K8)</f>
        <v>10398</v>
      </c>
      <c r="L6" s="31">
        <f>SUM(L7:L8)</f>
        <v>0</v>
      </c>
      <c r="M6" s="31">
        <f>SUM(M7:M8)</f>
        <v>0</v>
      </c>
      <c r="N6" s="31">
        <f aca="true" t="shared" si="1" ref="N6:S6">SUM(N7:N8)</f>
        <v>0</v>
      </c>
      <c r="O6" s="31">
        <f t="shared" si="1"/>
        <v>0</v>
      </c>
      <c r="P6" s="31"/>
      <c r="Q6" s="31">
        <f t="shared" si="1"/>
        <v>0</v>
      </c>
      <c r="R6" s="31">
        <f t="shared" si="1"/>
        <v>0</v>
      </c>
      <c r="S6" s="31">
        <f t="shared" si="1"/>
        <v>0</v>
      </c>
      <c r="T6" s="122">
        <f t="shared" si="0"/>
        <v>0</v>
      </c>
    </row>
    <row r="7" spans="1:20" ht="12.75" hidden="1">
      <c r="A7" s="811"/>
      <c r="B7" s="813"/>
      <c r="C7" s="37" t="s">
        <v>199</v>
      </c>
      <c r="D7" s="97"/>
      <c r="E7" s="97"/>
      <c r="F7" s="97"/>
      <c r="G7" s="97"/>
      <c r="H7" s="33"/>
      <c r="I7" s="33"/>
      <c r="J7" s="33"/>
      <c r="K7" s="97">
        <v>10398</v>
      </c>
      <c r="L7" s="97"/>
      <c r="M7" s="97"/>
      <c r="N7" s="97"/>
      <c r="O7" s="97"/>
      <c r="P7" s="97"/>
      <c r="Q7" s="97"/>
      <c r="R7" s="97"/>
      <c r="S7" s="97"/>
      <c r="T7" s="149">
        <f t="shared" si="0"/>
        <v>0</v>
      </c>
    </row>
    <row r="8" spans="1:20" ht="13.5" hidden="1" thickBot="1">
      <c r="A8" s="812"/>
      <c r="B8" s="814"/>
      <c r="C8" s="1"/>
      <c r="D8" s="83"/>
      <c r="E8" s="83"/>
      <c r="F8" s="83"/>
      <c r="G8" s="83"/>
      <c r="H8" s="79"/>
      <c r="I8" s="79"/>
      <c r="J8" s="79"/>
      <c r="K8" s="83"/>
      <c r="L8" s="83"/>
      <c r="M8" s="83"/>
      <c r="N8" s="83"/>
      <c r="O8" s="83"/>
      <c r="P8" s="83"/>
      <c r="Q8" s="83"/>
      <c r="R8" s="83"/>
      <c r="S8" s="83"/>
      <c r="T8" s="145">
        <f t="shared" si="0"/>
        <v>0</v>
      </c>
    </row>
    <row r="9" spans="1:20" ht="16.5" thickBot="1" thickTop="1">
      <c r="A9" s="46" t="s">
        <v>120</v>
      </c>
      <c r="B9" s="819" t="s">
        <v>121</v>
      </c>
      <c r="C9" s="819"/>
      <c r="D9" s="279">
        <v>894211</v>
      </c>
      <c r="E9" s="279">
        <v>382958</v>
      </c>
      <c r="F9" s="279">
        <v>343590</v>
      </c>
      <c r="G9" s="279">
        <v>610914</v>
      </c>
      <c r="H9" s="279">
        <v>1718795</v>
      </c>
      <c r="I9" s="191">
        <v>495900</v>
      </c>
      <c r="J9" s="191">
        <v>421522</v>
      </c>
      <c r="K9" s="31">
        <f>SUM(K10:K17)</f>
        <v>2058954</v>
      </c>
      <c r="L9" s="31">
        <f>SUM(L10:L17)</f>
        <v>1899851</v>
      </c>
      <c r="M9" s="31">
        <f>SUM(M10:M17)</f>
        <v>2060933</v>
      </c>
      <c r="N9" s="31">
        <f aca="true" t="shared" si="2" ref="N9:S9">SUM(N10:N17)</f>
        <v>9347</v>
      </c>
      <c r="O9" s="31">
        <f t="shared" si="2"/>
        <v>0</v>
      </c>
      <c r="P9" s="31">
        <f t="shared" si="2"/>
        <v>7920</v>
      </c>
      <c r="Q9" s="31">
        <f t="shared" si="2"/>
        <v>1563745</v>
      </c>
      <c r="R9" s="31">
        <f t="shared" si="2"/>
        <v>346900</v>
      </c>
      <c r="S9" s="31">
        <f t="shared" si="2"/>
        <v>133021</v>
      </c>
      <c r="T9" s="122">
        <f t="shared" si="0"/>
        <v>2060933</v>
      </c>
    </row>
    <row r="10" spans="1:22" ht="12.75">
      <c r="A10" s="820"/>
      <c r="B10" s="40" t="s">
        <v>262</v>
      </c>
      <c r="C10" s="40" t="s">
        <v>262</v>
      </c>
      <c r="D10" s="81"/>
      <c r="E10" s="81"/>
      <c r="F10" s="81"/>
      <c r="G10" s="81"/>
      <c r="H10" s="104"/>
      <c r="I10" s="104"/>
      <c r="J10" s="104"/>
      <c r="K10" s="81">
        <v>47371</v>
      </c>
      <c r="L10" s="81">
        <v>31000</v>
      </c>
      <c r="M10" s="81">
        <v>9347</v>
      </c>
      <c r="N10" s="81">
        <v>9347</v>
      </c>
      <c r="O10" s="81"/>
      <c r="P10" s="81"/>
      <c r="Q10" s="81"/>
      <c r="R10" s="81"/>
      <c r="S10" s="81"/>
      <c r="T10" s="143">
        <f t="shared" si="0"/>
        <v>9347</v>
      </c>
      <c r="V10" s="32"/>
    </row>
    <row r="11" spans="1:22" ht="12.75" hidden="1">
      <c r="A11" s="820"/>
      <c r="B11" s="38" t="s">
        <v>348</v>
      </c>
      <c r="C11" s="38" t="s">
        <v>348</v>
      </c>
      <c r="D11" s="98"/>
      <c r="E11" s="98"/>
      <c r="F11" s="98"/>
      <c r="G11" s="98"/>
      <c r="H11" s="34"/>
      <c r="I11" s="34"/>
      <c r="J11" s="34"/>
      <c r="K11" s="98"/>
      <c r="L11" s="81">
        <v>5000</v>
      </c>
      <c r="M11" s="81"/>
      <c r="N11" s="81"/>
      <c r="O11" s="81"/>
      <c r="P11" s="81"/>
      <c r="Q11" s="81"/>
      <c r="R11" s="81"/>
      <c r="S11" s="81"/>
      <c r="T11" s="143">
        <f t="shared" si="0"/>
        <v>0</v>
      </c>
      <c r="V11" s="32"/>
    </row>
    <row r="12" spans="1:22" ht="12.75" hidden="1">
      <c r="A12" s="820"/>
      <c r="B12" s="44" t="s">
        <v>260</v>
      </c>
      <c r="C12" s="44" t="s">
        <v>260</v>
      </c>
      <c r="D12" s="99"/>
      <c r="E12" s="99"/>
      <c r="F12" s="99"/>
      <c r="G12" s="99"/>
      <c r="H12" s="74"/>
      <c r="I12" s="74"/>
      <c r="J12" s="74"/>
      <c r="K12" s="99">
        <v>282056</v>
      </c>
      <c r="L12" s="98"/>
      <c r="M12" s="35"/>
      <c r="N12" s="35"/>
      <c r="O12" s="35"/>
      <c r="P12" s="35"/>
      <c r="Q12" s="35"/>
      <c r="R12" s="35"/>
      <c r="S12" s="35"/>
      <c r="T12" s="137">
        <f t="shared" si="0"/>
        <v>0</v>
      </c>
      <c r="V12" s="32"/>
    </row>
    <row r="13" spans="1:22" ht="12.75">
      <c r="A13" s="820"/>
      <c r="B13" s="38" t="s">
        <v>261</v>
      </c>
      <c r="C13" s="38" t="s">
        <v>261</v>
      </c>
      <c r="D13" s="98"/>
      <c r="E13" s="98"/>
      <c r="F13" s="98"/>
      <c r="G13" s="98"/>
      <c r="H13" s="34"/>
      <c r="I13" s="34"/>
      <c r="J13" s="34"/>
      <c r="K13" s="98">
        <v>881052</v>
      </c>
      <c r="L13" s="81">
        <v>76005</v>
      </c>
      <c r="M13" s="81">
        <v>5000</v>
      </c>
      <c r="N13" s="81"/>
      <c r="O13" s="81"/>
      <c r="P13" s="81"/>
      <c r="Q13" s="81"/>
      <c r="R13" s="81">
        <v>5000</v>
      </c>
      <c r="S13" s="81"/>
      <c r="T13" s="143">
        <f t="shared" si="0"/>
        <v>5000</v>
      </c>
      <c r="V13" s="32"/>
    </row>
    <row r="14" spans="1:22" ht="12.75" hidden="1">
      <c r="A14" s="820"/>
      <c r="B14" s="38" t="s">
        <v>314</v>
      </c>
      <c r="C14" s="38" t="s">
        <v>314</v>
      </c>
      <c r="D14" s="98"/>
      <c r="E14" s="98"/>
      <c r="F14" s="98"/>
      <c r="G14" s="98"/>
      <c r="H14" s="34"/>
      <c r="I14" s="34"/>
      <c r="J14" s="34"/>
      <c r="K14" s="98">
        <v>100004</v>
      </c>
      <c r="L14" s="81"/>
      <c r="M14" s="81"/>
      <c r="N14" s="81"/>
      <c r="O14" s="81"/>
      <c r="P14" s="81"/>
      <c r="Q14" s="81"/>
      <c r="R14" s="81"/>
      <c r="S14" s="81"/>
      <c r="T14" s="143">
        <f t="shared" si="0"/>
        <v>0</v>
      </c>
      <c r="V14" s="32"/>
    </row>
    <row r="15" spans="1:22" ht="12.75">
      <c r="A15" s="820"/>
      <c r="B15" s="38" t="s">
        <v>349</v>
      </c>
      <c r="C15" s="38" t="s">
        <v>349</v>
      </c>
      <c r="D15" s="98"/>
      <c r="E15" s="98"/>
      <c r="F15" s="98"/>
      <c r="G15" s="98"/>
      <c r="H15" s="34"/>
      <c r="I15" s="34"/>
      <c r="J15" s="34"/>
      <c r="K15" s="98">
        <v>0</v>
      </c>
      <c r="L15" s="81">
        <v>1787846</v>
      </c>
      <c r="M15" s="81">
        <v>1837286</v>
      </c>
      <c r="N15" s="81"/>
      <c r="O15" s="81"/>
      <c r="P15" s="81"/>
      <c r="Q15" s="81">
        <v>1367618</v>
      </c>
      <c r="R15" s="81">
        <v>341900</v>
      </c>
      <c r="S15" s="81">
        <f>78328+49440</f>
        <v>127768</v>
      </c>
      <c r="T15" s="143">
        <f t="shared" si="0"/>
        <v>1837286</v>
      </c>
      <c r="V15" s="32"/>
    </row>
    <row r="16" spans="1:22" ht="13.5" thickBot="1">
      <c r="A16" s="820"/>
      <c r="B16" s="38" t="s">
        <v>381</v>
      </c>
      <c r="C16" s="38" t="s">
        <v>381</v>
      </c>
      <c r="D16" s="98"/>
      <c r="E16" s="98"/>
      <c r="F16" s="98"/>
      <c r="G16" s="98"/>
      <c r="H16" s="34"/>
      <c r="I16" s="34"/>
      <c r="J16" s="34"/>
      <c r="K16" s="98"/>
      <c r="L16" s="81"/>
      <c r="M16" s="81">
        <v>209300</v>
      </c>
      <c r="N16" s="81"/>
      <c r="O16" s="81"/>
      <c r="P16" s="81">
        <v>7920</v>
      </c>
      <c r="Q16" s="81">
        <v>196127</v>
      </c>
      <c r="R16" s="81"/>
      <c r="S16" s="81">
        <f>13173-7920</f>
        <v>5253</v>
      </c>
      <c r="T16" s="143">
        <f t="shared" si="0"/>
        <v>209300</v>
      </c>
      <c r="V16" s="32"/>
    </row>
    <row r="17" spans="1:22" ht="13.5" hidden="1" thickBot="1">
      <c r="A17" s="812"/>
      <c r="B17" s="1" t="s">
        <v>217</v>
      </c>
      <c r="C17" s="1" t="s">
        <v>217</v>
      </c>
      <c r="D17" s="83"/>
      <c r="E17" s="83"/>
      <c r="F17" s="83"/>
      <c r="G17" s="83"/>
      <c r="H17" s="79"/>
      <c r="I17" s="79"/>
      <c r="J17" s="79"/>
      <c r="K17" s="83">
        <v>748471</v>
      </c>
      <c r="L17" s="83"/>
      <c r="M17" s="83"/>
      <c r="N17" s="83"/>
      <c r="O17" s="83"/>
      <c r="P17" s="83"/>
      <c r="Q17" s="83"/>
      <c r="R17" s="83"/>
      <c r="S17" s="83"/>
      <c r="T17" s="145">
        <f t="shared" si="0"/>
        <v>0</v>
      </c>
      <c r="V17" s="32"/>
    </row>
    <row r="18" spans="1:22" ht="15.75" thickBot="1">
      <c r="A18" s="61" t="s">
        <v>122</v>
      </c>
      <c r="B18" s="821" t="s">
        <v>123</v>
      </c>
      <c r="C18" s="822"/>
      <c r="D18" s="279">
        <v>154053</v>
      </c>
      <c r="E18" s="279">
        <v>194317</v>
      </c>
      <c r="F18" s="279">
        <v>340238</v>
      </c>
      <c r="G18" s="279">
        <v>484191</v>
      </c>
      <c r="H18" s="279">
        <v>181309</v>
      </c>
      <c r="I18" s="191">
        <v>33695</v>
      </c>
      <c r="J18" s="191">
        <v>79908</v>
      </c>
      <c r="K18" s="31">
        <f>SUM(K19:K26)</f>
        <v>0</v>
      </c>
      <c r="L18" s="31">
        <f>SUM(L19:L21)</f>
        <v>76454</v>
      </c>
      <c r="M18" s="31">
        <f>SUM(M19:M21)</f>
        <v>38000</v>
      </c>
      <c r="N18" s="31">
        <f aca="true" t="shared" si="3" ref="N18:S18">SUM(N19:N21)</f>
        <v>2562</v>
      </c>
      <c r="O18" s="31">
        <f t="shared" si="3"/>
        <v>0</v>
      </c>
      <c r="P18" s="31">
        <f t="shared" si="3"/>
        <v>0</v>
      </c>
      <c r="Q18" s="31">
        <f t="shared" si="3"/>
        <v>0</v>
      </c>
      <c r="R18" s="31">
        <f t="shared" si="3"/>
        <v>0</v>
      </c>
      <c r="S18" s="31">
        <f t="shared" si="3"/>
        <v>35438</v>
      </c>
      <c r="T18" s="122">
        <f t="shared" si="0"/>
        <v>38000</v>
      </c>
      <c r="V18" s="32"/>
    </row>
    <row r="19" spans="1:22" ht="12.75">
      <c r="A19" s="59"/>
      <c r="B19" s="371" t="s">
        <v>417</v>
      </c>
      <c r="C19" s="38" t="s">
        <v>335</v>
      </c>
      <c r="D19" s="98"/>
      <c r="E19" s="98"/>
      <c r="F19" s="98"/>
      <c r="G19" s="98"/>
      <c r="H19" s="34"/>
      <c r="I19" s="192"/>
      <c r="J19" s="192"/>
      <c r="K19" s="98"/>
      <c r="L19" s="81">
        <v>24589</v>
      </c>
      <c r="M19" s="81">
        <v>20000</v>
      </c>
      <c r="N19" s="81"/>
      <c r="O19" s="81"/>
      <c r="P19" s="81"/>
      <c r="Q19" s="81"/>
      <c r="R19" s="81"/>
      <c r="S19" s="81">
        <v>20000</v>
      </c>
      <c r="T19" s="143">
        <f t="shared" si="0"/>
        <v>20000</v>
      </c>
      <c r="V19" s="32"/>
    </row>
    <row r="20" spans="1:22" ht="13.5" thickBot="1">
      <c r="A20" s="59"/>
      <c r="B20" s="371" t="s">
        <v>418</v>
      </c>
      <c r="C20" s="38" t="s">
        <v>375</v>
      </c>
      <c r="D20" s="98"/>
      <c r="E20" s="98"/>
      <c r="F20" s="98"/>
      <c r="G20" s="98"/>
      <c r="H20" s="34"/>
      <c r="I20" s="192"/>
      <c r="J20" s="192"/>
      <c r="K20" s="98"/>
      <c r="L20" s="81">
        <v>28905</v>
      </c>
      <c r="M20" s="81">
        <v>18000</v>
      </c>
      <c r="N20" s="81">
        <v>2562</v>
      </c>
      <c r="O20" s="81"/>
      <c r="P20" s="81"/>
      <c r="Q20" s="81"/>
      <c r="R20" s="81"/>
      <c r="S20" s="81">
        <v>15438</v>
      </c>
      <c r="T20" s="143">
        <f t="shared" si="0"/>
        <v>18000</v>
      </c>
      <c r="V20" s="32"/>
    </row>
    <row r="21" spans="1:22" ht="12.75" hidden="1">
      <c r="A21" s="59"/>
      <c r="B21" s="42"/>
      <c r="C21" s="38" t="s">
        <v>275</v>
      </c>
      <c r="D21" s="98"/>
      <c r="E21" s="98"/>
      <c r="F21" s="98"/>
      <c r="G21" s="98"/>
      <c r="H21" s="34"/>
      <c r="I21" s="192"/>
      <c r="J21" s="192"/>
      <c r="K21" s="98"/>
      <c r="L21" s="81">
        <v>22960</v>
      </c>
      <c r="M21" s="81"/>
      <c r="N21" s="81"/>
      <c r="O21" s="81"/>
      <c r="P21" s="81"/>
      <c r="Q21" s="81"/>
      <c r="R21" s="81"/>
      <c r="S21" s="81"/>
      <c r="T21" s="143">
        <f t="shared" si="0"/>
        <v>0</v>
      </c>
      <c r="V21" s="32"/>
    </row>
    <row r="22" spans="1:22" ht="12.75" hidden="1">
      <c r="A22" s="59"/>
      <c r="B22" s="42"/>
      <c r="C22" s="38" t="s">
        <v>300</v>
      </c>
      <c r="D22" s="99"/>
      <c r="E22" s="99"/>
      <c r="F22" s="99"/>
      <c r="G22" s="99"/>
      <c r="H22" s="74"/>
      <c r="I22" s="193"/>
      <c r="J22" s="193"/>
      <c r="K22" s="99"/>
      <c r="L22" s="83"/>
      <c r="M22" s="83"/>
      <c r="N22" s="83"/>
      <c r="O22" s="83"/>
      <c r="P22" s="83"/>
      <c r="Q22" s="83"/>
      <c r="R22" s="83"/>
      <c r="S22" s="83"/>
      <c r="T22" s="145">
        <f t="shared" si="0"/>
        <v>0</v>
      </c>
      <c r="V22" s="32"/>
    </row>
    <row r="23" spans="1:22" ht="12.75" hidden="1">
      <c r="A23" s="59"/>
      <c r="B23" s="42"/>
      <c r="C23" s="38" t="s">
        <v>272</v>
      </c>
      <c r="D23" s="99"/>
      <c r="E23" s="99"/>
      <c r="F23" s="99"/>
      <c r="G23" s="99"/>
      <c r="H23" s="74"/>
      <c r="I23" s="193"/>
      <c r="J23" s="193"/>
      <c r="K23" s="99"/>
      <c r="L23" s="83"/>
      <c r="M23" s="83"/>
      <c r="N23" s="83"/>
      <c r="O23" s="83"/>
      <c r="P23" s="83"/>
      <c r="Q23" s="83"/>
      <c r="R23" s="83"/>
      <c r="S23" s="83"/>
      <c r="T23" s="145">
        <f t="shared" si="0"/>
        <v>0</v>
      </c>
      <c r="V23" s="32"/>
    </row>
    <row r="24" spans="1:22" ht="12.75" hidden="1">
      <c r="A24" s="59"/>
      <c r="B24" s="42"/>
      <c r="C24" s="38" t="s">
        <v>273</v>
      </c>
      <c r="D24" s="99"/>
      <c r="E24" s="99"/>
      <c r="F24" s="99"/>
      <c r="G24" s="99"/>
      <c r="H24" s="74"/>
      <c r="I24" s="193"/>
      <c r="J24" s="193"/>
      <c r="K24" s="99"/>
      <c r="L24" s="83"/>
      <c r="M24" s="83"/>
      <c r="N24" s="83"/>
      <c r="O24" s="83"/>
      <c r="P24" s="83"/>
      <c r="Q24" s="83"/>
      <c r="R24" s="83"/>
      <c r="S24" s="83"/>
      <c r="T24" s="145">
        <f t="shared" si="0"/>
        <v>0</v>
      </c>
      <c r="V24" s="32"/>
    </row>
    <row r="25" spans="1:22" ht="12.75" hidden="1">
      <c r="A25" s="59"/>
      <c r="B25" s="42"/>
      <c r="C25" s="38" t="s">
        <v>288</v>
      </c>
      <c r="D25" s="99"/>
      <c r="E25" s="99"/>
      <c r="F25" s="99"/>
      <c r="G25" s="99"/>
      <c r="H25" s="74"/>
      <c r="I25" s="193"/>
      <c r="J25" s="193"/>
      <c r="K25" s="99"/>
      <c r="L25" s="83"/>
      <c r="M25" s="83"/>
      <c r="N25" s="83"/>
      <c r="O25" s="83"/>
      <c r="P25" s="83"/>
      <c r="Q25" s="83"/>
      <c r="R25" s="83"/>
      <c r="S25" s="83"/>
      <c r="T25" s="145">
        <f t="shared" si="0"/>
        <v>0</v>
      </c>
      <c r="V25" s="32"/>
    </row>
    <row r="26" spans="1:22" ht="13.5" hidden="1" thickBot="1">
      <c r="A26" s="59"/>
      <c r="B26" s="42"/>
      <c r="C26" s="38" t="s">
        <v>275</v>
      </c>
      <c r="D26" s="99"/>
      <c r="E26" s="99"/>
      <c r="F26" s="99"/>
      <c r="G26" s="99"/>
      <c r="H26" s="74"/>
      <c r="I26" s="193"/>
      <c r="J26" s="193"/>
      <c r="K26" s="99"/>
      <c r="L26" s="83"/>
      <c r="M26" s="83"/>
      <c r="N26" s="83"/>
      <c r="O26" s="83"/>
      <c r="P26" s="83"/>
      <c r="Q26" s="83"/>
      <c r="R26" s="83"/>
      <c r="S26" s="83"/>
      <c r="T26" s="145">
        <f t="shared" si="0"/>
        <v>0</v>
      </c>
      <c r="V26" s="32"/>
    </row>
    <row r="27" spans="1:22" ht="15.75" hidden="1" thickBot="1">
      <c r="A27" s="76" t="s">
        <v>21</v>
      </c>
      <c r="B27" s="821" t="s">
        <v>22</v>
      </c>
      <c r="C27" s="822"/>
      <c r="D27" s="310">
        <v>80894</v>
      </c>
      <c r="E27" s="279">
        <v>8298</v>
      </c>
      <c r="F27" s="279">
        <v>71666</v>
      </c>
      <c r="G27" s="279">
        <v>1330064</v>
      </c>
      <c r="H27" s="279">
        <v>2147096</v>
      </c>
      <c r="I27" s="191">
        <v>8121</v>
      </c>
      <c r="J27" s="191">
        <v>93729</v>
      </c>
      <c r="K27" s="31">
        <f>SUM(K28:K32)</f>
        <v>28919</v>
      </c>
      <c r="L27" s="31">
        <f>SUM(L28:L32)</f>
        <v>0</v>
      </c>
      <c r="M27" s="31">
        <f>SUM(M28:M32)</f>
        <v>0</v>
      </c>
      <c r="N27" s="31">
        <f aca="true" t="shared" si="4" ref="N27:S27">SUM(N28:N32)</f>
        <v>0</v>
      </c>
      <c r="O27" s="31">
        <f t="shared" si="4"/>
        <v>0</v>
      </c>
      <c r="P27" s="31"/>
      <c r="Q27" s="31">
        <f t="shared" si="4"/>
        <v>0</v>
      </c>
      <c r="R27" s="31">
        <f t="shared" si="4"/>
        <v>0</v>
      </c>
      <c r="S27" s="31">
        <f t="shared" si="4"/>
        <v>0</v>
      </c>
      <c r="T27" s="122">
        <f t="shared" si="0"/>
        <v>0</v>
      </c>
      <c r="V27" s="32"/>
    </row>
    <row r="28" spans="1:22" ht="12.75" hidden="1">
      <c r="A28" s="68"/>
      <c r="B28" s="41"/>
      <c r="C28" s="37" t="s">
        <v>309</v>
      </c>
      <c r="D28" s="97"/>
      <c r="E28" s="97"/>
      <c r="F28" s="97"/>
      <c r="G28" s="97"/>
      <c r="H28" s="33"/>
      <c r="I28" s="194"/>
      <c r="J28" s="194"/>
      <c r="K28" s="97">
        <v>28919</v>
      </c>
      <c r="L28" s="81"/>
      <c r="M28" s="81"/>
      <c r="N28" s="81"/>
      <c r="O28" s="81"/>
      <c r="P28" s="81"/>
      <c r="Q28" s="81"/>
      <c r="R28" s="81"/>
      <c r="S28" s="81"/>
      <c r="T28" s="143">
        <f t="shared" si="0"/>
        <v>0</v>
      </c>
      <c r="V28" s="32"/>
    </row>
    <row r="29" spans="1:22" ht="12.75" hidden="1">
      <c r="A29" s="59"/>
      <c r="B29" s="42"/>
      <c r="C29" s="40" t="s">
        <v>276</v>
      </c>
      <c r="D29" s="81"/>
      <c r="E29" s="81"/>
      <c r="F29" s="81"/>
      <c r="G29" s="81"/>
      <c r="H29" s="104"/>
      <c r="I29" s="195"/>
      <c r="J29" s="195"/>
      <c r="K29" s="81"/>
      <c r="L29" s="81"/>
      <c r="M29" s="81"/>
      <c r="N29" s="81"/>
      <c r="O29" s="81"/>
      <c r="P29" s="81"/>
      <c r="Q29" s="81"/>
      <c r="R29" s="81"/>
      <c r="S29" s="81"/>
      <c r="T29" s="143">
        <f t="shared" si="0"/>
        <v>0</v>
      </c>
      <c r="V29" s="32"/>
    </row>
    <row r="30" spans="1:22" ht="12.75" hidden="1">
      <c r="A30" s="59"/>
      <c r="B30" s="42"/>
      <c r="C30" s="38" t="s">
        <v>295</v>
      </c>
      <c r="D30" s="81"/>
      <c r="E30" s="81"/>
      <c r="F30" s="81"/>
      <c r="G30" s="81"/>
      <c r="H30" s="104"/>
      <c r="I30" s="195"/>
      <c r="J30" s="195"/>
      <c r="K30" s="81"/>
      <c r="L30" s="81"/>
      <c r="M30" s="81"/>
      <c r="N30" s="81"/>
      <c r="O30" s="81"/>
      <c r="P30" s="81"/>
      <c r="Q30" s="81"/>
      <c r="R30" s="81"/>
      <c r="S30" s="81"/>
      <c r="T30" s="143">
        <f t="shared" si="0"/>
        <v>0</v>
      </c>
      <c r="V30" s="32"/>
    </row>
    <row r="31" spans="1:22" ht="12.75" hidden="1">
      <c r="A31" s="59"/>
      <c r="B31" s="42"/>
      <c r="C31" s="1" t="s">
        <v>264</v>
      </c>
      <c r="D31" s="83"/>
      <c r="E31" s="83"/>
      <c r="F31" s="83"/>
      <c r="G31" s="83"/>
      <c r="H31" s="79"/>
      <c r="I31" s="196"/>
      <c r="J31" s="196"/>
      <c r="K31" s="98"/>
      <c r="L31" s="81"/>
      <c r="M31" s="81"/>
      <c r="N31" s="81"/>
      <c r="O31" s="81"/>
      <c r="P31" s="81"/>
      <c r="Q31" s="81"/>
      <c r="R31" s="81"/>
      <c r="S31" s="81"/>
      <c r="T31" s="143">
        <f t="shared" si="0"/>
        <v>0</v>
      </c>
      <c r="V31" s="32"/>
    </row>
    <row r="32" spans="1:22" ht="13.5" hidden="1" thickBot="1">
      <c r="A32" s="60"/>
      <c r="B32" s="43"/>
      <c r="C32" s="38" t="s">
        <v>263</v>
      </c>
      <c r="D32" s="99"/>
      <c r="E32" s="99"/>
      <c r="F32" s="99"/>
      <c r="G32" s="99"/>
      <c r="H32" s="74"/>
      <c r="I32" s="193"/>
      <c r="J32" s="193"/>
      <c r="K32" s="82"/>
      <c r="L32" s="83"/>
      <c r="M32" s="83"/>
      <c r="N32" s="83"/>
      <c r="O32" s="83"/>
      <c r="P32" s="83"/>
      <c r="Q32" s="83"/>
      <c r="R32" s="83"/>
      <c r="S32" s="83"/>
      <c r="T32" s="145">
        <f t="shared" si="0"/>
        <v>0</v>
      </c>
      <c r="V32" s="32"/>
    </row>
    <row r="33" spans="1:22" ht="15.75" hidden="1" thickBot="1">
      <c r="A33" s="66" t="s">
        <v>124</v>
      </c>
      <c r="B33" s="819" t="s">
        <v>125</v>
      </c>
      <c r="C33" s="819"/>
      <c r="D33" s="300"/>
      <c r="E33" s="300"/>
      <c r="F33" s="300"/>
      <c r="G33" s="300"/>
      <c r="H33" s="197">
        <v>182399</v>
      </c>
      <c r="I33" s="197"/>
      <c r="J33" s="197"/>
      <c r="K33" s="87"/>
      <c r="L33" s="87"/>
      <c r="M33" s="87"/>
      <c r="N33" s="87"/>
      <c r="O33" s="87"/>
      <c r="P33" s="87"/>
      <c r="Q33" s="87"/>
      <c r="R33" s="87"/>
      <c r="S33" s="87"/>
      <c r="T33" s="122">
        <f t="shared" si="0"/>
        <v>0</v>
      </c>
      <c r="V33" s="32"/>
    </row>
    <row r="34" spans="1:22" ht="13.5" hidden="1" thickBot="1">
      <c r="A34" s="59"/>
      <c r="B34" s="42"/>
      <c r="C34" s="79"/>
      <c r="D34" s="83"/>
      <c r="E34" s="83"/>
      <c r="F34" s="83"/>
      <c r="G34" s="83"/>
      <c r="H34" s="79"/>
      <c r="I34" s="196"/>
      <c r="J34" s="196"/>
      <c r="K34" s="83"/>
      <c r="L34" s="83"/>
      <c r="M34" s="83"/>
      <c r="N34" s="83"/>
      <c r="O34" s="83"/>
      <c r="P34" s="83"/>
      <c r="Q34" s="83"/>
      <c r="R34" s="83"/>
      <c r="S34" s="83"/>
      <c r="T34" s="145">
        <f t="shared" si="0"/>
        <v>0</v>
      </c>
      <c r="V34" s="32"/>
    </row>
    <row r="35" spans="1:22" ht="15.75" hidden="1" thickBot="1">
      <c r="A35" s="46" t="s">
        <v>141</v>
      </c>
      <c r="B35" s="821" t="s">
        <v>142</v>
      </c>
      <c r="C35" s="822"/>
      <c r="D35" s="272">
        <v>0</v>
      </c>
      <c r="E35" s="272">
        <v>0</v>
      </c>
      <c r="F35" s="272">
        <v>6639</v>
      </c>
      <c r="G35" s="272">
        <v>113606</v>
      </c>
      <c r="H35" s="272">
        <v>254005</v>
      </c>
      <c r="I35" s="187">
        <v>2699311</v>
      </c>
      <c r="J35" s="187">
        <v>3603230</v>
      </c>
      <c r="K35" s="31">
        <f>SUM(K41:K41)</f>
        <v>1781346</v>
      </c>
      <c r="L35" s="31">
        <f>SUM(L36:L41)</f>
        <v>11891</v>
      </c>
      <c r="M35" s="31">
        <f>SUM(M36:M41)</f>
        <v>0</v>
      </c>
      <c r="N35" s="31">
        <f aca="true" t="shared" si="5" ref="N35:S35">SUM(N36:N41)</f>
        <v>0</v>
      </c>
      <c r="O35" s="31">
        <f t="shared" si="5"/>
        <v>0</v>
      </c>
      <c r="P35" s="31"/>
      <c r="Q35" s="31">
        <f t="shared" si="5"/>
        <v>0</v>
      </c>
      <c r="R35" s="31">
        <f t="shared" si="5"/>
        <v>0</v>
      </c>
      <c r="S35" s="31">
        <f t="shared" si="5"/>
        <v>0</v>
      </c>
      <c r="T35" s="122">
        <f t="shared" si="0"/>
        <v>0</v>
      </c>
      <c r="V35" s="32"/>
    </row>
    <row r="36" spans="1:22" ht="15" hidden="1">
      <c r="A36" s="718"/>
      <c r="B36" s="770"/>
      <c r="C36" s="258" t="s">
        <v>350</v>
      </c>
      <c r="D36" s="301"/>
      <c r="E36" s="301"/>
      <c r="F36" s="301"/>
      <c r="G36" s="301"/>
      <c r="H36" s="258"/>
      <c r="I36" s="249"/>
      <c r="J36" s="249"/>
      <c r="K36" s="250"/>
      <c r="L36" s="17">
        <v>11891</v>
      </c>
      <c r="M36" s="250"/>
      <c r="N36" s="250"/>
      <c r="O36" s="250"/>
      <c r="P36" s="250"/>
      <c r="Q36" s="250"/>
      <c r="R36" s="250"/>
      <c r="S36" s="250"/>
      <c r="T36" s="251">
        <f t="shared" si="0"/>
        <v>0</v>
      </c>
      <c r="V36" s="32"/>
    </row>
    <row r="37" spans="1:22" ht="15" hidden="1">
      <c r="A37" s="719"/>
      <c r="B37" s="771"/>
      <c r="C37" s="259" t="s">
        <v>204</v>
      </c>
      <c r="D37" s="302"/>
      <c r="E37" s="302"/>
      <c r="F37" s="302"/>
      <c r="G37" s="302"/>
      <c r="H37" s="259"/>
      <c r="I37" s="255"/>
      <c r="J37" s="255"/>
      <c r="K37" s="256"/>
      <c r="L37" s="55"/>
      <c r="M37" s="345"/>
      <c r="N37" s="345"/>
      <c r="O37" s="345"/>
      <c r="P37" s="345"/>
      <c r="Q37" s="345"/>
      <c r="R37" s="345"/>
      <c r="S37" s="345"/>
      <c r="T37" s="362">
        <f t="shared" si="0"/>
        <v>0</v>
      </c>
      <c r="V37" s="32"/>
    </row>
    <row r="38" spans="1:22" ht="15" hidden="1">
      <c r="A38" s="719"/>
      <c r="B38" s="771"/>
      <c r="C38" s="259" t="s">
        <v>351</v>
      </c>
      <c r="D38" s="302"/>
      <c r="E38" s="302"/>
      <c r="F38" s="302"/>
      <c r="G38" s="302"/>
      <c r="H38" s="259"/>
      <c r="I38" s="255"/>
      <c r="J38" s="255"/>
      <c r="K38" s="256"/>
      <c r="L38" s="55"/>
      <c r="M38" s="256"/>
      <c r="N38" s="256"/>
      <c r="O38" s="256"/>
      <c r="P38" s="256"/>
      <c r="Q38" s="256"/>
      <c r="R38" s="256"/>
      <c r="S38" s="256"/>
      <c r="T38" s="257">
        <f t="shared" si="0"/>
        <v>0</v>
      </c>
      <c r="V38" s="32"/>
    </row>
    <row r="39" spans="1:22" ht="15" hidden="1">
      <c r="A39" s="719"/>
      <c r="B39" s="771"/>
      <c r="C39" s="260" t="s">
        <v>352</v>
      </c>
      <c r="D39" s="303"/>
      <c r="E39" s="303"/>
      <c r="F39" s="303"/>
      <c r="G39" s="303"/>
      <c r="H39" s="260"/>
      <c r="I39" s="252"/>
      <c r="J39" s="252"/>
      <c r="K39" s="253"/>
      <c r="L39" s="19"/>
      <c r="M39" s="253"/>
      <c r="N39" s="253"/>
      <c r="O39" s="253"/>
      <c r="P39" s="253"/>
      <c r="Q39" s="253"/>
      <c r="R39" s="253"/>
      <c r="S39" s="253"/>
      <c r="T39" s="254">
        <f t="shared" si="0"/>
        <v>0</v>
      </c>
      <c r="V39" s="32"/>
    </row>
    <row r="40" spans="1:22" ht="15" hidden="1">
      <c r="A40" s="719"/>
      <c r="B40" s="771"/>
      <c r="C40" s="260" t="s">
        <v>353</v>
      </c>
      <c r="D40" s="303"/>
      <c r="E40" s="303"/>
      <c r="F40" s="303"/>
      <c r="G40" s="303"/>
      <c r="H40" s="260"/>
      <c r="I40" s="252"/>
      <c r="J40" s="252"/>
      <c r="K40" s="253"/>
      <c r="L40" s="19"/>
      <c r="M40" s="253"/>
      <c r="N40" s="253"/>
      <c r="O40" s="253"/>
      <c r="P40" s="253"/>
      <c r="Q40" s="253"/>
      <c r="R40" s="253"/>
      <c r="S40" s="253"/>
      <c r="T40" s="254">
        <f t="shared" si="0"/>
        <v>0</v>
      </c>
      <c r="V40" s="32"/>
    </row>
    <row r="41" spans="1:22" ht="13.5" hidden="1" thickBot="1">
      <c r="A41" s="720"/>
      <c r="B41" s="772"/>
      <c r="C41" s="39" t="s">
        <v>225</v>
      </c>
      <c r="D41" s="82"/>
      <c r="E41" s="82"/>
      <c r="F41" s="82"/>
      <c r="G41" s="82"/>
      <c r="H41" s="36"/>
      <c r="I41" s="198"/>
      <c r="J41" s="198"/>
      <c r="K41" s="82">
        <v>1781346</v>
      </c>
      <c r="L41" s="182"/>
      <c r="M41" s="144"/>
      <c r="N41" s="144"/>
      <c r="O41" s="144"/>
      <c r="P41" s="144"/>
      <c r="Q41" s="144"/>
      <c r="R41" s="144"/>
      <c r="S41" s="144"/>
      <c r="T41" s="146">
        <f t="shared" si="0"/>
        <v>0</v>
      </c>
      <c r="V41" s="32"/>
    </row>
    <row r="42" spans="1:22" ht="15.75" hidden="1" thickBot="1">
      <c r="A42" s="66" t="s">
        <v>126</v>
      </c>
      <c r="B42" s="810" t="s">
        <v>127</v>
      </c>
      <c r="C42" s="810"/>
      <c r="D42" s="299">
        <v>38040</v>
      </c>
      <c r="E42" s="299">
        <v>144792</v>
      </c>
      <c r="F42" s="299">
        <v>36414</v>
      </c>
      <c r="G42" s="299">
        <v>3228</v>
      </c>
      <c r="H42" s="299">
        <v>15058</v>
      </c>
      <c r="I42" s="199"/>
      <c r="J42" s="199"/>
      <c r="K42" s="94">
        <f>SUM(K43:K44)</f>
        <v>5000</v>
      </c>
      <c r="L42" s="94">
        <f>SUM(L43:L44)</f>
        <v>35484</v>
      </c>
      <c r="M42" s="94">
        <f>SUM(M43:M44)</f>
        <v>0</v>
      </c>
      <c r="N42" s="94">
        <f aca="true" t="shared" si="6" ref="N42:S42">SUM(N43:N44)</f>
        <v>0</v>
      </c>
      <c r="O42" s="94">
        <f t="shared" si="6"/>
        <v>0</v>
      </c>
      <c r="P42" s="94"/>
      <c r="Q42" s="94">
        <f t="shared" si="6"/>
        <v>0</v>
      </c>
      <c r="R42" s="94">
        <f t="shared" si="6"/>
        <v>0</v>
      </c>
      <c r="S42" s="94">
        <f t="shared" si="6"/>
        <v>0</v>
      </c>
      <c r="T42" s="130">
        <f t="shared" si="0"/>
        <v>0</v>
      </c>
      <c r="V42" s="32"/>
    </row>
    <row r="43" spans="1:22" ht="14.25" hidden="1">
      <c r="A43" s="718"/>
      <c r="B43" s="776"/>
      <c r="C43" s="10" t="s">
        <v>303</v>
      </c>
      <c r="D43" s="88"/>
      <c r="E43" s="88"/>
      <c r="F43" s="88"/>
      <c r="G43" s="88"/>
      <c r="H43" s="290"/>
      <c r="I43" s="200"/>
      <c r="J43" s="200"/>
      <c r="K43" s="100">
        <v>5000</v>
      </c>
      <c r="L43" s="88">
        <v>20504</v>
      </c>
      <c r="M43" s="100"/>
      <c r="N43" s="100"/>
      <c r="O43" s="100"/>
      <c r="P43" s="100"/>
      <c r="Q43" s="100"/>
      <c r="R43" s="100"/>
      <c r="S43" s="100"/>
      <c r="T43" s="148">
        <f t="shared" si="0"/>
        <v>0</v>
      </c>
      <c r="V43" s="32"/>
    </row>
    <row r="44" spans="1:22" ht="13.5" hidden="1" thickBot="1">
      <c r="A44" s="720"/>
      <c r="B44" s="777"/>
      <c r="C44" s="12" t="s">
        <v>354</v>
      </c>
      <c r="D44" s="106"/>
      <c r="E44" s="106"/>
      <c r="F44" s="106"/>
      <c r="G44" s="106"/>
      <c r="H44" s="291"/>
      <c r="I44" s="201"/>
      <c r="J44" s="201"/>
      <c r="K44" s="83"/>
      <c r="L44" s="83">
        <v>14980</v>
      </c>
      <c r="M44" s="83"/>
      <c r="N44" s="83"/>
      <c r="O44" s="83"/>
      <c r="P44" s="83"/>
      <c r="Q44" s="83"/>
      <c r="R44" s="83"/>
      <c r="S44" s="83"/>
      <c r="T44" s="145">
        <f t="shared" si="0"/>
        <v>0</v>
      </c>
      <c r="V44" s="32"/>
    </row>
    <row r="45" spans="1:22" ht="15.75" thickBot="1">
      <c r="A45" s="61" t="s">
        <v>128</v>
      </c>
      <c r="B45" s="819" t="s">
        <v>129</v>
      </c>
      <c r="C45" s="819"/>
      <c r="D45" s="279">
        <v>326960</v>
      </c>
      <c r="E45" s="279">
        <v>144858</v>
      </c>
      <c r="F45" s="279">
        <v>123880</v>
      </c>
      <c r="G45" s="279">
        <v>20761</v>
      </c>
      <c r="H45" s="279">
        <v>158221</v>
      </c>
      <c r="I45" s="191">
        <v>92051</v>
      </c>
      <c r="J45" s="191">
        <v>68225</v>
      </c>
      <c r="K45" s="31">
        <f>SUM(K46:K64)</f>
        <v>16198</v>
      </c>
      <c r="L45" s="31">
        <f>SUM(L46:L64)</f>
        <v>1322250</v>
      </c>
      <c r="M45" s="31">
        <f>SUM(M46:M64)</f>
        <v>114500</v>
      </c>
      <c r="N45" s="31">
        <f aca="true" t="shared" si="7" ref="N45:S45">SUM(N46:N64)</f>
        <v>63598</v>
      </c>
      <c r="O45" s="31">
        <f t="shared" si="7"/>
        <v>0</v>
      </c>
      <c r="P45" s="31">
        <f t="shared" si="7"/>
        <v>29999</v>
      </c>
      <c r="Q45" s="31">
        <f t="shared" si="7"/>
        <v>0</v>
      </c>
      <c r="R45" s="31">
        <f t="shared" si="7"/>
        <v>0</v>
      </c>
      <c r="S45" s="31">
        <f t="shared" si="7"/>
        <v>20903</v>
      </c>
      <c r="T45" s="122">
        <f t="shared" si="0"/>
        <v>114500</v>
      </c>
      <c r="V45" s="32"/>
    </row>
    <row r="46" spans="1:22" ht="12.75" hidden="1">
      <c r="A46" s="811"/>
      <c r="B46" s="41"/>
      <c r="C46" s="111" t="s">
        <v>258</v>
      </c>
      <c r="D46" s="304"/>
      <c r="E46" s="304"/>
      <c r="F46" s="304"/>
      <c r="G46" s="304"/>
      <c r="H46" s="292"/>
      <c r="I46" s="202"/>
      <c r="J46" s="202"/>
      <c r="K46" s="97"/>
      <c r="L46" s="97"/>
      <c r="M46" s="97"/>
      <c r="N46" s="97"/>
      <c r="O46" s="97"/>
      <c r="P46" s="97"/>
      <c r="Q46" s="97"/>
      <c r="R46" s="97"/>
      <c r="S46" s="97"/>
      <c r="T46" s="149">
        <f t="shared" si="0"/>
        <v>0</v>
      </c>
      <c r="V46" s="32"/>
    </row>
    <row r="47" spans="1:22" ht="12.75" hidden="1">
      <c r="A47" s="820"/>
      <c r="B47" s="42"/>
      <c r="C47" s="112" t="s">
        <v>259</v>
      </c>
      <c r="D47" s="305"/>
      <c r="E47" s="305"/>
      <c r="F47" s="305"/>
      <c r="G47" s="305"/>
      <c r="H47" s="293"/>
      <c r="I47" s="203"/>
      <c r="J47" s="203"/>
      <c r="K47" s="98"/>
      <c r="L47" s="81"/>
      <c r="M47" s="81"/>
      <c r="N47" s="81"/>
      <c r="O47" s="81"/>
      <c r="P47" s="81"/>
      <c r="Q47" s="81"/>
      <c r="R47" s="81"/>
      <c r="S47" s="81"/>
      <c r="T47" s="143">
        <f t="shared" si="0"/>
        <v>0</v>
      </c>
      <c r="V47" s="32"/>
    </row>
    <row r="48" spans="1:22" ht="12.75" hidden="1">
      <c r="A48" s="820"/>
      <c r="B48" s="42"/>
      <c r="C48" s="112" t="s">
        <v>246</v>
      </c>
      <c r="D48" s="305"/>
      <c r="E48" s="305"/>
      <c r="F48" s="305"/>
      <c r="G48" s="305"/>
      <c r="H48" s="293"/>
      <c r="I48" s="203"/>
      <c r="J48" s="203"/>
      <c r="K48" s="98"/>
      <c r="L48" s="81"/>
      <c r="M48" s="81"/>
      <c r="N48" s="81"/>
      <c r="O48" s="81"/>
      <c r="P48" s="81"/>
      <c r="Q48" s="81"/>
      <c r="R48" s="81"/>
      <c r="S48" s="81"/>
      <c r="T48" s="143">
        <f t="shared" si="0"/>
        <v>0</v>
      </c>
      <c r="V48" s="32"/>
    </row>
    <row r="49" spans="1:22" ht="12.75" hidden="1">
      <c r="A49" s="820"/>
      <c r="B49" s="42"/>
      <c r="C49" s="112" t="s">
        <v>198</v>
      </c>
      <c r="D49" s="305"/>
      <c r="E49" s="305"/>
      <c r="F49" s="305"/>
      <c r="G49" s="305"/>
      <c r="H49" s="293"/>
      <c r="I49" s="203"/>
      <c r="J49" s="203"/>
      <c r="K49" s="98"/>
      <c r="L49" s="81"/>
      <c r="M49" s="81"/>
      <c r="N49" s="81"/>
      <c r="O49" s="81"/>
      <c r="P49" s="81"/>
      <c r="Q49" s="81"/>
      <c r="R49" s="81"/>
      <c r="S49" s="81"/>
      <c r="T49" s="143">
        <f t="shared" si="0"/>
        <v>0</v>
      </c>
      <c r="V49" s="32"/>
    </row>
    <row r="50" spans="1:22" ht="12.75" hidden="1">
      <c r="A50" s="820"/>
      <c r="B50" s="42"/>
      <c r="C50" s="112" t="s">
        <v>230</v>
      </c>
      <c r="D50" s="305"/>
      <c r="E50" s="305"/>
      <c r="F50" s="305"/>
      <c r="G50" s="305"/>
      <c r="H50" s="293"/>
      <c r="I50" s="203"/>
      <c r="J50" s="203"/>
      <c r="K50" s="98"/>
      <c r="L50" s="81"/>
      <c r="M50" s="81"/>
      <c r="N50" s="81"/>
      <c r="O50" s="81"/>
      <c r="P50" s="81"/>
      <c r="Q50" s="81"/>
      <c r="R50" s="81"/>
      <c r="S50" s="81"/>
      <c r="T50" s="143">
        <f t="shared" si="0"/>
        <v>0</v>
      </c>
      <c r="V50" s="32"/>
    </row>
    <row r="51" spans="1:22" ht="12.75" hidden="1">
      <c r="A51" s="820"/>
      <c r="B51" s="42"/>
      <c r="C51" s="120" t="s">
        <v>253</v>
      </c>
      <c r="D51" s="306"/>
      <c r="E51" s="306"/>
      <c r="F51" s="306"/>
      <c r="G51" s="306"/>
      <c r="H51" s="294"/>
      <c r="I51" s="204"/>
      <c r="J51" s="204"/>
      <c r="K51" s="99"/>
      <c r="L51" s="83"/>
      <c r="M51" s="83"/>
      <c r="N51" s="83"/>
      <c r="O51" s="83"/>
      <c r="P51" s="83"/>
      <c r="Q51" s="83"/>
      <c r="R51" s="83"/>
      <c r="S51" s="83"/>
      <c r="T51" s="145">
        <f t="shared" si="0"/>
        <v>0</v>
      </c>
      <c r="V51" s="32"/>
    </row>
    <row r="52" spans="1:22" ht="12.75" hidden="1">
      <c r="A52" s="820"/>
      <c r="B52" s="42"/>
      <c r="C52" s="113" t="s">
        <v>254</v>
      </c>
      <c r="D52" s="307"/>
      <c r="E52" s="307"/>
      <c r="F52" s="307"/>
      <c r="G52" s="307"/>
      <c r="H52" s="295"/>
      <c r="I52" s="205"/>
      <c r="J52" s="205"/>
      <c r="K52" s="99"/>
      <c r="L52" s="83"/>
      <c r="M52" s="83"/>
      <c r="N52" s="83"/>
      <c r="O52" s="83"/>
      <c r="P52" s="83"/>
      <c r="Q52" s="83"/>
      <c r="R52" s="83"/>
      <c r="S52" s="83"/>
      <c r="T52" s="145">
        <f t="shared" si="0"/>
        <v>0</v>
      </c>
      <c r="V52" s="32"/>
    </row>
    <row r="53" spans="1:22" ht="12.75" hidden="1">
      <c r="A53" s="820"/>
      <c r="B53" s="42"/>
      <c r="C53" s="112" t="s">
        <v>255</v>
      </c>
      <c r="D53" s="307"/>
      <c r="E53" s="307"/>
      <c r="F53" s="307"/>
      <c r="G53" s="307"/>
      <c r="H53" s="295"/>
      <c r="I53" s="205"/>
      <c r="J53" s="205"/>
      <c r="K53" s="99"/>
      <c r="L53" s="83"/>
      <c r="M53" s="83"/>
      <c r="N53" s="83"/>
      <c r="O53" s="83"/>
      <c r="P53" s="83"/>
      <c r="Q53" s="83"/>
      <c r="R53" s="83"/>
      <c r="S53" s="83"/>
      <c r="T53" s="145">
        <f t="shared" si="0"/>
        <v>0</v>
      </c>
      <c r="V53" s="32"/>
    </row>
    <row r="54" spans="1:22" ht="12.75" hidden="1">
      <c r="A54" s="820"/>
      <c r="B54" s="42"/>
      <c r="C54" s="38" t="s">
        <v>274</v>
      </c>
      <c r="D54" s="98"/>
      <c r="E54" s="98"/>
      <c r="F54" s="98"/>
      <c r="G54" s="98"/>
      <c r="H54" s="34"/>
      <c r="I54" s="192"/>
      <c r="J54" s="192"/>
      <c r="K54" s="98"/>
      <c r="L54" s="98"/>
      <c r="M54" s="98"/>
      <c r="N54" s="98"/>
      <c r="O54" s="98"/>
      <c r="P54" s="98"/>
      <c r="Q54" s="98"/>
      <c r="R54" s="98"/>
      <c r="S54" s="98"/>
      <c r="T54" s="137">
        <f t="shared" si="0"/>
        <v>0</v>
      </c>
      <c r="V54" s="32"/>
    </row>
    <row r="55" spans="1:22" ht="12.75" hidden="1">
      <c r="A55" s="820"/>
      <c r="B55" s="42"/>
      <c r="C55" s="38" t="s">
        <v>289</v>
      </c>
      <c r="D55" s="98"/>
      <c r="E55" s="98"/>
      <c r="F55" s="98"/>
      <c r="G55" s="98"/>
      <c r="H55" s="34"/>
      <c r="I55" s="192"/>
      <c r="J55" s="192"/>
      <c r="K55" s="98">
        <v>7632</v>
      </c>
      <c r="L55" s="98"/>
      <c r="M55" s="98"/>
      <c r="N55" s="98"/>
      <c r="O55" s="98"/>
      <c r="P55" s="98"/>
      <c r="Q55" s="98"/>
      <c r="R55" s="98"/>
      <c r="S55" s="98"/>
      <c r="T55" s="137">
        <f t="shared" si="0"/>
        <v>0</v>
      </c>
      <c r="V55" s="32"/>
    </row>
    <row r="56" spans="1:22" ht="12.75" hidden="1">
      <c r="A56" s="820"/>
      <c r="B56" s="42"/>
      <c r="C56" s="38"/>
      <c r="D56" s="98"/>
      <c r="E56" s="98"/>
      <c r="F56" s="98"/>
      <c r="G56" s="98"/>
      <c r="H56" s="34"/>
      <c r="I56" s="192"/>
      <c r="J56" s="192"/>
      <c r="K56" s="98"/>
      <c r="L56" s="98"/>
      <c r="M56" s="98"/>
      <c r="N56" s="98"/>
      <c r="O56" s="98"/>
      <c r="P56" s="98"/>
      <c r="Q56" s="98"/>
      <c r="R56" s="98"/>
      <c r="S56" s="98"/>
      <c r="T56" s="137">
        <f t="shared" si="0"/>
        <v>0</v>
      </c>
      <c r="V56" s="32"/>
    </row>
    <row r="57" spans="1:22" ht="12.75" hidden="1">
      <c r="A57" s="820"/>
      <c r="B57" s="42"/>
      <c r="C57" s="38" t="s">
        <v>294</v>
      </c>
      <c r="D57" s="98"/>
      <c r="E57" s="98"/>
      <c r="F57" s="98"/>
      <c r="G57" s="98"/>
      <c r="H57" s="34"/>
      <c r="I57" s="192"/>
      <c r="J57" s="192"/>
      <c r="K57" s="98">
        <v>0</v>
      </c>
      <c r="L57" s="98"/>
      <c r="M57" s="98"/>
      <c r="N57" s="98"/>
      <c r="O57" s="98"/>
      <c r="P57" s="98"/>
      <c r="Q57" s="98"/>
      <c r="R57" s="98"/>
      <c r="S57" s="98"/>
      <c r="T57" s="137">
        <f t="shared" si="0"/>
        <v>0</v>
      </c>
      <c r="V57" s="32"/>
    </row>
    <row r="58" spans="1:22" ht="12.75">
      <c r="A58" s="820"/>
      <c r="B58" s="38" t="s">
        <v>337</v>
      </c>
      <c r="C58" s="38" t="s">
        <v>337</v>
      </c>
      <c r="D58" s="98"/>
      <c r="E58" s="98"/>
      <c r="F58" s="98"/>
      <c r="G58" s="98"/>
      <c r="H58" s="34"/>
      <c r="I58" s="192"/>
      <c r="J58" s="192"/>
      <c r="K58" s="98">
        <v>0</v>
      </c>
      <c r="L58" s="98">
        <v>1316250</v>
      </c>
      <c r="M58" s="98">
        <v>50000</v>
      </c>
      <c r="N58" s="98">
        <f>11069+6279+2653</f>
        <v>20001</v>
      </c>
      <c r="O58" s="98"/>
      <c r="P58" s="98">
        <f>37919-7920</f>
        <v>29999</v>
      </c>
      <c r="Q58" s="98"/>
      <c r="R58" s="98"/>
      <c r="S58" s="98"/>
      <c r="T58" s="137">
        <f t="shared" si="0"/>
        <v>50000</v>
      </c>
      <c r="V58" s="32"/>
    </row>
    <row r="59" spans="1:22" ht="12.75">
      <c r="A59" s="820"/>
      <c r="B59" s="38" t="s">
        <v>380</v>
      </c>
      <c r="C59" s="38" t="s">
        <v>380</v>
      </c>
      <c r="D59" s="98"/>
      <c r="E59" s="98"/>
      <c r="F59" s="98"/>
      <c r="G59" s="98"/>
      <c r="H59" s="34"/>
      <c r="I59" s="192"/>
      <c r="J59" s="192"/>
      <c r="K59" s="98"/>
      <c r="L59" s="98"/>
      <c r="M59" s="98">
        <v>40000</v>
      </c>
      <c r="N59" s="98">
        <v>40000</v>
      </c>
      <c r="O59" s="98"/>
      <c r="P59" s="98"/>
      <c r="Q59" s="98"/>
      <c r="R59" s="98"/>
      <c r="S59" s="98"/>
      <c r="T59" s="137">
        <f t="shared" si="0"/>
        <v>40000</v>
      </c>
      <c r="V59" s="32"/>
    </row>
    <row r="60" spans="1:22" ht="12.75" hidden="1">
      <c r="A60" s="820"/>
      <c r="B60" s="38" t="s">
        <v>290</v>
      </c>
      <c r="C60" s="38" t="s">
        <v>290</v>
      </c>
      <c r="D60" s="98"/>
      <c r="E60" s="98"/>
      <c r="F60" s="98"/>
      <c r="G60" s="98"/>
      <c r="H60" s="34"/>
      <c r="I60" s="192"/>
      <c r="J60" s="192"/>
      <c r="K60" s="98"/>
      <c r="L60" s="98"/>
      <c r="M60" s="98"/>
      <c r="N60" s="98"/>
      <c r="O60" s="98"/>
      <c r="P60" s="98"/>
      <c r="Q60" s="98"/>
      <c r="R60" s="98"/>
      <c r="S60" s="98"/>
      <c r="T60" s="137">
        <f t="shared" si="0"/>
        <v>0</v>
      </c>
      <c r="V60" s="32"/>
    </row>
    <row r="61" spans="1:22" ht="12.75" hidden="1">
      <c r="A61" s="820"/>
      <c r="B61" s="38" t="s">
        <v>382</v>
      </c>
      <c r="C61" s="38" t="s">
        <v>382</v>
      </c>
      <c r="D61" s="98"/>
      <c r="E61" s="98"/>
      <c r="F61" s="98"/>
      <c r="G61" s="98"/>
      <c r="H61" s="34"/>
      <c r="I61" s="192"/>
      <c r="J61" s="192"/>
      <c r="K61" s="98"/>
      <c r="L61" s="98"/>
      <c r="M61" s="98"/>
      <c r="N61" s="98"/>
      <c r="O61" s="98"/>
      <c r="P61" s="98"/>
      <c r="Q61" s="98"/>
      <c r="R61" s="98"/>
      <c r="S61" s="98"/>
      <c r="T61" s="137">
        <f t="shared" si="0"/>
        <v>0</v>
      </c>
      <c r="V61" s="32"/>
    </row>
    <row r="62" spans="1:22" ht="12.75" hidden="1">
      <c r="A62" s="820"/>
      <c r="B62" s="38" t="s">
        <v>291</v>
      </c>
      <c r="C62" s="38" t="s">
        <v>291</v>
      </c>
      <c r="D62" s="98"/>
      <c r="E62" s="98"/>
      <c r="F62" s="98"/>
      <c r="G62" s="98"/>
      <c r="H62" s="34"/>
      <c r="I62" s="192"/>
      <c r="J62" s="192"/>
      <c r="K62" s="98">
        <v>8090</v>
      </c>
      <c r="L62" s="98">
        <v>3000</v>
      </c>
      <c r="M62" s="98"/>
      <c r="N62" s="98"/>
      <c r="O62" s="98"/>
      <c r="P62" s="98"/>
      <c r="Q62" s="98"/>
      <c r="R62" s="98"/>
      <c r="S62" s="98"/>
      <c r="T62" s="137">
        <f t="shared" si="0"/>
        <v>0</v>
      </c>
      <c r="V62" s="32"/>
    </row>
    <row r="63" spans="1:22" ht="13.5" hidden="1" thickBot="1">
      <c r="A63" s="820"/>
      <c r="B63" s="39" t="s">
        <v>379</v>
      </c>
      <c r="C63" s="39" t="s">
        <v>379</v>
      </c>
      <c r="D63" s="98"/>
      <c r="E63" s="98"/>
      <c r="F63" s="98"/>
      <c r="G63" s="98"/>
      <c r="H63" s="34"/>
      <c r="I63" s="192"/>
      <c r="J63" s="192"/>
      <c r="K63" s="98"/>
      <c r="L63" s="98"/>
      <c r="M63" s="98"/>
      <c r="N63" s="98"/>
      <c r="O63" s="98"/>
      <c r="P63" s="98"/>
      <c r="Q63" s="98"/>
      <c r="R63" s="98"/>
      <c r="S63" s="98"/>
      <c r="T63" s="137">
        <f t="shared" si="0"/>
        <v>0</v>
      </c>
      <c r="V63" s="32"/>
    </row>
    <row r="64" spans="1:22" ht="13.5" thickBot="1">
      <c r="A64" s="812"/>
      <c r="B64" s="39" t="s">
        <v>198</v>
      </c>
      <c r="C64" s="39" t="s">
        <v>198</v>
      </c>
      <c r="D64" s="82"/>
      <c r="E64" s="82"/>
      <c r="F64" s="82"/>
      <c r="G64" s="82"/>
      <c r="H64" s="36"/>
      <c r="I64" s="198"/>
      <c r="J64" s="198"/>
      <c r="K64" s="82">
        <v>476</v>
      </c>
      <c r="L64" s="82">
        <v>3000</v>
      </c>
      <c r="M64" s="82">
        <v>24500</v>
      </c>
      <c r="N64" s="82">
        <v>3597</v>
      </c>
      <c r="O64" s="82"/>
      <c r="P64" s="82"/>
      <c r="Q64" s="82"/>
      <c r="R64" s="82"/>
      <c r="S64" s="82">
        <f>24500-3597</f>
        <v>20903</v>
      </c>
      <c r="T64" s="147">
        <f t="shared" si="0"/>
        <v>24500</v>
      </c>
      <c r="V64" s="32"/>
    </row>
    <row r="65" spans="1:22" ht="15.75" hidden="1" thickBot="1">
      <c r="A65" s="57" t="s">
        <v>134</v>
      </c>
      <c r="B65" s="825" t="s">
        <v>135</v>
      </c>
      <c r="C65" s="826"/>
      <c r="D65" s="308"/>
      <c r="E65" s="308"/>
      <c r="F65" s="308"/>
      <c r="G65" s="308"/>
      <c r="H65" s="263"/>
      <c r="I65" s="206"/>
      <c r="J65" s="206"/>
      <c r="K65" s="94"/>
      <c r="L65" s="94"/>
      <c r="M65" s="94"/>
      <c r="N65" s="94"/>
      <c r="O65" s="94"/>
      <c r="P65" s="94"/>
      <c r="Q65" s="94"/>
      <c r="R65" s="94"/>
      <c r="S65" s="94"/>
      <c r="T65" s="130">
        <f t="shared" si="0"/>
        <v>0</v>
      </c>
      <c r="V65" s="32"/>
    </row>
    <row r="66" spans="1:22" ht="12.75" hidden="1">
      <c r="A66" s="811"/>
      <c r="B66" s="41"/>
      <c r="C66" s="37" t="s">
        <v>190</v>
      </c>
      <c r="D66" s="97"/>
      <c r="E66" s="97"/>
      <c r="F66" s="97"/>
      <c r="G66" s="97"/>
      <c r="H66" s="33"/>
      <c r="I66" s="194"/>
      <c r="J66" s="194"/>
      <c r="K66" s="97"/>
      <c r="L66" s="97"/>
      <c r="M66" s="97"/>
      <c r="N66" s="97"/>
      <c r="O66" s="97"/>
      <c r="P66" s="97"/>
      <c r="Q66" s="97"/>
      <c r="R66" s="97"/>
      <c r="S66" s="97"/>
      <c r="T66" s="149">
        <f t="shared" si="0"/>
        <v>0</v>
      </c>
      <c r="V66" s="32"/>
    </row>
    <row r="67" spans="1:22" ht="12.75" hidden="1">
      <c r="A67" s="820"/>
      <c r="B67" s="42"/>
      <c r="C67" s="38"/>
      <c r="D67" s="98"/>
      <c r="E67" s="98"/>
      <c r="F67" s="98"/>
      <c r="G67" s="98"/>
      <c r="H67" s="34"/>
      <c r="I67" s="192"/>
      <c r="J67" s="192"/>
      <c r="K67" s="98"/>
      <c r="L67" s="98"/>
      <c r="M67" s="98"/>
      <c r="N67" s="98"/>
      <c r="O67" s="98"/>
      <c r="P67" s="98"/>
      <c r="Q67" s="98"/>
      <c r="R67" s="98"/>
      <c r="S67" s="98"/>
      <c r="T67" s="137">
        <f t="shared" si="0"/>
        <v>0</v>
      </c>
      <c r="V67" s="32"/>
    </row>
    <row r="68" spans="1:22" ht="13.5" hidden="1" thickBot="1">
      <c r="A68" s="812"/>
      <c r="B68" s="43"/>
      <c r="C68" s="39"/>
      <c r="D68" s="82"/>
      <c r="E68" s="82"/>
      <c r="F68" s="82"/>
      <c r="G68" s="82"/>
      <c r="H68" s="36"/>
      <c r="I68" s="198"/>
      <c r="J68" s="198"/>
      <c r="K68" s="82"/>
      <c r="L68" s="82"/>
      <c r="M68" s="82"/>
      <c r="N68" s="82"/>
      <c r="O68" s="82"/>
      <c r="P68" s="82"/>
      <c r="Q68" s="82"/>
      <c r="R68" s="82"/>
      <c r="S68" s="82"/>
      <c r="T68" s="147">
        <f aca="true" t="shared" si="8" ref="T68:T91">SUM(N68:S68)</f>
        <v>0</v>
      </c>
      <c r="V68" s="32"/>
    </row>
    <row r="69" spans="1:22" ht="15.75" thickBot="1">
      <c r="A69" s="66" t="s">
        <v>130</v>
      </c>
      <c r="B69" s="810" t="s">
        <v>131</v>
      </c>
      <c r="C69" s="810"/>
      <c r="D69" s="299">
        <v>8298</v>
      </c>
      <c r="E69" s="299">
        <v>3983</v>
      </c>
      <c r="F69" s="299">
        <v>175065</v>
      </c>
      <c r="G69" s="299">
        <v>138049</v>
      </c>
      <c r="H69" s="299">
        <v>127764</v>
      </c>
      <c r="I69" s="366">
        <v>149292</v>
      </c>
      <c r="J69" s="366">
        <v>3000</v>
      </c>
      <c r="K69" s="45">
        <f>SUM(K72:K73)</f>
        <v>6455</v>
      </c>
      <c r="L69" s="45">
        <f>SUM(L70:L73)</f>
        <v>1010513</v>
      </c>
      <c r="M69" s="45">
        <f>SUM(M70:M73)</f>
        <v>891859</v>
      </c>
      <c r="N69" s="45">
        <f aca="true" t="shared" si="9" ref="N69:S69">SUM(N70:N73)</f>
        <v>15000</v>
      </c>
      <c r="O69" s="45">
        <f t="shared" si="9"/>
        <v>0</v>
      </c>
      <c r="P69" s="45"/>
      <c r="Q69" s="45">
        <f t="shared" si="9"/>
        <v>0</v>
      </c>
      <c r="R69" s="45">
        <f t="shared" si="9"/>
        <v>876859</v>
      </c>
      <c r="S69" s="45">
        <f t="shared" si="9"/>
        <v>0</v>
      </c>
      <c r="T69" s="130">
        <f t="shared" si="8"/>
        <v>891859</v>
      </c>
      <c r="V69" s="32"/>
    </row>
    <row r="70" spans="1:22" ht="12.75" customHeight="1">
      <c r="A70" s="718"/>
      <c r="B70" s="367" t="s">
        <v>345</v>
      </c>
      <c r="C70" s="258" t="s">
        <v>345</v>
      </c>
      <c r="D70" s="309"/>
      <c r="E70" s="309"/>
      <c r="F70" s="309"/>
      <c r="G70" s="309"/>
      <c r="H70" s="296"/>
      <c r="I70" s="261"/>
      <c r="J70" s="261"/>
      <c r="K70" s="86"/>
      <c r="L70" s="86">
        <v>1000000</v>
      </c>
      <c r="M70" s="86">
        <v>876859</v>
      </c>
      <c r="N70" s="86"/>
      <c r="O70" s="86"/>
      <c r="P70" s="86"/>
      <c r="Q70" s="86"/>
      <c r="R70" s="86">
        <v>876859</v>
      </c>
      <c r="S70" s="86"/>
      <c r="T70" s="126">
        <f t="shared" si="8"/>
        <v>876859</v>
      </c>
      <c r="V70" s="32"/>
    </row>
    <row r="71" spans="1:22" ht="12.75" customHeight="1" thickBot="1">
      <c r="A71" s="719"/>
      <c r="B71" s="259" t="s">
        <v>383</v>
      </c>
      <c r="C71" s="259" t="s">
        <v>383</v>
      </c>
      <c r="D71" s="346"/>
      <c r="E71" s="346"/>
      <c r="F71" s="346"/>
      <c r="G71" s="346"/>
      <c r="H71" s="347"/>
      <c r="I71" s="348"/>
      <c r="J71" s="348"/>
      <c r="K71" s="92"/>
      <c r="L71" s="92"/>
      <c r="M71" s="92">
        <v>15000</v>
      </c>
      <c r="N71" s="92">
        <v>15000</v>
      </c>
      <c r="O71" s="92"/>
      <c r="P71" s="92"/>
      <c r="Q71" s="92"/>
      <c r="R71" s="92"/>
      <c r="S71" s="92"/>
      <c r="T71" s="129">
        <f t="shared" si="8"/>
        <v>15000</v>
      </c>
      <c r="V71" s="32"/>
    </row>
    <row r="72" spans="1:22" ht="12.75" customHeight="1" hidden="1">
      <c r="A72" s="719"/>
      <c r="B72" s="358"/>
      <c r="C72" s="40" t="s">
        <v>306</v>
      </c>
      <c r="D72" s="81"/>
      <c r="E72" s="81"/>
      <c r="F72" s="81"/>
      <c r="G72" s="81"/>
      <c r="H72" s="104"/>
      <c r="I72" s="195"/>
      <c r="J72" s="195"/>
      <c r="K72" s="81">
        <v>6455</v>
      </c>
      <c r="L72" s="81"/>
      <c r="M72" s="81"/>
      <c r="N72" s="81"/>
      <c r="O72" s="81"/>
      <c r="P72" s="81"/>
      <c r="Q72" s="81"/>
      <c r="R72" s="81"/>
      <c r="S72" s="81"/>
      <c r="T72" s="143">
        <f t="shared" si="8"/>
        <v>0</v>
      </c>
      <c r="V72" s="32"/>
    </row>
    <row r="73" spans="1:22" ht="13.5" customHeight="1" hidden="1" thickBot="1">
      <c r="A73" s="720"/>
      <c r="B73" s="359"/>
      <c r="C73" s="39" t="s">
        <v>333</v>
      </c>
      <c r="D73" s="82"/>
      <c r="E73" s="82"/>
      <c r="F73" s="82"/>
      <c r="G73" s="82"/>
      <c r="H73" s="36"/>
      <c r="I73" s="198"/>
      <c r="J73" s="198"/>
      <c r="K73" s="82"/>
      <c r="L73" s="144">
        <v>10513</v>
      </c>
      <c r="M73" s="144"/>
      <c r="N73" s="144"/>
      <c r="O73" s="144"/>
      <c r="P73" s="144"/>
      <c r="Q73" s="144"/>
      <c r="R73" s="144"/>
      <c r="S73" s="144"/>
      <c r="T73" s="146">
        <f t="shared" si="8"/>
        <v>0</v>
      </c>
      <c r="V73" s="32"/>
    </row>
    <row r="74" spans="1:22" ht="15.75" hidden="1" thickBot="1">
      <c r="A74" s="61" t="s">
        <v>234</v>
      </c>
      <c r="B74" s="819" t="s">
        <v>27</v>
      </c>
      <c r="C74" s="819"/>
      <c r="D74" s="279"/>
      <c r="E74" s="279">
        <v>22472</v>
      </c>
      <c r="F74" s="279">
        <v>20713</v>
      </c>
      <c r="G74" s="279">
        <v>11074</v>
      </c>
      <c r="H74" s="279">
        <v>15914</v>
      </c>
      <c r="I74" s="191">
        <v>116842</v>
      </c>
      <c r="J74" s="191">
        <v>38905</v>
      </c>
      <c r="K74" s="31">
        <f>SUM(K75:K76)</f>
        <v>15848</v>
      </c>
      <c r="L74" s="31">
        <f>SUM(L75:L76)</f>
        <v>3000</v>
      </c>
      <c r="M74" s="87"/>
      <c r="N74" s="87"/>
      <c r="O74" s="87"/>
      <c r="P74" s="87"/>
      <c r="Q74" s="87"/>
      <c r="R74" s="87"/>
      <c r="S74" s="87"/>
      <c r="T74" s="122">
        <f t="shared" si="8"/>
        <v>0</v>
      </c>
      <c r="V74" s="32"/>
    </row>
    <row r="75" spans="1:22" ht="12.75" hidden="1">
      <c r="A75" s="811"/>
      <c r="B75" s="813"/>
      <c r="C75" s="37" t="s">
        <v>192</v>
      </c>
      <c r="D75" s="97"/>
      <c r="E75" s="97"/>
      <c r="F75" s="97"/>
      <c r="G75" s="97"/>
      <c r="H75" s="33"/>
      <c r="I75" s="194"/>
      <c r="J75" s="194"/>
      <c r="K75" s="97">
        <v>7000</v>
      </c>
      <c r="L75" s="81">
        <v>3000</v>
      </c>
      <c r="M75" s="81"/>
      <c r="N75" s="81"/>
      <c r="O75" s="81"/>
      <c r="P75" s="81"/>
      <c r="Q75" s="81"/>
      <c r="R75" s="81"/>
      <c r="S75" s="81"/>
      <c r="T75" s="143">
        <f t="shared" si="8"/>
        <v>0</v>
      </c>
      <c r="V75" s="32"/>
    </row>
    <row r="76" spans="1:22" ht="13.5" hidden="1" thickBot="1">
      <c r="A76" s="812"/>
      <c r="B76" s="814"/>
      <c r="C76" s="39" t="s">
        <v>257</v>
      </c>
      <c r="D76" s="82"/>
      <c r="E76" s="82"/>
      <c r="F76" s="82"/>
      <c r="G76" s="82"/>
      <c r="H76" s="36"/>
      <c r="I76" s="198"/>
      <c r="J76" s="198"/>
      <c r="K76" s="82">
        <v>8848</v>
      </c>
      <c r="L76" s="82"/>
      <c r="M76" s="82"/>
      <c r="N76" s="82"/>
      <c r="O76" s="82"/>
      <c r="P76" s="82"/>
      <c r="Q76" s="82"/>
      <c r="R76" s="82"/>
      <c r="S76" s="82"/>
      <c r="T76" s="147">
        <f t="shared" si="8"/>
        <v>0</v>
      </c>
      <c r="V76" s="32"/>
    </row>
    <row r="77" spans="1:22" ht="15.75" hidden="1" thickBot="1">
      <c r="A77" s="66" t="s">
        <v>231</v>
      </c>
      <c r="B77" s="821" t="s">
        <v>29</v>
      </c>
      <c r="C77" s="822"/>
      <c r="D77" s="308"/>
      <c r="E77" s="308"/>
      <c r="F77" s="308"/>
      <c r="G77" s="308"/>
      <c r="H77" s="263"/>
      <c r="I77" s="206"/>
      <c r="J77" s="206"/>
      <c r="K77" s="94">
        <v>5500</v>
      </c>
      <c r="L77" s="94"/>
      <c r="M77" s="94"/>
      <c r="N77" s="94"/>
      <c r="O77" s="94"/>
      <c r="P77" s="94"/>
      <c r="Q77" s="94"/>
      <c r="R77" s="94"/>
      <c r="S77" s="94"/>
      <c r="T77" s="130">
        <f t="shared" si="8"/>
        <v>0</v>
      </c>
      <c r="V77" s="32"/>
    </row>
    <row r="78" spans="1:22" ht="13.5" hidden="1" thickBot="1">
      <c r="A78" s="59"/>
      <c r="B78" s="42"/>
      <c r="C78" s="75" t="s">
        <v>204</v>
      </c>
      <c r="D78" s="83"/>
      <c r="E78" s="83"/>
      <c r="F78" s="83"/>
      <c r="G78" s="83"/>
      <c r="H78" s="79"/>
      <c r="I78" s="196"/>
      <c r="J78" s="196"/>
      <c r="K78" s="83">
        <v>5500</v>
      </c>
      <c r="L78" s="83"/>
      <c r="M78" s="83"/>
      <c r="N78" s="83"/>
      <c r="O78" s="83"/>
      <c r="P78" s="83"/>
      <c r="Q78" s="83"/>
      <c r="R78" s="83"/>
      <c r="S78" s="83"/>
      <c r="T78" s="145">
        <f t="shared" si="8"/>
        <v>0</v>
      </c>
      <c r="V78" s="32"/>
    </row>
    <row r="79" spans="1:22" ht="15.75" hidden="1" thickBot="1">
      <c r="A79" s="121" t="s">
        <v>132</v>
      </c>
      <c r="B79" s="832" t="s">
        <v>30</v>
      </c>
      <c r="C79" s="832"/>
      <c r="D79" s="279">
        <v>666567</v>
      </c>
      <c r="E79" s="279">
        <v>223164</v>
      </c>
      <c r="F79" s="279">
        <v>527019</v>
      </c>
      <c r="G79" s="279">
        <v>279677</v>
      </c>
      <c r="H79" s="279">
        <v>1160065</v>
      </c>
      <c r="I79" s="207">
        <v>2097438</v>
      </c>
      <c r="J79" s="207">
        <v>344577</v>
      </c>
      <c r="K79" s="31">
        <f>SUM(K80:K86)</f>
        <v>11076</v>
      </c>
      <c r="L79" s="31">
        <f>SUM(L80:L86)</f>
        <v>31326</v>
      </c>
      <c r="M79" s="87"/>
      <c r="N79" s="87"/>
      <c r="O79" s="87"/>
      <c r="P79" s="87"/>
      <c r="Q79" s="87"/>
      <c r="R79" s="87"/>
      <c r="S79" s="87"/>
      <c r="T79" s="122">
        <f t="shared" si="8"/>
        <v>0</v>
      </c>
      <c r="V79" s="32"/>
    </row>
    <row r="80" spans="1:22" ht="12.75" hidden="1">
      <c r="A80" s="811"/>
      <c r="B80" s="813"/>
      <c r="C80" s="38" t="s">
        <v>302</v>
      </c>
      <c r="D80" s="34"/>
      <c r="E80" s="34"/>
      <c r="F80" s="34"/>
      <c r="G80" s="34"/>
      <c r="H80" s="34"/>
      <c r="I80" s="192"/>
      <c r="J80" s="192"/>
      <c r="K80" s="98">
        <v>11076</v>
      </c>
      <c r="L80" s="81"/>
      <c r="M80" s="81"/>
      <c r="N80" s="81"/>
      <c r="O80" s="81"/>
      <c r="P80" s="81"/>
      <c r="Q80" s="81"/>
      <c r="R80" s="81"/>
      <c r="S80" s="81"/>
      <c r="T80" s="143">
        <f t="shared" si="8"/>
        <v>0</v>
      </c>
      <c r="V80" s="32"/>
    </row>
    <row r="81" spans="1:22" ht="12.75" hidden="1">
      <c r="A81" s="820"/>
      <c r="B81" s="833"/>
      <c r="C81" s="38" t="s">
        <v>307</v>
      </c>
      <c r="D81" s="34"/>
      <c r="E81" s="34"/>
      <c r="F81" s="34"/>
      <c r="G81" s="34"/>
      <c r="H81" s="34"/>
      <c r="I81" s="192"/>
      <c r="J81" s="192"/>
      <c r="K81" s="98"/>
      <c r="L81" s="81"/>
      <c r="M81" s="81"/>
      <c r="N81" s="81"/>
      <c r="O81" s="81"/>
      <c r="P81" s="81"/>
      <c r="Q81" s="81"/>
      <c r="R81" s="81"/>
      <c r="S81" s="81"/>
      <c r="T81" s="143">
        <f t="shared" si="8"/>
        <v>0</v>
      </c>
      <c r="V81" s="32"/>
    </row>
    <row r="82" spans="1:22" ht="12.75" hidden="1">
      <c r="A82" s="820"/>
      <c r="B82" s="833"/>
      <c r="C82" s="38" t="s">
        <v>340</v>
      </c>
      <c r="D82" s="34"/>
      <c r="E82" s="34"/>
      <c r="F82" s="34"/>
      <c r="G82" s="34"/>
      <c r="H82" s="34"/>
      <c r="I82" s="192"/>
      <c r="J82" s="192"/>
      <c r="K82" s="98"/>
      <c r="L82" s="81">
        <v>31326</v>
      </c>
      <c r="M82" s="81"/>
      <c r="N82" s="81"/>
      <c r="O82" s="81"/>
      <c r="P82" s="81"/>
      <c r="Q82" s="81"/>
      <c r="R82" s="81"/>
      <c r="S82" s="81"/>
      <c r="T82" s="143">
        <f t="shared" si="8"/>
        <v>0</v>
      </c>
      <c r="V82" s="32"/>
    </row>
    <row r="83" spans="1:22" ht="12.75" hidden="1">
      <c r="A83" s="820"/>
      <c r="B83" s="833"/>
      <c r="C83" s="38" t="s">
        <v>238</v>
      </c>
      <c r="D83" s="34"/>
      <c r="E83" s="34"/>
      <c r="F83" s="34"/>
      <c r="G83" s="34"/>
      <c r="H83" s="34"/>
      <c r="I83" s="192"/>
      <c r="J83" s="192"/>
      <c r="K83" s="98"/>
      <c r="L83" s="81"/>
      <c r="M83" s="81"/>
      <c r="N83" s="81"/>
      <c r="O83" s="81"/>
      <c r="P83" s="81"/>
      <c r="Q83" s="81"/>
      <c r="R83" s="81"/>
      <c r="S83" s="81"/>
      <c r="T83" s="143">
        <f t="shared" si="8"/>
        <v>0</v>
      </c>
      <c r="V83" s="32"/>
    </row>
    <row r="84" spans="1:22" ht="12.75" hidden="1">
      <c r="A84" s="820"/>
      <c r="B84" s="833"/>
      <c r="C84" s="38" t="s">
        <v>212</v>
      </c>
      <c r="D84" s="34"/>
      <c r="E84" s="34"/>
      <c r="F84" s="34"/>
      <c r="G84" s="34"/>
      <c r="H84" s="34"/>
      <c r="I84" s="192"/>
      <c r="J84" s="192"/>
      <c r="K84" s="98"/>
      <c r="L84" s="81"/>
      <c r="M84" s="81"/>
      <c r="N84" s="81"/>
      <c r="O84" s="81"/>
      <c r="P84" s="81"/>
      <c r="Q84" s="81"/>
      <c r="R84" s="81"/>
      <c r="S84" s="81"/>
      <c r="T84" s="143">
        <f t="shared" si="8"/>
        <v>0</v>
      </c>
      <c r="V84" s="32"/>
    </row>
    <row r="85" spans="1:22" ht="12.75" hidden="1">
      <c r="A85" s="820"/>
      <c r="B85" s="833"/>
      <c r="C85" s="38" t="s">
        <v>271</v>
      </c>
      <c r="D85" s="74"/>
      <c r="E85" s="74"/>
      <c r="F85" s="74"/>
      <c r="G85" s="74"/>
      <c r="H85" s="74"/>
      <c r="I85" s="193"/>
      <c r="J85" s="193"/>
      <c r="K85" s="99"/>
      <c r="L85" s="83"/>
      <c r="M85" s="83"/>
      <c r="N85" s="83"/>
      <c r="O85" s="83"/>
      <c r="P85" s="83"/>
      <c r="Q85" s="83"/>
      <c r="R85" s="83"/>
      <c r="S85" s="83"/>
      <c r="T85" s="145">
        <f t="shared" si="8"/>
        <v>0</v>
      </c>
      <c r="V85" s="32"/>
    </row>
    <row r="86" spans="1:22" ht="13.5" hidden="1" thickBot="1">
      <c r="A86" s="812"/>
      <c r="B86" s="814"/>
      <c r="C86" s="44" t="s">
        <v>305</v>
      </c>
      <c r="D86" s="74"/>
      <c r="E86" s="74"/>
      <c r="F86" s="74"/>
      <c r="G86" s="74"/>
      <c r="H86" s="74"/>
      <c r="I86" s="193"/>
      <c r="J86" s="193"/>
      <c r="K86" s="99"/>
      <c r="L86" s="99"/>
      <c r="M86" s="99"/>
      <c r="N86" s="99"/>
      <c r="O86" s="99"/>
      <c r="P86" s="99"/>
      <c r="Q86" s="99"/>
      <c r="R86" s="99"/>
      <c r="S86" s="99"/>
      <c r="T86" s="150">
        <f t="shared" si="8"/>
        <v>0</v>
      </c>
      <c r="V86" s="32"/>
    </row>
    <row r="87" spans="1:22" ht="15.75" hidden="1" thickBot="1">
      <c r="A87" s="46" t="s">
        <v>56</v>
      </c>
      <c r="B87" s="821" t="s">
        <v>33</v>
      </c>
      <c r="C87" s="822"/>
      <c r="D87" s="262"/>
      <c r="E87" s="262"/>
      <c r="F87" s="262"/>
      <c r="G87" s="262"/>
      <c r="H87" s="262"/>
      <c r="I87" s="187">
        <v>104542</v>
      </c>
      <c r="J87" s="187">
        <v>66000</v>
      </c>
      <c r="K87" s="31">
        <f>K88+K89</f>
        <v>0</v>
      </c>
      <c r="L87" s="31">
        <f>L88+L89</f>
        <v>0</v>
      </c>
      <c r="M87" s="87"/>
      <c r="N87" s="87"/>
      <c r="O87" s="87"/>
      <c r="P87" s="87"/>
      <c r="Q87" s="87"/>
      <c r="R87" s="87"/>
      <c r="S87" s="87"/>
      <c r="T87" s="122">
        <f t="shared" si="8"/>
        <v>0</v>
      </c>
      <c r="V87" s="32"/>
    </row>
    <row r="88" spans="1:22" ht="12.75" hidden="1">
      <c r="A88" s="363"/>
      <c r="B88" s="363"/>
      <c r="C88" s="363"/>
      <c r="D88" s="363"/>
      <c r="E88" s="363"/>
      <c r="F88" s="363"/>
      <c r="G88" s="363"/>
      <c r="H88" s="363"/>
      <c r="I88" s="363"/>
      <c r="J88" s="363"/>
      <c r="K88" s="363"/>
      <c r="L88" s="363"/>
      <c r="M88" s="363"/>
      <c r="N88" s="363"/>
      <c r="O88" s="363"/>
      <c r="P88" s="363"/>
      <c r="Q88" s="363"/>
      <c r="R88" s="363"/>
      <c r="S88" s="363"/>
      <c r="T88" s="364">
        <f t="shared" si="8"/>
        <v>0</v>
      </c>
      <c r="V88" s="32"/>
    </row>
    <row r="89" spans="1:22" ht="13.5" hidden="1" thickBot="1">
      <c r="A89" s="59"/>
      <c r="B89" s="42"/>
      <c r="C89" s="1" t="s">
        <v>243</v>
      </c>
      <c r="D89" s="79"/>
      <c r="E89" s="79"/>
      <c r="F89" s="79"/>
      <c r="G89" s="79"/>
      <c r="H89" s="79"/>
      <c r="I89" s="79"/>
      <c r="J89" s="79"/>
      <c r="K89" s="83"/>
      <c r="L89" s="83"/>
      <c r="M89" s="83"/>
      <c r="N89" s="83"/>
      <c r="O89" s="83"/>
      <c r="P89" s="83"/>
      <c r="Q89" s="83"/>
      <c r="R89" s="83"/>
      <c r="S89" s="83"/>
      <c r="T89" s="145">
        <f t="shared" si="8"/>
        <v>0</v>
      </c>
      <c r="V89" s="32"/>
    </row>
    <row r="90" spans="1:22" ht="13.5" thickBot="1">
      <c r="A90" s="140" t="s">
        <v>296</v>
      </c>
      <c r="B90" s="827" t="s">
        <v>55</v>
      </c>
      <c r="C90" s="828"/>
      <c r="D90" s="311"/>
      <c r="E90" s="311"/>
      <c r="F90" s="311"/>
      <c r="G90" s="311"/>
      <c r="H90" s="311"/>
      <c r="I90" s="208">
        <f>I91</f>
        <v>0</v>
      </c>
      <c r="J90" s="208">
        <f>J91</f>
        <v>0</v>
      </c>
      <c r="K90" s="208">
        <f>K91</f>
        <v>0</v>
      </c>
      <c r="L90" s="208">
        <f>L91</f>
        <v>114885</v>
      </c>
      <c r="M90" s="208">
        <v>7400</v>
      </c>
      <c r="N90" s="208">
        <v>790</v>
      </c>
      <c r="O90" s="208"/>
      <c r="P90" s="208"/>
      <c r="Q90" s="208">
        <v>6610</v>
      </c>
      <c r="R90" s="208"/>
      <c r="S90" s="208"/>
      <c r="T90" s="365">
        <f>SUM(N90:S90)</f>
        <v>7400</v>
      </c>
      <c r="V90" s="32"/>
    </row>
    <row r="91" spans="1:22" ht="13.5" thickBot="1">
      <c r="A91" s="59"/>
      <c r="B91" s="42" t="s">
        <v>332</v>
      </c>
      <c r="C91" s="363" t="s">
        <v>332</v>
      </c>
      <c r="D91" s="363"/>
      <c r="E91" s="363"/>
      <c r="F91" s="363"/>
      <c r="G91" s="363"/>
      <c r="H91" s="363"/>
      <c r="I91" s="79"/>
      <c r="J91" s="79"/>
      <c r="K91" s="83"/>
      <c r="L91" s="83">
        <v>114885</v>
      </c>
      <c r="M91" s="83">
        <v>7400</v>
      </c>
      <c r="N91" s="83">
        <v>790</v>
      </c>
      <c r="O91" s="83"/>
      <c r="P91" s="83"/>
      <c r="Q91" s="83">
        <v>6610</v>
      </c>
      <c r="R91" s="83"/>
      <c r="S91" s="83"/>
      <c r="T91" s="145">
        <f t="shared" si="8"/>
        <v>7400</v>
      </c>
      <c r="V91" s="32"/>
    </row>
    <row r="92" spans="1:22" ht="17.25" thickBot="1" thickTop="1">
      <c r="A92" s="829" t="s">
        <v>133</v>
      </c>
      <c r="B92" s="830"/>
      <c r="C92" s="830"/>
      <c r="D92" s="52">
        <v>2988050</v>
      </c>
      <c r="E92" s="52">
        <v>1793069</v>
      </c>
      <c r="F92" s="52">
        <v>2942409</v>
      </c>
      <c r="G92" s="52">
        <v>4880528</v>
      </c>
      <c r="H92" s="52">
        <f aca="true" t="shared" si="10" ref="H92:S92">H79+H69+H74+H65+H45+H42+H35+H33+H27+H18+H9+H6+H3+H77+H87+H90</f>
        <v>5977301</v>
      </c>
      <c r="I92" s="52">
        <f t="shared" si="10"/>
        <v>5818483</v>
      </c>
      <c r="J92" s="52">
        <f t="shared" si="10"/>
        <v>4719096</v>
      </c>
      <c r="K92" s="52">
        <f t="shared" si="10"/>
        <v>3939694</v>
      </c>
      <c r="L92" s="52">
        <f t="shared" si="10"/>
        <v>4520654</v>
      </c>
      <c r="M92" s="52">
        <f>M79+M69+M74+M65+M45+M42+M35+M33+M27+M18+M9+M6+M3+M77+M87+M90</f>
        <v>3112692</v>
      </c>
      <c r="N92" s="52">
        <f t="shared" si="10"/>
        <v>91297</v>
      </c>
      <c r="O92" s="52">
        <f t="shared" si="10"/>
        <v>0</v>
      </c>
      <c r="P92" s="52">
        <f t="shared" si="10"/>
        <v>37919</v>
      </c>
      <c r="Q92" s="52">
        <f>Q79+Q69+Q74+Q65+Q45+Q42+Q35+Q33+Q27+Q18+Q9+Q6+Q3+Q77+Q87+Q90</f>
        <v>1570355</v>
      </c>
      <c r="R92" s="52">
        <f t="shared" si="10"/>
        <v>1223759</v>
      </c>
      <c r="S92" s="52">
        <f t="shared" si="10"/>
        <v>189362</v>
      </c>
      <c r="T92" s="123">
        <f>SUM(N92:S92)</f>
        <v>3112692</v>
      </c>
      <c r="V92" s="32"/>
    </row>
    <row r="93" ht="13.5" thickTop="1"/>
    <row r="96" spans="14:19" ht="12.75">
      <c r="N96" s="32"/>
      <c r="S96" s="32"/>
    </row>
    <row r="97" spans="13:20" ht="12.75">
      <c r="M97" s="32"/>
      <c r="N97" s="32"/>
      <c r="P97" s="32"/>
      <c r="T97" s="32">
        <f>S16+P16</f>
        <v>13173</v>
      </c>
    </row>
    <row r="98" spans="14:19" ht="12.75">
      <c r="N98" s="32"/>
      <c r="S98" s="32"/>
    </row>
    <row r="99" spans="14:16" ht="12.75">
      <c r="N99" s="32"/>
      <c r="P99" s="32"/>
    </row>
  </sheetData>
  <sheetProtection/>
  <mergeCells count="48">
    <mergeCell ref="B87:C87"/>
    <mergeCell ref="B90:C90"/>
    <mergeCell ref="A92:C92"/>
    <mergeCell ref="N1:S1"/>
    <mergeCell ref="B77:C77"/>
    <mergeCell ref="B79:C79"/>
    <mergeCell ref="A80:A86"/>
    <mergeCell ref="B80:B86"/>
    <mergeCell ref="B27:C27"/>
    <mergeCell ref="B33:C33"/>
    <mergeCell ref="A75:A76"/>
    <mergeCell ref="B75:B76"/>
    <mergeCell ref="B45:C45"/>
    <mergeCell ref="A46:A64"/>
    <mergeCell ref="B65:C65"/>
    <mergeCell ref="B69:C69"/>
    <mergeCell ref="A70:A73"/>
    <mergeCell ref="A66:A68"/>
    <mergeCell ref="B6:C6"/>
    <mergeCell ref="T1:T2"/>
    <mergeCell ref="B74:C74"/>
    <mergeCell ref="J1:J2"/>
    <mergeCell ref="K1:K2"/>
    <mergeCell ref="B7:B8"/>
    <mergeCell ref="A43:A44"/>
    <mergeCell ref="B43:B44"/>
    <mergeCell ref="B9:C9"/>
    <mergeCell ref="A10:A17"/>
    <mergeCell ref="B18:C18"/>
    <mergeCell ref="A36:A41"/>
    <mergeCell ref="B36:B41"/>
    <mergeCell ref="B35:C35"/>
    <mergeCell ref="B42:C42"/>
    <mergeCell ref="A7:A8"/>
    <mergeCell ref="A4:A5"/>
    <mergeCell ref="B4:B5"/>
    <mergeCell ref="I1:I2"/>
    <mergeCell ref="G1:G2"/>
    <mergeCell ref="H1:H2"/>
    <mergeCell ref="B1:B2"/>
    <mergeCell ref="C1:C2"/>
    <mergeCell ref="D1:D2"/>
    <mergeCell ref="E1:E2"/>
    <mergeCell ref="A1:A2"/>
    <mergeCell ref="F1:F2"/>
    <mergeCell ref="M1:M2"/>
    <mergeCell ref="B3:C3"/>
    <mergeCell ref="L1:L2"/>
  </mergeCells>
  <printOptions/>
  <pageMargins left="0.45" right="0.2" top="0.7480314960629921" bottom="0.7480314960629921" header="0.31496062992125984" footer="0.31496062992125984"/>
  <pageSetup horizontalDpi="600" verticalDpi="600" orientation="landscape" paperSize="9" r:id="rId1"/>
  <ignoredErrors>
    <ignoredError sqref="T13:T89 T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A</cp:lastModifiedBy>
  <cp:lastPrinted>2015-01-19T08:49:50Z</cp:lastPrinted>
  <dcterms:created xsi:type="dcterms:W3CDTF">2006-09-20T05:43:56Z</dcterms:created>
  <dcterms:modified xsi:type="dcterms:W3CDTF">2015-01-19T13:40:02Z</dcterms:modified>
  <cp:category/>
  <cp:version/>
  <cp:contentType/>
  <cp:contentStatus/>
</cp:coreProperties>
</file>