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8595" yWindow="3330" windowWidth="9660" windowHeight="5490" firstSheet="1" activeTab="6"/>
  </bookViews>
  <sheets>
    <sheet name="Bežné príjmy" sheetId="17" r:id="rId1"/>
    <sheet name="Bežné výdavky" sheetId="23" r:id="rId2"/>
    <sheet name="Kapitálové príjmy" sheetId="19" r:id="rId3"/>
    <sheet name="Kapitálové výdavky" sheetId="22" r:id="rId4"/>
    <sheet name="Fin operácie - príjmy" sheetId="20" r:id="rId5"/>
    <sheet name="Finančné operácie - výdavky" sheetId="21" r:id="rId6"/>
    <sheet name="HOSP." sheetId="56" r:id="rId7"/>
  </sheets>
  <calcPr calcId="144525"/>
</workbook>
</file>

<file path=xl/calcChain.xml><?xml version="1.0" encoding="utf-8"?>
<calcChain xmlns="http://schemas.openxmlformats.org/spreadsheetml/2006/main">
  <c r="O42" i="17" l="1"/>
  <c r="P13" i="20"/>
  <c r="O7" i="23" l="1"/>
  <c r="M164" i="23" l="1"/>
  <c r="O150" i="23" l="1"/>
  <c r="P12" i="20"/>
  <c r="O12" i="20"/>
  <c r="O6" i="23" l="1"/>
  <c r="O4" i="21"/>
  <c r="O10" i="20" l="1"/>
  <c r="O12" i="21"/>
  <c r="P11" i="20"/>
  <c r="O53" i="17" l="1"/>
  <c r="O52" i="17"/>
  <c r="P4" i="22" l="1"/>
  <c r="O196" i="23" l="1"/>
  <c r="O192" i="23"/>
  <c r="P48" i="22" l="1"/>
  <c r="P84" i="22"/>
  <c r="P93" i="22"/>
  <c r="P100" i="22"/>
  <c r="P99" i="22" s="1"/>
  <c r="P10" i="22"/>
  <c r="O194" i="23" l="1"/>
  <c r="O182" i="23"/>
  <c r="O187" i="23"/>
  <c r="O184" i="23" s="1"/>
  <c r="O197" i="23"/>
  <c r="N164" i="23"/>
  <c r="N163" i="23" s="1"/>
  <c r="O164" i="23"/>
  <c r="O163" i="23" s="1"/>
  <c r="O161" i="23"/>
  <c r="O183" i="23" l="1"/>
  <c r="O141" i="23"/>
  <c r="O140" i="23"/>
  <c r="O124" i="23"/>
  <c r="O109" i="23"/>
  <c r="P11" i="21"/>
  <c r="P10" i="21"/>
  <c r="P9" i="21"/>
  <c r="P8" i="21"/>
  <c r="P7" i="21"/>
  <c r="P6" i="21"/>
  <c r="P5" i="21"/>
  <c r="P17" i="20"/>
  <c r="P16" i="20"/>
  <c r="P15" i="20"/>
  <c r="P14" i="20"/>
  <c r="P10" i="20"/>
  <c r="P9" i="20"/>
  <c r="P7" i="20"/>
  <c r="P6" i="20"/>
  <c r="Q112" i="22"/>
  <c r="Q110" i="22"/>
  <c r="Q109" i="22"/>
  <c r="Q108" i="22"/>
  <c r="Q107" i="22"/>
  <c r="Q106" i="22"/>
  <c r="Q105" i="22"/>
  <c r="Q104" i="22"/>
  <c r="Q103" i="22"/>
  <c r="Q102" i="22"/>
  <c r="Q101" i="22"/>
  <c r="Q100" i="22"/>
  <c r="Q98" i="22"/>
  <c r="Q96" i="22"/>
  <c r="Q95" i="22"/>
  <c r="Q94" i="22"/>
  <c r="Q92" i="22"/>
  <c r="Q91" i="22"/>
  <c r="Q90" i="22"/>
  <c r="Q89" i="22"/>
  <c r="Q88" i="22"/>
  <c r="Q87" i="22"/>
  <c r="Q86" i="22"/>
  <c r="Q85" i="22"/>
  <c r="Q83" i="22"/>
  <c r="Q82" i="22"/>
  <c r="Q81" i="22"/>
  <c r="Q80" i="22"/>
  <c r="Q79" i="22"/>
  <c r="Q78" i="22"/>
  <c r="Q77" i="22"/>
  <c r="Q76" i="22"/>
  <c r="Q75" i="22"/>
  <c r="Q74" i="22"/>
  <c r="Q73" i="22"/>
  <c r="Q72" i="22"/>
  <c r="Q71" i="22"/>
  <c r="Q70" i="22"/>
  <c r="Q69" i="22"/>
  <c r="Q68" i="22"/>
  <c r="Q67" i="22"/>
  <c r="Q66" i="22"/>
  <c r="Q65" i="22"/>
  <c r="Q64" i="22"/>
  <c r="Q63" i="22"/>
  <c r="Q62" i="22"/>
  <c r="Q61" i="22"/>
  <c r="Q60" i="22"/>
  <c r="Q58" i="22"/>
  <c r="Q57" i="22"/>
  <c r="Q56" i="22"/>
  <c r="Q54" i="22"/>
  <c r="Q53" i="22"/>
  <c r="Q52" i="22"/>
  <c r="Q51" i="22"/>
  <c r="Q50" i="22"/>
  <c r="Q49" i="22"/>
  <c r="Q47" i="22"/>
  <c r="Q46" i="22"/>
  <c r="Q45" i="22"/>
  <c r="Q44" i="22"/>
  <c r="Q43" i="22"/>
  <c r="Q42" i="22"/>
  <c r="Q41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9" i="22"/>
  <c r="Q8" i="22"/>
  <c r="Q6" i="22"/>
  <c r="Q5" i="22"/>
  <c r="P47" i="19"/>
  <c r="P46" i="19"/>
  <c r="P45" i="19"/>
  <c r="P43" i="19"/>
  <c r="P42" i="19"/>
  <c r="P41" i="19"/>
  <c r="P40" i="19"/>
  <c r="P39" i="19"/>
  <c r="P38" i="19"/>
  <c r="P37" i="19"/>
  <c r="P36" i="19"/>
  <c r="P35" i="19"/>
  <c r="P34" i="19"/>
  <c r="P33" i="19"/>
  <c r="P32" i="19"/>
  <c r="P31" i="19"/>
  <c r="P30" i="19"/>
  <c r="P29" i="19"/>
  <c r="P28" i="19"/>
  <c r="P27" i="19"/>
  <c r="P26" i="19"/>
  <c r="P25" i="19"/>
  <c r="P24" i="19"/>
  <c r="P23" i="19"/>
  <c r="P22" i="19"/>
  <c r="P21" i="19"/>
  <c r="P20" i="19"/>
  <c r="P16" i="19"/>
  <c r="P15" i="19"/>
  <c r="P14" i="19"/>
  <c r="P13" i="19"/>
  <c r="P12" i="19"/>
  <c r="P10" i="19"/>
  <c r="P9" i="19"/>
  <c r="P8" i="19"/>
  <c r="P107" i="17"/>
  <c r="P106" i="17"/>
  <c r="P104" i="17"/>
  <c r="P103" i="17"/>
  <c r="P102" i="17"/>
  <c r="P101" i="17"/>
  <c r="P100" i="17"/>
  <c r="P99" i="17"/>
  <c r="P98" i="17"/>
  <c r="P97" i="17"/>
  <c r="P96" i="17"/>
  <c r="P95" i="17"/>
  <c r="P93" i="17"/>
  <c r="P92" i="17"/>
  <c r="P91" i="17"/>
  <c r="P90" i="17"/>
  <c r="P89" i="17"/>
  <c r="P88" i="17"/>
  <c r="P87" i="17"/>
  <c r="P86" i="17"/>
  <c r="P84" i="17"/>
  <c r="P83" i="17"/>
  <c r="P82" i="17"/>
  <c r="P81" i="17"/>
  <c r="P80" i="17"/>
  <c r="P79" i="17"/>
  <c r="P77" i="17"/>
  <c r="P76" i="17"/>
  <c r="P75" i="17"/>
  <c r="P74" i="17"/>
  <c r="P73" i="17"/>
  <c r="P71" i="17"/>
  <c r="P69" i="17"/>
  <c r="P65" i="17"/>
  <c r="P63" i="17"/>
  <c r="P62" i="17"/>
  <c r="P59" i="17"/>
  <c r="P57" i="17"/>
  <c r="P55" i="17"/>
  <c r="P54" i="17"/>
  <c r="P53" i="17"/>
  <c r="P52" i="17"/>
  <c r="P51" i="17"/>
  <c r="P50" i="17"/>
  <c r="P49" i="17"/>
  <c r="P48" i="17"/>
  <c r="P47" i="17"/>
  <c r="P46" i="17"/>
  <c r="P44" i="17"/>
  <c r="P43" i="17"/>
  <c r="P37" i="17"/>
  <c r="P36" i="17"/>
  <c r="P35" i="17"/>
  <c r="P34" i="17"/>
  <c r="P33" i="17"/>
  <c r="P31" i="17"/>
  <c r="P30" i="17"/>
  <c r="P29" i="17"/>
  <c r="P25" i="17"/>
  <c r="P22" i="17"/>
  <c r="P21" i="17"/>
  <c r="P20" i="17"/>
  <c r="P19" i="17"/>
  <c r="P16" i="17"/>
  <c r="P15" i="17"/>
  <c r="P14" i="17"/>
  <c r="P11" i="17"/>
  <c r="P10" i="17"/>
  <c r="P9" i="17"/>
  <c r="P8" i="17"/>
  <c r="P7" i="17"/>
  <c r="P197" i="23"/>
  <c r="P196" i="23"/>
  <c r="P195" i="23"/>
  <c r="P194" i="23"/>
  <c r="P193" i="23"/>
  <c r="P192" i="23"/>
  <c r="P191" i="23"/>
  <c r="P190" i="23"/>
  <c r="P189" i="23"/>
  <c r="P188" i="23"/>
  <c r="P187" i="23"/>
  <c r="P186" i="23"/>
  <c r="P185" i="23"/>
  <c r="P182" i="23"/>
  <c r="P181" i="23"/>
  <c r="P180" i="23"/>
  <c r="P179" i="23"/>
  <c r="P177" i="23"/>
  <c r="P176" i="23"/>
  <c r="P175" i="23"/>
  <c r="P174" i="23"/>
  <c r="P173" i="23"/>
  <c r="P171" i="23"/>
  <c r="P170" i="23"/>
  <c r="P169" i="23"/>
  <c r="P168" i="23"/>
  <c r="P167" i="23"/>
  <c r="P166" i="23"/>
  <c r="P165" i="23"/>
  <c r="P162" i="23"/>
  <c r="P161" i="23"/>
  <c r="P160" i="23"/>
  <c r="P159" i="23"/>
  <c r="P157" i="23"/>
  <c r="P156" i="23"/>
  <c r="P155" i="23"/>
  <c r="P154" i="23"/>
  <c r="P153" i="23"/>
  <c r="P152" i="23"/>
  <c r="P151" i="23"/>
  <c r="P150" i="23"/>
  <c r="P148" i="23"/>
  <c r="P147" i="23"/>
  <c r="P146" i="23"/>
  <c r="P145" i="23"/>
  <c r="P142" i="23"/>
  <c r="P140" i="23"/>
  <c r="P139" i="23"/>
  <c r="P137" i="23"/>
  <c r="P136" i="23"/>
  <c r="P134" i="23"/>
  <c r="P133" i="23"/>
  <c r="P132" i="23"/>
  <c r="P131" i="23"/>
  <c r="P130" i="23"/>
  <c r="P129" i="23"/>
  <c r="P128" i="23"/>
  <c r="P127" i="23"/>
  <c r="P126" i="23"/>
  <c r="P125" i="23"/>
  <c r="P124" i="23"/>
  <c r="P123" i="23"/>
  <c r="P122" i="23"/>
  <c r="P120" i="23"/>
  <c r="P119" i="23"/>
  <c r="P118" i="23"/>
  <c r="P117" i="23"/>
  <c r="P115" i="23"/>
  <c r="P114" i="23"/>
  <c r="P113" i="23"/>
  <c r="P112" i="23"/>
  <c r="P111" i="23"/>
  <c r="P110" i="23"/>
  <c r="P108" i="23"/>
  <c r="P106" i="23"/>
  <c r="P104" i="23"/>
  <c r="P103" i="23"/>
  <c r="P102" i="23"/>
  <c r="P101" i="23"/>
  <c r="P99" i="23"/>
  <c r="P98" i="23"/>
  <c r="P97" i="23"/>
  <c r="P96" i="23"/>
  <c r="P95" i="23"/>
  <c r="P94" i="23"/>
  <c r="P93" i="23"/>
  <c r="P92" i="23"/>
  <c r="P91" i="23"/>
  <c r="P90" i="23"/>
  <c r="P89" i="23"/>
  <c r="P88" i="23"/>
  <c r="P87" i="23"/>
  <c r="P85" i="23"/>
  <c r="P84" i="23"/>
  <c r="P83" i="23"/>
  <c r="P82" i="23"/>
  <c r="P80" i="23"/>
  <c r="P79" i="23"/>
  <c r="P78" i="23"/>
  <c r="P77" i="23"/>
  <c r="P75" i="23"/>
  <c r="P74" i="23"/>
  <c r="P73" i="23"/>
  <c r="P72" i="23"/>
  <c r="P71" i="23"/>
  <c r="P69" i="23"/>
  <c r="P68" i="23"/>
  <c r="P67" i="23"/>
  <c r="P66" i="23"/>
  <c r="P65" i="23"/>
  <c r="P64" i="23"/>
  <c r="P63" i="23"/>
  <c r="P62" i="23"/>
  <c r="P61" i="23"/>
  <c r="P60" i="23"/>
  <c r="P59" i="23"/>
  <c r="P58" i="23"/>
  <c r="P57" i="23"/>
  <c r="P56" i="23"/>
  <c r="P55" i="23"/>
  <c r="P54" i="23"/>
  <c r="P51" i="23"/>
  <c r="P50" i="23"/>
  <c r="P49" i="23"/>
  <c r="P48" i="23"/>
  <c r="P46" i="23"/>
  <c r="P45" i="23"/>
  <c r="P44" i="23"/>
  <c r="P42" i="23"/>
  <c r="P40" i="23"/>
  <c r="P39" i="23"/>
  <c r="P38" i="23"/>
  <c r="P37" i="23"/>
  <c r="P35" i="23"/>
  <c r="P33" i="23"/>
  <c r="P32" i="23"/>
  <c r="P31" i="23"/>
  <c r="P30" i="23"/>
  <c r="P28" i="23"/>
  <c r="P26" i="23"/>
  <c r="P24" i="23"/>
  <c r="P23" i="23"/>
  <c r="P22" i="23"/>
  <c r="P21" i="23"/>
  <c r="P20" i="23"/>
  <c r="P18" i="23"/>
  <c r="P17" i="23"/>
  <c r="P16" i="23"/>
  <c r="P15" i="23"/>
  <c r="P13" i="23"/>
  <c r="P12" i="23"/>
  <c r="P11" i="23"/>
  <c r="P9" i="23"/>
  <c r="P8" i="23"/>
  <c r="P7" i="23"/>
  <c r="P6" i="23"/>
  <c r="P5" i="23"/>
  <c r="O100" i="23"/>
  <c r="P100" i="23" s="1"/>
  <c r="O43" i="23"/>
  <c r="P43" i="23" s="1"/>
  <c r="O36" i="23"/>
  <c r="O29" i="23"/>
  <c r="O64" i="17"/>
  <c r="P64" i="17" s="1"/>
  <c r="O63" i="17"/>
  <c r="O54" i="17"/>
  <c r="O47" i="17"/>
  <c r="P42" i="17"/>
  <c r="O38" i="17"/>
  <c r="P38" i="17" s="1"/>
  <c r="O39" i="17"/>
  <c r="P39" i="17" s="1"/>
  <c r="O37" i="17"/>
  <c r="O72" i="17"/>
  <c r="O85" i="17"/>
  <c r="O78" i="17"/>
  <c r="O94" i="17"/>
  <c r="O24" i="17"/>
  <c r="O23" i="17"/>
  <c r="P23" i="17" s="1"/>
  <c r="P24" i="17" l="1"/>
  <c r="P94" i="17"/>
  <c r="O138" i="23"/>
  <c r="P72" i="17"/>
  <c r="P78" i="17"/>
  <c r="O32" i="17"/>
  <c r="P36" i="23"/>
  <c r="P141" i="23"/>
  <c r="P85" i="17"/>
  <c r="N172" i="23"/>
  <c r="P25" i="22"/>
  <c r="P59" i="22"/>
  <c r="O8" i="20"/>
  <c r="O105" i="17"/>
  <c r="N138" i="23"/>
  <c r="O84" i="22"/>
  <c r="Q84" i="22" s="1"/>
  <c r="P40" i="22"/>
  <c r="O56" i="17"/>
  <c r="O61" i="17"/>
  <c r="N19" i="23"/>
  <c r="N183" i="23"/>
  <c r="P184" i="23"/>
  <c r="O25" i="22"/>
  <c r="O4" i="22"/>
  <c r="Q4" i="22" s="1"/>
  <c r="M10" i="20"/>
  <c r="M8" i="20" s="1"/>
  <c r="N86" i="22"/>
  <c r="N85" i="22"/>
  <c r="M29" i="23"/>
  <c r="M81" i="23"/>
  <c r="M158" i="23"/>
  <c r="M184" i="23"/>
  <c r="M183" i="23" s="1"/>
  <c r="M178" i="23"/>
  <c r="M149" i="23"/>
  <c r="M144" i="23"/>
  <c r="M143" i="23" s="1"/>
  <c r="M121" i="23"/>
  <c r="M99" i="23"/>
  <c r="M86" i="23" s="1"/>
  <c r="M56" i="23"/>
  <c r="M53" i="23" s="1"/>
  <c r="M52" i="23" s="1"/>
  <c r="M36" i="23"/>
  <c r="M10" i="23"/>
  <c r="M14" i="23"/>
  <c r="O7" i="22"/>
  <c r="O10" i="22"/>
  <c r="Q10" i="22" s="1"/>
  <c r="N86" i="23"/>
  <c r="N121" i="23"/>
  <c r="N109" i="23"/>
  <c r="N47" i="23"/>
  <c r="N53" i="23"/>
  <c r="N70" i="23"/>
  <c r="P55" i="22"/>
  <c r="O55" i="22"/>
  <c r="N29" i="23"/>
  <c r="P29" i="23" s="1"/>
  <c r="N116" i="23"/>
  <c r="N144" i="23"/>
  <c r="N149" i="23"/>
  <c r="P111" i="22"/>
  <c r="P7" i="22"/>
  <c r="O41" i="17"/>
  <c r="O4" i="23"/>
  <c r="O10" i="23"/>
  <c r="O14" i="23"/>
  <c r="P14" i="23" s="1"/>
  <c r="O19" i="23"/>
  <c r="O27" i="23"/>
  <c r="O25" i="23"/>
  <c r="P25" i="23" s="1"/>
  <c r="O34" i="23"/>
  <c r="P34" i="23" s="1"/>
  <c r="O41" i="23"/>
  <c r="P41" i="23" s="1"/>
  <c r="O47" i="23"/>
  <c r="O53" i="23"/>
  <c r="O70" i="23"/>
  <c r="O76" i="23"/>
  <c r="P76" i="23" s="1"/>
  <c r="O81" i="23"/>
  <c r="O86" i="23"/>
  <c r="O105" i="23"/>
  <c r="P105" i="23" s="1"/>
  <c r="O107" i="23"/>
  <c r="P107" i="23" s="1"/>
  <c r="P109" i="23"/>
  <c r="O116" i="23"/>
  <c r="O121" i="23"/>
  <c r="O135" i="23"/>
  <c r="O144" i="23"/>
  <c r="P144" i="23" s="1"/>
  <c r="O149" i="23"/>
  <c r="P149" i="23" s="1"/>
  <c r="O158" i="23"/>
  <c r="P158" i="23" s="1"/>
  <c r="O172" i="23"/>
  <c r="O178" i="23"/>
  <c r="O58" i="17"/>
  <c r="O6" i="17"/>
  <c r="N6" i="17"/>
  <c r="N68" i="17"/>
  <c r="N70" i="17"/>
  <c r="N105" i="17"/>
  <c r="P105" i="17" s="1"/>
  <c r="N28" i="17"/>
  <c r="N32" i="17"/>
  <c r="N27" i="17" s="1"/>
  <c r="N41" i="17"/>
  <c r="P41" i="17" s="1"/>
  <c r="N45" i="17"/>
  <c r="N40" i="17" s="1"/>
  <c r="N56" i="17"/>
  <c r="N58" i="17"/>
  <c r="P58" i="17" s="1"/>
  <c r="N61" i="17"/>
  <c r="N13" i="17"/>
  <c r="N18" i="17"/>
  <c r="O68" i="17"/>
  <c r="O70" i="17"/>
  <c r="P70" i="17" s="1"/>
  <c r="O28" i="17"/>
  <c r="O27" i="17" s="1"/>
  <c r="O45" i="17"/>
  <c r="O60" i="17"/>
  <c r="O13" i="17"/>
  <c r="O12" i="17" s="1"/>
  <c r="O18" i="17"/>
  <c r="N8" i="20"/>
  <c r="M5" i="20"/>
  <c r="N4" i="23"/>
  <c r="N10" i="23"/>
  <c r="P10" i="23" s="1"/>
  <c r="M28" i="17"/>
  <c r="M32" i="17"/>
  <c r="M27" i="17" s="1"/>
  <c r="M61" i="17"/>
  <c r="M60" i="17" s="1"/>
  <c r="M41" i="17"/>
  <c r="M40" i="17" s="1"/>
  <c r="M45" i="17"/>
  <c r="M56" i="17"/>
  <c r="M58" i="17"/>
  <c r="M6" i="17"/>
  <c r="L6" i="17"/>
  <c r="O59" i="22"/>
  <c r="M4" i="23"/>
  <c r="O5" i="20"/>
  <c r="O18" i="20" s="1"/>
  <c r="O7" i="19"/>
  <c r="O11" i="19"/>
  <c r="O19" i="19"/>
  <c r="O18" i="19" s="1"/>
  <c r="O44" i="19"/>
  <c r="M13" i="17"/>
  <c r="M12" i="17" s="1"/>
  <c r="M18" i="17"/>
  <c r="M17" i="17" s="1"/>
  <c r="M68" i="17"/>
  <c r="M70" i="17"/>
  <c r="M67" i="17" s="1"/>
  <c r="M105" i="17"/>
  <c r="M74" i="23"/>
  <c r="M170" i="23"/>
  <c r="M25" i="23"/>
  <c r="M4" i="21"/>
  <c r="M12" i="21" s="1"/>
  <c r="K14" i="56" s="1"/>
  <c r="N7" i="22"/>
  <c r="M34" i="23"/>
  <c r="M138" i="23"/>
  <c r="M43" i="23"/>
  <c r="M27" i="23"/>
  <c r="M41" i="23"/>
  <c r="M47" i="23"/>
  <c r="M70" i="23"/>
  <c r="M76" i="23"/>
  <c r="M105" i="23"/>
  <c r="M107" i="23"/>
  <c r="M116" i="23"/>
  <c r="M135" i="23"/>
  <c r="M172" i="23"/>
  <c r="M109" i="23"/>
  <c r="M19" i="23"/>
  <c r="L4" i="23"/>
  <c r="L10" i="23"/>
  <c r="L14" i="23"/>
  <c r="L25" i="23"/>
  <c r="L27" i="23"/>
  <c r="L29" i="23"/>
  <c r="L34" i="23"/>
  <c r="L36" i="23"/>
  <c r="L41" i="23"/>
  <c r="L47" i="23"/>
  <c r="L53" i="23"/>
  <c r="L52" i="23" s="1"/>
  <c r="L164" i="23"/>
  <c r="L163" i="23" s="1"/>
  <c r="L70" i="23"/>
  <c r="L76" i="23"/>
  <c r="L81" i="23"/>
  <c r="L86" i="23"/>
  <c r="L116" i="23"/>
  <c r="L121" i="23"/>
  <c r="L135" i="23"/>
  <c r="L138" i="23"/>
  <c r="L144" i="23"/>
  <c r="L149" i="23"/>
  <c r="L143" i="23" s="1"/>
  <c r="L19" i="23"/>
  <c r="L158" i="23"/>
  <c r="L172" i="23"/>
  <c r="L178" i="23"/>
  <c r="L184" i="23"/>
  <c r="L183" i="23" s="1"/>
  <c r="L109" i="23"/>
  <c r="L43" i="23"/>
  <c r="M99" i="22"/>
  <c r="M84" i="22"/>
  <c r="M93" i="22"/>
  <c r="M59" i="22"/>
  <c r="M55" i="22"/>
  <c r="M48" i="22"/>
  <c r="M40" i="22"/>
  <c r="M25" i="22"/>
  <c r="M111" i="22"/>
  <c r="N99" i="22"/>
  <c r="N55" i="22"/>
  <c r="N93" i="22"/>
  <c r="N59" i="22"/>
  <c r="N40" i="22"/>
  <c r="N48" i="22"/>
  <c r="N97" i="22"/>
  <c r="N25" i="22"/>
  <c r="N10" i="22"/>
  <c r="M7" i="19"/>
  <c r="M11" i="19"/>
  <c r="M6" i="19"/>
  <c r="M5" i="19" s="1"/>
  <c r="N4" i="21"/>
  <c r="N12" i="21" s="1"/>
  <c r="L14" i="56" s="1"/>
  <c r="O99" i="22"/>
  <c r="Q99" i="22" s="1"/>
  <c r="O93" i="22"/>
  <c r="Q93" i="22" s="1"/>
  <c r="O48" i="22"/>
  <c r="Q48" i="22" s="1"/>
  <c r="O40" i="22"/>
  <c r="O97" i="22"/>
  <c r="Q97" i="22" s="1"/>
  <c r="O111" i="22"/>
  <c r="B10" i="56"/>
  <c r="C10" i="56"/>
  <c r="D10" i="56"/>
  <c r="E10" i="56"/>
  <c r="I113" i="22"/>
  <c r="F10" i="56" s="1"/>
  <c r="J111" i="22"/>
  <c r="J113" i="22" s="1"/>
  <c r="G10" i="56" s="1"/>
  <c r="K111" i="22"/>
  <c r="K113" i="22" s="1"/>
  <c r="H10" i="56" s="1"/>
  <c r="L7" i="22"/>
  <c r="L99" i="22"/>
  <c r="L84" i="22"/>
  <c r="L93" i="22"/>
  <c r="L59" i="22"/>
  <c r="L55" i="22"/>
  <c r="L48" i="22"/>
  <c r="L40" i="22"/>
  <c r="L25" i="22"/>
  <c r="L10" i="22"/>
  <c r="L108" i="22"/>
  <c r="L111" i="22"/>
  <c r="D6" i="17"/>
  <c r="E6" i="17"/>
  <c r="E5" i="17" s="1"/>
  <c r="E12" i="17"/>
  <c r="E17" i="17"/>
  <c r="F6" i="17"/>
  <c r="F12" i="17"/>
  <c r="F17" i="17"/>
  <c r="G6" i="17"/>
  <c r="H6" i="17"/>
  <c r="I6" i="17"/>
  <c r="I13" i="17"/>
  <c r="I12" i="17" s="1"/>
  <c r="I24" i="17"/>
  <c r="I18" i="17" s="1"/>
  <c r="I17" i="17" s="1"/>
  <c r="I5" i="17" s="1"/>
  <c r="J6" i="17"/>
  <c r="K6" i="17"/>
  <c r="D4" i="23"/>
  <c r="D25" i="23"/>
  <c r="D27" i="23"/>
  <c r="D34" i="23"/>
  <c r="D41" i="23"/>
  <c r="D105" i="23"/>
  <c r="D107" i="23"/>
  <c r="D116" i="23"/>
  <c r="D135" i="23"/>
  <c r="E4" i="23"/>
  <c r="E198" i="23" s="1"/>
  <c r="E121" i="23"/>
  <c r="E25" i="23"/>
  <c r="E27" i="23"/>
  <c r="E34" i="23"/>
  <c r="E41" i="23"/>
  <c r="E105" i="23"/>
  <c r="E107" i="23"/>
  <c r="E116" i="23"/>
  <c r="E135" i="23"/>
  <c r="E138" i="23"/>
  <c r="F4" i="23"/>
  <c r="F25" i="23"/>
  <c r="F27" i="23"/>
  <c r="F34" i="23"/>
  <c r="F41" i="23"/>
  <c r="F105" i="23"/>
  <c r="F107" i="23"/>
  <c r="F116" i="23"/>
  <c r="F121" i="23"/>
  <c r="F135" i="23"/>
  <c r="F138" i="23"/>
  <c r="G4" i="23"/>
  <c r="G25" i="23"/>
  <c r="G27" i="23"/>
  <c r="G34" i="23"/>
  <c r="G41" i="23"/>
  <c r="G105" i="23"/>
  <c r="G107" i="23"/>
  <c r="G116" i="23"/>
  <c r="G135" i="23"/>
  <c r="G138" i="23"/>
  <c r="H4" i="23"/>
  <c r="H10" i="23"/>
  <c r="H14" i="23"/>
  <c r="H25" i="23"/>
  <c r="H27" i="23"/>
  <c r="H32" i="23"/>
  <c r="H29" i="23" s="1"/>
  <c r="H34" i="23"/>
  <c r="H36" i="23"/>
  <c r="H41" i="23"/>
  <c r="H70" i="23"/>
  <c r="H76" i="23"/>
  <c r="H116" i="23"/>
  <c r="H135" i="23"/>
  <c r="H172" i="23"/>
  <c r="H178" i="23"/>
  <c r="H19" i="23"/>
  <c r="H43" i="23"/>
  <c r="I4" i="23"/>
  <c r="I10" i="23"/>
  <c r="I14" i="23"/>
  <c r="I25" i="23"/>
  <c r="I27" i="23"/>
  <c r="I29" i="23"/>
  <c r="I34" i="23"/>
  <c r="I36" i="23"/>
  <c r="I41" i="23"/>
  <c r="I47" i="23"/>
  <c r="I53" i="23"/>
  <c r="I52" i="23" s="1"/>
  <c r="I19" i="23"/>
  <c r="I86" i="23"/>
  <c r="I121" i="23"/>
  <c r="I70" i="23"/>
  <c r="I76" i="23"/>
  <c r="I81" i="23"/>
  <c r="I105" i="23"/>
  <c r="I107" i="23"/>
  <c r="I116" i="23"/>
  <c r="I135" i="23"/>
  <c r="I138" i="23"/>
  <c r="I144" i="23"/>
  <c r="I149" i="23"/>
  <c r="I161" i="23"/>
  <c r="I158" i="23" s="1"/>
  <c r="I166" i="23"/>
  <c r="I167" i="23"/>
  <c r="I170" i="23"/>
  <c r="I172" i="23"/>
  <c r="I178" i="23"/>
  <c r="I184" i="23"/>
  <c r="I183" i="23" s="1"/>
  <c r="I109" i="23"/>
  <c r="I43" i="23"/>
  <c r="J4" i="23"/>
  <c r="J10" i="23"/>
  <c r="J14" i="23"/>
  <c r="J25" i="23"/>
  <c r="J27" i="23"/>
  <c r="J29" i="23"/>
  <c r="J34" i="23"/>
  <c r="J36" i="23"/>
  <c r="J41" i="23"/>
  <c r="J47" i="23"/>
  <c r="J53" i="23"/>
  <c r="J52" i="23" s="1"/>
  <c r="J70" i="23"/>
  <c r="J76" i="23"/>
  <c r="J81" i="23"/>
  <c r="J86" i="23"/>
  <c r="J105" i="23"/>
  <c r="J107" i="23"/>
  <c r="J116" i="23"/>
  <c r="J121" i="23"/>
  <c r="J135" i="23"/>
  <c r="J138" i="23"/>
  <c r="J144" i="23"/>
  <c r="J149" i="23"/>
  <c r="J158" i="23"/>
  <c r="J167" i="23"/>
  <c r="J164" i="23" s="1"/>
  <c r="J170" i="23"/>
  <c r="J172" i="23"/>
  <c r="J178" i="23"/>
  <c r="J187" i="23"/>
  <c r="J184" i="23" s="1"/>
  <c r="J183" i="23" s="1"/>
  <c r="J109" i="23"/>
  <c r="J19" i="23"/>
  <c r="J43" i="23"/>
  <c r="K4" i="23"/>
  <c r="K10" i="23"/>
  <c r="K14" i="23"/>
  <c r="K25" i="23"/>
  <c r="K27" i="23"/>
  <c r="K29" i="23"/>
  <c r="K34" i="23"/>
  <c r="K36" i="23"/>
  <c r="K41" i="23"/>
  <c r="K47" i="23"/>
  <c r="K53" i="23"/>
  <c r="K52" i="23" s="1"/>
  <c r="K70" i="23"/>
  <c r="K76" i="23"/>
  <c r="K81" i="23"/>
  <c r="K98" i="23"/>
  <c r="K103" i="23"/>
  <c r="K105" i="23"/>
  <c r="K107" i="23"/>
  <c r="K116" i="23"/>
  <c r="K121" i="23"/>
  <c r="K135" i="23"/>
  <c r="K138" i="23"/>
  <c r="K144" i="23"/>
  <c r="K149" i="23"/>
  <c r="K158" i="23"/>
  <c r="K164" i="23"/>
  <c r="K170" i="23"/>
  <c r="K172" i="23"/>
  <c r="K178" i="23"/>
  <c r="K184" i="23"/>
  <c r="K192" i="23"/>
  <c r="K194" i="23"/>
  <c r="K112" i="23"/>
  <c r="K109" i="23" s="1"/>
  <c r="K19" i="23"/>
  <c r="K46" i="23"/>
  <c r="K43" i="23" s="1"/>
  <c r="K74" i="23"/>
  <c r="D4" i="21"/>
  <c r="D12" i="21" s="1"/>
  <c r="B14" i="56" s="1"/>
  <c r="E4" i="21"/>
  <c r="E12" i="21" s="1"/>
  <c r="C14" i="56" s="1"/>
  <c r="F4" i="21"/>
  <c r="F12" i="21" s="1"/>
  <c r="D14" i="56" s="1"/>
  <c r="G4" i="21"/>
  <c r="G12" i="21" s="1"/>
  <c r="E14" i="56" s="1"/>
  <c r="H4" i="21"/>
  <c r="H12" i="21" s="1"/>
  <c r="F14" i="56" s="1"/>
  <c r="I4" i="21"/>
  <c r="I12" i="21" s="1"/>
  <c r="G14" i="56" s="1"/>
  <c r="J4" i="21"/>
  <c r="J12" i="21" s="1"/>
  <c r="H14" i="56" s="1"/>
  <c r="K4" i="21"/>
  <c r="K12" i="21" s="1"/>
  <c r="I14" i="56" s="1"/>
  <c r="L4" i="21"/>
  <c r="L12" i="21" s="1"/>
  <c r="J14" i="56" s="1"/>
  <c r="H184" i="23"/>
  <c r="D5" i="20"/>
  <c r="E5" i="20"/>
  <c r="E18" i="20" s="1"/>
  <c r="C13" i="56" s="1"/>
  <c r="F5" i="20"/>
  <c r="F18" i="20" s="1"/>
  <c r="D13" i="56" s="1"/>
  <c r="G5" i="20"/>
  <c r="H5" i="20"/>
  <c r="I5" i="20"/>
  <c r="J5" i="20"/>
  <c r="K5" i="20"/>
  <c r="L5" i="20"/>
  <c r="L8" i="20"/>
  <c r="L18" i="20" s="1"/>
  <c r="J13" i="56" s="1"/>
  <c r="D8" i="20"/>
  <c r="G9" i="20"/>
  <c r="G8" i="20" s="1"/>
  <c r="G18" i="20" s="1"/>
  <c r="E13" i="56" s="1"/>
  <c r="H8" i="20"/>
  <c r="I8" i="20"/>
  <c r="J8" i="20"/>
  <c r="K8" i="20"/>
  <c r="D7" i="19"/>
  <c r="D11" i="19"/>
  <c r="E7" i="19"/>
  <c r="E11" i="19"/>
  <c r="F7" i="19"/>
  <c r="F11" i="19"/>
  <c r="G7" i="19"/>
  <c r="G11" i="19"/>
  <c r="H7" i="19"/>
  <c r="H11" i="19"/>
  <c r="I7" i="19"/>
  <c r="I11" i="19"/>
  <c r="J7" i="19"/>
  <c r="J11" i="19"/>
  <c r="K7" i="19"/>
  <c r="K11" i="19"/>
  <c r="L7" i="19"/>
  <c r="L11" i="19"/>
  <c r="N7" i="19"/>
  <c r="P7" i="19" s="1"/>
  <c r="N11" i="19"/>
  <c r="D18" i="19"/>
  <c r="D45" i="19"/>
  <c r="D44" i="19"/>
  <c r="D17" i="19" s="1"/>
  <c r="E18" i="19"/>
  <c r="E45" i="19"/>
  <c r="E44" i="19" s="1"/>
  <c r="E17" i="19" s="1"/>
  <c r="F18" i="19"/>
  <c r="F45" i="19"/>
  <c r="F44" i="19" s="1"/>
  <c r="F17" i="19" s="1"/>
  <c r="G18" i="19"/>
  <c r="G45" i="19"/>
  <c r="G44" i="19" s="1"/>
  <c r="I18" i="19"/>
  <c r="I45" i="19"/>
  <c r="I44" i="19"/>
  <c r="J18" i="19"/>
  <c r="J45" i="19"/>
  <c r="J44" i="19" s="1"/>
  <c r="J17" i="19" s="1"/>
  <c r="K18" i="19"/>
  <c r="K45" i="19"/>
  <c r="K44" i="19" s="1"/>
  <c r="K17" i="19" s="1"/>
  <c r="L18" i="19"/>
  <c r="L17" i="19" s="1"/>
  <c r="M45" i="19"/>
  <c r="M44" i="19" s="1"/>
  <c r="N19" i="19"/>
  <c r="N44" i="19"/>
  <c r="P44" i="19" s="1"/>
  <c r="H45" i="19"/>
  <c r="H44" i="19" s="1"/>
  <c r="D12" i="17"/>
  <c r="D17" i="17"/>
  <c r="G12" i="17"/>
  <c r="L13" i="17"/>
  <c r="L12" i="17" s="1"/>
  <c r="L18" i="17"/>
  <c r="L17" i="17" s="1"/>
  <c r="L28" i="17"/>
  <c r="L32" i="17"/>
  <c r="L41" i="17"/>
  <c r="L45" i="17"/>
  <c r="L56" i="17"/>
  <c r="L58" i="17"/>
  <c r="L61" i="17"/>
  <c r="L60" i="17" s="1"/>
  <c r="L68" i="17"/>
  <c r="L67" i="17" s="1"/>
  <c r="L105" i="17"/>
  <c r="J13" i="17"/>
  <c r="J12" i="17" s="1"/>
  <c r="J18" i="17"/>
  <c r="J17" i="17" s="1"/>
  <c r="K13" i="17"/>
  <c r="K12" i="17" s="1"/>
  <c r="G17" i="17"/>
  <c r="H18" i="17"/>
  <c r="H17" i="17" s="1"/>
  <c r="H5" i="17" s="1"/>
  <c r="H68" i="17"/>
  <c r="H67" i="17" s="1"/>
  <c r="H66" i="17" s="1"/>
  <c r="H105" i="17"/>
  <c r="K24" i="17"/>
  <c r="K18" i="17" s="1"/>
  <c r="K17" i="17" s="1"/>
  <c r="E32" i="17"/>
  <c r="E27" i="17" s="1"/>
  <c r="E41" i="17"/>
  <c r="E56" i="17"/>
  <c r="E58" i="17"/>
  <c r="E60" i="17"/>
  <c r="G32" i="17"/>
  <c r="G27" i="17" s="1"/>
  <c r="G41" i="17"/>
  <c r="G56" i="17"/>
  <c r="G40" i="17" s="1"/>
  <c r="G26" i="17" s="1"/>
  <c r="G58" i="17"/>
  <c r="G60" i="17"/>
  <c r="I28" i="17"/>
  <c r="J28" i="17"/>
  <c r="J32" i="17"/>
  <c r="K28" i="17"/>
  <c r="D32" i="17"/>
  <c r="D27" i="17" s="1"/>
  <c r="F32" i="17"/>
  <c r="F27" i="17" s="1"/>
  <c r="F41" i="17"/>
  <c r="F56" i="17"/>
  <c r="F40" i="17" s="1"/>
  <c r="F58" i="17"/>
  <c r="F60" i="17"/>
  <c r="I32" i="17"/>
  <c r="K38" i="17"/>
  <c r="K32" i="17" s="1"/>
  <c r="D41" i="17"/>
  <c r="D56" i="17"/>
  <c r="H41" i="17"/>
  <c r="H56" i="17"/>
  <c r="I41" i="17"/>
  <c r="J41" i="17"/>
  <c r="J55" i="17"/>
  <c r="J45" i="17" s="1"/>
  <c r="J56" i="17"/>
  <c r="J58" i="17"/>
  <c r="J61" i="17"/>
  <c r="J60" i="17" s="1"/>
  <c r="K41" i="17"/>
  <c r="K49" i="17"/>
  <c r="I50" i="17"/>
  <c r="I51" i="17"/>
  <c r="I55" i="17"/>
  <c r="K52" i="17"/>
  <c r="K55" i="17"/>
  <c r="I56" i="17"/>
  <c r="K56" i="17"/>
  <c r="D58" i="17"/>
  <c r="H58" i="17"/>
  <c r="I58" i="17"/>
  <c r="K58" i="17"/>
  <c r="D60" i="17"/>
  <c r="I61" i="17"/>
  <c r="I60" i="17" s="1"/>
  <c r="K64" i="17"/>
  <c r="K61" i="17"/>
  <c r="K60" i="17" s="1"/>
  <c r="D68" i="17"/>
  <c r="D67" i="17" s="1"/>
  <c r="D105" i="17"/>
  <c r="E68" i="17"/>
  <c r="E67" i="17" s="1"/>
  <c r="E105" i="17"/>
  <c r="F68" i="17"/>
  <c r="F67" i="17" s="1"/>
  <c r="G68" i="17"/>
  <c r="G67" i="17" s="1"/>
  <c r="G66" i="17" s="1"/>
  <c r="G105" i="17"/>
  <c r="I68" i="17"/>
  <c r="I70" i="17"/>
  <c r="J68" i="17"/>
  <c r="J92" i="17"/>
  <c r="J70" i="17"/>
  <c r="K68" i="17"/>
  <c r="K78" i="17"/>
  <c r="K85" i="17"/>
  <c r="K106" i="17"/>
  <c r="K105" i="17" s="1"/>
  <c r="F105" i="17"/>
  <c r="I106" i="17"/>
  <c r="I105" i="17" s="1"/>
  <c r="J106" i="17"/>
  <c r="J105" i="17" s="1"/>
  <c r="M19" i="19"/>
  <c r="M18" i="19" s="1"/>
  <c r="N5" i="20"/>
  <c r="O6" i="19"/>
  <c r="L113" i="22"/>
  <c r="I10" i="56" s="1"/>
  <c r="K163" i="23"/>
  <c r="K143" i="23"/>
  <c r="F5" i="17"/>
  <c r="N143" i="23"/>
  <c r="K86" i="23"/>
  <c r="M17" i="19" l="1"/>
  <c r="M48" i="19" s="1"/>
  <c r="K9" i="56" s="1"/>
  <c r="N6" i="19"/>
  <c r="N5" i="19" s="1"/>
  <c r="P5" i="20"/>
  <c r="D40" i="17"/>
  <c r="K27" i="17"/>
  <c r="L27" i="17"/>
  <c r="D5" i="17"/>
  <c r="G17" i="19"/>
  <c r="P11" i="19"/>
  <c r="K6" i="19"/>
  <c r="K5" i="19" s="1"/>
  <c r="J6" i="19"/>
  <c r="J5" i="19" s="1"/>
  <c r="J48" i="19" s="1"/>
  <c r="H9" i="56" s="1"/>
  <c r="H11" i="56" s="1"/>
  <c r="H6" i="19"/>
  <c r="H5" i="19" s="1"/>
  <c r="H48" i="19" s="1"/>
  <c r="F9" i="56" s="1"/>
  <c r="G6" i="19"/>
  <c r="G5" i="19" s="1"/>
  <c r="D6" i="19"/>
  <c r="D5" i="19" s="1"/>
  <c r="K18" i="20"/>
  <c r="I13" i="56" s="1"/>
  <c r="I18" i="20"/>
  <c r="G13" i="56" s="1"/>
  <c r="P45" i="17"/>
  <c r="P56" i="17"/>
  <c r="N84" i="22"/>
  <c r="P138" i="23"/>
  <c r="J163" i="23"/>
  <c r="I143" i="23"/>
  <c r="J5" i="17"/>
  <c r="K70" i="17"/>
  <c r="K67" i="17" s="1"/>
  <c r="I67" i="17"/>
  <c r="H40" i="17"/>
  <c r="E40" i="17"/>
  <c r="L40" i="17"/>
  <c r="L6" i="19"/>
  <c r="L5" i="19" s="1"/>
  <c r="I6" i="19"/>
  <c r="I5" i="19" s="1"/>
  <c r="F6" i="19"/>
  <c r="F5" i="19" s="1"/>
  <c r="F48" i="19" s="1"/>
  <c r="D9" i="56" s="1"/>
  <c r="D11" i="56" s="1"/>
  <c r="E6" i="19"/>
  <c r="E5" i="19" s="1"/>
  <c r="J18" i="20"/>
  <c r="H13" i="56" s="1"/>
  <c r="H15" i="56" s="1"/>
  <c r="H18" i="20"/>
  <c r="F13" i="56" s="1"/>
  <c r="K183" i="23"/>
  <c r="I164" i="23"/>
  <c r="I163" i="23" s="1"/>
  <c r="G198" i="23"/>
  <c r="D198" i="23"/>
  <c r="M113" i="22"/>
  <c r="J10" i="56" s="1"/>
  <c r="N18" i="20"/>
  <c r="L13" i="56" s="1"/>
  <c r="O67" i="17"/>
  <c r="O66" i="17" s="1"/>
  <c r="M18" i="20"/>
  <c r="K13" i="56" s="1"/>
  <c r="J67" i="17"/>
  <c r="J66" i="17" s="1"/>
  <c r="I45" i="17"/>
  <c r="I40" i="17" s="1"/>
  <c r="K48" i="19"/>
  <c r="I9" i="56" s="1"/>
  <c r="I11" i="56" s="1"/>
  <c r="I17" i="19"/>
  <c r="I48" i="19" s="1"/>
  <c r="G9" i="56" s="1"/>
  <c r="D48" i="19"/>
  <c r="B9" i="56" s="1"/>
  <c r="B11" i="56" s="1"/>
  <c r="P86" i="23"/>
  <c r="E6" i="56"/>
  <c r="B6" i="56"/>
  <c r="E48" i="19"/>
  <c r="C9" i="56" s="1"/>
  <c r="C11" i="56" s="1"/>
  <c r="O5" i="19"/>
  <c r="P5" i="19" s="1"/>
  <c r="I66" i="17"/>
  <c r="E26" i="17"/>
  <c r="L48" i="19"/>
  <c r="J9" i="56" s="1"/>
  <c r="J11" i="56" s="1"/>
  <c r="G48" i="19"/>
  <c r="E9" i="56" s="1"/>
  <c r="E11" i="56" s="1"/>
  <c r="J15" i="56"/>
  <c r="I198" i="23"/>
  <c r="G5" i="17"/>
  <c r="O113" i="22"/>
  <c r="Q111" i="22"/>
  <c r="N113" i="22"/>
  <c r="K10" i="56" s="1"/>
  <c r="L198" i="23"/>
  <c r="P68" i="17"/>
  <c r="P81" i="23"/>
  <c r="P27" i="23"/>
  <c r="P53" i="23"/>
  <c r="N52" i="23"/>
  <c r="Q40" i="22"/>
  <c r="P6" i="19"/>
  <c r="M26" i="17"/>
  <c r="C6" i="56"/>
  <c r="P113" i="22"/>
  <c r="F66" i="17"/>
  <c r="E66" i="17"/>
  <c r="D66" i="17"/>
  <c r="K45" i="17"/>
  <c r="K40" i="17" s="1"/>
  <c r="K26" i="17" s="1"/>
  <c r="J40" i="17"/>
  <c r="D26" i="17"/>
  <c r="F26" i="17"/>
  <c r="F108" i="17" s="1"/>
  <c r="D5" i="56" s="1"/>
  <c r="L66" i="17"/>
  <c r="D18" i="20"/>
  <c r="B13" i="56" s="1"/>
  <c r="B15" i="56" s="1"/>
  <c r="M66" i="17"/>
  <c r="P18" i="17"/>
  <c r="N17" i="17"/>
  <c r="P70" i="23"/>
  <c r="M163" i="23"/>
  <c r="M198" i="23" s="1"/>
  <c r="P8" i="20"/>
  <c r="Q25" i="22"/>
  <c r="I27" i="17"/>
  <c r="I26" i="17" s="1"/>
  <c r="J27" i="17"/>
  <c r="L26" i="17"/>
  <c r="N18" i="19"/>
  <c r="P19" i="19"/>
  <c r="J143" i="23"/>
  <c r="J198" i="23" s="1"/>
  <c r="F198" i="23"/>
  <c r="O17" i="19"/>
  <c r="O48" i="19" s="1"/>
  <c r="M9" i="56" s="1"/>
  <c r="P4" i="23"/>
  <c r="O17" i="17"/>
  <c r="P13" i="17"/>
  <c r="P6" i="17"/>
  <c r="P172" i="23"/>
  <c r="P116" i="23"/>
  <c r="Q7" i="22"/>
  <c r="Q55" i="22"/>
  <c r="P47" i="23"/>
  <c r="P19" i="23"/>
  <c r="P4" i="21"/>
  <c r="P18" i="20"/>
  <c r="M13" i="56"/>
  <c r="K66" i="17"/>
  <c r="D108" i="17"/>
  <c r="B5" i="56" s="1"/>
  <c r="B7" i="56" s="1"/>
  <c r="H108" i="17"/>
  <c r="F5" i="56" s="1"/>
  <c r="M5" i="17"/>
  <c r="K5" i="17"/>
  <c r="N12" i="17"/>
  <c r="P12" i="17" s="1"/>
  <c r="N60" i="17"/>
  <c r="P60" i="17" s="1"/>
  <c r="P61" i="17"/>
  <c r="P32" i="17"/>
  <c r="L5" i="17"/>
  <c r="P27" i="17"/>
  <c r="P28" i="17"/>
  <c r="P12" i="21"/>
  <c r="Q59" i="22"/>
  <c r="Q113" i="22"/>
  <c r="M10" i="56"/>
  <c r="P183" i="23"/>
  <c r="P178" i="23"/>
  <c r="P163" i="23"/>
  <c r="P164" i="23"/>
  <c r="P135" i="23"/>
  <c r="P121" i="23"/>
  <c r="O52" i="23"/>
  <c r="J26" i="17"/>
  <c r="J108" i="17" s="1"/>
  <c r="H5" i="56" s="1"/>
  <c r="O40" i="17"/>
  <c r="F15" i="56"/>
  <c r="G15" i="56"/>
  <c r="D15" i="56"/>
  <c r="C15" i="56"/>
  <c r="F11" i="56"/>
  <c r="K11" i="56"/>
  <c r="I15" i="56"/>
  <c r="E15" i="56"/>
  <c r="G11" i="56"/>
  <c r="K15" i="56"/>
  <c r="H198" i="23"/>
  <c r="K198" i="23"/>
  <c r="N198" i="23"/>
  <c r="L6" i="56" s="1"/>
  <c r="O143" i="23"/>
  <c r="N67" i="17"/>
  <c r="L15" i="56" l="1"/>
  <c r="B19" i="56"/>
  <c r="E108" i="17"/>
  <c r="C5" i="56" s="1"/>
  <c r="C7" i="56" s="1"/>
  <c r="C19" i="56" s="1"/>
  <c r="L108" i="17"/>
  <c r="J5" i="56" s="1"/>
  <c r="P17" i="17"/>
  <c r="I6" i="56"/>
  <c r="F6" i="56"/>
  <c r="F7" i="56" s="1"/>
  <c r="F19" i="56" s="1"/>
  <c r="O5" i="17"/>
  <c r="P40" i="17"/>
  <c r="I108" i="17"/>
  <c r="G5" i="56" s="1"/>
  <c r="D6" i="56"/>
  <c r="D7" i="56" s="1"/>
  <c r="D19" i="56" s="1"/>
  <c r="J6" i="56"/>
  <c r="J7" i="56" s="1"/>
  <c r="J19" i="56" s="1"/>
  <c r="L10" i="56"/>
  <c r="P143" i="23"/>
  <c r="K6" i="56"/>
  <c r="H6" i="56"/>
  <c r="H7" i="56" s="1"/>
  <c r="H19" i="56" s="1"/>
  <c r="N17" i="19"/>
  <c r="P18" i="19"/>
  <c r="P52" i="23"/>
  <c r="G6" i="56"/>
  <c r="G108" i="17"/>
  <c r="E5" i="56" s="1"/>
  <c r="E7" i="56" s="1"/>
  <c r="E19" i="56" s="1"/>
  <c r="N13" i="56"/>
  <c r="N66" i="17"/>
  <c r="P67" i="17"/>
  <c r="K108" i="17"/>
  <c r="I5" i="56" s="1"/>
  <c r="N5" i="17"/>
  <c r="M108" i="17"/>
  <c r="K5" i="56" s="1"/>
  <c r="N26" i="17"/>
  <c r="M14" i="56"/>
  <c r="O198" i="23"/>
  <c r="M11" i="56"/>
  <c r="I7" i="56"/>
  <c r="I19" i="56" s="1"/>
  <c r="O26" i="17"/>
  <c r="N10" i="56" l="1"/>
  <c r="K7" i="56"/>
  <c r="K19" i="56" s="1"/>
  <c r="P26" i="17"/>
  <c r="G7" i="56"/>
  <c r="G19" i="56" s="1"/>
  <c r="N48" i="19"/>
  <c r="P17" i="19"/>
  <c r="N14" i="56"/>
  <c r="N108" i="17"/>
  <c r="L5" i="56" s="1"/>
  <c r="P66" i="17"/>
  <c r="P5" i="17"/>
  <c r="P198" i="23"/>
  <c r="M15" i="56"/>
  <c r="M6" i="56"/>
  <c r="O108" i="17"/>
  <c r="L9" i="56" l="1"/>
  <c r="P48" i="19"/>
  <c r="L7" i="56"/>
  <c r="P108" i="17"/>
  <c r="M5" i="56"/>
  <c r="N6" i="56"/>
  <c r="N9" i="56" l="1"/>
  <c r="L11" i="56"/>
  <c r="L19" i="56" s="1"/>
  <c r="N5" i="56"/>
  <c r="M7" i="56"/>
  <c r="M19" i="56" s="1"/>
</calcChain>
</file>

<file path=xl/sharedStrings.xml><?xml version="1.0" encoding="utf-8"?>
<sst xmlns="http://schemas.openxmlformats.org/spreadsheetml/2006/main" count="649" uniqueCount="441">
  <si>
    <t>Transfery na  kultúru - Taliansko</t>
  </si>
  <si>
    <t>Transfery na  kultúru - FS Levočan</t>
  </si>
  <si>
    <t xml:space="preserve">Kostol sv. Jakuba </t>
  </si>
  <si>
    <t>Hradby</t>
  </si>
  <si>
    <t xml:space="preserve">PD Košická ulica č. 26 </t>
  </si>
  <si>
    <t>Príjem za  Detské Jasle</t>
  </si>
  <si>
    <t>Transfer pre MsKS</t>
  </si>
  <si>
    <t>Divadlo - MsKS</t>
  </si>
  <si>
    <t>Knižnica - MsKS</t>
  </si>
  <si>
    <t>Galéria - MsKS</t>
  </si>
  <si>
    <t>Kino - MsKS</t>
  </si>
  <si>
    <t>Dni Majstra Pavla - MsKS</t>
  </si>
  <si>
    <t>ZUŠ</t>
  </si>
  <si>
    <t>Časť 1.1 Bežný rozpočet</t>
  </si>
  <si>
    <t>Časť 1.1.1. Príjmy bežného rozpočtu</t>
  </si>
  <si>
    <t>Časť 1.1.2. Výdavky bežného rozpočtu</t>
  </si>
  <si>
    <t>Časť 1.2. Kapitálový rozpočet</t>
  </si>
  <si>
    <t>Časť 1.2.1. Príjmy kapitálového rozpočtu</t>
  </si>
  <si>
    <t>Časť 1.2.2. Výdavky kapitálového rozpočtu</t>
  </si>
  <si>
    <t xml:space="preserve">Časť II. Finančné operácie </t>
  </si>
  <si>
    <t xml:space="preserve">Časť 2.1. Príjmové finančné operácie </t>
  </si>
  <si>
    <t>01.3.3</t>
  </si>
  <si>
    <t>Vysielanie mestskej televízie</t>
  </si>
  <si>
    <t xml:space="preserve">     pokuty, penále, vecné bremená</t>
  </si>
  <si>
    <t xml:space="preserve">     z prenájmu bytov </t>
  </si>
  <si>
    <t xml:space="preserve">     z prenájmu nebyt. priestorov</t>
  </si>
  <si>
    <t>Nakladanie s odpadovými vodami</t>
  </si>
  <si>
    <t>04.5.1</t>
  </si>
  <si>
    <t>Dopravné značenie</t>
  </si>
  <si>
    <t>Doprava</t>
  </si>
  <si>
    <t xml:space="preserve">členské </t>
  </si>
  <si>
    <t>Prebytok/schodok finančného hospodárenia</t>
  </si>
  <si>
    <t>Rekapitulácia</t>
  </si>
  <si>
    <t>Prebytok/schodok  hospodárenia</t>
  </si>
  <si>
    <t>Recyklačný fond</t>
  </si>
  <si>
    <t xml:space="preserve">Dni Majstra Pavla </t>
  </si>
  <si>
    <t>Školský úrad</t>
  </si>
  <si>
    <t>08.1.0</t>
  </si>
  <si>
    <t>Rekreačné a športové služby</t>
  </si>
  <si>
    <t>06.1.0</t>
  </si>
  <si>
    <t>Rozvoj bývania</t>
  </si>
  <si>
    <t>Parkovacie plochy - etapa 3.2</t>
  </si>
  <si>
    <t>Pódium</t>
  </si>
  <si>
    <t>Premostenie Lev. Potoka</t>
  </si>
  <si>
    <t>Parkovacie plochy</t>
  </si>
  <si>
    <t>Dom meštiansky - galéria</t>
  </si>
  <si>
    <t>prevencia kriminality</t>
  </si>
  <si>
    <t>NMP č.4</t>
  </si>
  <si>
    <t>Prestavba NMP II. etapa</t>
  </si>
  <si>
    <t>HPZ</t>
  </si>
  <si>
    <t>Kapitálové</t>
  </si>
  <si>
    <t>Karpatské klim. mestečká</t>
  </si>
  <si>
    <t>Kapitalové príjmy celkom</t>
  </si>
  <si>
    <t>d</t>
  </si>
  <si>
    <t>Krátkodobé úvery</t>
  </si>
  <si>
    <t>Dlhodobé úvery</t>
  </si>
  <si>
    <t>Prevod - fond tepelného hospodárstva</t>
  </si>
  <si>
    <t>Finančné operácie celkom</t>
  </si>
  <si>
    <t xml:space="preserve">Časť 2.2. Výdavkové finančné operácie </t>
  </si>
  <si>
    <t>a</t>
  </si>
  <si>
    <t>Splácanie bankových úverov dlhodobých</t>
  </si>
  <si>
    <t>Splácanie bankových úverov krátkodobých</t>
  </si>
  <si>
    <t>Splácanie bankových úverov ŠFRB</t>
  </si>
  <si>
    <t>Prevod na fond nevyčerpaných dotácií</t>
  </si>
  <si>
    <t>c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</si>
  <si>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</si>
  <si>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</si>
  <si>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</si>
  <si>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</si>
  <si>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</si>
  <si>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</si>
  <si>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 xml:space="preserve">Finanč.a rozpočt.oblasť </t>
  </si>
  <si>
    <t>Auditorská činnosť</t>
  </si>
  <si>
    <t>Poplatky banke</t>
  </si>
  <si>
    <t>Daň z príjmu</t>
  </si>
  <si>
    <t>Iné všeobecné služby-matrika</t>
  </si>
  <si>
    <t>01.6.0</t>
  </si>
  <si>
    <t>REGOB</t>
  </si>
  <si>
    <t>voľby</t>
  </si>
  <si>
    <t>01.7.0</t>
  </si>
  <si>
    <t>Splátka úrokov bankám</t>
  </si>
  <si>
    <t>02.2.0.</t>
  </si>
  <si>
    <t>Vojenská obrana</t>
  </si>
  <si>
    <t>Civilná ochrana</t>
  </si>
  <si>
    <t>Policajné služby-mestská polícia</t>
  </si>
  <si>
    <t>leasing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</si>
  <si>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</si>
  <si>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</si>
  <si>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</si>
  <si>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</si>
  <si>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</si>
  <si>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</si>
  <si>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</si>
  <si>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</si>
  <si>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Údržba ciest - Technické služby</t>
  </si>
  <si>
    <t>Cestná doprava / transfer SAD /</t>
  </si>
  <si>
    <t xml:space="preserve">Informačná kancelária </t>
  </si>
  <si>
    <t>Propagácia, reklama a inzercia</t>
  </si>
  <si>
    <t>Projekt - rozvoj turizmu v regióne</t>
  </si>
  <si>
    <t>UNESCO</t>
  </si>
  <si>
    <t>Slovenské kráľovské mestá</t>
  </si>
  <si>
    <t>Medzinárodný zraz turistov</t>
  </si>
  <si>
    <t>Značenie Levočské vrchy</t>
  </si>
  <si>
    <t>Lyžiarske trate</t>
  </si>
  <si>
    <t>04.9.0</t>
  </si>
  <si>
    <t>Chránená dielňa</t>
  </si>
  <si>
    <t>600</t>
  </si>
  <si>
    <t>Uzat.a rek.skládky KO D.Stráže</t>
  </si>
  <si>
    <t>05.2.0</t>
  </si>
  <si>
    <t>ČOV, parkoviská - stočné</t>
  </si>
  <si>
    <t>0</t>
  </si>
  <si>
    <t xml:space="preserve">Životné prostredie </t>
  </si>
  <si>
    <t>Protipovodňové aktivity</t>
  </si>
  <si>
    <t>oddychová zóna</t>
  </si>
  <si>
    <t>modernizácia verejných priestranstiev</t>
  </si>
  <si>
    <t>Povodne</t>
  </si>
  <si>
    <t>Obnova hradobného múru</t>
  </si>
  <si>
    <t xml:space="preserve">Prestavba NMP I. etapa </t>
  </si>
  <si>
    <t xml:space="preserve">Znalecký posudok </t>
  </si>
  <si>
    <t>Územný plán mesta</t>
  </si>
  <si>
    <t>Urbanistická štúdia pre IBV</t>
  </si>
  <si>
    <t>Oplotenie zimného štadióna</t>
  </si>
  <si>
    <t>Hnedý priemyselný park</t>
  </si>
  <si>
    <t>Verejná zeleň - Technické služby</t>
  </si>
  <si>
    <t>06.3.0</t>
  </si>
  <si>
    <t>Voda - Lev.Lúky</t>
  </si>
  <si>
    <t>Technické služby</t>
  </si>
  <si>
    <t>Bývanie a občianska vybavenosť</t>
  </si>
  <si>
    <t>Transfery pre šport a telovýchovu</t>
  </si>
  <si>
    <t>Transfer pre TS (SÚZ)</t>
  </si>
  <si>
    <t>Ostat.trans.pre šport a telových.</t>
  </si>
  <si>
    <t>Náklady na obradné siene / APO/</t>
  </si>
  <si>
    <t>Ostatné transfery na  kultúru</t>
  </si>
  <si>
    <t>08.3.0.</t>
  </si>
  <si>
    <t>Rozpočet kapitál. výdavky celkom</t>
  </si>
  <si>
    <t>Funkčná klasifikácia</t>
  </si>
  <si>
    <t>Ukazovateľ</t>
  </si>
  <si>
    <t>630</t>
  </si>
  <si>
    <t>Zásobovanie vodou</t>
  </si>
  <si>
    <t>Štátny fond rozvoja bývania</t>
  </si>
  <si>
    <t>Detské jasle</t>
  </si>
  <si>
    <t>Finančné operácie</t>
  </si>
  <si>
    <t>08.2.0.</t>
  </si>
  <si>
    <t>06.6.0</t>
  </si>
  <si>
    <t>01.7</t>
  </si>
  <si>
    <t>Transakcie verejného dlhu</t>
  </si>
  <si>
    <t>04.4.3</t>
  </si>
  <si>
    <t>Výstavba</t>
  </si>
  <si>
    <t>08.4.0</t>
  </si>
  <si>
    <t>Stavebný úrad</t>
  </si>
  <si>
    <t>05.4.0</t>
  </si>
  <si>
    <t>03.1.0</t>
  </si>
  <si>
    <t>Policajné služby</t>
  </si>
  <si>
    <t>05.1.0</t>
  </si>
  <si>
    <t>Nakladanie s odpadmi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</si>
  <si>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</si>
  <si>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</si>
  <si>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</si>
  <si>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</si>
  <si>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</si>
  <si>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</si>
  <si>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</si>
  <si>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</si>
  <si>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</si>
  <si>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08.2.0</t>
  </si>
  <si>
    <t>Verejné osvetlenie</t>
  </si>
  <si>
    <t>06.4.0</t>
  </si>
  <si>
    <t>Kostol sv. Jakuba - veža</t>
  </si>
  <si>
    <t>Sanácia miest s nelegálnym odpadom</t>
  </si>
  <si>
    <t>Transfer pre TS</t>
  </si>
  <si>
    <t>MŠ Francisciho - teplo</t>
  </si>
  <si>
    <t>MŠ Francisciho - strecha</t>
  </si>
  <si>
    <t>Príjmy z prevodov peňaž. Fondov obcí FRB</t>
  </si>
  <si>
    <t>fond nevyčerpaných dotácií</t>
  </si>
  <si>
    <t xml:space="preserve">predaj akcií </t>
  </si>
  <si>
    <t>Prevod investičný fond</t>
  </si>
  <si>
    <t>04.7.3</t>
  </si>
  <si>
    <t>Cestovný ruch</t>
  </si>
  <si>
    <t>Kultúrne služby</t>
  </si>
  <si>
    <t>Partnerské mestá</t>
  </si>
  <si>
    <t>Na  obnovu kult. Pamiatok</t>
  </si>
  <si>
    <t>Spolufinancovanie projektov</t>
  </si>
  <si>
    <t>PD - cesta Mariánska hora</t>
  </si>
  <si>
    <t>MPV  - cesta Mariánska hora</t>
  </si>
  <si>
    <t>Kategória</t>
  </si>
  <si>
    <t>Položka</t>
  </si>
  <si>
    <t>U k a z o v a t e ľ</t>
  </si>
  <si>
    <t>čerpanie k 31.12.2006</t>
  </si>
  <si>
    <t>čerpanie k 31.12.2007</t>
  </si>
  <si>
    <t>čerpanie k 31.12.2008</t>
  </si>
  <si>
    <t>čerpanie k 31.12.2009</t>
  </si>
  <si>
    <t>čerpanie k 31.12.2010</t>
  </si>
  <si>
    <t>Čerpanie rozpočtu 2011</t>
  </si>
  <si>
    <t>Čerpanie rozpočtu 2012</t>
  </si>
  <si>
    <t>Čerpanie rozpočtu 2013</t>
  </si>
  <si>
    <t>Čerpanie rozpočtu 2014</t>
  </si>
  <si>
    <t>b</t>
  </si>
  <si>
    <t>Daňové príjmy</t>
  </si>
  <si>
    <t>dane z príj.,ziskov kapitalového majetku</t>
  </si>
  <si>
    <t>Výnos dane z príjmov poukázaný územnej samospráve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</si>
  <si>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</si>
  <si>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</si>
  <si>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</si>
  <si>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</si>
  <si>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</si>
  <si>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</si>
  <si>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</si>
  <si>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</si>
  <si>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</si>
  <si>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</si>
  <si>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</si>
  <si>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</si>
  <si>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</si>
  <si>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</si>
  <si>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</si>
  <si>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</si>
  <si>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</si>
  <si>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</si>
  <si>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</si>
  <si>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</si>
  <si>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</si>
  <si>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</si>
  <si>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</si>
  <si>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</si>
  <si>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</si>
  <si>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</si>
  <si>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</si>
  <si>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</si>
  <si>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</si>
  <si>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>Poplatky a platby z nepr. a náh.pr.služ.</t>
  </si>
  <si>
    <t>Príjem za opatrovateľskú službu</t>
  </si>
  <si>
    <t>Za propagáciu</t>
  </si>
  <si>
    <t>Obce TKO</t>
  </si>
  <si>
    <t>Za stravné v Jedálni-šek</t>
  </si>
  <si>
    <t>Za stravné ostatné -zamestnanci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</si>
  <si>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</si>
  <si>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</si>
  <si>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</si>
  <si>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</si>
  <si>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</si>
  <si>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</si>
  <si>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</si>
  <si>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</si>
  <si>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</si>
  <si>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</si>
  <si>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</si>
  <si>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</si>
  <si>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</si>
  <si>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</si>
  <si>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</si>
  <si>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</si>
  <si>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</si>
  <si>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</si>
  <si>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</si>
  <si>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</si>
  <si>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</si>
  <si>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</si>
  <si>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</si>
  <si>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</si>
  <si>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</si>
  <si>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</si>
  <si>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</si>
  <si>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sociálna práca</t>
  </si>
  <si>
    <t>Transfer REGOB</t>
  </si>
  <si>
    <t>Vojnové hroby</t>
  </si>
  <si>
    <t>Chránené dielne</t>
  </si>
  <si>
    <t>Kostol sv. Jakuba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</si>
  <si>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</si>
  <si>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</si>
  <si>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</si>
  <si>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</si>
  <si>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</si>
  <si>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</si>
  <si>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 xml:space="preserve">Kultúra- puto spájajúce obyvateľov vidieka </t>
  </si>
  <si>
    <t>Prestavba NMP - I.etapa - Exter. manaž.</t>
  </si>
  <si>
    <t>refundácia projektov - krátkodobý úver</t>
  </si>
  <si>
    <t>ostatné</t>
  </si>
  <si>
    <t>Zahraničné granty</t>
  </si>
  <si>
    <t>Bežné</t>
  </si>
  <si>
    <t>Bežné príjmy celkom</t>
  </si>
  <si>
    <t>Čerpanie rozpočtu 2006</t>
  </si>
  <si>
    <t>Čerpanie rozpočtu 2007</t>
  </si>
  <si>
    <t>Čerpanie rozpočtu 2008</t>
  </si>
  <si>
    <t>Čerpanie rozpočtu 2009</t>
  </si>
  <si>
    <t>Čerpanie rozpočtu 2010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</si>
  <si>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</si>
  <si>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</si>
  <si>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</si>
  <si>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</si>
  <si>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</si>
  <si>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</si>
  <si>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</si>
  <si>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</si>
  <si>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</si>
  <si>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</si>
  <si>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</si>
  <si>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Kapitalové granty a transfery</t>
  </si>
  <si>
    <t>refundácia projektov</t>
  </si>
  <si>
    <t>Tréningová hala</t>
  </si>
  <si>
    <t>dot. na  obnovu kult. pamiatok</t>
  </si>
  <si>
    <t>komunitné centrum</t>
  </si>
  <si>
    <t>Radnica a Zvonica NMP 2</t>
  </si>
  <si>
    <t>obnova oddychovej zóny Schiessplatz</t>
  </si>
  <si>
    <t>modernizácia autobusových zastávok</t>
  </si>
  <si>
    <t>úprava verejných priestranstiev</t>
  </si>
  <si>
    <t>oddychové zóny</t>
  </si>
  <si>
    <t xml:space="preserve">Vysielacie a vydavateľské služby </t>
  </si>
  <si>
    <t>LIM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</si>
  <si>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</si>
  <si>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</si>
  <si>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</si>
  <si>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</si>
  <si>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</si>
  <si>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</si>
  <si>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</si>
  <si>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</si>
  <si>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</si>
  <si>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</si>
  <si>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</si>
  <si>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>MŠ Žel. riadok - škol. Infra.</t>
  </si>
  <si>
    <t>ZŠ Francisciho 11 škol. infra.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</si>
  <si>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</si>
  <si>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</si>
  <si>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</si>
  <si>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</si>
  <si>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</si>
  <si>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</si>
  <si>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</si>
  <si>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</si>
  <si>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</si>
  <si>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</si>
  <si>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</si>
  <si>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10.7.0.</t>
  </si>
  <si>
    <t>Prísp. neštát. subjekt.- pomoc občanom v hmotnej a sociálnej núdzi</t>
  </si>
  <si>
    <t>Komunitná soc. práca</t>
  </si>
  <si>
    <t>Prídavky na deti</t>
  </si>
  <si>
    <t>Potravinová pomoc</t>
  </si>
  <si>
    <t>Stravovanie HMNU</t>
  </si>
  <si>
    <t>Školské potreby - HMNU</t>
  </si>
  <si>
    <t>Jednorazová dávka primator</t>
  </si>
  <si>
    <t>Rozpočet bež. výdavky celkom</t>
  </si>
  <si>
    <t>Verejná správa</t>
  </si>
  <si>
    <t>kamerový systém</t>
  </si>
  <si>
    <t>Projektová dokumentácia</t>
  </si>
  <si>
    <t>Technické zhodnotenie - poliklinika</t>
  </si>
  <si>
    <t xml:space="preserve">Prestavba N.M.P. I. etapa </t>
  </si>
  <si>
    <t>Dom meštiansky, NMP č.43</t>
  </si>
  <si>
    <t xml:space="preserve">Prestavba N.M.P. II. etapa </t>
  </si>
  <si>
    <t>Doprava-výstavba a oprava ciest</t>
  </si>
  <si>
    <t>Projekt dopravného značenia MHD</t>
  </si>
  <si>
    <t>Spevnené plochy a komunikácie</t>
  </si>
  <si>
    <t>Zábradlie Križný potok</t>
  </si>
  <si>
    <t>Parkovisko - Sadová ul.</t>
  </si>
  <si>
    <t>schody okružná</t>
  </si>
  <si>
    <t>chodník - Kláštorská</t>
  </si>
  <si>
    <t>výstavba parkoviska sídl, Západ II.</t>
  </si>
  <si>
    <t>Nákladanie s odpadmi</t>
  </si>
  <si>
    <t xml:space="preserve">kamerový systém </t>
  </si>
  <si>
    <t>Podvozok nosič nadstavby</t>
  </si>
  <si>
    <t>Príspevok pre TS</t>
  </si>
  <si>
    <t xml:space="preserve">VO garáže, sídl. Západ </t>
  </si>
  <si>
    <t>Kaplnka Levočské Lúky, NN prípojka</t>
  </si>
  <si>
    <t>Odvodnenie garáží sidl. Západ</t>
  </si>
  <si>
    <t>nákup objekt Pisarčiná</t>
  </si>
  <si>
    <t>MPV - ostatné</t>
  </si>
  <si>
    <t>MPV most LD</t>
  </si>
  <si>
    <t>MPV Ovocinárska</t>
  </si>
  <si>
    <t>Lev. Lúky - zádveria</t>
  </si>
  <si>
    <t>chata Kohlwald</t>
  </si>
  <si>
    <t>odvodnenie, sídl. Pri prameni</t>
  </si>
  <si>
    <t>Nám. Majstra Pavla 50,51 -PD (FRB)</t>
  </si>
  <si>
    <t>Nám. Š. Kluberta – pomer. mer. tepla (FRB)</t>
  </si>
  <si>
    <t>Byty</t>
  </si>
  <si>
    <t>preložka VN</t>
  </si>
  <si>
    <t>MPV pozemkov pre most Lev. Dolina</t>
  </si>
  <si>
    <t xml:space="preserve">MPV pozemkov pre autobus. zastávku </t>
  </si>
  <si>
    <t>08.2.0.9</t>
  </si>
  <si>
    <t>Káblová televízia - štúdia</t>
  </si>
  <si>
    <t>Plynová a kanalizačná prípojka</t>
  </si>
  <si>
    <t xml:space="preserve">Budova kocky </t>
  </si>
  <si>
    <t xml:space="preserve">Rolba </t>
  </si>
  <si>
    <t>kocka - strecha</t>
  </si>
  <si>
    <t>Vodná nádrž Levoča</t>
  </si>
  <si>
    <t>Ihrisko WORK OUT</t>
  </si>
  <si>
    <t>Príspevok pre MKS</t>
  </si>
  <si>
    <t>08.4.0.</t>
  </si>
  <si>
    <t>PD - DSS</t>
  </si>
  <si>
    <t>10.7.0</t>
  </si>
  <si>
    <t>auto</t>
  </si>
  <si>
    <t>06.2.0</t>
  </si>
  <si>
    <t>Rozvoj obcí</t>
  </si>
  <si>
    <t>01.1.2</t>
  </si>
  <si>
    <t xml:space="preserve">Rozpočet 2016 </t>
  </si>
  <si>
    <t>Pranier</t>
  </si>
  <si>
    <t>Rekonštrukcia chodníkov sídl. Západ</t>
  </si>
  <si>
    <t>MŠ Haina - PD</t>
  </si>
  <si>
    <t>Obnova verejného osvetlenia</t>
  </si>
  <si>
    <t>Verejné osvetlenie - projekt</t>
  </si>
  <si>
    <t xml:space="preserve">Kláštorská </t>
  </si>
  <si>
    <t>Ortofomapa</t>
  </si>
  <si>
    <t>Kniha</t>
  </si>
  <si>
    <t xml:space="preserve">ZŠ G. Haina 37 </t>
  </si>
  <si>
    <t>ZŠ G. Haina - telocvičňa</t>
  </si>
  <si>
    <t>Skládka TKO - korekcia</t>
  </si>
  <si>
    <t>Ostat.trans.pre šport a telových.-nájom</t>
  </si>
  <si>
    <t>Opatrovateľská služba - projekt</t>
  </si>
  <si>
    <t>Telocvičňa ZŠ G. Haina</t>
  </si>
  <si>
    <t>MPV Plantáže</t>
  </si>
  <si>
    <t>Chodník - ul. Francisciho</t>
  </si>
  <si>
    <t>Elektrická rozvodná skriňa</t>
  </si>
  <si>
    <t>Skutočnosť 2015</t>
  </si>
  <si>
    <t>Rekonštrukcia WC Kocka</t>
  </si>
  <si>
    <t>ZŠ Francisciho - vybavenie ŠJ</t>
  </si>
  <si>
    <t>Oprava strechy ZŠ Kluberta</t>
  </si>
  <si>
    <t>MŠ Levočské lúky - vykurovanie</t>
  </si>
  <si>
    <t>Pozemky Menhardská brána</t>
  </si>
  <si>
    <t>MPV cyklochodník</t>
  </si>
  <si>
    <t>Voľby</t>
  </si>
  <si>
    <t>Transfer na Technické služby</t>
  </si>
  <si>
    <t>NMP č. 54 - divadlo, kotolňa</t>
  </si>
  <si>
    <t>vojnové hroby</t>
  </si>
  <si>
    <t>Vojnové hroby - dotácia</t>
  </si>
  <si>
    <t>ZŠ G. Haina - vybavenie ŠJ</t>
  </si>
  <si>
    <t>dodávateľský úver - chodníky</t>
  </si>
  <si>
    <t>dodávateľský úver - auto MP</t>
  </si>
  <si>
    <t>Spevnené plochy sídl. Sever</t>
  </si>
  <si>
    <t>Príspevok TS - auto</t>
  </si>
  <si>
    <t>Príspevok pre TS - auto</t>
  </si>
  <si>
    <t xml:space="preserve">Parkovisko sídl. Rozvoj </t>
  </si>
  <si>
    <t>Ihrisko SPP</t>
  </si>
  <si>
    <t>Príspevok pri narodení dieťaťa</t>
  </si>
  <si>
    <t>ZUŠ Chránené dielne</t>
  </si>
  <si>
    <t>Skutočnosť 2016</t>
  </si>
  <si>
    <t>plnenie</t>
  </si>
  <si>
    <t>% plnenie</t>
  </si>
  <si>
    <t xml:space="preserve">     ostatné</t>
  </si>
  <si>
    <t>Kultúrne podujatia - energie</t>
  </si>
  <si>
    <t>zábezpeky</t>
  </si>
  <si>
    <t xml:space="preserve">Ročné zúčtovanie zdravotného pistenia </t>
  </si>
  <si>
    <t>Dotácia - hasičský zbor</t>
  </si>
  <si>
    <t>Prevod z Fondu opráv ŠFRB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</si>
</sst>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_S_k"/>
    <numFmt numFmtId="165" formatCode="#,##0.0000"/>
    <numFmt numFmtId="166" formatCode="#,##0.000000"/>
  </numFmts>
  <fonts count="27" x14ac:knownFonts="1"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b/>
      <sz val="12"/>
      <name val="Arial CE"/>
      <charset val="238"/>
    </font>
    <font>
      <b/>
      <sz val="11"/>
      <name val="Arial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10"/>
      <name val="Arial"/>
      <family val="2"/>
    </font>
    <font>
      <b/>
      <sz val="9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2"/>
      <name val="Arial"/>
      <family val="2"/>
      <charset val="238"/>
    </font>
    <font>
      <sz val="12"/>
      <name val="Courier"/>
      <family val="1"/>
      <charset val="238"/>
    </font>
    <font>
      <b/>
      <i/>
      <sz val="12"/>
      <name val="Arial"/>
      <family val="2"/>
      <charset val="238"/>
    </font>
    <font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2" fillId="0" borderId="0"/>
  </cellStyleXfs>
  <cellXfs count="790">
    <xf numFmtId="0" fontId="0" fillId="0" borderId="0" xfId="0"/>
    <xf numFmtId="3" fontId="0" fillId="0" borderId="0" xfId="0" applyNumberFormat="1"/>
    <xf numFmtId="0" fontId="7" fillId="0" borderId="1" xfId="0" applyFont="1" applyFill="1" applyBorder="1" applyAlignment="1">
      <alignment horizontal="center"/>
    </xf>
    <xf numFmtId="3" fontId="7" fillId="0" borderId="2" xfId="0" applyNumberFormat="1" applyFont="1" applyFill="1" applyBorder="1"/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/>
    </xf>
    <xf numFmtId="3" fontId="8" fillId="0" borderId="5" xfId="0" applyNumberFormat="1" applyFont="1" applyFill="1" applyBorder="1"/>
    <xf numFmtId="0" fontId="10" fillId="0" borderId="6" xfId="0" applyFont="1" applyFill="1" applyBorder="1"/>
    <xf numFmtId="0" fontId="11" fillId="0" borderId="6" xfId="0" applyFont="1" applyFill="1" applyBorder="1"/>
    <xf numFmtId="3" fontId="11" fillId="0" borderId="6" xfId="0" applyNumberFormat="1" applyFont="1" applyFill="1" applyBorder="1"/>
    <xf numFmtId="3" fontId="11" fillId="0" borderId="7" xfId="0" applyNumberFormat="1" applyFont="1" applyFill="1" applyBorder="1"/>
    <xf numFmtId="3" fontId="9" fillId="0" borderId="7" xfId="0" applyNumberFormat="1" applyFont="1" applyFill="1" applyBorder="1"/>
    <xf numFmtId="0" fontId="8" fillId="0" borderId="8" xfId="0" applyFont="1" applyFill="1" applyBorder="1" applyAlignment="1">
      <alignment horizontal="center"/>
    </xf>
    <xf numFmtId="3" fontId="12" fillId="0" borderId="6" xfId="0" applyNumberFormat="1" applyFont="1" applyFill="1" applyBorder="1"/>
    <xf numFmtId="0" fontId="10" fillId="0" borderId="9" xfId="0" applyFont="1" applyFill="1" applyBorder="1"/>
    <xf numFmtId="3" fontId="6" fillId="0" borderId="10" xfId="0" applyNumberFormat="1" applyFont="1" applyFill="1" applyBorder="1"/>
    <xf numFmtId="0" fontId="6" fillId="0" borderId="3" xfId="0" applyFont="1" applyFill="1" applyBorder="1" applyAlignment="1">
      <alignment horizontal="center"/>
    </xf>
    <xf numFmtId="0" fontId="11" fillId="0" borderId="12" xfId="0" applyFont="1" applyFill="1" applyBorder="1"/>
    <xf numFmtId="0" fontId="11" fillId="0" borderId="13" xfId="0" applyFont="1" applyFill="1" applyBorder="1"/>
    <xf numFmtId="3" fontId="11" fillId="0" borderId="14" xfId="0" applyNumberFormat="1" applyFont="1" applyFill="1" applyBorder="1"/>
    <xf numFmtId="3" fontId="9" fillId="0" borderId="14" xfId="0" applyNumberFormat="1" applyFont="1" applyFill="1" applyBorder="1"/>
    <xf numFmtId="3" fontId="9" fillId="0" borderId="15" xfId="0" applyNumberFormat="1" applyFont="1" applyFill="1" applyBorder="1"/>
    <xf numFmtId="0" fontId="11" fillId="0" borderId="16" xfId="0" applyFont="1" applyFill="1" applyBorder="1"/>
    <xf numFmtId="3" fontId="11" fillId="0" borderId="17" xfId="0" applyNumberFormat="1" applyFont="1" applyFill="1" applyBorder="1"/>
    <xf numFmtId="3" fontId="9" fillId="0" borderId="17" xfId="0" applyNumberFormat="1" applyFont="1" applyFill="1" applyBorder="1"/>
    <xf numFmtId="3" fontId="9" fillId="0" borderId="18" xfId="0" applyNumberFormat="1" applyFont="1" applyFill="1" applyBorder="1"/>
    <xf numFmtId="0" fontId="11" fillId="0" borderId="19" xfId="0" applyFont="1" applyFill="1" applyBorder="1"/>
    <xf numFmtId="3" fontId="11" fillId="0" borderId="20" xfId="0" applyNumberFormat="1" applyFont="1" applyFill="1" applyBorder="1"/>
    <xf numFmtId="3" fontId="9" fillId="0" borderId="20" xfId="0" applyNumberFormat="1" applyFont="1" applyFill="1" applyBorder="1"/>
    <xf numFmtId="0" fontId="8" fillId="0" borderId="22" xfId="0" applyFont="1" applyFill="1" applyBorder="1" applyAlignment="1">
      <alignment horizontal="center"/>
    </xf>
    <xf numFmtId="0" fontId="10" fillId="0" borderId="10" xfId="0" applyFont="1" applyFill="1" applyBorder="1"/>
    <xf numFmtId="0" fontId="10" fillId="0" borderId="23" xfId="0" applyFont="1" applyFill="1" applyBorder="1"/>
    <xf numFmtId="0" fontId="10" fillId="0" borderId="24" xfId="0" applyFont="1" applyFill="1" applyBorder="1"/>
    <xf numFmtId="3" fontId="10" fillId="0" borderId="5" xfId="0" applyNumberFormat="1" applyFont="1" applyFill="1" applyBorder="1"/>
    <xf numFmtId="3" fontId="10" fillId="0" borderId="6" xfId="0" applyNumberFormat="1" applyFont="1" applyFill="1" applyBorder="1"/>
    <xf numFmtId="3" fontId="10" fillId="0" borderId="25" xfId="0" applyNumberFormat="1" applyFont="1" applyFill="1" applyBorder="1"/>
    <xf numFmtId="0" fontId="6" fillId="0" borderId="26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28" xfId="0" applyFont="1" applyFill="1" applyBorder="1"/>
    <xf numFmtId="3" fontId="9" fillId="0" borderId="28" xfId="0" applyNumberFormat="1" applyFont="1" applyFill="1" applyBorder="1"/>
    <xf numFmtId="0" fontId="9" fillId="0" borderId="16" xfId="0" applyFont="1" applyFill="1" applyBorder="1"/>
    <xf numFmtId="3" fontId="9" fillId="0" borderId="16" xfId="0" applyNumberFormat="1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9" xfId="0" applyFont="1" applyFill="1" applyBorder="1"/>
    <xf numFmtId="0" fontId="9" fillId="0" borderId="29" xfId="0" applyFont="1" applyFill="1" applyBorder="1"/>
    <xf numFmtId="3" fontId="9" fillId="0" borderId="30" xfId="0" applyNumberFormat="1" applyFont="1" applyFill="1" applyBorder="1"/>
    <xf numFmtId="0" fontId="7" fillId="0" borderId="22" xfId="0" applyFont="1" applyFill="1" applyBorder="1" applyAlignment="1">
      <alignment horizontal="center"/>
    </xf>
    <xf numFmtId="3" fontId="7" fillId="0" borderId="27" xfId="0" applyNumberFormat="1" applyFont="1" applyFill="1" applyBorder="1"/>
    <xf numFmtId="0" fontId="8" fillId="0" borderId="1" xfId="0" applyFont="1" applyFill="1" applyBorder="1" applyAlignment="1">
      <alignment horizontal="center"/>
    </xf>
    <xf numFmtId="3" fontId="8" fillId="0" borderId="27" xfId="0" applyNumberFormat="1" applyFont="1" applyFill="1" applyBorder="1"/>
    <xf numFmtId="0" fontId="10" fillId="0" borderId="32" xfId="0" applyFont="1" applyFill="1" applyBorder="1"/>
    <xf numFmtId="0" fontId="9" fillId="0" borderId="33" xfId="0" applyFont="1" applyFill="1" applyBorder="1"/>
    <xf numFmtId="0" fontId="9" fillId="0" borderId="14" xfId="0" applyFont="1" applyFill="1" applyBorder="1"/>
    <xf numFmtId="3" fontId="9" fillId="0" borderId="13" xfId="0" applyNumberFormat="1" applyFont="1" applyFill="1" applyBorder="1"/>
    <xf numFmtId="0" fontId="9" fillId="0" borderId="17" xfId="0" applyFont="1" applyFill="1" applyBorder="1"/>
    <xf numFmtId="0" fontId="9" fillId="0" borderId="30" xfId="0" applyFont="1" applyFill="1" applyBorder="1"/>
    <xf numFmtId="3" fontId="9" fillId="0" borderId="19" xfId="0" applyNumberFormat="1" applyFont="1" applyFill="1" applyBorder="1"/>
    <xf numFmtId="0" fontId="6" fillId="0" borderId="6" xfId="0" applyFont="1" applyFill="1" applyBorder="1"/>
    <xf numFmtId="0" fontId="6" fillId="0" borderId="7" xfId="0" applyFont="1" applyFill="1" applyBorder="1"/>
    <xf numFmtId="3" fontId="6" fillId="0" borderId="27" xfId="0" applyNumberFormat="1" applyFont="1" applyFill="1" applyBorder="1"/>
    <xf numFmtId="3" fontId="6" fillId="0" borderId="6" xfId="0" applyNumberFormat="1" applyFont="1" applyFill="1" applyBorder="1"/>
    <xf numFmtId="3" fontId="6" fillId="0" borderId="25" xfId="0" applyNumberFormat="1" applyFont="1" applyFill="1" applyBorder="1"/>
    <xf numFmtId="0" fontId="9" fillId="0" borderId="20" xfId="0" applyFont="1" applyFill="1" applyBorder="1"/>
    <xf numFmtId="3" fontId="8" fillId="0" borderId="6" xfId="0" applyNumberFormat="1" applyFont="1" applyFill="1" applyBorder="1"/>
    <xf numFmtId="3" fontId="8" fillId="0" borderId="25" xfId="0" applyNumberFormat="1" applyFont="1" applyFill="1" applyBorder="1"/>
    <xf numFmtId="0" fontId="9" fillId="0" borderId="34" xfId="0" applyFont="1" applyFill="1" applyBorder="1"/>
    <xf numFmtId="3" fontId="9" fillId="0" borderId="34" xfId="0" applyNumberFormat="1" applyFont="1" applyFill="1" applyBorder="1"/>
    <xf numFmtId="0" fontId="9" fillId="0" borderId="13" xfId="0" applyFont="1" applyFill="1" applyBorder="1"/>
    <xf numFmtId="4" fontId="9" fillId="0" borderId="13" xfId="0" applyNumberFormat="1" applyFont="1" applyFill="1" applyBorder="1"/>
    <xf numFmtId="3" fontId="9" fillId="0" borderId="29" xfId="0" applyNumberFormat="1" applyFont="1" applyFill="1" applyBorder="1"/>
    <xf numFmtId="0" fontId="9" fillId="0" borderId="6" xfId="0" applyFont="1" applyFill="1" applyBorder="1"/>
    <xf numFmtId="0" fontId="9" fillId="0" borderId="36" xfId="0" applyFont="1" applyFill="1" applyBorder="1"/>
    <xf numFmtId="3" fontId="9" fillId="0" borderId="36" xfId="0" applyNumberFormat="1" applyFont="1" applyFill="1" applyBorder="1"/>
    <xf numFmtId="3" fontId="8" fillId="0" borderId="10" xfId="0" applyNumberFormat="1" applyFont="1" applyFill="1" applyBorder="1"/>
    <xf numFmtId="4" fontId="8" fillId="0" borderId="10" xfId="0" applyNumberFormat="1" applyFont="1" applyFill="1" applyBorder="1"/>
    <xf numFmtId="0" fontId="8" fillId="0" borderId="10" xfId="0" applyFont="1" applyFill="1" applyBorder="1" applyAlignment="1">
      <alignment horizontal="center"/>
    </xf>
    <xf numFmtId="0" fontId="11" fillId="0" borderId="10" xfId="0" applyFont="1" applyFill="1" applyBorder="1"/>
    <xf numFmtId="3" fontId="9" fillId="0" borderId="6" xfId="0" applyNumberFormat="1" applyFont="1" applyFill="1" applyBorder="1"/>
    <xf numFmtId="3" fontId="11" fillId="0" borderId="36" xfId="0" applyNumberFormat="1" applyFont="1" applyFill="1" applyBorder="1"/>
    <xf numFmtId="3" fontId="12" fillId="0" borderId="10" xfId="0" applyNumberFormat="1" applyFont="1" applyFill="1" applyBorder="1"/>
    <xf numFmtId="0" fontId="11" fillId="0" borderId="33" xfId="0" applyFont="1" applyFill="1" applyBorder="1"/>
    <xf numFmtId="3" fontId="11" fillId="0" borderId="28" xfId="0" applyNumberFormat="1" applyFont="1" applyFill="1" applyBorder="1"/>
    <xf numFmtId="0" fontId="11" fillId="0" borderId="14" xfId="0" applyFont="1" applyFill="1" applyBorder="1"/>
    <xf numFmtId="3" fontId="11" fillId="0" borderId="13" xfId="0" applyNumberFormat="1" applyFont="1" applyFill="1" applyBorder="1"/>
    <xf numFmtId="3" fontId="11" fillId="0" borderId="16" xfId="0" applyNumberFormat="1" applyFont="1" applyFill="1" applyBorder="1"/>
    <xf numFmtId="0" fontId="6" fillId="0" borderId="10" xfId="0" applyFont="1" applyFill="1" applyBorder="1"/>
    <xf numFmtId="3" fontId="6" fillId="0" borderId="5" xfId="0" applyNumberFormat="1" applyFont="1" applyFill="1" applyBorder="1"/>
    <xf numFmtId="3" fontId="9" fillId="0" borderId="33" xfId="0" applyNumberFormat="1" applyFont="1" applyFill="1" applyBorder="1"/>
    <xf numFmtId="3" fontId="4" fillId="0" borderId="16" xfId="0" applyNumberFormat="1" applyFont="1" applyFill="1" applyBorder="1"/>
    <xf numFmtId="3" fontId="4" fillId="0" borderId="17" xfId="0" applyNumberFormat="1" applyFont="1" applyFill="1" applyBorder="1"/>
    <xf numFmtId="3" fontId="6" fillId="0" borderId="7" xfId="0" applyNumberFormat="1" applyFont="1" applyFill="1" applyBorder="1"/>
    <xf numFmtId="0" fontId="9" fillId="0" borderId="38" xfId="0" applyFont="1" applyFill="1" applyBorder="1"/>
    <xf numFmtId="3" fontId="9" fillId="0" borderId="27" xfId="0" applyNumberFormat="1" applyFont="1" applyFill="1" applyBorder="1"/>
    <xf numFmtId="3" fontId="7" fillId="0" borderId="39" xfId="0" applyNumberFormat="1" applyFont="1" applyFill="1" applyBorder="1"/>
    <xf numFmtId="3" fontId="7" fillId="0" borderId="40" xfId="0" applyNumberFormat="1" applyFont="1" applyFill="1" applyBorder="1"/>
    <xf numFmtId="0" fontId="7" fillId="0" borderId="41" xfId="0" applyFont="1" applyFill="1" applyBorder="1"/>
    <xf numFmtId="3" fontId="7" fillId="0" borderId="10" xfId="0" applyNumberFormat="1" applyFon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0" fontId="8" fillId="0" borderId="42" xfId="0" applyFont="1" applyFill="1" applyBorder="1"/>
    <xf numFmtId="3" fontId="8" fillId="0" borderId="7" xfId="0" applyNumberFormat="1" applyFont="1" applyFill="1" applyBorder="1"/>
    <xf numFmtId="0" fontId="6" fillId="0" borderId="38" xfId="0" applyFont="1" applyFill="1" applyBorder="1" applyAlignment="1">
      <alignment horizontal="center"/>
    </xf>
    <xf numFmtId="0" fontId="6" fillId="0" borderId="13" xfId="0" applyFont="1" applyFill="1" applyBorder="1"/>
    <xf numFmtId="0" fontId="6" fillId="0" borderId="14" xfId="0" applyFont="1" applyFill="1" applyBorder="1"/>
    <xf numFmtId="0" fontId="6" fillId="0" borderId="34" xfId="0" applyFont="1" applyFill="1" applyBorder="1"/>
    <xf numFmtId="0" fontId="11" fillId="0" borderId="34" xfId="0" applyFont="1" applyFill="1" applyBorder="1"/>
    <xf numFmtId="3" fontId="11" fillId="0" borderId="34" xfId="0" applyNumberFormat="1" applyFont="1" applyFill="1" applyBorder="1"/>
    <xf numFmtId="4" fontId="9" fillId="0" borderId="16" xfId="0" applyNumberFormat="1" applyFont="1" applyFill="1" applyBorder="1"/>
    <xf numFmtId="0" fontId="9" fillId="0" borderId="10" xfId="0" applyFont="1" applyFill="1" applyBorder="1"/>
    <xf numFmtId="4" fontId="9" fillId="0" borderId="34" xfId="0" applyNumberFormat="1" applyFont="1" applyFill="1" applyBorder="1"/>
    <xf numFmtId="0" fontId="6" fillId="0" borderId="6" xfId="0" applyFont="1" applyFill="1" applyBorder="1" applyAlignment="1">
      <alignment horizontal="center"/>
    </xf>
    <xf numFmtId="4" fontId="9" fillId="0" borderId="14" xfId="0" applyNumberFormat="1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3" fontId="4" fillId="0" borderId="14" xfId="0" applyNumberFormat="1" applyFont="1" applyFill="1" applyBorder="1"/>
    <xf numFmtId="3" fontId="4" fillId="0" borderId="15" xfId="0" applyNumberFormat="1" applyFont="1" applyFill="1" applyBorder="1"/>
    <xf numFmtId="0" fontId="9" fillId="0" borderId="19" xfId="0" applyFont="1" applyFill="1" applyBorder="1" applyAlignment="1">
      <alignment horizontal="left"/>
    </xf>
    <xf numFmtId="0" fontId="7" fillId="0" borderId="43" xfId="0" applyFont="1" applyFill="1" applyBorder="1" applyAlignment="1">
      <alignment horizontal="center"/>
    </xf>
    <xf numFmtId="3" fontId="7" fillId="0" borderId="7" xfId="0" applyNumberFormat="1" applyFont="1" applyFill="1" applyBorder="1"/>
    <xf numFmtId="3" fontId="7" fillId="0" borderId="25" xfId="0" applyNumberFormat="1" applyFont="1" applyFill="1" applyBorder="1"/>
    <xf numFmtId="3" fontId="12" fillId="0" borderId="38" xfId="0" applyNumberFormat="1" applyFont="1" applyFill="1" applyBorder="1"/>
    <xf numFmtId="3" fontId="12" fillId="0" borderId="44" xfId="0" applyNumberFormat="1" applyFont="1" applyFill="1" applyBorder="1"/>
    <xf numFmtId="3" fontId="10" fillId="0" borderId="7" xfId="0" applyNumberFormat="1" applyFont="1" applyFill="1" applyBorder="1"/>
    <xf numFmtId="0" fontId="11" fillId="0" borderId="28" xfId="0" applyFont="1" applyFill="1" applyBorder="1"/>
    <xf numFmtId="4" fontId="11" fillId="0" borderId="14" xfId="0" applyNumberFormat="1" applyFont="1" applyFill="1" applyBorder="1"/>
    <xf numFmtId="0" fontId="4" fillId="0" borderId="5" xfId="0" applyFont="1" applyFill="1" applyBorder="1"/>
    <xf numFmtId="0" fontId="4" fillId="0" borderId="34" xfId="0" applyFont="1" applyFill="1" applyBorder="1"/>
    <xf numFmtId="4" fontId="11" fillId="0" borderId="17" xfId="0" applyNumberFormat="1" applyFont="1" applyFill="1" applyBorder="1"/>
    <xf numFmtId="4" fontId="9" fillId="0" borderId="18" xfId="0" applyNumberFormat="1" applyFont="1" applyFill="1" applyBorder="1"/>
    <xf numFmtId="0" fontId="8" fillId="0" borderId="22" xfId="0" applyFont="1" applyFill="1" applyBorder="1"/>
    <xf numFmtId="0" fontId="8" fillId="0" borderId="6" xfId="0" applyFont="1" applyFill="1" applyBorder="1" applyAlignment="1">
      <alignment horizontal="right"/>
    </xf>
    <xf numFmtId="3" fontId="8" fillId="0" borderId="32" xfId="0" applyNumberFormat="1" applyFont="1" applyFill="1" applyBorder="1" applyAlignment="1">
      <alignment horizontal="right"/>
    </xf>
    <xf numFmtId="4" fontId="8" fillId="0" borderId="6" xfId="0" applyNumberFormat="1" applyFont="1" applyFill="1" applyBorder="1" applyAlignment="1">
      <alignment horizontal="right"/>
    </xf>
    <xf numFmtId="3" fontId="14" fillId="0" borderId="25" xfId="0" applyNumberFormat="1" applyFont="1" applyFill="1" applyBorder="1"/>
    <xf numFmtId="4" fontId="6" fillId="0" borderId="7" xfId="0" applyNumberFormat="1" applyFont="1" applyFill="1" applyBorder="1"/>
    <xf numFmtId="4" fontId="6" fillId="0" borderId="25" xfId="0" applyNumberFormat="1" applyFont="1" applyFill="1" applyBorder="1"/>
    <xf numFmtId="3" fontId="11" fillId="0" borderId="33" xfId="0" applyNumberFormat="1" applyFont="1" applyFill="1" applyBorder="1"/>
    <xf numFmtId="4" fontId="9" fillId="0" borderId="15" xfId="0" applyNumberFormat="1" applyFont="1" applyFill="1" applyBorder="1"/>
    <xf numFmtId="0" fontId="9" fillId="0" borderId="5" xfId="0" applyFont="1" applyFill="1" applyBorder="1"/>
    <xf numFmtId="0" fontId="7" fillId="0" borderId="45" xfId="0" applyFont="1" applyFill="1" applyBorder="1"/>
    <xf numFmtId="0" fontId="7" fillId="0" borderId="46" xfId="0" applyFont="1" applyFill="1" applyBorder="1" applyAlignment="1">
      <alignment horizontal="center"/>
    </xf>
    <xf numFmtId="0" fontId="7" fillId="0" borderId="39" xfId="0" applyFont="1" applyFill="1" applyBorder="1"/>
    <xf numFmtId="4" fontId="6" fillId="0" borderId="10" xfId="0" applyNumberFormat="1" applyFont="1" applyFill="1" applyBorder="1"/>
    <xf numFmtId="0" fontId="6" fillId="0" borderId="28" xfId="0" applyFont="1" applyFill="1" applyBorder="1" applyAlignment="1"/>
    <xf numFmtId="4" fontId="9" fillId="0" borderId="28" xfId="0" applyNumberFormat="1" applyFont="1" applyFill="1" applyBorder="1"/>
    <xf numFmtId="0" fontId="6" fillId="0" borderId="19" xfId="0" applyFont="1" applyFill="1" applyBorder="1" applyAlignment="1"/>
    <xf numFmtId="3" fontId="9" fillId="0" borderId="19" xfId="0" applyNumberFormat="1" applyFont="1" applyFill="1" applyBorder="1" applyAlignment="1">
      <alignment horizontal="right"/>
    </xf>
    <xf numFmtId="4" fontId="9" fillId="0" borderId="19" xfId="0" applyNumberFormat="1" applyFont="1" applyFill="1" applyBorder="1" applyAlignment="1">
      <alignment horizontal="right"/>
    </xf>
    <xf numFmtId="4" fontId="6" fillId="0" borderId="6" xfId="0" applyNumberFormat="1" applyFont="1" applyFill="1" applyBorder="1"/>
    <xf numFmtId="0" fontId="9" fillId="0" borderId="33" xfId="0" applyFont="1" applyFill="1" applyBorder="1" applyAlignment="1"/>
    <xf numFmtId="3" fontId="9" fillId="0" borderId="33" xfId="0" applyNumberFormat="1" applyFont="1" applyFill="1" applyBorder="1" applyAlignment="1"/>
    <xf numFmtId="3" fontId="9" fillId="0" borderId="28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6" fillId="0" borderId="13" xfId="0" applyFont="1" applyFill="1" applyBorder="1" applyAlignment="1"/>
    <xf numFmtId="0" fontId="9" fillId="0" borderId="14" xfId="0" applyFont="1" applyFill="1" applyBorder="1" applyAlignment="1"/>
    <xf numFmtId="3" fontId="9" fillId="0" borderId="14" xfId="0" applyNumberFormat="1" applyFont="1" applyFill="1" applyBorder="1" applyAlignment="1"/>
    <xf numFmtId="3" fontId="9" fillId="0" borderId="13" xfId="0" applyNumberFormat="1" applyFont="1" applyFill="1" applyBorder="1" applyAlignment="1">
      <alignment horizontal="right"/>
    </xf>
    <xf numFmtId="4" fontId="9" fillId="0" borderId="13" xfId="0" applyNumberFormat="1" applyFont="1" applyFill="1" applyBorder="1" applyAlignment="1">
      <alignment horizontal="right"/>
    </xf>
    <xf numFmtId="0" fontId="6" fillId="0" borderId="16" xfId="0" applyFont="1" applyFill="1" applyBorder="1" applyAlignment="1"/>
    <xf numFmtId="0" fontId="9" fillId="0" borderId="17" xfId="0" applyFont="1" applyFill="1" applyBorder="1" applyAlignment="1"/>
    <xf numFmtId="3" fontId="6" fillId="0" borderId="39" xfId="0" applyNumberFormat="1" applyFont="1" applyFill="1" applyBorder="1"/>
    <xf numFmtId="4" fontId="6" fillId="0" borderId="39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6" fillId="0" borderId="0" xfId="0" applyNumberFormat="1" applyFont="1" applyFill="1" applyBorder="1" applyAlignment="1">
      <alignment horizontal="left"/>
    </xf>
    <xf numFmtId="49" fontId="6" fillId="0" borderId="1" xfId="0" applyNumberFormat="1" applyFont="1" applyFill="1" applyBorder="1"/>
    <xf numFmtId="3" fontId="0" fillId="0" borderId="10" xfId="0" applyNumberFormat="1" applyFill="1" applyBorder="1"/>
    <xf numFmtId="4" fontId="0" fillId="0" borderId="10" xfId="0" applyNumberFormat="1" applyFill="1" applyBorder="1"/>
    <xf numFmtId="0" fontId="0" fillId="0" borderId="28" xfId="0" applyFill="1" applyBorder="1"/>
    <xf numFmtId="3" fontId="0" fillId="0" borderId="28" xfId="0" applyNumberFormat="1" applyFill="1" applyBorder="1"/>
    <xf numFmtId="3" fontId="4" fillId="0" borderId="28" xfId="0" applyNumberFormat="1" applyFont="1" applyFill="1" applyBorder="1" applyAlignment="1">
      <alignment horizontal="right"/>
    </xf>
    <xf numFmtId="4" fontId="4" fillId="0" borderId="28" xfId="0" applyNumberFormat="1" applyFont="1" applyFill="1" applyBorder="1" applyAlignment="1">
      <alignment horizontal="right"/>
    </xf>
    <xf numFmtId="0" fontId="0" fillId="0" borderId="13" xfId="0" applyFill="1" applyBorder="1"/>
    <xf numFmtId="0" fontId="4" fillId="0" borderId="13" xfId="0" applyFont="1" applyFill="1" applyBorder="1"/>
    <xf numFmtId="3" fontId="4" fillId="0" borderId="13" xfId="0" applyNumberFormat="1" applyFont="1" applyFill="1" applyBorder="1"/>
    <xf numFmtId="3" fontId="4" fillId="0" borderId="16" xfId="0" applyNumberFormat="1" applyFont="1" applyFill="1" applyBorder="1" applyAlignment="1">
      <alignment horizontal="right"/>
    </xf>
    <xf numFmtId="4" fontId="4" fillId="0" borderId="16" xfId="0" applyNumberFormat="1" applyFont="1" applyFill="1" applyBorder="1" applyAlignment="1">
      <alignment horizontal="right"/>
    </xf>
    <xf numFmtId="0" fontId="0" fillId="0" borderId="16" xfId="0" applyFill="1" applyBorder="1"/>
    <xf numFmtId="0" fontId="16" fillId="0" borderId="16" xfId="0" applyFont="1" applyFill="1" applyBorder="1"/>
    <xf numFmtId="0" fontId="3" fillId="0" borderId="16" xfId="0" applyFont="1" applyFill="1" applyBorder="1"/>
    <xf numFmtId="3" fontId="3" fillId="0" borderId="16" xfId="0" applyNumberFormat="1" applyFont="1" applyFill="1" applyBorder="1"/>
    <xf numFmtId="4" fontId="4" fillId="0" borderId="16" xfId="0" applyNumberFormat="1" applyFont="1" applyFill="1" applyBorder="1"/>
    <xf numFmtId="3" fontId="0" fillId="0" borderId="16" xfId="0" applyNumberFormat="1" applyFill="1" applyBorder="1"/>
    <xf numFmtId="4" fontId="0" fillId="0" borderId="16" xfId="0" applyNumberFormat="1" applyFill="1" applyBorder="1"/>
    <xf numFmtId="0" fontId="0" fillId="0" borderId="29" xfId="0" applyFill="1" applyBorder="1"/>
    <xf numFmtId="3" fontId="0" fillId="0" borderId="29" xfId="0" applyNumberFormat="1" applyFill="1" applyBorder="1"/>
    <xf numFmtId="4" fontId="0" fillId="0" borderId="29" xfId="0" applyNumberFormat="1" applyFill="1" applyBorder="1"/>
    <xf numFmtId="49" fontId="8" fillId="0" borderId="47" xfId="0" applyNumberFormat="1" applyFont="1" applyFill="1" applyBorder="1" applyAlignment="1">
      <alignment vertical="center" wrapText="1"/>
    </xf>
    <xf numFmtId="3" fontId="8" fillId="0" borderId="48" xfId="0" applyNumberFormat="1" applyFont="1" applyFill="1" applyBorder="1" applyAlignment="1">
      <alignment vertical="center" wrapText="1"/>
    </xf>
    <xf numFmtId="4" fontId="8" fillId="0" borderId="48" xfId="0" applyNumberFormat="1" applyFont="1" applyFill="1" applyBorder="1" applyAlignment="1">
      <alignment vertical="center" wrapText="1"/>
    </xf>
    <xf numFmtId="0" fontId="9" fillId="0" borderId="28" xfId="0" applyFont="1" applyFill="1" applyBorder="1" applyAlignment="1">
      <alignment horizontal="center"/>
    </xf>
    <xf numFmtId="4" fontId="9" fillId="0" borderId="33" xfId="0" applyNumberFormat="1" applyFont="1" applyFill="1" applyBorder="1"/>
    <xf numFmtId="0" fontId="9" fillId="0" borderId="16" xfId="0" applyFont="1" applyFill="1" applyBorder="1" applyAlignment="1">
      <alignment horizontal="center"/>
    </xf>
    <xf numFmtId="4" fontId="9" fillId="0" borderId="17" xfId="0" applyNumberFormat="1" applyFont="1" applyFill="1" applyBorder="1"/>
    <xf numFmtId="3" fontId="9" fillId="0" borderId="49" xfId="0" applyNumberFormat="1" applyFont="1" applyFill="1" applyBorder="1"/>
    <xf numFmtId="4" fontId="9" fillId="0" borderId="49" xfId="0" applyNumberFormat="1" applyFont="1" applyFill="1" applyBorder="1"/>
    <xf numFmtId="0" fontId="9" fillId="0" borderId="24" xfId="0" applyFont="1" applyFill="1" applyBorder="1"/>
    <xf numFmtId="4" fontId="9" fillId="0" borderId="24" xfId="0" applyNumberFormat="1" applyFont="1" applyFill="1" applyBorder="1"/>
    <xf numFmtId="3" fontId="9" fillId="0" borderId="10" xfId="0" applyNumberFormat="1" applyFont="1" applyFill="1" applyBorder="1"/>
    <xf numFmtId="4" fontId="9" fillId="0" borderId="36" xfId="0" applyNumberFormat="1" applyFont="1" applyFill="1" applyBorder="1"/>
    <xf numFmtId="49" fontId="8" fillId="0" borderId="22" xfId="0" applyNumberFormat="1" applyFont="1" applyFill="1" applyBorder="1"/>
    <xf numFmtId="3" fontId="8" fillId="0" borderId="4" xfId="0" applyNumberFormat="1" applyFont="1" applyFill="1" applyBorder="1" applyAlignment="1">
      <alignment horizontal="right"/>
    </xf>
    <xf numFmtId="4" fontId="8" fillId="0" borderId="6" xfId="0" applyNumberFormat="1" applyFont="1" applyFill="1" applyBorder="1"/>
    <xf numFmtId="0" fontId="11" fillId="0" borderId="50" xfId="0" applyNumberFormat="1" applyFont="1" applyFill="1" applyBorder="1" applyAlignment="1">
      <alignment horizontal="center"/>
    </xf>
    <xf numFmtId="3" fontId="11" fillId="0" borderId="28" xfId="0" applyNumberFormat="1" applyFont="1" applyFill="1" applyBorder="1" applyAlignment="1">
      <alignment horizontal="right"/>
    </xf>
    <xf numFmtId="4" fontId="11" fillId="0" borderId="33" xfId="0" applyNumberFormat="1" applyFont="1" applyFill="1" applyBorder="1"/>
    <xf numFmtId="0" fontId="11" fillId="0" borderId="49" xfId="0" applyNumberFormat="1" applyFont="1" applyFill="1" applyBorder="1" applyAlignment="1">
      <alignment horizontal="center"/>
    </xf>
    <xf numFmtId="3" fontId="11" fillId="0" borderId="16" xfId="0" applyNumberFormat="1" applyFont="1" applyFill="1" applyBorder="1" applyAlignment="1">
      <alignment horizontal="right"/>
    </xf>
    <xf numFmtId="0" fontId="11" fillId="0" borderId="51" xfId="0" applyNumberFormat="1" applyFont="1" applyFill="1" applyBorder="1" applyAlignment="1">
      <alignment horizontal="center"/>
    </xf>
    <xf numFmtId="0" fontId="11" fillId="0" borderId="51" xfId="0" applyFont="1" applyFill="1" applyBorder="1"/>
    <xf numFmtId="3" fontId="11" fillId="0" borderId="51" xfId="0" applyNumberFormat="1" applyFont="1" applyFill="1" applyBorder="1" applyAlignment="1">
      <alignment horizontal="right"/>
    </xf>
    <xf numFmtId="4" fontId="9" fillId="0" borderId="20" xfId="0" applyNumberFormat="1" applyFont="1" applyFill="1" applyBorder="1"/>
    <xf numFmtId="0" fontId="9" fillId="0" borderId="50" xfId="0" applyFont="1" applyFill="1" applyBorder="1"/>
    <xf numFmtId="3" fontId="9" fillId="0" borderId="50" xfId="0" applyNumberFormat="1" applyFont="1" applyFill="1" applyBorder="1" applyAlignment="1">
      <alignment horizontal="right"/>
    </xf>
    <xf numFmtId="0" fontId="9" fillId="0" borderId="49" xfId="0" applyFont="1" applyFill="1" applyBorder="1"/>
    <xf numFmtId="3" fontId="9" fillId="0" borderId="49" xfId="0" applyNumberFormat="1" applyFont="1" applyFill="1" applyBorder="1" applyAlignment="1">
      <alignment horizontal="right"/>
    </xf>
    <xf numFmtId="3" fontId="9" fillId="0" borderId="24" xfId="0" applyNumberFormat="1" applyFont="1" applyFill="1" applyBorder="1" applyAlignment="1">
      <alignment horizontal="right"/>
    </xf>
    <xf numFmtId="0" fontId="9" fillId="0" borderId="50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3" fontId="9" fillId="0" borderId="24" xfId="0" applyNumberFormat="1" applyFont="1" applyFill="1" applyBorder="1"/>
    <xf numFmtId="3" fontId="8" fillId="0" borderId="6" xfId="0" applyNumberFormat="1" applyFont="1" applyFill="1" applyBorder="1" applyAlignment="1">
      <alignment horizontal="right"/>
    </xf>
    <xf numFmtId="49" fontId="6" fillId="0" borderId="26" xfId="0" applyNumberFormat="1" applyFont="1" applyFill="1" applyBorder="1"/>
    <xf numFmtId="0" fontId="11" fillId="0" borderId="24" xfId="0" applyNumberFormat="1" applyFont="1" applyFill="1" applyBorder="1" applyAlignment="1">
      <alignment horizontal="center"/>
    </xf>
    <xf numFmtId="0" fontId="9" fillId="0" borderId="52" xfId="0" applyFont="1" applyFill="1" applyBorder="1"/>
    <xf numFmtId="3" fontId="9" fillId="0" borderId="5" xfId="0" applyNumberFormat="1" applyFont="1" applyFill="1" applyBorder="1" applyAlignment="1">
      <alignment horizontal="right"/>
    </xf>
    <xf numFmtId="0" fontId="9" fillId="0" borderId="53" xfId="0" applyFont="1" applyFill="1" applyBorder="1"/>
    <xf numFmtId="0" fontId="9" fillId="0" borderId="54" xfId="0" applyFont="1" applyFill="1" applyBorder="1" applyAlignment="1">
      <alignment horizontal="center"/>
    </xf>
    <xf numFmtId="3" fontId="9" fillId="0" borderId="16" xfId="0" applyNumberFormat="1" applyFont="1" applyFill="1" applyBorder="1" applyAlignment="1">
      <alignment horizontal="right"/>
    </xf>
    <xf numFmtId="3" fontId="9" fillId="0" borderId="5" xfId="0" applyNumberFormat="1" applyFont="1" applyFill="1" applyBorder="1"/>
    <xf numFmtId="0" fontId="9" fillId="0" borderId="55" xfId="0" applyFont="1" applyFill="1" applyBorder="1" applyAlignment="1">
      <alignment horizontal="center"/>
    </xf>
    <xf numFmtId="0" fontId="9" fillId="0" borderId="56" xfId="0" applyFont="1" applyFill="1" applyBorder="1"/>
    <xf numFmtId="3" fontId="9" fillId="0" borderId="10" xfId="0" applyNumberFormat="1" applyFont="1" applyFill="1" applyBorder="1" applyAlignment="1">
      <alignment horizontal="right"/>
    </xf>
    <xf numFmtId="4" fontId="9" fillId="0" borderId="6" xfId="0" applyNumberFormat="1" applyFont="1" applyFill="1" applyBorder="1"/>
    <xf numFmtId="4" fontId="9" fillId="0" borderId="7" xfId="0" applyNumberFormat="1" applyFont="1" applyFill="1" applyBorder="1"/>
    <xf numFmtId="14" fontId="8" fillId="0" borderId="22" xfId="0" applyNumberFormat="1" applyFont="1" applyFill="1" applyBorder="1"/>
    <xf numFmtId="4" fontId="12" fillId="0" borderId="6" xfId="0" applyNumberFormat="1" applyFont="1" applyFill="1" applyBorder="1"/>
    <xf numFmtId="0" fontId="9" fillId="0" borderId="26" xfId="0" applyFont="1" applyFill="1" applyBorder="1"/>
    <xf numFmtId="0" fontId="9" fillId="0" borderId="24" xfId="0" applyFont="1" applyFill="1" applyBorder="1" applyAlignment="1">
      <alignment horizontal="center"/>
    </xf>
    <xf numFmtId="2" fontId="9" fillId="0" borderId="5" xfId="0" applyNumberFormat="1" applyFont="1" applyFill="1" applyBorder="1"/>
    <xf numFmtId="0" fontId="9" fillId="0" borderId="51" xfId="0" applyFont="1" applyFill="1" applyBorder="1" applyAlignment="1">
      <alignment horizontal="center"/>
    </xf>
    <xf numFmtId="4" fontId="9" fillId="0" borderId="29" xfId="0" applyNumberFormat="1" applyFont="1" applyFill="1" applyBorder="1"/>
    <xf numFmtId="4" fontId="9" fillId="0" borderId="30" xfId="0" applyNumberFormat="1" applyFont="1" applyFill="1" applyBorder="1"/>
    <xf numFmtId="0" fontId="11" fillId="0" borderId="50" xfId="0" applyFont="1" applyFill="1" applyBorder="1" applyAlignment="1">
      <alignment horizontal="center"/>
    </xf>
    <xf numFmtId="0" fontId="11" fillId="0" borderId="50" xfId="0" applyFont="1" applyFill="1" applyBorder="1" applyAlignment="1">
      <alignment horizontal="left"/>
    </xf>
    <xf numFmtId="3" fontId="11" fillId="0" borderId="50" xfId="0" applyNumberFormat="1" applyFont="1" applyFill="1" applyBorder="1" applyAlignment="1">
      <alignment horizontal="right"/>
    </xf>
    <xf numFmtId="0" fontId="11" fillId="0" borderId="50" xfId="0" applyFont="1" applyFill="1" applyBorder="1" applyAlignment="1">
      <alignment horizontal="right"/>
    </xf>
    <xf numFmtId="0" fontId="11" fillId="0" borderId="57" xfId="0" applyFont="1" applyFill="1" applyBorder="1" applyAlignment="1">
      <alignment horizontal="center"/>
    </xf>
    <xf numFmtId="0" fontId="11" fillId="0" borderId="57" xfId="0" applyFont="1" applyFill="1" applyBorder="1" applyAlignment="1">
      <alignment horizontal="left"/>
    </xf>
    <xf numFmtId="3" fontId="11" fillId="0" borderId="57" xfId="0" applyNumberFormat="1" applyFont="1" applyFill="1" applyBorder="1" applyAlignment="1">
      <alignment horizontal="right"/>
    </xf>
    <xf numFmtId="0" fontId="11" fillId="0" borderId="57" xfId="0" applyFont="1" applyFill="1" applyBorder="1" applyAlignment="1">
      <alignment horizontal="right"/>
    </xf>
    <xf numFmtId="0" fontId="9" fillId="0" borderId="9" xfId="0" applyFont="1" applyFill="1" applyBorder="1"/>
    <xf numFmtId="3" fontId="9" fillId="0" borderId="9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horizontal="right"/>
    </xf>
    <xf numFmtId="4" fontId="11" fillId="0" borderId="36" xfId="0" applyNumberFormat="1" applyFont="1" applyFill="1" applyBorder="1"/>
    <xf numFmtId="49" fontId="8" fillId="0" borderId="1" xfId="0" applyNumberFormat="1" applyFont="1" applyFill="1" applyBorder="1"/>
    <xf numFmtId="0" fontId="8" fillId="0" borderId="58" xfId="0" applyFont="1" applyFill="1" applyBorder="1" applyAlignment="1">
      <alignment horizontal="left"/>
    </xf>
    <xf numFmtId="3" fontId="8" fillId="0" borderId="9" xfId="0" applyNumberFormat="1" applyFont="1" applyFill="1" applyBorder="1" applyAlignment="1">
      <alignment horizontal="right"/>
    </xf>
    <xf numFmtId="3" fontId="11" fillId="0" borderId="4" xfId="0" applyNumberFormat="1" applyFont="1" applyFill="1" applyBorder="1" applyAlignment="1">
      <alignment horizontal="right"/>
    </xf>
    <xf numFmtId="0" fontId="11" fillId="0" borderId="57" xfId="0" applyNumberFormat="1" applyFont="1" applyFill="1" applyBorder="1" applyAlignment="1">
      <alignment horizontal="center"/>
    </xf>
    <xf numFmtId="0" fontId="11" fillId="0" borderId="9" xfId="0" applyNumberFormat="1" applyFont="1" applyFill="1" applyBorder="1" applyAlignment="1">
      <alignment horizontal="center"/>
    </xf>
    <xf numFmtId="3" fontId="11" fillId="0" borderId="10" xfId="0" applyNumberFormat="1" applyFont="1" applyFill="1" applyBorder="1"/>
    <xf numFmtId="0" fontId="11" fillId="0" borderId="5" xfId="0" applyFont="1" applyFill="1" applyBorder="1"/>
    <xf numFmtId="3" fontId="11" fillId="0" borderId="19" xfId="0" applyNumberFormat="1" applyFont="1" applyFill="1" applyBorder="1"/>
    <xf numFmtId="3" fontId="11" fillId="0" borderId="30" xfId="0" applyNumberFormat="1" applyFont="1" applyFill="1" applyBorder="1"/>
    <xf numFmtId="0" fontId="8" fillId="0" borderId="4" xfId="0" applyFont="1" applyFill="1" applyBorder="1" applyAlignment="1">
      <alignment horizontal="right"/>
    </xf>
    <xf numFmtId="49" fontId="11" fillId="0" borderId="50" xfId="0" applyNumberFormat="1" applyFont="1" applyFill="1" applyBorder="1" applyAlignment="1">
      <alignment horizontal="center"/>
    </xf>
    <xf numFmtId="49" fontId="11" fillId="0" borderId="49" xfId="0" applyNumberFormat="1" applyFont="1" applyFill="1" applyBorder="1" applyAlignment="1">
      <alignment horizontal="center"/>
    </xf>
    <xf numFmtId="49" fontId="11" fillId="0" borderId="50" xfId="0" applyNumberFormat="1" applyFont="1" applyFill="1" applyBorder="1" applyAlignment="1">
      <alignment horizontal="left"/>
    </xf>
    <xf numFmtId="3" fontId="11" fillId="0" borderId="50" xfId="0" applyNumberFormat="1" applyFont="1" applyFill="1" applyBorder="1" applyAlignment="1">
      <alignment horizontal="left"/>
    </xf>
    <xf numFmtId="49" fontId="11" fillId="0" borderId="50" xfId="0" applyNumberFormat="1" applyFont="1" applyFill="1" applyBorder="1" applyAlignment="1">
      <alignment horizontal="right"/>
    </xf>
    <xf numFmtId="49" fontId="9" fillId="0" borderId="49" xfId="0" applyNumberFormat="1" applyFont="1" applyFill="1" applyBorder="1" applyAlignment="1">
      <alignment horizontal="left"/>
    </xf>
    <xf numFmtId="3" fontId="9" fillId="0" borderId="49" xfId="0" applyNumberFormat="1" applyFont="1" applyFill="1" applyBorder="1" applyAlignment="1">
      <alignment horizontal="left"/>
    </xf>
    <xf numFmtId="49" fontId="9" fillId="0" borderId="49" xfId="0" applyNumberFormat="1" applyFont="1" applyFill="1" applyBorder="1" applyAlignment="1">
      <alignment horizontal="right"/>
    </xf>
    <xf numFmtId="3" fontId="9" fillId="0" borderId="59" xfId="0" applyNumberFormat="1" applyFont="1" applyFill="1" applyBorder="1" applyAlignment="1">
      <alignment horizontal="right"/>
    </xf>
    <xf numFmtId="49" fontId="9" fillId="0" borderId="19" xfId="0" applyNumberFormat="1" applyFont="1" applyFill="1" applyBorder="1"/>
    <xf numFmtId="49" fontId="9" fillId="0" borderId="19" xfId="0" applyNumberFormat="1" applyFont="1" applyFill="1" applyBorder="1" applyAlignment="1">
      <alignment horizontal="right"/>
    </xf>
    <xf numFmtId="3" fontId="9" fillId="0" borderId="60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/>
    </xf>
    <xf numFmtId="3" fontId="10" fillId="0" borderId="9" xfId="0" applyNumberFormat="1" applyFont="1" applyFill="1" applyBorder="1" applyAlignment="1">
      <alignment horizontal="left"/>
    </xf>
    <xf numFmtId="0" fontId="10" fillId="0" borderId="9" xfId="0" applyNumberFormat="1" applyFont="1" applyFill="1" applyBorder="1" applyAlignment="1">
      <alignment horizontal="right"/>
    </xf>
    <xf numFmtId="3" fontId="10" fillId="0" borderId="10" xfId="0" applyNumberFormat="1" applyFont="1" applyFill="1" applyBorder="1"/>
    <xf numFmtId="4" fontId="10" fillId="0" borderId="10" xfId="0" applyNumberFormat="1" applyFont="1" applyFill="1" applyBorder="1"/>
    <xf numFmtId="49" fontId="9" fillId="0" borderId="9" xfId="0" applyNumberFormat="1" applyFont="1" applyFill="1" applyBorder="1"/>
    <xf numFmtId="3" fontId="9" fillId="0" borderId="9" xfId="0" applyNumberFormat="1" applyFont="1" applyFill="1" applyBorder="1"/>
    <xf numFmtId="49" fontId="9" fillId="0" borderId="9" xfId="0" applyNumberFormat="1" applyFont="1" applyFill="1" applyBorder="1" applyAlignment="1">
      <alignment horizontal="right"/>
    </xf>
    <xf numFmtId="0" fontId="9" fillId="0" borderId="51" xfId="0" applyFont="1" applyFill="1" applyBorder="1"/>
    <xf numFmtId="3" fontId="9" fillId="0" borderId="51" xfId="0" applyNumberFormat="1" applyFont="1" applyFill="1" applyBorder="1" applyAlignment="1">
      <alignment horizontal="right"/>
    </xf>
    <xf numFmtId="3" fontId="9" fillId="0" borderId="51" xfId="0" applyNumberFormat="1" applyFont="1" applyFill="1" applyBorder="1"/>
    <xf numFmtId="4" fontId="9" fillId="0" borderId="19" xfId="0" applyNumberFormat="1" applyFont="1" applyFill="1" applyBorder="1"/>
    <xf numFmtId="49" fontId="8" fillId="0" borderId="6" xfId="0" applyNumberFormat="1" applyFont="1" applyFill="1" applyBorder="1"/>
    <xf numFmtId="3" fontId="8" fillId="0" borderId="50" xfId="0" applyNumberFormat="1" applyFont="1" applyFill="1" applyBorder="1" applyAlignment="1">
      <alignment horizontal="right"/>
    </xf>
    <xf numFmtId="3" fontId="8" fillId="0" borderId="28" xfId="0" applyNumberFormat="1" applyFont="1" applyFill="1" applyBorder="1"/>
    <xf numFmtId="3" fontId="8" fillId="0" borderId="57" xfId="0" applyNumberFormat="1" applyFont="1" applyFill="1" applyBorder="1" applyAlignment="1">
      <alignment horizontal="right"/>
    </xf>
    <xf numFmtId="3" fontId="8" fillId="0" borderId="13" xfId="0" applyNumberFormat="1" applyFont="1" applyFill="1" applyBorder="1"/>
    <xf numFmtId="3" fontId="8" fillId="0" borderId="14" xfId="0" applyNumberFormat="1" applyFont="1" applyFill="1" applyBorder="1"/>
    <xf numFmtId="0" fontId="9" fillId="0" borderId="57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/>
    </xf>
    <xf numFmtId="0" fontId="9" fillId="0" borderId="22" xfId="0" applyFont="1" applyFill="1" applyBorder="1"/>
    <xf numFmtId="0" fontId="9" fillId="0" borderId="4" xfId="0" applyFont="1" applyFill="1" applyBorder="1" applyAlignment="1">
      <alignment horizontal="center"/>
    </xf>
    <xf numFmtId="49" fontId="6" fillId="0" borderId="62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60" xfId="0" applyNumberFormat="1" applyFont="1" applyFill="1" applyBorder="1" applyAlignment="1">
      <alignment horizontal="center"/>
    </xf>
    <xf numFmtId="49" fontId="6" fillId="0" borderId="50" xfId="0" applyNumberFormat="1" applyFont="1" applyFill="1" applyBorder="1" applyAlignment="1">
      <alignment horizontal="center"/>
    </xf>
    <xf numFmtId="3" fontId="9" fillId="0" borderId="50" xfId="0" applyNumberFormat="1" applyFont="1" applyFill="1" applyBorder="1"/>
    <xf numFmtId="49" fontId="6" fillId="0" borderId="57" xfId="0" applyNumberFormat="1" applyFont="1" applyFill="1" applyBorder="1" applyAlignment="1">
      <alignment horizontal="center"/>
    </xf>
    <xf numFmtId="3" fontId="9" fillId="0" borderId="57" xfId="0" applyNumberFormat="1" applyFont="1" applyFill="1" applyBorder="1"/>
    <xf numFmtId="0" fontId="9" fillId="0" borderId="57" xfId="0" applyFont="1" applyFill="1" applyBorder="1"/>
    <xf numFmtId="49" fontId="6" fillId="0" borderId="49" xfId="0" applyNumberFormat="1" applyFont="1" applyFill="1" applyBorder="1" applyAlignment="1">
      <alignment horizontal="center"/>
    </xf>
    <xf numFmtId="49" fontId="6" fillId="0" borderId="16" xfId="0" applyNumberFormat="1" applyFont="1" applyFill="1" applyBorder="1" applyAlignment="1">
      <alignment horizontal="center"/>
    </xf>
    <xf numFmtId="49" fontId="6" fillId="0" borderId="19" xfId="0" applyNumberFormat="1" applyFont="1" applyFill="1" applyBorder="1" applyAlignment="1">
      <alignment horizontal="center"/>
    </xf>
    <xf numFmtId="3" fontId="4" fillId="0" borderId="5" xfId="0" applyNumberFormat="1" applyFont="1" applyFill="1" applyBorder="1"/>
    <xf numFmtId="4" fontId="10" fillId="0" borderId="6" xfId="0" applyNumberFormat="1" applyFont="1" applyFill="1" applyBorder="1"/>
    <xf numFmtId="16" fontId="8" fillId="0" borderId="22" xfId="0" applyNumberFormat="1" applyFont="1" applyFill="1" applyBorder="1"/>
    <xf numFmtId="0" fontId="9" fillId="0" borderId="13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3" fontId="10" fillId="0" borderId="19" xfId="0" applyNumberFormat="1" applyFont="1" applyFill="1" applyBorder="1"/>
    <xf numFmtId="3" fontId="10" fillId="0" borderId="9" xfId="0" applyNumberFormat="1" applyFont="1" applyFill="1" applyBorder="1" applyAlignment="1">
      <alignment horizontal="right"/>
    </xf>
    <xf numFmtId="0" fontId="4" fillId="0" borderId="5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4" fontId="9" fillId="0" borderId="10" xfId="0" applyNumberFormat="1" applyFont="1" applyFill="1" applyBorder="1"/>
    <xf numFmtId="0" fontId="8" fillId="0" borderId="22" xfId="0" applyFont="1" applyFill="1" applyBorder="1" applyAlignment="1">
      <alignment vertical="center" wrapText="1"/>
    </xf>
    <xf numFmtId="3" fontId="8" fillId="0" borderId="9" xfId="0" applyNumberFormat="1" applyFont="1" applyFill="1" applyBorder="1" applyAlignment="1">
      <alignment horizontal="right" vertical="center" wrapText="1"/>
    </xf>
    <xf numFmtId="3" fontId="14" fillId="0" borderId="6" xfId="0" applyNumberFormat="1" applyFont="1" applyFill="1" applyBorder="1" applyAlignment="1">
      <alignment vertical="center" wrapText="1"/>
    </xf>
    <xf numFmtId="4" fontId="14" fillId="0" borderId="6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vertical="center" wrapText="1"/>
    </xf>
    <xf numFmtId="3" fontId="4" fillId="0" borderId="28" xfId="0" applyNumberFormat="1" applyFont="1" applyFill="1" applyBorder="1" applyAlignment="1">
      <alignment vertical="center" wrapText="1"/>
    </xf>
    <xf numFmtId="4" fontId="4" fillId="0" borderId="28" xfId="0" applyNumberFormat="1" applyFont="1" applyFill="1" applyBorder="1" applyAlignment="1">
      <alignment vertical="center" wrapText="1"/>
    </xf>
    <xf numFmtId="3" fontId="4" fillId="0" borderId="16" xfId="0" applyNumberFormat="1" applyFont="1" applyFill="1" applyBorder="1" applyAlignment="1">
      <alignment vertical="center" wrapText="1"/>
    </xf>
    <xf numFmtId="4" fontId="4" fillId="0" borderId="17" xfId="0" applyNumberFormat="1" applyFont="1" applyFill="1" applyBorder="1" applyAlignment="1">
      <alignment vertical="center" wrapText="1"/>
    </xf>
    <xf numFmtId="3" fontId="4" fillId="0" borderId="17" xfId="0" applyNumberFormat="1" applyFont="1" applyFill="1" applyBorder="1" applyAlignment="1">
      <alignment vertical="center" wrapText="1"/>
    </xf>
    <xf numFmtId="3" fontId="4" fillId="0" borderId="19" xfId="0" applyNumberFormat="1" applyFont="1" applyFill="1" applyBorder="1" applyAlignment="1">
      <alignment vertical="center" wrapText="1"/>
    </xf>
    <xf numFmtId="4" fontId="4" fillId="0" borderId="30" xfId="0" applyNumberFormat="1" applyFont="1" applyFill="1" applyBorder="1" applyAlignment="1">
      <alignment vertical="center" wrapText="1"/>
    </xf>
    <xf numFmtId="3" fontId="4" fillId="0" borderId="30" xfId="0" applyNumberFormat="1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63" xfId="0" applyFont="1" applyFill="1" applyBorder="1" applyAlignment="1">
      <alignment horizontal="center"/>
    </xf>
    <xf numFmtId="0" fontId="9" fillId="0" borderId="64" xfId="0" applyFont="1" applyFill="1" applyBorder="1"/>
    <xf numFmtId="3" fontId="9" fillId="0" borderId="64" xfId="0" applyNumberFormat="1" applyFont="1" applyFill="1" applyBorder="1"/>
    <xf numFmtId="3" fontId="9" fillId="0" borderId="65" xfId="0" applyNumberFormat="1" applyFont="1" applyFill="1" applyBorder="1"/>
    <xf numFmtId="0" fontId="7" fillId="0" borderId="66" xfId="0" applyFont="1" applyFill="1" applyBorder="1"/>
    <xf numFmtId="0" fontId="7" fillId="0" borderId="67" xfId="0" applyFont="1" applyFill="1" applyBorder="1" applyAlignment="1">
      <alignment horizontal="center"/>
    </xf>
    <xf numFmtId="3" fontId="8" fillId="0" borderId="10" xfId="0" applyNumberFormat="1" applyFont="1" applyFill="1" applyBorder="1" applyAlignment="1">
      <alignment horizontal="right"/>
    </xf>
    <xf numFmtId="0" fontId="8" fillId="0" borderId="36" xfId="0" applyFont="1" applyFill="1" applyBorder="1" applyAlignment="1">
      <alignment horizontal="right"/>
    </xf>
    <xf numFmtId="49" fontId="6" fillId="0" borderId="26" xfId="0" applyNumberFormat="1" applyFont="1" applyFill="1" applyBorder="1" applyAlignment="1"/>
    <xf numFmtId="49" fontId="8" fillId="0" borderId="22" xfId="0" applyNumberFormat="1" applyFont="1" applyFill="1" applyBorder="1" applyAlignment="1"/>
    <xf numFmtId="49" fontId="6" fillId="0" borderId="5" xfId="0" applyNumberFormat="1" applyFont="1" applyFill="1" applyBorder="1" applyAlignment="1"/>
    <xf numFmtId="0" fontId="9" fillId="0" borderId="17" xfId="0" applyFont="1" applyFill="1" applyBorder="1" applyAlignment="1">
      <alignment horizontal="right"/>
    </xf>
    <xf numFmtId="3" fontId="9" fillId="0" borderId="17" xfId="0" applyNumberFormat="1" applyFont="1" applyFill="1" applyBorder="1" applyAlignment="1">
      <alignment horizontal="right"/>
    </xf>
    <xf numFmtId="0" fontId="9" fillId="0" borderId="20" xfId="0" applyFont="1" applyFill="1" applyBorder="1" applyAlignment="1">
      <alignment horizontal="right"/>
    </xf>
    <xf numFmtId="3" fontId="9" fillId="0" borderId="20" xfId="0" applyNumberFormat="1" applyFont="1" applyFill="1" applyBorder="1" applyAlignment="1">
      <alignment horizontal="right"/>
    </xf>
    <xf numFmtId="49" fontId="12" fillId="0" borderId="22" xfId="0" applyNumberFormat="1" applyFont="1" applyFill="1" applyBorder="1" applyAlignment="1"/>
    <xf numFmtId="3" fontId="14" fillId="0" borderId="7" xfId="0" applyNumberFormat="1" applyFont="1" applyFill="1" applyBorder="1" applyAlignment="1">
      <alignment horizontal="right"/>
    </xf>
    <xf numFmtId="0" fontId="9" fillId="0" borderId="33" xfId="0" applyFont="1" applyFill="1" applyBorder="1" applyAlignment="1">
      <alignment horizontal="right"/>
    </xf>
    <xf numFmtId="3" fontId="9" fillId="0" borderId="33" xfId="0" applyNumberFormat="1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3" fontId="9" fillId="0" borderId="14" xfId="0" applyNumberFormat="1" applyFont="1" applyFill="1" applyBorder="1" applyAlignment="1">
      <alignment horizontal="right"/>
    </xf>
    <xf numFmtId="0" fontId="9" fillId="0" borderId="34" xfId="0" applyFont="1" applyFill="1" applyBorder="1" applyAlignment="1">
      <alignment horizontal="right"/>
    </xf>
    <xf numFmtId="3" fontId="9" fillId="0" borderId="34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/>
    <xf numFmtId="49" fontId="6" fillId="0" borderId="10" xfId="0" applyNumberFormat="1" applyFont="1" applyFill="1" applyBorder="1" applyAlignment="1"/>
    <xf numFmtId="49" fontId="8" fillId="0" borderId="1" xfId="0" applyNumberFormat="1" applyFont="1" applyFill="1" applyBorder="1" applyAlignment="1"/>
    <xf numFmtId="3" fontId="8" fillId="0" borderId="7" xfId="0" applyNumberFormat="1" applyFont="1" applyFill="1" applyBorder="1" applyAlignment="1">
      <alignment horizontal="left"/>
    </xf>
    <xf numFmtId="0" fontId="8" fillId="0" borderId="7" xfId="0" applyFont="1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right"/>
    </xf>
    <xf numFmtId="0" fontId="11" fillId="0" borderId="28" xfId="0" applyFont="1" applyFill="1" applyBorder="1" applyAlignment="1">
      <alignment horizontal="left"/>
    </xf>
    <xf numFmtId="3" fontId="11" fillId="0" borderId="28" xfId="0" applyNumberFormat="1" applyFont="1" applyFill="1" applyBorder="1" applyAlignment="1">
      <alignment horizontal="left"/>
    </xf>
    <xf numFmtId="0" fontId="8" fillId="0" borderId="28" xfId="0" applyFont="1" applyFill="1" applyBorder="1" applyAlignment="1">
      <alignment horizontal="right"/>
    </xf>
    <xf numFmtId="3" fontId="8" fillId="0" borderId="28" xfId="0" applyNumberFormat="1" applyFont="1" applyFill="1" applyBorder="1" applyAlignment="1">
      <alignment horizontal="right"/>
    </xf>
    <xf numFmtId="4" fontId="11" fillId="0" borderId="28" xfId="0" applyNumberFormat="1" applyFont="1" applyFill="1" applyBorder="1"/>
    <xf numFmtId="0" fontId="11" fillId="0" borderId="13" xfId="0" applyFont="1" applyFill="1" applyBorder="1" applyAlignment="1">
      <alignment horizontal="left"/>
    </xf>
    <xf numFmtId="3" fontId="11" fillId="0" borderId="13" xfId="0" applyNumberFormat="1" applyFont="1" applyFill="1" applyBorder="1" applyAlignment="1">
      <alignment horizontal="left"/>
    </xf>
    <xf numFmtId="0" fontId="8" fillId="0" borderId="13" xfId="0" applyFont="1" applyFill="1" applyBorder="1" applyAlignment="1">
      <alignment horizontal="right"/>
    </xf>
    <xf numFmtId="3" fontId="8" fillId="0" borderId="13" xfId="0" applyNumberFormat="1" applyFont="1" applyFill="1" applyBorder="1" applyAlignment="1">
      <alignment horizontal="right"/>
    </xf>
    <xf numFmtId="3" fontId="19" fillId="0" borderId="13" xfId="0" applyNumberFormat="1" applyFont="1" applyFill="1" applyBorder="1"/>
    <xf numFmtId="0" fontId="11" fillId="0" borderId="16" xfId="0" applyFont="1" applyFill="1" applyBorder="1" applyAlignment="1">
      <alignment horizontal="left"/>
    </xf>
    <xf numFmtId="3" fontId="11" fillId="0" borderId="16" xfId="0" applyNumberFormat="1" applyFont="1" applyFill="1" applyBorder="1" applyAlignment="1">
      <alignment horizontal="left"/>
    </xf>
    <xf numFmtId="0" fontId="8" fillId="0" borderId="16" xfId="0" applyFont="1" applyFill="1" applyBorder="1" applyAlignment="1">
      <alignment horizontal="right"/>
    </xf>
    <xf numFmtId="3" fontId="8" fillId="0" borderId="16" xfId="0" applyNumberFormat="1" applyFont="1" applyFill="1" applyBorder="1" applyAlignment="1">
      <alignment horizontal="right"/>
    </xf>
    <xf numFmtId="3" fontId="8" fillId="0" borderId="16" xfId="0" applyNumberFormat="1" applyFont="1" applyFill="1" applyBorder="1"/>
    <xf numFmtId="0" fontId="9" fillId="0" borderId="30" xfId="0" applyFont="1" applyFill="1" applyBorder="1" applyAlignment="1">
      <alignment horizontal="right"/>
    </xf>
    <xf numFmtId="3" fontId="9" fillId="0" borderId="30" xfId="0" applyNumberFormat="1" applyFont="1" applyFill="1" applyBorder="1" applyAlignment="1">
      <alignment horizontal="right"/>
    </xf>
    <xf numFmtId="3" fontId="8" fillId="0" borderId="36" xfId="0" applyNumberFormat="1" applyFont="1" applyFill="1" applyBorder="1"/>
    <xf numFmtId="3" fontId="20" fillId="0" borderId="33" xfId="0" applyNumberFormat="1" applyFont="1" applyFill="1" applyBorder="1"/>
    <xf numFmtId="0" fontId="9" fillId="0" borderId="68" xfId="0" applyFont="1" applyFill="1" applyBorder="1"/>
    <xf numFmtId="3" fontId="9" fillId="0" borderId="69" xfId="0" applyNumberFormat="1" applyFont="1" applyFill="1" applyBorder="1"/>
    <xf numFmtId="0" fontId="9" fillId="0" borderId="69" xfId="0" applyFont="1" applyFill="1" applyBorder="1"/>
    <xf numFmtId="0" fontId="9" fillId="0" borderId="69" xfId="0" applyFont="1" applyFill="1" applyBorder="1" applyAlignment="1">
      <alignment horizontal="right"/>
    </xf>
    <xf numFmtId="3" fontId="9" fillId="0" borderId="69" xfId="0" applyNumberFormat="1" applyFont="1" applyFill="1" applyBorder="1" applyAlignment="1">
      <alignment horizontal="right"/>
    </xf>
    <xf numFmtId="3" fontId="9" fillId="0" borderId="59" xfId="0" applyNumberFormat="1" applyFont="1" applyFill="1" applyBorder="1"/>
    <xf numFmtId="0" fontId="9" fillId="0" borderId="59" xfId="0" applyFont="1" applyFill="1" applyBorder="1"/>
    <xf numFmtId="0" fontId="9" fillId="0" borderId="59" xfId="0" applyFont="1" applyFill="1" applyBorder="1" applyAlignment="1">
      <alignment horizontal="right"/>
    </xf>
    <xf numFmtId="0" fontId="4" fillId="0" borderId="49" xfId="0" applyFont="1" applyFill="1" applyBorder="1"/>
    <xf numFmtId="3" fontId="4" fillId="0" borderId="70" xfId="0" applyNumberFormat="1" applyFont="1" applyFill="1" applyBorder="1"/>
    <xf numFmtId="0" fontId="4" fillId="0" borderId="70" xfId="0" applyFont="1" applyFill="1" applyBorder="1"/>
    <xf numFmtId="0" fontId="4" fillId="0" borderId="70" xfId="0" applyFont="1" applyFill="1" applyBorder="1" applyAlignment="1">
      <alignment horizontal="right"/>
    </xf>
    <xf numFmtId="3" fontId="4" fillId="0" borderId="70" xfId="0" applyNumberFormat="1" applyFont="1" applyFill="1" applyBorder="1" applyAlignment="1">
      <alignment horizontal="right"/>
    </xf>
    <xf numFmtId="0" fontId="9" fillId="0" borderId="61" xfId="0" applyFont="1" applyFill="1" applyBorder="1"/>
    <xf numFmtId="3" fontId="9" fillId="0" borderId="70" xfId="0" applyNumberFormat="1" applyFont="1" applyFill="1" applyBorder="1"/>
    <xf numFmtId="0" fontId="9" fillId="0" borderId="70" xfId="0" applyFont="1" applyFill="1" applyBorder="1"/>
    <xf numFmtId="0" fontId="9" fillId="0" borderId="70" xfId="0" applyFont="1" applyFill="1" applyBorder="1" applyAlignment="1">
      <alignment horizontal="right"/>
    </xf>
    <xf numFmtId="3" fontId="9" fillId="0" borderId="70" xfId="0" applyNumberFormat="1" applyFont="1" applyFill="1" applyBorder="1" applyAlignment="1">
      <alignment horizontal="right"/>
    </xf>
    <xf numFmtId="3" fontId="8" fillId="0" borderId="58" xfId="0" applyNumberFormat="1" applyFont="1" applyFill="1" applyBorder="1" applyAlignment="1">
      <alignment horizontal="left"/>
    </xf>
    <xf numFmtId="0" fontId="8" fillId="0" borderId="58" xfId="0" applyFont="1" applyFill="1" applyBorder="1" applyAlignment="1">
      <alignment horizontal="right"/>
    </xf>
    <xf numFmtId="3" fontId="8" fillId="0" borderId="58" xfId="0" applyNumberFormat="1" applyFont="1" applyFill="1" applyBorder="1" applyAlignment="1">
      <alignment horizontal="right"/>
    </xf>
    <xf numFmtId="3" fontId="11" fillId="0" borderId="33" xfId="0" applyNumberFormat="1" applyFont="1" applyFill="1" applyBorder="1" applyAlignment="1">
      <alignment horizontal="left"/>
    </xf>
    <xf numFmtId="0" fontId="11" fillId="0" borderId="33" xfId="0" applyFont="1" applyFill="1" applyBorder="1" applyAlignment="1">
      <alignment horizontal="left"/>
    </xf>
    <xf numFmtId="0" fontId="11" fillId="0" borderId="33" xfId="0" applyFont="1" applyFill="1" applyBorder="1" applyAlignment="1">
      <alignment horizontal="right"/>
    </xf>
    <xf numFmtId="3" fontId="11" fillId="0" borderId="33" xfId="0" applyNumberFormat="1" applyFont="1" applyFill="1" applyBorder="1" applyAlignment="1">
      <alignment horizontal="right"/>
    </xf>
    <xf numFmtId="3" fontId="11" fillId="0" borderId="14" xfId="0" applyNumberFormat="1" applyFont="1" applyFill="1" applyBorder="1" applyAlignment="1">
      <alignment horizontal="left"/>
    </xf>
    <xf numFmtId="0" fontId="11" fillId="0" borderId="14" xfId="0" applyFont="1" applyFill="1" applyBorder="1" applyAlignment="1">
      <alignment horizontal="left"/>
    </xf>
    <xf numFmtId="0" fontId="11" fillId="0" borderId="14" xfId="0" applyFont="1" applyFill="1" applyBorder="1" applyAlignment="1">
      <alignment horizontal="right"/>
    </xf>
    <xf numFmtId="3" fontId="11" fillId="0" borderId="14" xfId="0" applyNumberFormat="1" applyFont="1" applyFill="1" applyBorder="1" applyAlignment="1">
      <alignment horizontal="right"/>
    </xf>
    <xf numFmtId="0" fontId="14" fillId="0" borderId="22" xfId="0" applyFont="1" applyFill="1" applyBorder="1"/>
    <xf numFmtId="49" fontId="8" fillId="0" borderId="6" xfId="0" applyNumberFormat="1" applyFont="1" applyFill="1" applyBorder="1" applyAlignment="1">
      <alignment horizontal="right"/>
    </xf>
    <xf numFmtId="0" fontId="4" fillId="0" borderId="3" xfId="0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49" fontId="6" fillId="0" borderId="22" xfId="0" applyNumberFormat="1" applyFont="1" applyFill="1" applyBorder="1" applyAlignment="1"/>
    <xf numFmtId="49" fontId="6" fillId="0" borderId="6" xfId="0" applyNumberFormat="1" applyFont="1" applyFill="1" applyBorder="1" applyAlignment="1">
      <alignment horizontal="left"/>
    </xf>
    <xf numFmtId="0" fontId="11" fillId="0" borderId="4" xfId="0" applyFont="1" applyFill="1" applyBorder="1"/>
    <xf numFmtId="49" fontId="6" fillId="0" borderId="29" xfId="0" applyNumberFormat="1" applyFont="1" applyFill="1" applyBorder="1" applyAlignment="1">
      <alignment horizontal="center"/>
    </xf>
    <xf numFmtId="0" fontId="0" fillId="0" borderId="71" xfId="0" applyFill="1" applyBorder="1"/>
    <xf numFmtId="3" fontId="0" fillId="0" borderId="72" xfId="0" applyNumberFormat="1" applyFill="1" applyBorder="1"/>
    <xf numFmtId="0" fontId="0" fillId="0" borderId="73" xfId="0" applyFill="1" applyBorder="1"/>
    <xf numFmtId="0" fontId="14" fillId="0" borderId="74" xfId="0" applyFont="1" applyFill="1" applyBorder="1" applyAlignment="1">
      <alignment vertical="center"/>
    </xf>
    <xf numFmtId="3" fontId="14" fillId="0" borderId="75" xfId="0" applyNumberFormat="1" applyFont="1" applyFill="1" applyBorder="1" applyAlignment="1">
      <alignment vertical="center"/>
    </xf>
    <xf numFmtId="4" fontId="14" fillId="0" borderId="75" xfId="0" applyNumberFormat="1" applyFont="1" applyFill="1" applyBorder="1" applyAlignment="1">
      <alignment vertical="center"/>
    </xf>
    <xf numFmtId="0" fontId="14" fillId="0" borderId="74" xfId="0" applyFont="1" applyFill="1" applyBorder="1"/>
    <xf numFmtId="3" fontId="14" fillId="0" borderId="75" xfId="0" applyNumberFormat="1" applyFont="1" applyFill="1" applyBorder="1"/>
    <xf numFmtId="4" fontId="14" fillId="0" borderId="75" xfId="0" applyNumberFormat="1" applyFont="1" applyFill="1" applyBorder="1"/>
    <xf numFmtId="0" fontId="21" fillId="0" borderId="66" xfId="0" applyFont="1" applyFill="1" applyBorder="1"/>
    <xf numFmtId="3" fontId="21" fillId="0" borderId="39" xfId="0" applyNumberFormat="1" applyFont="1" applyFill="1" applyBorder="1"/>
    <xf numFmtId="4" fontId="21" fillId="0" borderId="39" xfId="0" applyNumberFormat="1" applyFont="1" applyFill="1" applyBorder="1"/>
    <xf numFmtId="3" fontId="7" fillId="0" borderId="77" xfId="0" applyNumberFormat="1" applyFont="1" applyFill="1" applyBorder="1"/>
    <xf numFmtId="3" fontId="8" fillId="0" borderId="34" xfId="0" applyNumberFormat="1" applyFont="1" applyFill="1" applyBorder="1"/>
    <xf numFmtId="3" fontId="12" fillId="0" borderId="7" xfId="0" applyNumberFormat="1" applyFont="1" applyFill="1" applyBorder="1"/>
    <xf numFmtId="3" fontId="7" fillId="0" borderId="38" xfId="0" applyNumberFormat="1" applyFont="1" applyFill="1" applyBorder="1"/>
    <xf numFmtId="3" fontId="8" fillId="0" borderId="38" xfId="0" applyNumberFormat="1" applyFont="1" applyFill="1" applyBorder="1"/>
    <xf numFmtId="3" fontId="12" fillId="0" borderId="36" xfId="0" applyNumberFormat="1" applyFont="1" applyFill="1" applyBorder="1"/>
    <xf numFmtId="3" fontId="6" fillId="0" borderId="36" xfId="0" applyNumberFormat="1" applyFont="1" applyFill="1" applyBorder="1"/>
    <xf numFmtId="3" fontId="7" fillId="0" borderId="6" xfId="0" applyNumberFormat="1" applyFont="1" applyFill="1" applyBorder="1"/>
    <xf numFmtId="3" fontId="12" fillId="0" borderId="27" xfId="0" applyNumberFormat="1" applyFont="1" applyFill="1" applyBorder="1"/>
    <xf numFmtId="3" fontId="14" fillId="0" borderId="6" xfId="0" applyNumberFormat="1" applyFont="1" applyFill="1" applyBorder="1"/>
    <xf numFmtId="3" fontId="18" fillId="0" borderId="28" xfId="0" applyNumberFormat="1" applyFont="1" applyFill="1" applyBorder="1"/>
    <xf numFmtId="0" fontId="14" fillId="0" borderId="0" xfId="0" applyFont="1"/>
    <xf numFmtId="3" fontId="21" fillId="0" borderId="39" xfId="0" applyNumberFormat="1" applyFont="1" applyBorder="1"/>
    <xf numFmtId="0" fontId="14" fillId="0" borderId="6" xfId="0" applyFont="1" applyFill="1" applyBorder="1"/>
    <xf numFmtId="0" fontId="24" fillId="0" borderId="0" xfId="0" applyFont="1"/>
    <xf numFmtId="3" fontId="24" fillId="0" borderId="0" xfId="0" applyNumberFormat="1" applyFont="1"/>
    <xf numFmtId="4" fontId="24" fillId="0" borderId="13" xfId="0" applyNumberFormat="1" applyFont="1" applyBorder="1"/>
    <xf numFmtId="4" fontId="24" fillId="0" borderId="16" xfId="0" applyNumberFormat="1" applyFont="1" applyBorder="1"/>
    <xf numFmtId="4" fontId="24" fillId="0" borderId="29" xfId="0" applyNumberFormat="1" applyFont="1" applyBorder="1"/>
    <xf numFmtId="4" fontId="24" fillId="0" borderId="6" xfId="0" applyNumberFormat="1" applyFont="1" applyBorder="1"/>
    <xf numFmtId="4" fontId="24" fillId="0" borderId="27" xfId="0" applyNumberFormat="1" applyFont="1" applyBorder="1"/>
    <xf numFmtId="3" fontId="21" fillId="0" borderId="40" xfId="0" applyNumberFormat="1" applyFont="1" applyFill="1" applyBorder="1"/>
    <xf numFmtId="3" fontId="21" fillId="0" borderId="79" xfId="0" applyNumberFormat="1" applyFont="1" applyFill="1" applyBorder="1"/>
    <xf numFmtId="0" fontId="6" fillId="0" borderId="80" xfId="0" applyFont="1" applyFill="1" applyBorder="1" applyAlignment="1"/>
    <xf numFmtId="3" fontId="13" fillId="0" borderId="6" xfId="0" applyNumberFormat="1" applyFont="1" applyFill="1" applyBorder="1"/>
    <xf numFmtId="3" fontId="13" fillId="0" borderId="7" xfId="0" applyNumberFormat="1" applyFont="1" applyFill="1" applyBorder="1"/>
    <xf numFmtId="0" fontId="6" fillId="0" borderId="0" xfId="0" applyFont="1" applyFill="1" applyAlignment="1"/>
    <xf numFmtId="3" fontId="4" fillId="0" borderId="33" xfId="0" applyNumberFormat="1" applyFont="1" applyFill="1" applyBorder="1" applyAlignment="1">
      <alignment vertical="center" wrapText="1"/>
    </xf>
    <xf numFmtId="3" fontId="0" fillId="0" borderId="20" xfId="0" applyNumberFormat="1" applyFill="1" applyBorder="1"/>
    <xf numFmtId="0" fontId="0" fillId="0" borderId="85" xfId="0" applyFill="1" applyBorder="1"/>
    <xf numFmtId="3" fontId="0" fillId="0" borderId="19" xfId="0" applyNumberFormat="1" applyFill="1" applyBorder="1"/>
    <xf numFmtId="3" fontId="0" fillId="0" borderId="36" xfId="0" applyNumberFormat="1" applyFill="1" applyBorder="1"/>
    <xf numFmtId="3" fontId="4" fillId="0" borderId="33" xfId="0" applyNumberFormat="1" applyFont="1" applyFill="1" applyBorder="1"/>
    <xf numFmtId="3" fontId="4" fillId="0" borderId="17" xfId="0" applyNumberFormat="1" applyFont="1" applyFill="1" applyBorder="1" applyAlignment="1">
      <alignment horizontal="right"/>
    </xf>
    <xf numFmtId="3" fontId="0" fillId="0" borderId="17" xfId="0" applyNumberFormat="1" applyFill="1" applyBorder="1"/>
    <xf numFmtId="3" fontId="6" fillId="0" borderId="46" xfId="0" applyNumberFormat="1" applyFont="1" applyFill="1" applyBorder="1"/>
    <xf numFmtId="4" fontId="4" fillId="0" borderId="28" xfId="0" applyNumberFormat="1" applyFont="1" applyFill="1" applyBorder="1"/>
    <xf numFmtId="4" fontId="8" fillId="0" borderId="39" xfId="0" applyNumberFormat="1" applyFont="1" applyFill="1" applyBorder="1"/>
    <xf numFmtId="0" fontId="0" fillId="0" borderId="0" xfId="0" applyFont="1"/>
    <xf numFmtId="3" fontId="8" fillId="0" borderId="87" xfId="0" applyNumberFormat="1" applyFont="1" applyFill="1" applyBorder="1" applyAlignment="1">
      <alignment vertical="center" wrapText="1"/>
    </xf>
    <xf numFmtId="3" fontId="0" fillId="0" borderId="0" xfId="0" applyNumberFormat="1" applyFont="1"/>
    <xf numFmtId="4" fontId="0" fillId="0" borderId="13" xfId="0" applyNumberFormat="1" applyFont="1" applyBorder="1"/>
    <xf numFmtId="4" fontId="0" fillId="0" borderId="16" xfId="0" applyNumberFormat="1" applyFont="1" applyBorder="1"/>
    <xf numFmtId="4" fontId="0" fillId="0" borderId="18" xfId="0" applyNumberFormat="1" applyFont="1" applyBorder="1"/>
    <xf numFmtId="4" fontId="0" fillId="0" borderId="29" xfId="0" applyNumberFormat="1" applyFont="1" applyBorder="1"/>
    <xf numFmtId="4" fontId="0" fillId="0" borderId="21" xfId="0" applyNumberFormat="1" applyFont="1" applyBorder="1"/>
    <xf numFmtId="4" fontId="0" fillId="0" borderId="5" xfId="0" applyNumberFormat="1" applyFont="1" applyBorder="1"/>
    <xf numFmtId="4" fontId="0" fillId="0" borderId="6" xfId="0" applyNumberFormat="1" applyFont="1" applyBorder="1"/>
    <xf numFmtId="0" fontId="4" fillId="0" borderId="30" xfId="0" applyFont="1" applyFill="1" applyBorder="1"/>
    <xf numFmtId="4" fontId="0" fillId="0" borderId="15" xfId="0" applyNumberFormat="1" applyFont="1" applyBorder="1"/>
    <xf numFmtId="3" fontId="10" fillId="0" borderId="36" xfId="0" applyNumberFormat="1" applyFont="1" applyFill="1" applyBorder="1"/>
    <xf numFmtId="4" fontId="0" fillId="0" borderId="25" xfId="0" applyNumberFormat="1" applyFont="1" applyBorder="1"/>
    <xf numFmtId="4" fontId="0" fillId="0" borderId="35" xfId="0" applyNumberFormat="1" applyFont="1" applyBorder="1"/>
    <xf numFmtId="3" fontId="4" fillId="0" borderId="34" xfId="0" applyNumberFormat="1" applyFont="1" applyFill="1" applyBorder="1"/>
    <xf numFmtId="3" fontId="10" fillId="0" borderId="30" xfId="0" applyNumberFormat="1" applyFont="1" applyFill="1" applyBorder="1"/>
    <xf numFmtId="3" fontId="14" fillId="0" borderId="7" xfId="0" applyNumberFormat="1" applyFont="1" applyFill="1" applyBorder="1" applyAlignment="1">
      <alignment vertical="center" wrapText="1"/>
    </xf>
    <xf numFmtId="4" fontId="0" fillId="0" borderId="19" xfId="0" applyNumberFormat="1" applyFont="1" applyBorder="1"/>
    <xf numFmtId="3" fontId="7" fillId="0" borderId="46" xfId="0" applyNumberFormat="1" applyFont="1" applyFill="1" applyBorder="1"/>
    <xf numFmtId="4" fontId="0" fillId="0" borderId="0" xfId="0" applyNumberFormat="1" applyFont="1"/>
    <xf numFmtId="4" fontId="0" fillId="0" borderId="0" xfId="0" applyNumberFormat="1"/>
    <xf numFmtId="4" fontId="7" fillId="0" borderId="2" xfId="0" applyNumberFormat="1" applyFont="1" applyFill="1" applyBorder="1"/>
    <xf numFmtId="4" fontId="8" fillId="0" borderId="5" xfId="0" applyNumberFormat="1" applyFont="1" applyFill="1" applyBorder="1"/>
    <xf numFmtId="4" fontId="12" fillId="0" borderId="10" xfId="0" applyNumberFormat="1" applyFont="1" applyFill="1" applyBorder="1"/>
    <xf numFmtId="4" fontId="11" fillId="0" borderId="30" xfId="0" applyNumberFormat="1" applyFont="1" applyFill="1" applyBorder="1"/>
    <xf numFmtId="4" fontId="13" fillId="0" borderId="6" xfId="0" applyNumberFormat="1" applyFont="1" applyFill="1" applyBorder="1"/>
    <xf numFmtId="4" fontId="7" fillId="0" borderId="39" xfId="0" applyNumberFormat="1" applyFont="1" applyFill="1" applyBorder="1"/>
    <xf numFmtId="4" fontId="9" fillId="0" borderId="50" xfId="0" applyNumberFormat="1" applyFont="1" applyFill="1" applyBorder="1" applyAlignment="1">
      <alignment vertical="center"/>
    </xf>
    <xf numFmtId="4" fontId="9" fillId="0" borderId="49" xfId="0" applyNumberFormat="1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vertical="center"/>
    </xf>
    <xf numFmtId="4" fontId="9" fillId="0" borderId="0" xfId="0" applyNumberFormat="1" applyFont="1" applyFill="1" applyBorder="1"/>
    <xf numFmtId="4" fontId="11" fillId="0" borderId="13" xfId="0" applyNumberFormat="1" applyFont="1" applyFill="1" applyBorder="1"/>
    <xf numFmtId="4" fontId="11" fillId="0" borderId="16" xfId="0" applyNumberFormat="1" applyFont="1" applyFill="1" applyBorder="1"/>
    <xf numFmtId="4" fontId="8" fillId="0" borderId="7" xfId="0" applyNumberFormat="1" applyFont="1" applyFill="1" applyBorder="1"/>
    <xf numFmtId="4" fontId="9" fillId="0" borderId="5" xfId="0" applyNumberFormat="1" applyFont="1" applyFill="1" applyBorder="1"/>
    <xf numFmtId="4" fontId="9" fillId="0" borderId="20" xfId="0" applyNumberFormat="1" applyFont="1" applyBorder="1"/>
    <xf numFmtId="4" fontId="11" fillId="0" borderId="6" xfId="0" applyNumberFormat="1" applyFont="1" applyFill="1" applyBorder="1"/>
    <xf numFmtId="4" fontId="11" fillId="0" borderId="29" xfId="0" applyNumberFormat="1" applyFont="1" applyFill="1" applyBorder="1"/>
    <xf numFmtId="4" fontId="11" fillId="0" borderId="19" xfId="0" applyNumberFormat="1" applyFont="1" applyFill="1" applyBorder="1"/>
    <xf numFmtId="4" fontId="8" fillId="0" borderId="14" xfId="0" applyNumberFormat="1" applyFont="1" applyFill="1" applyBorder="1"/>
    <xf numFmtId="4" fontId="4" fillId="0" borderId="5" xfId="0" applyNumberFormat="1" applyFont="1" applyFill="1" applyBorder="1"/>
    <xf numFmtId="4" fontId="10" fillId="0" borderId="19" xfId="0" applyNumberFormat="1" applyFont="1" applyFill="1" applyBorder="1"/>
    <xf numFmtId="4" fontId="9" fillId="0" borderId="65" xfId="0" applyNumberFormat="1" applyFont="1" applyFill="1" applyBorder="1"/>
    <xf numFmtId="2" fontId="9" fillId="0" borderId="36" xfId="0" applyNumberFormat="1" applyFont="1" applyFill="1" applyBorder="1"/>
    <xf numFmtId="4" fontId="0" fillId="0" borderId="31" xfId="0" applyNumberFormat="1" applyFont="1" applyBorder="1"/>
    <xf numFmtId="4" fontId="7" fillId="0" borderId="10" xfId="0" applyNumberFormat="1" applyFont="1" applyFill="1" applyBorder="1" applyAlignment="1">
      <alignment horizontal="right"/>
    </xf>
    <xf numFmtId="4" fontId="4" fillId="0" borderId="14" xfId="0" applyNumberFormat="1" applyFont="1" applyFill="1" applyBorder="1"/>
    <xf numFmtId="4" fontId="7" fillId="0" borderId="7" xfId="0" applyNumberFormat="1" applyFont="1" applyFill="1" applyBorder="1"/>
    <xf numFmtId="4" fontId="12" fillId="0" borderId="38" xfId="0" applyNumberFormat="1" applyFont="1" applyFill="1" applyBorder="1"/>
    <xf numFmtId="4" fontId="10" fillId="0" borderId="7" xfId="0" applyNumberFormat="1" applyFont="1" applyFill="1" applyBorder="1"/>
    <xf numFmtId="0" fontId="9" fillId="0" borderId="14" xfId="0" applyFont="1" applyBorder="1"/>
    <xf numFmtId="4" fontId="9" fillId="0" borderId="17" xfId="0" applyNumberFormat="1" applyFont="1" applyBorder="1"/>
    <xf numFmtId="4" fontId="9" fillId="0" borderId="33" xfId="0" applyNumberFormat="1" applyFont="1" applyBorder="1"/>
    <xf numFmtId="4" fontId="9" fillId="0" borderId="14" xfId="0" applyNumberFormat="1" applyFont="1" applyBorder="1"/>
    <xf numFmtId="4" fontId="9" fillId="0" borderId="28" xfId="0" applyNumberFormat="1" applyFont="1" applyBorder="1"/>
    <xf numFmtId="4" fontId="9" fillId="0" borderId="19" xfId="0" applyNumberFormat="1" applyFont="1" applyBorder="1"/>
    <xf numFmtId="4" fontId="9" fillId="0" borderId="14" xfId="0" applyNumberFormat="1" applyFont="1" applyBorder="1" applyAlignment="1"/>
    <xf numFmtId="4" fontId="0" fillId="0" borderId="28" xfId="0" applyNumberFormat="1" applyBorder="1"/>
    <xf numFmtId="4" fontId="4" fillId="0" borderId="13" xfId="0" applyNumberFormat="1" applyFont="1" applyBorder="1"/>
    <xf numFmtId="4" fontId="4" fillId="0" borderId="16" xfId="0" applyNumberFormat="1" applyFont="1" applyBorder="1"/>
    <xf numFmtId="4" fontId="0" fillId="0" borderId="72" xfId="0" applyNumberFormat="1" applyFill="1" applyBorder="1"/>
    <xf numFmtId="4" fontId="0" fillId="0" borderId="19" xfId="0" applyNumberFormat="1" applyFill="1" applyBorder="1"/>
    <xf numFmtId="49" fontId="6" fillId="0" borderId="26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3" fontId="25" fillId="0" borderId="0" xfId="0" applyNumberFormat="1" applyFont="1"/>
    <xf numFmtId="4" fontId="25" fillId="0" borderId="0" xfId="0" applyNumberFormat="1" applyFont="1"/>
    <xf numFmtId="4" fontId="24" fillId="0" borderId="0" xfId="0" applyNumberFormat="1" applyFont="1"/>
    <xf numFmtId="4" fontId="7" fillId="0" borderId="77" xfId="0" applyNumberFormat="1" applyFont="1" applyFill="1" applyBorder="1"/>
    <xf numFmtId="4" fontId="8" fillId="0" borderId="34" xfId="0" applyNumberFormat="1" applyFont="1" applyFill="1" applyBorder="1"/>
    <xf numFmtId="4" fontId="0" fillId="0" borderId="6" xfId="0" applyNumberFormat="1" applyBorder="1"/>
    <xf numFmtId="4" fontId="12" fillId="0" borderId="7" xfId="0" applyNumberFormat="1" applyFont="1" applyFill="1" applyBorder="1"/>
    <xf numFmtId="4" fontId="6" fillId="0" borderId="36" xfId="0" applyNumberFormat="1" applyFont="1" applyFill="1" applyBorder="1"/>
    <xf numFmtId="4" fontId="7" fillId="0" borderId="38" xfId="0" applyNumberFormat="1" applyFont="1" applyFill="1" applyBorder="1"/>
    <xf numFmtId="4" fontId="8" fillId="0" borderId="38" xfId="0" applyNumberFormat="1" applyFont="1" applyFill="1" applyBorder="1"/>
    <xf numFmtId="4" fontId="8" fillId="0" borderId="36" xfId="0" applyNumberFormat="1" applyFont="1" applyFill="1" applyBorder="1"/>
    <xf numFmtId="4" fontId="12" fillId="0" borderId="36" xfId="0" applyNumberFormat="1" applyFont="1" applyFill="1" applyBorder="1"/>
    <xf numFmtId="4" fontId="13" fillId="0" borderId="7" xfId="0" applyNumberFormat="1" applyFont="1" applyFill="1" applyBorder="1"/>
    <xf numFmtId="4" fontId="21" fillId="0" borderId="39" xfId="0" applyNumberFormat="1" applyFont="1" applyBorder="1"/>
    <xf numFmtId="4" fontId="7" fillId="0" borderId="78" xfId="0" applyNumberFormat="1" applyFont="1" applyFill="1" applyBorder="1"/>
    <xf numFmtId="4" fontId="8" fillId="0" borderId="35" xfId="0" applyNumberFormat="1" applyFont="1" applyFill="1" applyBorder="1"/>
    <xf numFmtId="4" fontId="24" fillId="0" borderId="25" xfId="0" applyNumberFormat="1" applyFont="1" applyBorder="1"/>
    <xf numFmtId="4" fontId="24" fillId="0" borderId="15" xfId="0" applyNumberFormat="1" applyFont="1" applyBorder="1"/>
    <xf numFmtId="4" fontId="24" fillId="0" borderId="18" xfId="0" applyNumberFormat="1" applyFont="1" applyBorder="1"/>
    <xf numFmtId="4" fontId="24" fillId="0" borderId="21" xfId="0" applyNumberFormat="1" applyFont="1" applyBorder="1"/>
    <xf numFmtId="4" fontId="12" fillId="0" borderId="25" xfId="0" applyNumberFormat="1" applyFont="1" applyFill="1" applyBorder="1"/>
    <xf numFmtId="4" fontId="6" fillId="0" borderId="11" xfId="0" applyNumberFormat="1" applyFont="1" applyFill="1" applyBorder="1"/>
    <xf numFmtId="4" fontId="10" fillId="0" borderId="25" xfId="0" applyNumberFormat="1" applyFont="1" applyFill="1" applyBorder="1"/>
    <xf numFmtId="4" fontId="7" fillId="0" borderId="44" xfId="0" applyNumberFormat="1" applyFont="1" applyFill="1" applyBorder="1"/>
    <xf numFmtId="4" fontId="8" fillId="0" borderId="44" xfId="0" applyNumberFormat="1" applyFont="1" applyFill="1" applyBorder="1"/>
    <xf numFmtId="4" fontId="9" fillId="0" borderId="21" xfId="0" applyNumberFormat="1" applyFont="1" applyFill="1" applyBorder="1"/>
    <xf numFmtId="4" fontId="8" fillId="0" borderId="25" xfId="0" applyNumberFormat="1" applyFont="1" applyFill="1" applyBorder="1"/>
    <xf numFmtId="4" fontId="9" fillId="0" borderId="35" xfId="0" applyNumberFormat="1" applyFont="1" applyFill="1" applyBorder="1"/>
    <xf numFmtId="4" fontId="8" fillId="0" borderId="11" xfId="0" applyNumberFormat="1" applyFont="1" applyFill="1" applyBorder="1"/>
    <xf numFmtId="4" fontId="12" fillId="0" borderId="11" xfId="0" applyNumberFormat="1" applyFont="1" applyFill="1" applyBorder="1"/>
    <xf numFmtId="4" fontId="24" fillId="0" borderId="37" xfId="0" applyNumberFormat="1" applyFont="1" applyBorder="1"/>
    <xf numFmtId="4" fontId="13" fillId="0" borderId="25" xfId="0" applyNumberFormat="1" applyFont="1" applyFill="1" applyBorder="1"/>
    <xf numFmtId="4" fontId="24" fillId="0" borderId="44" xfId="0" applyNumberFormat="1" applyFont="1" applyBorder="1"/>
    <xf numFmtId="4" fontId="21" fillId="0" borderId="40" xfId="0" applyNumberFormat="1" applyFont="1" applyBorder="1"/>
    <xf numFmtId="4" fontId="4" fillId="0" borderId="13" xfId="0" applyNumberFormat="1" applyFont="1" applyFill="1" applyBorder="1"/>
    <xf numFmtId="4" fontId="7" fillId="0" borderId="6" xfId="0" applyNumberFormat="1" applyFont="1" applyFill="1" applyBorder="1"/>
    <xf numFmtId="4" fontId="12" fillId="0" borderId="27" xfId="0" applyNumberFormat="1" applyFont="1" applyFill="1" applyBorder="1"/>
    <xf numFmtId="4" fontId="14" fillId="0" borderId="6" xfId="0" applyNumberFormat="1" applyFont="1" applyFill="1" applyBorder="1"/>
    <xf numFmtId="165" fontId="9" fillId="0" borderId="13" xfId="0" applyNumberFormat="1" applyFont="1" applyFill="1" applyBorder="1"/>
    <xf numFmtId="4" fontId="9" fillId="0" borderId="37" xfId="0" applyNumberFormat="1" applyFont="1" applyFill="1" applyBorder="1"/>
    <xf numFmtId="4" fontId="9" fillId="0" borderId="31" xfId="0" applyNumberFormat="1" applyFont="1" applyFill="1" applyBorder="1"/>
    <xf numFmtId="4" fontId="6" fillId="0" borderId="40" xfId="0" applyNumberFormat="1" applyFont="1" applyFill="1" applyBorder="1"/>
    <xf numFmtId="4" fontId="1" fillId="0" borderId="25" xfId="0" applyNumberFormat="1" applyFont="1" applyBorder="1"/>
    <xf numFmtId="4" fontId="14" fillId="0" borderId="25" xfId="0" applyNumberFormat="1" applyFont="1" applyBorder="1"/>
    <xf numFmtId="4" fontId="0" fillId="0" borderId="11" xfId="0" applyNumberFormat="1" applyFont="1" applyBorder="1"/>
    <xf numFmtId="4" fontId="7" fillId="0" borderId="40" xfId="0" applyNumberFormat="1" applyFont="1" applyFill="1" applyBorder="1"/>
    <xf numFmtId="4" fontId="8" fillId="0" borderId="2" xfId="0" applyNumberFormat="1" applyFont="1" applyFill="1" applyBorder="1"/>
    <xf numFmtId="4" fontId="1" fillId="0" borderId="6" xfId="0" applyNumberFormat="1" applyFont="1" applyBorder="1"/>
    <xf numFmtId="4" fontId="14" fillId="0" borderId="6" xfId="0" applyNumberFormat="1" applyFont="1" applyBorder="1"/>
    <xf numFmtId="4" fontId="0" fillId="0" borderId="10" xfId="0" applyNumberFormat="1" applyFont="1" applyBorder="1"/>
    <xf numFmtId="4" fontId="8" fillId="0" borderId="78" xfId="0" applyNumberFormat="1" applyFont="1" applyFill="1" applyBorder="1"/>
    <xf numFmtId="4" fontId="8" fillId="0" borderId="11" xfId="0" applyNumberFormat="1" applyFont="1" applyFill="1" applyBorder="1" applyAlignment="1">
      <alignment horizontal="right"/>
    </xf>
    <xf numFmtId="4" fontId="18" fillId="0" borderId="37" xfId="0" applyNumberFormat="1" applyFont="1" applyFill="1" applyBorder="1"/>
    <xf numFmtId="4" fontId="11" fillId="0" borderId="15" xfId="0" applyNumberFormat="1" applyFont="1" applyFill="1" applyBorder="1"/>
    <xf numFmtId="4" fontId="9" fillId="0" borderId="11" xfId="0" applyNumberFormat="1" applyFont="1" applyFill="1" applyBorder="1"/>
    <xf numFmtId="4" fontId="11" fillId="0" borderId="37" xfId="0" applyNumberFormat="1" applyFont="1" applyFill="1" applyBorder="1"/>
    <xf numFmtId="4" fontId="4" fillId="0" borderId="35" xfId="0" applyNumberFormat="1" applyFont="1" applyFill="1" applyBorder="1"/>
    <xf numFmtId="4" fontId="0" fillId="0" borderId="86" xfId="0" applyNumberFormat="1" applyBorder="1"/>
    <xf numFmtId="4" fontId="0" fillId="0" borderId="35" xfId="0" applyNumberFormat="1" applyBorder="1"/>
    <xf numFmtId="4" fontId="14" fillId="0" borderId="76" xfId="0" applyNumberFormat="1" applyFont="1" applyFill="1" applyBorder="1" applyAlignment="1">
      <alignment vertical="center"/>
    </xf>
    <xf numFmtId="4" fontId="0" fillId="0" borderId="11" xfId="0" applyNumberFormat="1" applyBorder="1"/>
    <xf numFmtId="4" fontId="0" fillId="0" borderId="84" xfId="0" applyNumberFormat="1" applyBorder="1"/>
    <xf numFmtId="4" fontId="8" fillId="0" borderId="10" xfId="0" applyNumberFormat="1" applyFont="1" applyFill="1" applyBorder="1" applyAlignment="1">
      <alignment horizontal="right"/>
    </xf>
    <xf numFmtId="4" fontId="8" fillId="0" borderId="13" xfId="0" applyNumberFormat="1" applyFont="1" applyFill="1" applyBorder="1"/>
    <xf numFmtId="4" fontId="8" fillId="0" borderId="16" xfId="0" applyNumberFormat="1" applyFont="1" applyFill="1" applyBorder="1"/>
    <xf numFmtId="4" fontId="20" fillId="0" borderId="28" xfId="0" applyNumberFormat="1" applyFont="1" applyFill="1" applyBorder="1"/>
    <xf numFmtId="4" fontId="0" fillId="0" borderId="11" xfId="0" applyNumberFormat="1" applyFill="1" applyBorder="1"/>
    <xf numFmtId="4" fontId="4" fillId="0" borderId="37" xfId="0" applyNumberFormat="1" applyFont="1" applyFill="1" applyBorder="1"/>
    <xf numFmtId="4" fontId="4" fillId="0" borderId="18" xfId="0" applyNumberFormat="1" applyFont="1" applyFill="1" applyBorder="1"/>
    <xf numFmtId="4" fontId="4" fillId="0" borderId="18" xfId="0" applyNumberFormat="1" applyFont="1" applyFill="1" applyBorder="1" applyAlignment="1">
      <alignment horizontal="right"/>
    </xf>
    <xf numFmtId="4" fontId="0" fillId="0" borderId="18" xfId="0" applyNumberFormat="1" applyFill="1" applyBorder="1"/>
    <xf numFmtId="4" fontId="0" fillId="0" borderId="21" xfId="0" applyNumberFormat="1" applyFill="1" applyBorder="1"/>
    <xf numFmtId="165" fontId="0" fillId="0" borderId="0" xfId="0" applyNumberFormat="1"/>
    <xf numFmtId="0" fontId="6" fillId="0" borderId="0" xfId="0" applyFont="1" applyFill="1" applyBorder="1" applyAlignment="1">
      <alignment horizontal="left"/>
    </xf>
    <xf numFmtId="166" fontId="24" fillId="0" borderId="0" xfId="0" applyNumberFormat="1" applyFont="1"/>
    <xf numFmtId="0" fontId="6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/>
    <xf numFmtId="4" fontId="8" fillId="0" borderId="0" xfId="0" applyNumberFormat="1" applyFont="1" applyFill="1" applyBorder="1"/>
    <xf numFmtId="4" fontId="24" fillId="0" borderId="0" xfId="0" applyNumberFormat="1" applyFont="1" applyBorder="1"/>
    <xf numFmtId="4" fontId="12" fillId="0" borderId="0" xfId="0" applyNumberFormat="1" applyFont="1" applyFill="1" applyBorder="1"/>
    <xf numFmtId="4" fontId="6" fillId="0" borderId="0" xfId="0" applyNumberFormat="1" applyFont="1" applyFill="1" applyBorder="1"/>
    <xf numFmtId="4" fontId="10" fillId="0" borderId="0" xfId="0" applyNumberFormat="1" applyFont="1" applyFill="1" applyBorder="1"/>
    <xf numFmtId="4" fontId="13" fillId="0" borderId="0" xfId="0" applyNumberFormat="1" applyFont="1" applyFill="1" applyBorder="1"/>
    <xf numFmtId="4" fontId="0" fillId="0" borderId="0" xfId="0" applyNumberFormat="1" applyFont="1" applyBorder="1"/>
    <xf numFmtId="4" fontId="21" fillId="0" borderId="0" xfId="0" applyNumberFormat="1" applyFont="1" applyBorder="1"/>
    <xf numFmtId="4" fontId="0" fillId="0" borderId="0" xfId="0" applyNumberFormat="1" applyFill="1"/>
    <xf numFmtId="4" fontId="26" fillId="0" borderId="0" xfId="0" applyNumberFormat="1" applyFont="1"/>
    <xf numFmtId="4" fontId="11" fillId="0" borderId="28" xfId="0" applyNumberFormat="1" applyFont="1" applyFill="1" applyBorder="1" applyAlignment="1">
      <alignment horizontal="right"/>
    </xf>
    <xf numFmtId="4" fontId="11" fillId="0" borderId="13" xfId="0" applyNumberFormat="1" applyFont="1" applyFill="1" applyBorder="1" applyAlignment="1">
      <alignment horizontal="right"/>
    </xf>
    <xf numFmtId="4" fontId="11" fillId="0" borderId="10" xfId="0" applyNumberFormat="1" applyFont="1" applyFill="1" applyBorder="1"/>
    <xf numFmtId="0" fontId="13" fillId="0" borderId="7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9" fillId="0" borderId="89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9" fillId="0" borderId="27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2" xfId="0" applyFont="1" applyFill="1" applyBorder="1" applyAlignment="1">
      <alignment horizontal="left"/>
    </xf>
    <xf numFmtId="0" fontId="8" fillId="0" borderId="36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6" fillId="0" borderId="89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0" borderId="92" xfId="0" applyFont="1" applyFill="1" applyBorder="1" applyAlignment="1">
      <alignment horizontal="left"/>
    </xf>
    <xf numFmtId="0" fontId="7" fillId="0" borderId="79" xfId="0" applyFont="1" applyFill="1" applyBorder="1" applyAlignment="1">
      <alignment horizontal="left"/>
    </xf>
    <xf numFmtId="0" fontId="7" fillId="0" borderId="67" xfId="0" applyFont="1" applyFill="1" applyBorder="1" applyAlignment="1">
      <alignment horizontal="left"/>
    </xf>
    <xf numFmtId="0" fontId="9" fillId="0" borderId="38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6" fillId="0" borderId="48" xfId="0" applyFont="1" applyFill="1" applyBorder="1" applyAlignment="1">
      <alignment horizontal="center" vertical="center" wrapText="1"/>
    </xf>
    <xf numFmtId="0" fontId="6" fillId="0" borderId="81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91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center" vertical="center" wrapText="1"/>
    </xf>
    <xf numFmtId="0" fontId="6" fillId="0" borderId="93" xfId="0" applyFont="1" applyFill="1" applyBorder="1" applyAlignment="1">
      <alignment horizontal="center" vertical="center" wrapText="1"/>
    </xf>
    <xf numFmtId="0" fontId="6" fillId="0" borderId="82" xfId="0" applyFont="1" applyFill="1" applyBorder="1" applyAlignment="1">
      <alignment horizontal="center" vertical="center" wrapText="1"/>
    </xf>
    <xf numFmtId="0" fontId="6" fillId="0" borderId="8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88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4" fillId="0" borderId="26" xfId="0" applyFont="1" applyFill="1" applyBorder="1"/>
    <xf numFmtId="0" fontId="4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left"/>
    </xf>
    <xf numFmtId="0" fontId="6" fillId="0" borderId="84" xfId="0" applyFont="1" applyFill="1" applyBorder="1" applyAlignment="1">
      <alignment horizontal="center" vertical="center" wrapText="1"/>
    </xf>
    <xf numFmtId="0" fontId="6" fillId="0" borderId="90" xfId="0" applyFont="1" applyFill="1" applyBorder="1" applyAlignment="1">
      <alignment horizontal="center" vertical="center" wrapText="1"/>
    </xf>
    <xf numFmtId="49" fontId="17" fillId="0" borderId="47" xfId="0" applyNumberFormat="1" applyFont="1" applyFill="1" applyBorder="1" applyAlignment="1">
      <alignment horizontal="center" vertical="center" wrapText="1"/>
    </xf>
    <xf numFmtId="49" fontId="17" fillId="0" borderId="91" xfId="0" applyNumberFormat="1" applyFont="1" applyFill="1" applyBorder="1" applyAlignment="1">
      <alignment horizontal="center" vertical="center" wrapText="1"/>
    </xf>
    <xf numFmtId="49" fontId="6" fillId="0" borderId="89" xfId="0" applyNumberFormat="1" applyFont="1" applyFill="1" applyBorder="1" applyAlignment="1">
      <alignment horizontal="center"/>
    </xf>
    <xf numFmtId="49" fontId="6" fillId="0" borderId="26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6" fillId="0" borderId="48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left" vertical="center" wrapText="1"/>
    </xf>
    <xf numFmtId="0" fontId="8" fillId="0" borderId="94" xfId="0" applyFont="1" applyFill="1" applyBorder="1" applyAlignment="1">
      <alignment horizontal="left" vertical="center" wrapText="1"/>
    </xf>
    <xf numFmtId="16" fontId="6" fillId="0" borderId="93" xfId="0" applyNumberFormat="1" applyFont="1" applyFill="1" applyBorder="1" applyAlignment="1">
      <alignment horizontal="center" vertical="center" wrapText="1"/>
    </xf>
    <xf numFmtId="16" fontId="6" fillId="0" borderId="82" xfId="0" applyNumberFormat="1" applyFont="1" applyFill="1" applyBorder="1" applyAlignment="1">
      <alignment horizontal="center" vertical="center" wrapText="1"/>
    </xf>
    <xf numFmtId="49" fontId="8" fillId="0" borderId="89" xfId="0" applyNumberFormat="1" applyFont="1" applyFill="1" applyBorder="1" applyAlignment="1">
      <alignment horizontal="center"/>
    </xf>
    <xf numFmtId="49" fontId="8" fillId="0" borderId="26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8" fillId="0" borderId="58" xfId="0" applyNumberFormat="1" applyFont="1" applyFill="1" applyBorder="1" applyAlignment="1">
      <alignment horizontal="left"/>
    </xf>
    <xf numFmtId="49" fontId="8" fillId="0" borderId="9" xfId="0" applyNumberFormat="1" applyFont="1" applyFill="1" applyBorder="1" applyAlignment="1">
      <alignment horizontal="left"/>
    </xf>
    <xf numFmtId="0" fontId="11" fillId="0" borderId="32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0" fillId="0" borderId="32" xfId="0" applyNumberFormat="1" applyFont="1" applyFill="1" applyBorder="1" applyAlignment="1">
      <alignment horizontal="left"/>
    </xf>
    <xf numFmtId="0" fontId="10" fillId="0" borderId="4" xfId="0" applyNumberFormat="1" applyFont="1" applyFill="1" applyBorder="1" applyAlignment="1">
      <alignment horizontal="left"/>
    </xf>
    <xf numFmtId="0" fontId="8" fillId="0" borderId="58" xfId="0" applyFont="1" applyFill="1" applyBorder="1" applyAlignment="1">
      <alignment horizontal="left"/>
    </xf>
    <xf numFmtId="0" fontId="4" fillId="0" borderId="68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89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6" fillId="0" borderId="32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8" fillId="0" borderId="5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16" fontId="8" fillId="0" borderId="89" xfId="0" applyNumberFormat="1" applyFont="1" applyFill="1" applyBorder="1" applyAlignment="1">
      <alignment horizontal="center"/>
    </xf>
    <xf numFmtId="16" fontId="8" fillId="0" borderId="26" xfId="0" applyNumberFormat="1" applyFont="1" applyFill="1" applyBorder="1" applyAlignment="1">
      <alignment horizontal="center"/>
    </xf>
    <xf numFmtId="16" fontId="8" fillId="0" borderId="1" xfId="0" applyNumberFormat="1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4" fillId="0" borderId="89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4" fontId="6" fillId="0" borderId="48" xfId="0" applyNumberFormat="1" applyFont="1" applyFill="1" applyBorder="1" applyAlignment="1">
      <alignment horizontal="center" vertical="center" wrapText="1"/>
    </xf>
    <xf numFmtId="4" fontId="6" fillId="0" borderId="81" xfId="0" applyNumberFormat="1" applyFont="1" applyFill="1" applyBorder="1" applyAlignment="1">
      <alignment horizontal="center" vertical="center" wrapText="1"/>
    </xf>
    <xf numFmtId="16" fontId="6" fillId="0" borderId="80" xfId="0" applyNumberFormat="1" applyFont="1" applyFill="1" applyBorder="1" applyAlignment="1">
      <alignment horizontal="left"/>
    </xf>
    <xf numFmtId="49" fontId="8" fillId="0" borderId="32" xfId="0" applyNumberFormat="1" applyFont="1" applyFill="1" applyBorder="1" applyAlignment="1">
      <alignment horizontal="left"/>
    </xf>
    <xf numFmtId="49" fontId="8" fillId="0" borderId="4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34" xfId="0" applyFont="1" applyFill="1" applyBorder="1" applyAlignment="1">
      <alignment horizontal="center"/>
    </xf>
    <xf numFmtId="0" fontId="8" fillId="0" borderId="89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16" fontId="6" fillId="0" borderId="48" xfId="0" applyNumberFormat="1" applyFont="1" applyFill="1" applyBorder="1" applyAlignment="1">
      <alignment horizontal="center" vertical="center" wrapText="1"/>
    </xf>
    <xf numFmtId="16" fontId="6" fillId="0" borderId="8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/>
    </xf>
    <xf numFmtId="49" fontId="6" fillId="0" borderId="27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0" fontId="7" fillId="0" borderId="66" xfId="0" applyFont="1" applyFill="1" applyBorder="1" applyAlignment="1">
      <alignment horizontal="left"/>
    </xf>
    <xf numFmtId="0" fontId="7" fillId="0" borderId="39" xfId="0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6" fillId="0" borderId="7" xfId="0" applyNumberFormat="1" applyFont="1" applyFill="1" applyBorder="1" applyAlignment="1">
      <alignment horizontal="left"/>
    </xf>
    <xf numFmtId="49" fontId="6" fillId="0" borderId="4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27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49" fontId="8" fillId="0" borderId="27" xfId="0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0" fillId="0" borderId="95" xfId="0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91" xfId="0" applyFont="1" applyFill="1" applyBorder="1" applyAlignment="1">
      <alignment horizontal="center"/>
    </xf>
    <xf numFmtId="0" fontId="6" fillId="0" borderId="92" xfId="0" applyFont="1" applyFill="1" applyBorder="1" applyAlignment="1">
      <alignment horizontal="left"/>
    </xf>
    <xf numFmtId="0" fontId="6" fillId="0" borderId="79" xfId="0" applyFont="1" applyFill="1" applyBorder="1" applyAlignment="1">
      <alignment horizontal="left"/>
    </xf>
    <xf numFmtId="0" fontId="6" fillId="0" borderId="67" xfId="0" applyFont="1" applyFill="1" applyBorder="1" applyAlignment="1">
      <alignment horizontal="left"/>
    </xf>
    <xf numFmtId="0" fontId="6" fillId="0" borderId="36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49" fontId="5" fillId="0" borderId="47" xfId="0" applyNumberFormat="1" applyFont="1" applyFill="1" applyBorder="1" applyAlignment="1">
      <alignment horizontal="center" vertical="center" wrapText="1"/>
    </xf>
    <xf numFmtId="49" fontId="5" fillId="0" borderId="91" xfId="0" applyNumberFormat="1" applyFont="1" applyFill="1" applyBorder="1" applyAlignment="1">
      <alignment horizontal="center" vertical="center" wrapText="1"/>
    </xf>
    <xf numFmtId="16" fontId="5" fillId="0" borderId="48" xfId="0" applyNumberFormat="1" applyFont="1" applyFill="1" applyBorder="1" applyAlignment="1">
      <alignment horizontal="center" vertical="center" wrapText="1"/>
    </xf>
    <xf numFmtId="16" fontId="5" fillId="0" borderId="81" xfId="0" applyNumberFormat="1" applyFont="1" applyFill="1" applyBorder="1" applyAlignment="1">
      <alignment horizontal="center" vertical="center" wrapText="1"/>
    </xf>
    <xf numFmtId="0" fontId="0" fillId="0" borderId="89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91" xfId="0" applyFill="1" applyBorder="1" applyAlignment="1">
      <alignment horizontal="center"/>
    </xf>
    <xf numFmtId="0" fontId="0" fillId="0" borderId="96" xfId="0" applyFill="1" applyBorder="1" applyAlignment="1">
      <alignment horizontal="center"/>
    </xf>
    <xf numFmtId="0" fontId="0" fillId="0" borderId="97" xfId="0" applyFill="1" applyBorder="1" applyAlignment="1">
      <alignment horizontal="center"/>
    </xf>
    <xf numFmtId="0" fontId="21" fillId="0" borderId="96" xfId="0" applyFont="1" applyFill="1" applyBorder="1" applyAlignment="1">
      <alignment horizontal="left" vertical="center"/>
    </xf>
    <xf numFmtId="0" fontId="21" fillId="0" borderId="95" xfId="0" applyFont="1" applyFill="1" applyBorder="1" applyAlignment="1">
      <alignment horizontal="left" vertical="center"/>
    </xf>
    <xf numFmtId="0" fontId="21" fillId="0" borderId="97" xfId="0" applyFont="1" applyFill="1" applyBorder="1" applyAlignment="1">
      <alignment horizontal="left" vertical="center"/>
    </xf>
    <xf numFmtId="0" fontId="21" fillId="0" borderId="98" xfId="0" applyFont="1" applyFill="1" applyBorder="1" applyAlignment="1">
      <alignment horizontal="left" vertical="center"/>
    </xf>
    <xf numFmtId="0" fontId="21" fillId="0" borderId="80" xfId="0" applyFont="1" applyFill="1" applyBorder="1" applyAlignment="1">
      <alignment horizontal="left" vertical="center"/>
    </xf>
    <xf numFmtId="0" fontId="21" fillId="0" borderId="9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0" fillId="0" borderId="80" xfId="0" applyFill="1" applyBorder="1" applyAlignment="1">
      <alignment horizontal="center"/>
    </xf>
    <xf numFmtId="0" fontId="6" fillId="0" borderId="4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1" fillId="0" borderId="58" xfId="0" applyNumberFormat="1" applyFont="1" applyFill="1" applyBorder="1" applyAlignment="1">
      <alignment horizontal="center"/>
    </xf>
    <xf numFmtId="4" fontId="0" fillId="0" borderId="28" xfId="0" applyNumberFormat="1" applyFont="1" applyBorder="1"/>
    <xf numFmtId="4" fontId="0" fillId="0" borderId="37" xfId="0" applyNumberFormat="1" applyFont="1" applyBorder="1"/>
    <xf numFmtId="0" fontId="11" fillId="0" borderId="30" xfId="0" applyFont="1" applyFill="1" applyBorder="1"/>
    <xf numFmtId="4" fontId="24" fillId="0" borderId="31" xfId="0" applyNumberFormat="1" applyFont="1" applyBorder="1"/>
  </cellXfs>
  <cellStyles count="2">
    <cellStyle name="Normálna" xfId="0" builtinId="0"/>
    <cellStyle name="normální_Učitelia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 enableFormatConditionsCalculation="0">
    <tabColor indexed="11"/>
  </sheetPr>
  <dimension ref="A1:AF113"/>
  <sheetViews>
    <sheetView topLeftCell="A58" workbookViewId="0">
      <selection activeCell="M83" sqref="M83"/>
    </sheetView>
  </sheetViews>
  <sheetFormatPr defaultRowHeight="12.75" x14ac:dyDescent="0.2"/>
  <cols>
    <col min="1" max="2" width="9.28515625" style="450" bestFit="1" customWidth="1"/>
    <col min="3" max="3" width="36" style="450" customWidth="1"/>
    <col min="4" max="11" width="12.7109375" style="450" hidden="1" customWidth="1"/>
    <col min="12" max="12" width="11.7109375" style="450" hidden="1" customWidth="1"/>
    <col min="13" max="13" width="17.5703125" style="450" customWidth="1"/>
    <col min="14" max="14" width="15" style="450" customWidth="1"/>
    <col min="15" max="15" width="16.140625" style="450" customWidth="1"/>
    <col min="16" max="17" width="11" style="450" customWidth="1"/>
    <col min="18" max="18" width="18" style="450" customWidth="1"/>
    <col min="19" max="19" width="11" style="450" customWidth="1"/>
    <col min="20" max="20" width="14" style="450" customWidth="1"/>
    <col min="21" max="23" width="11" style="450" customWidth="1"/>
    <col min="24" max="24" width="9.140625" style="450"/>
    <col min="25" max="25" width="13.7109375" style="450" customWidth="1"/>
    <col min="26" max="26" width="9.140625" style="450"/>
    <col min="27" max="27" width="12.42578125" style="450" customWidth="1"/>
    <col min="28" max="28" width="13.28515625" style="450" customWidth="1"/>
    <col min="29" max="29" width="13.42578125" style="450" customWidth="1"/>
    <col min="30" max="31" width="9.140625" style="450"/>
    <col min="32" max="32" width="9.7109375" style="450" bestFit="1" customWidth="1"/>
    <col min="33" max="16384" width="9.140625" style="450"/>
  </cols>
  <sheetData>
    <row r="1" spans="1:29" x14ac:dyDescent="0.2">
      <c r="A1" s="668" t="s">
        <v>13</v>
      </c>
      <c r="B1" s="668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12"/>
      <c r="R1" s="612"/>
      <c r="S1" s="612"/>
      <c r="T1" s="612"/>
      <c r="U1" s="612"/>
      <c r="V1" s="612"/>
      <c r="W1" s="612"/>
    </row>
    <row r="2" spans="1:29" ht="13.5" thickBot="1" x14ac:dyDescent="0.25">
      <c r="A2" s="667" t="s">
        <v>14</v>
      </c>
      <c r="B2" s="667"/>
      <c r="C2" s="667"/>
      <c r="D2" s="667"/>
      <c r="E2" s="667"/>
      <c r="F2" s="667"/>
      <c r="G2" s="667"/>
      <c r="H2" s="667"/>
      <c r="I2" s="667"/>
      <c r="J2" s="667"/>
      <c r="K2" s="667"/>
      <c r="L2" s="667"/>
      <c r="M2" s="667"/>
      <c r="N2" s="667"/>
      <c r="O2" s="667"/>
      <c r="P2" s="667"/>
      <c r="Q2" s="612"/>
      <c r="R2" s="612"/>
      <c r="S2" s="612"/>
      <c r="T2" s="612"/>
      <c r="U2" s="612"/>
      <c r="V2" s="612"/>
      <c r="W2" s="612"/>
    </row>
    <row r="3" spans="1:29" ht="16.5" customHeight="1" thickTop="1" x14ac:dyDescent="0.2">
      <c r="A3" s="661" t="s">
        <v>184</v>
      </c>
      <c r="B3" s="663" t="s">
        <v>185</v>
      </c>
      <c r="C3" s="659" t="s">
        <v>186</v>
      </c>
      <c r="D3" s="659" t="s">
        <v>187</v>
      </c>
      <c r="E3" s="659" t="s">
        <v>188</v>
      </c>
      <c r="F3" s="659" t="s">
        <v>189</v>
      </c>
      <c r="G3" s="659" t="s">
        <v>190</v>
      </c>
      <c r="H3" s="659" t="s">
        <v>191</v>
      </c>
      <c r="I3" s="659" t="s">
        <v>192</v>
      </c>
      <c r="J3" s="659" t="s">
        <v>193</v>
      </c>
      <c r="K3" s="659" t="s">
        <v>194</v>
      </c>
      <c r="L3" s="659" t="s">
        <v>195</v>
      </c>
      <c r="M3" s="665" t="s">
        <v>410</v>
      </c>
      <c r="N3" s="659" t="s">
        <v>392</v>
      </c>
      <c r="O3" s="659" t="s">
        <v>432</v>
      </c>
      <c r="P3" s="677" t="s">
        <v>434</v>
      </c>
      <c r="Q3" s="614"/>
      <c r="R3" s="614"/>
      <c r="S3" s="614"/>
      <c r="T3" s="614"/>
      <c r="U3" s="614"/>
      <c r="V3" s="614"/>
      <c r="W3" s="614"/>
    </row>
    <row r="4" spans="1:29" ht="25.5" customHeight="1" thickBot="1" x14ac:dyDescent="0.25">
      <c r="A4" s="662"/>
      <c r="B4" s="664"/>
      <c r="C4" s="660"/>
      <c r="D4" s="660"/>
      <c r="E4" s="660"/>
      <c r="F4" s="660"/>
      <c r="G4" s="660"/>
      <c r="H4" s="660"/>
      <c r="I4" s="660"/>
      <c r="J4" s="660"/>
      <c r="K4" s="660"/>
      <c r="L4" s="660"/>
      <c r="M4" s="666"/>
      <c r="N4" s="660"/>
      <c r="O4" s="660"/>
      <c r="P4" s="678"/>
      <c r="Q4" s="614"/>
      <c r="R4" s="614"/>
      <c r="S4" s="614"/>
      <c r="T4" s="614"/>
      <c r="U4" s="614"/>
      <c r="V4" s="614"/>
      <c r="W4" s="614"/>
    </row>
    <row r="5" spans="1:29" ht="17.25" thickTop="1" thickBot="1" x14ac:dyDescent="0.3">
      <c r="A5" s="2">
        <v>100</v>
      </c>
      <c r="B5" s="637" t="s">
        <v>197</v>
      </c>
      <c r="C5" s="638"/>
      <c r="D5" s="3">
        <f t="shared" ref="D5:O5" si="0">D6+D12+D17</f>
        <v>4005975</v>
      </c>
      <c r="E5" s="3">
        <f t="shared" si="0"/>
        <v>4409049</v>
      </c>
      <c r="F5" s="3">
        <f t="shared" si="0"/>
        <v>5183529</v>
      </c>
      <c r="G5" s="3">
        <f t="shared" si="0"/>
        <v>5169506</v>
      </c>
      <c r="H5" s="3">
        <f t="shared" si="0"/>
        <v>4342169</v>
      </c>
      <c r="I5" s="3">
        <f t="shared" si="0"/>
        <v>4854565</v>
      </c>
      <c r="J5" s="3">
        <f t="shared" si="0"/>
        <v>5209041</v>
      </c>
      <c r="K5" s="3">
        <f t="shared" si="0"/>
        <v>4997011</v>
      </c>
      <c r="L5" s="3">
        <f t="shared" si="0"/>
        <v>5140983.68</v>
      </c>
      <c r="M5" s="496">
        <f t="shared" si="0"/>
        <v>5807550.21</v>
      </c>
      <c r="N5" s="436">
        <f t="shared" si="0"/>
        <v>6366071</v>
      </c>
      <c r="O5" s="542">
        <f t="shared" si="0"/>
        <v>6453363.5500000007</v>
      </c>
      <c r="P5" s="553">
        <f t="shared" ref="P5:P68" si="1">IF(N5=0,0,O5/N5*100)</f>
        <v>101.37121546398085</v>
      </c>
      <c r="Q5" s="615"/>
      <c r="R5" s="451"/>
      <c r="S5" s="451"/>
      <c r="T5" s="451"/>
      <c r="U5" s="451"/>
      <c r="V5" s="451"/>
      <c r="W5" s="451"/>
      <c r="X5" s="451"/>
      <c r="Y5" s="451"/>
      <c r="Z5" s="451"/>
      <c r="AA5" s="451"/>
      <c r="AB5" s="451"/>
      <c r="AC5" s="451"/>
    </row>
    <row r="6" spans="1:29" ht="15.75" thickBot="1" x14ac:dyDescent="0.3">
      <c r="A6" s="4">
        <v>110</v>
      </c>
      <c r="B6" s="639" t="s">
        <v>198</v>
      </c>
      <c r="C6" s="640"/>
      <c r="D6" s="6">
        <f>D7</f>
        <v>3340935</v>
      </c>
      <c r="E6" s="6">
        <f>E7</f>
        <v>3718815</v>
      </c>
      <c r="F6" s="6">
        <f>F7</f>
        <v>4552845</v>
      </c>
      <c r="G6" s="6">
        <f>G7</f>
        <v>4537123</v>
      </c>
      <c r="H6" s="6">
        <f>H7</f>
        <v>3726916</v>
      </c>
      <c r="I6" s="6">
        <f t="shared" ref="I6:O6" si="2">I7</f>
        <v>4195159</v>
      </c>
      <c r="J6" s="6">
        <f t="shared" si="2"/>
        <v>4432132</v>
      </c>
      <c r="K6" s="6">
        <f t="shared" si="2"/>
        <v>4175784</v>
      </c>
      <c r="L6" s="6">
        <f t="shared" si="2"/>
        <v>4401458.42</v>
      </c>
      <c r="M6" s="497">
        <f t="shared" si="2"/>
        <v>5016805.0999999996</v>
      </c>
      <c r="N6" s="437">
        <f t="shared" si="2"/>
        <v>5466305</v>
      </c>
      <c r="O6" s="543">
        <f t="shared" si="2"/>
        <v>5542925.6600000001</v>
      </c>
      <c r="P6" s="554">
        <f t="shared" si="1"/>
        <v>101.40169017279497</v>
      </c>
      <c r="Q6" s="616"/>
      <c r="R6" s="616"/>
      <c r="S6" s="616"/>
      <c r="T6" s="616"/>
      <c r="U6" s="616"/>
      <c r="V6" s="616"/>
      <c r="W6" s="616"/>
      <c r="AA6" s="451"/>
      <c r="AB6" s="451"/>
    </row>
    <row r="7" spans="1:29" ht="13.5" thickBot="1" x14ac:dyDescent="0.25">
      <c r="A7" s="631"/>
      <c r="B7" s="634"/>
      <c r="C7" s="422" t="s">
        <v>199</v>
      </c>
      <c r="D7" s="8">
        <v>3340935</v>
      </c>
      <c r="E7" s="8">
        <v>3718815</v>
      </c>
      <c r="F7" s="8">
        <v>4552845</v>
      </c>
      <c r="G7" s="8">
        <v>4537123</v>
      </c>
      <c r="H7" s="8">
        <v>3726916</v>
      </c>
      <c r="I7" s="9">
        <v>4195159</v>
      </c>
      <c r="J7" s="9">
        <v>4432132</v>
      </c>
      <c r="K7" s="10">
        <v>4175784</v>
      </c>
      <c r="L7" s="10">
        <v>4401458.42</v>
      </c>
      <c r="M7" s="234">
        <v>5016805.0999999996</v>
      </c>
      <c r="N7" s="11">
        <v>5466305</v>
      </c>
      <c r="O7" s="544">
        <v>5542925.6600000001</v>
      </c>
      <c r="P7" s="555">
        <f t="shared" si="1"/>
        <v>101.40169017279497</v>
      </c>
      <c r="Q7" s="617"/>
      <c r="R7" s="617"/>
      <c r="S7" s="613"/>
      <c r="T7" s="613"/>
      <c r="U7" s="613"/>
      <c r="V7" s="613"/>
      <c r="W7" s="613"/>
      <c r="X7" s="613"/>
      <c r="Y7" s="613"/>
      <c r="Z7" s="613"/>
      <c r="AA7" s="613"/>
      <c r="AB7" s="451"/>
    </row>
    <row r="8" spans="1:29" ht="13.5" hidden="1" thickBot="1" x14ac:dyDescent="0.25">
      <c r="A8" s="632"/>
      <c r="B8" s="635"/>
      <c r="C8" s="122" t="s">
        <v>59</v>
      </c>
      <c r="D8" s="122"/>
      <c r="E8" s="122"/>
      <c r="F8" s="122"/>
      <c r="G8" s="122"/>
      <c r="H8" s="122"/>
      <c r="I8" s="81"/>
      <c r="J8" s="81"/>
      <c r="K8" s="135"/>
      <c r="L8" s="135"/>
      <c r="M8" s="190"/>
      <c r="N8" s="87">
        <v>1224849</v>
      </c>
      <c r="O8" s="452"/>
      <c r="P8" s="556">
        <f t="shared" si="1"/>
        <v>0</v>
      </c>
      <c r="Q8" s="617"/>
      <c r="R8" s="617"/>
      <c r="S8" s="617"/>
      <c r="T8" s="617"/>
      <c r="U8" s="617"/>
      <c r="V8" s="617"/>
      <c r="W8" s="617"/>
      <c r="AA8" s="451"/>
      <c r="AB8" s="451"/>
    </row>
    <row r="9" spans="1:29" ht="13.5" hidden="1" thickBot="1" x14ac:dyDescent="0.25">
      <c r="A9" s="632"/>
      <c r="B9" s="635"/>
      <c r="C9" s="22" t="s">
        <v>196</v>
      </c>
      <c r="D9" s="22"/>
      <c r="E9" s="22"/>
      <c r="F9" s="22"/>
      <c r="G9" s="22"/>
      <c r="H9" s="22"/>
      <c r="I9" s="84"/>
      <c r="J9" s="84"/>
      <c r="K9" s="23"/>
      <c r="L9" s="23"/>
      <c r="M9" s="192"/>
      <c r="N9" s="24">
        <v>1208562</v>
      </c>
      <c r="O9" s="453"/>
      <c r="P9" s="557">
        <f t="shared" si="1"/>
        <v>0</v>
      </c>
      <c r="Q9" s="617"/>
      <c r="R9" s="617"/>
      <c r="S9" s="617"/>
      <c r="T9" s="617"/>
      <c r="U9" s="617"/>
      <c r="V9" s="617"/>
      <c r="W9" s="617"/>
      <c r="X9" s="451"/>
      <c r="Y9" s="451"/>
      <c r="Z9" s="451"/>
      <c r="AA9" s="451"/>
      <c r="AB9" s="451"/>
    </row>
    <row r="10" spans="1:29" ht="13.5" hidden="1" thickBot="1" x14ac:dyDescent="0.25">
      <c r="A10" s="632"/>
      <c r="B10" s="635"/>
      <c r="C10" s="22" t="s">
        <v>64</v>
      </c>
      <c r="D10" s="22"/>
      <c r="E10" s="22"/>
      <c r="F10" s="22"/>
      <c r="G10" s="22"/>
      <c r="H10" s="22"/>
      <c r="I10" s="84"/>
      <c r="J10" s="84"/>
      <c r="K10" s="23"/>
      <c r="L10" s="23"/>
      <c r="M10" s="192"/>
      <c r="N10" s="24">
        <v>2613670</v>
      </c>
      <c r="O10" s="453"/>
      <c r="P10" s="557">
        <f t="shared" si="1"/>
        <v>0</v>
      </c>
      <c r="Q10" s="617"/>
      <c r="R10" s="617"/>
      <c r="S10" s="617"/>
      <c r="T10" s="617"/>
      <c r="U10" s="617"/>
      <c r="V10" s="617"/>
      <c r="W10" s="617"/>
      <c r="AA10" s="451"/>
      <c r="AB10" s="451"/>
    </row>
    <row r="11" spans="1:29" ht="13.5" hidden="1" thickBot="1" x14ac:dyDescent="0.25">
      <c r="A11" s="633"/>
      <c r="B11" s="636"/>
      <c r="C11" s="26" t="s">
        <v>53</v>
      </c>
      <c r="D11" s="26"/>
      <c r="E11" s="26"/>
      <c r="F11" s="26"/>
      <c r="G11" s="26"/>
      <c r="H11" s="26"/>
      <c r="I11" s="263"/>
      <c r="J11" s="263"/>
      <c r="K11" s="264"/>
      <c r="L11" s="264"/>
      <c r="M11" s="242"/>
      <c r="N11" s="45">
        <v>170486</v>
      </c>
      <c r="O11" s="454"/>
      <c r="P11" s="558">
        <f t="shared" si="1"/>
        <v>0</v>
      </c>
      <c r="Q11" s="617"/>
      <c r="R11" s="617"/>
      <c r="S11" s="617"/>
      <c r="T11" s="617"/>
      <c r="U11" s="617"/>
      <c r="V11" s="617"/>
      <c r="W11" s="617"/>
      <c r="AA11" s="451"/>
      <c r="AB11" s="451"/>
    </row>
    <row r="12" spans="1:29" ht="15.75" thickBot="1" x14ac:dyDescent="0.3">
      <c r="A12" s="29">
        <v>120</v>
      </c>
      <c r="B12" s="644" t="s">
        <v>200</v>
      </c>
      <c r="C12" s="645"/>
      <c r="D12" s="13">
        <f>D13</f>
        <v>295824</v>
      </c>
      <c r="E12" s="13">
        <f>E13</f>
        <v>311093</v>
      </c>
      <c r="F12" s="13">
        <f>F13</f>
        <v>361216</v>
      </c>
      <c r="G12" s="13">
        <f>G13</f>
        <v>341843</v>
      </c>
      <c r="H12" s="13">
        <v>316587</v>
      </c>
      <c r="I12" s="13">
        <f t="shared" ref="I12:O12" si="3">I13</f>
        <v>360438</v>
      </c>
      <c r="J12" s="13">
        <f t="shared" si="3"/>
        <v>460690</v>
      </c>
      <c r="K12" s="13">
        <f t="shared" si="3"/>
        <v>388905</v>
      </c>
      <c r="L12" s="13">
        <f t="shared" si="3"/>
        <v>335641.24</v>
      </c>
      <c r="M12" s="236">
        <f t="shared" si="3"/>
        <v>396789.44</v>
      </c>
      <c r="N12" s="438">
        <f t="shared" si="3"/>
        <v>489000</v>
      </c>
      <c r="O12" s="545">
        <f t="shared" si="3"/>
        <v>470206.4</v>
      </c>
      <c r="P12" s="559">
        <f t="shared" si="1"/>
        <v>96.156728016359921</v>
      </c>
      <c r="Q12" s="618"/>
      <c r="R12" s="618"/>
      <c r="S12" s="618"/>
      <c r="T12" s="618"/>
      <c r="U12" s="618"/>
      <c r="V12" s="618"/>
      <c r="W12" s="618"/>
      <c r="AA12" s="451"/>
    </row>
    <row r="13" spans="1:29" ht="13.5" thickBot="1" x14ac:dyDescent="0.25">
      <c r="A13" s="669"/>
      <c r="B13" s="7">
        <v>121</v>
      </c>
      <c r="C13" s="14" t="s">
        <v>201</v>
      </c>
      <c r="D13" s="14">
        <v>295824</v>
      </c>
      <c r="E13" s="14">
        <v>311093</v>
      </c>
      <c r="F13" s="14">
        <v>361216</v>
      </c>
      <c r="G13" s="14">
        <v>341843</v>
      </c>
      <c r="H13" s="14">
        <v>316587</v>
      </c>
      <c r="I13" s="15">
        <f t="shared" ref="I13:N13" si="4">SUM(I14:I16)</f>
        <v>360438</v>
      </c>
      <c r="J13" s="15">
        <f t="shared" si="4"/>
        <v>460690</v>
      </c>
      <c r="K13" s="15">
        <f t="shared" si="4"/>
        <v>388905</v>
      </c>
      <c r="L13" s="15">
        <f t="shared" si="4"/>
        <v>335641.24</v>
      </c>
      <c r="M13" s="141">
        <f t="shared" si="4"/>
        <v>396789.44</v>
      </c>
      <c r="N13" s="442">
        <f t="shared" si="4"/>
        <v>489000</v>
      </c>
      <c r="O13" s="546">
        <f>SUM(O14:O16)</f>
        <v>470206.4</v>
      </c>
      <c r="P13" s="560">
        <f t="shared" si="1"/>
        <v>96.156728016359921</v>
      </c>
      <c r="Q13" s="619"/>
      <c r="R13" s="619"/>
      <c r="S13" s="619"/>
      <c r="T13" s="619"/>
      <c r="U13" s="619"/>
      <c r="V13" s="619"/>
      <c r="W13" s="619"/>
      <c r="AA13" s="451"/>
      <c r="AB13" s="451"/>
    </row>
    <row r="14" spans="1:29" x14ac:dyDescent="0.2">
      <c r="A14" s="670"/>
      <c r="B14" s="652"/>
      <c r="C14" s="17" t="s">
        <v>202</v>
      </c>
      <c r="D14" s="18"/>
      <c r="E14" s="18"/>
      <c r="F14" s="18"/>
      <c r="G14" s="18"/>
      <c r="H14" s="18">
        <v>51780</v>
      </c>
      <c r="I14" s="18">
        <v>67186</v>
      </c>
      <c r="J14" s="19">
        <v>71840</v>
      </c>
      <c r="K14" s="19">
        <v>90890</v>
      </c>
      <c r="L14" s="19">
        <v>64647.11</v>
      </c>
      <c r="M14" s="110">
        <v>92446.080000000002</v>
      </c>
      <c r="N14" s="20">
        <v>105000</v>
      </c>
      <c r="O14" s="452">
        <v>110741.25</v>
      </c>
      <c r="P14" s="556">
        <f t="shared" si="1"/>
        <v>105.46785714285714</v>
      </c>
      <c r="Q14" s="617"/>
      <c r="R14" s="617"/>
      <c r="S14" s="617"/>
      <c r="T14" s="617"/>
      <c r="U14" s="617"/>
      <c r="V14" s="617"/>
      <c r="W14" s="617"/>
      <c r="AA14" s="451"/>
      <c r="AB14" s="451"/>
      <c r="AC14" s="451"/>
    </row>
    <row r="15" spans="1:29" x14ac:dyDescent="0.2">
      <c r="A15" s="670"/>
      <c r="B15" s="653"/>
      <c r="C15" s="22" t="s">
        <v>203</v>
      </c>
      <c r="D15" s="22"/>
      <c r="E15" s="22"/>
      <c r="F15" s="22"/>
      <c r="G15" s="22"/>
      <c r="H15" s="22">
        <v>234536</v>
      </c>
      <c r="I15" s="22">
        <v>264067</v>
      </c>
      <c r="J15" s="23">
        <v>359760</v>
      </c>
      <c r="K15" s="23">
        <v>267120</v>
      </c>
      <c r="L15" s="23">
        <v>239509.09</v>
      </c>
      <c r="M15" s="192">
        <v>271513.31</v>
      </c>
      <c r="N15" s="24">
        <v>350000</v>
      </c>
      <c r="O15" s="453">
        <v>321276.38</v>
      </c>
      <c r="P15" s="557">
        <f t="shared" si="1"/>
        <v>91.793251428571438</v>
      </c>
      <c r="Q15" s="617"/>
      <c r="R15" s="617"/>
      <c r="S15" s="617"/>
      <c r="T15" s="617"/>
      <c r="U15" s="617"/>
      <c r="V15" s="617"/>
      <c r="W15" s="617"/>
      <c r="AA15" s="451"/>
      <c r="AB15" s="451"/>
    </row>
    <row r="16" spans="1:29" ht="13.5" thickBot="1" x14ac:dyDescent="0.25">
      <c r="A16" s="671"/>
      <c r="B16" s="675"/>
      <c r="C16" s="26" t="s">
        <v>204</v>
      </c>
      <c r="D16" s="26"/>
      <c r="E16" s="26"/>
      <c r="F16" s="26"/>
      <c r="G16" s="26"/>
      <c r="H16" s="26">
        <v>30271</v>
      </c>
      <c r="I16" s="26">
        <v>29185</v>
      </c>
      <c r="J16" s="27">
        <v>29090</v>
      </c>
      <c r="K16" s="27">
        <v>30895</v>
      </c>
      <c r="L16" s="27">
        <v>31485.040000000001</v>
      </c>
      <c r="M16" s="210">
        <v>32830.050000000003</v>
      </c>
      <c r="N16" s="28">
        <v>34000</v>
      </c>
      <c r="O16" s="454">
        <v>38188.769999999997</v>
      </c>
      <c r="P16" s="558">
        <f t="shared" si="1"/>
        <v>112.31991176470588</v>
      </c>
      <c r="Q16" s="617"/>
      <c r="R16" s="617"/>
      <c r="S16" s="617"/>
      <c r="T16" s="617"/>
      <c r="U16" s="617"/>
      <c r="V16" s="617"/>
      <c r="W16" s="617"/>
      <c r="AA16" s="451"/>
      <c r="AB16" s="451"/>
    </row>
    <row r="17" spans="1:28" ht="15.75" thickBot="1" x14ac:dyDescent="0.3">
      <c r="A17" s="29">
        <v>130</v>
      </c>
      <c r="B17" s="644" t="s">
        <v>205</v>
      </c>
      <c r="C17" s="645"/>
      <c r="D17" s="13">
        <f>D18</f>
        <v>369216</v>
      </c>
      <c r="E17" s="13">
        <f>E18</f>
        <v>379141</v>
      </c>
      <c r="F17" s="13">
        <f>F18</f>
        <v>269468</v>
      </c>
      <c r="G17" s="13">
        <f>G18</f>
        <v>290540</v>
      </c>
      <c r="H17" s="13">
        <f>H18</f>
        <v>298666</v>
      </c>
      <c r="I17" s="13">
        <f t="shared" ref="I17:O17" si="5">I18</f>
        <v>298968</v>
      </c>
      <c r="J17" s="13">
        <f t="shared" si="5"/>
        <v>316219</v>
      </c>
      <c r="K17" s="13">
        <f t="shared" si="5"/>
        <v>432322</v>
      </c>
      <c r="L17" s="13">
        <f t="shared" si="5"/>
        <v>403884.02</v>
      </c>
      <c r="M17" s="236">
        <f t="shared" si="5"/>
        <v>393955.67</v>
      </c>
      <c r="N17" s="438">
        <f t="shared" si="5"/>
        <v>410766</v>
      </c>
      <c r="O17" s="545">
        <f t="shared" si="5"/>
        <v>440231.49</v>
      </c>
      <c r="P17" s="559">
        <f t="shared" si="1"/>
        <v>107.17330304845095</v>
      </c>
      <c r="Q17" s="618"/>
      <c r="R17" s="618"/>
      <c r="S17" s="618"/>
      <c r="T17" s="618"/>
      <c r="U17" s="618"/>
      <c r="V17" s="618"/>
      <c r="W17" s="618"/>
      <c r="AA17" s="451"/>
      <c r="AB17" s="451"/>
    </row>
    <row r="18" spans="1:28" ht="13.5" thickBot="1" x14ac:dyDescent="0.25">
      <c r="A18" s="650"/>
      <c r="B18" s="30">
        <v>133</v>
      </c>
      <c r="C18" s="31" t="s">
        <v>206</v>
      </c>
      <c r="D18" s="32">
        <v>369216</v>
      </c>
      <c r="E18" s="32">
        <v>379141</v>
      </c>
      <c r="F18" s="32">
        <v>269468</v>
      </c>
      <c r="G18" s="32">
        <v>290540</v>
      </c>
      <c r="H18" s="33">
        <f t="shared" ref="H18:M18" si="6">SUM(H19:H25)</f>
        <v>298666</v>
      </c>
      <c r="I18" s="33">
        <f t="shared" si="6"/>
        <v>298968</v>
      </c>
      <c r="J18" s="34">
        <f t="shared" si="6"/>
        <v>316219</v>
      </c>
      <c r="K18" s="34">
        <f t="shared" si="6"/>
        <v>432322</v>
      </c>
      <c r="L18" s="34">
        <f>SUM(L19:L25)</f>
        <v>403884.02</v>
      </c>
      <c r="M18" s="312">
        <f t="shared" si="6"/>
        <v>393955.67</v>
      </c>
      <c r="N18" s="121">
        <f>SUM(N19:N25)</f>
        <v>410766</v>
      </c>
      <c r="O18" s="524">
        <f>SUM(O19:O25)</f>
        <v>440231.49</v>
      </c>
      <c r="P18" s="561">
        <f t="shared" si="1"/>
        <v>107.17330304845095</v>
      </c>
      <c r="Q18" s="620"/>
      <c r="R18" s="620"/>
      <c r="S18" s="620"/>
      <c r="T18" s="620"/>
      <c r="U18" s="620"/>
      <c r="V18" s="620"/>
      <c r="W18" s="620"/>
      <c r="AA18" s="451"/>
      <c r="AB18" s="451"/>
    </row>
    <row r="19" spans="1:28" x14ac:dyDescent="0.2">
      <c r="A19" s="651"/>
      <c r="B19" s="641"/>
      <c r="C19" s="38" t="s">
        <v>207</v>
      </c>
      <c r="D19" s="38"/>
      <c r="E19" s="38"/>
      <c r="F19" s="38"/>
      <c r="G19" s="38"/>
      <c r="H19" s="38">
        <v>7752</v>
      </c>
      <c r="I19" s="39">
        <v>7713</v>
      </c>
      <c r="J19" s="20">
        <v>7990</v>
      </c>
      <c r="K19" s="20">
        <v>9276</v>
      </c>
      <c r="L19" s="20">
        <v>9178.11</v>
      </c>
      <c r="M19" s="110">
        <v>9228.06</v>
      </c>
      <c r="N19" s="20">
        <v>11000</v>
      </c>
      <c r="O19" s="452">
        <v>12166.42</v>
      </c>
      <c r="P19" s="556">
        <f t="shared" si="1"/>
        <v>110.6038181818182</v>
      </c>
      <c r="Q19" s="617"/>
      <c r="R19" s="617"/>
      <c r="S19" s="617"/>
      <c r="T19" s="617"/>
      <c r="U19" s="617"/>
      <c r="V19" s="617"/>
      <c r="W19" s="617"/>
      <c r="X19" s="451"/>
      <c r="Y19" s="451"/>
      <c r="Z19" s="451"/>
      <c r="AA19" s="451"/>
      <c r="AB19" s="451"/>
    </row>
    <row r="20" spans="1:28" x14ac:dyDescent="0.2">
      <c r="A20" s="651"/>
      <c r="B20" s="642"/>
      <c r="C20" s="40" t="s">
        <v>208</v>
      </c>
      <c r="D20" s="40"/>
      <c r="E20" s="40"/>
      <c r="F20" s="40"/>
      <c r="G20" s="40"/>
      <c r="H20" s="40">
        <v>532</v>
      </c>
      <c r="I20" s="41">
        <v>732</v>
      </c>
      <c r="J20" s="24">
        <v>732</v>
      </c>
      <c r="K20" s="24">
        <v>749</v>
      </c>
      <c r="L20" s="24">
        <v>300</v>
      </c>
      <c r="M20" s="192">
        <v>300</v>
      </c>
      <c r="N20" s="24">
        <v>300</v>
      </c>
      <c r="O20" s="453">
        <v>632</v>
      </c>
      <c r="P20" s="557">
        <f t="shared" si="1"/>
        <v>210.66666666666666</v>
      </c>
      <c r="Q20" s="617"/>
      <c r="R20" s="617"/>
      <c r="S20" s="617"/>
      <c r="T20" s="617"/>
      <c r="U20" s="617"/>
      <c r="V20" s="617"/>
      <c r="W20" s="617"/>
      <c r="AA20" s="451"/>
      <c r="AB20" s="451"/>
    </row>
    <row r="21" spans="1:28" x14ac:dyDescent="0.2">
      <c r="A21" s="651"/>
      <c r="B21" s="642"/>
      <c r="C21" s="40" t="s">
        <v>209</v>
      </c>
      <c r="D21" s="40"/>
      <c r="E21" s="40"/>
      <c r="F21" s="40"/>
      <c r="G21" s="40"/>
      <c r="H21" s="40">
        <v>700</v>
      </c>
      <c r="I21" s="41">
        <v>750</v>
      </c>
      <c r="J21" s="24">
        <v>750</v>
      </c>
      <c r="K21" s="24">
        <v>725</v>
      </c>
      <c r="L21" s="24">
        <v>650</v>
      </c>
      <c r="M21" s="192">
        <v>679.15</v>
      </c>
      <c r="N21" s="24">
        <v>650</v>
      </c>
      <c r="O21" s="453">
        <v>691.66</v>
      </c>
      <c r="P21" s="557">
        <f t="shared" si="1"/>
        <v>106.40923076923076</v>
      </c>
      <c r="Q21" s="617"/>
      <c r="R21" s="617"/>
      <c r="S21" s="617"/>
      <c r="T21" s="617"/>
      <c r="U21" s="617"/>
      <c r="V21" s="617"/>
      <c r="W21" s="617"/>
      <c r="AA21" s="451"/>
      <c r="AB21" s="451"/>
    </row>
    <row r="22" spans="1:28" x14ac:dyDescent="0.2">
      <c r="A22" s="651"/>
      <c r="B22" s="642"/>
      <c r="C22" s="40" t="s">
        <v>210</v>
      </c>
      <c r="D22" s="40"/>
      <c r="E22" s="40"/>
      <c r="F22" s="40"/>
      <c r="G22" s="40"/>
      <c r="H22" s="40">
        <v>12441</v>
      </c>
      <c r="I22" s="41">
        <v>12101</v>
      </c>
      <c r="J22" s="24">
        <v>14430</v>
      </c>
      <c r="K22" s="24">
        <v>12793</v>
      </c>
      <c r="L22" s="24">
        <v>13503.5</v>
      </c>
      <c r="M22" s="192">
        <v>13052</v>
      </c>
      <c r="N22" s="24">
        <v>13504</v>
      </c>
      <c r="O22" s="453">
        <v>12555.5</v>
      </c>
      <c r="P22" s="557">
        <f t="shared" si="1"/>
        <v>92.976155213270147</v>
      </c>
      <c r="Q22" s="617"/>
      <c r="R22" s="617"/>
      <c r="S22" s="617"/>
      <c r="T22" s="617"/>
      <c r="U22" s="617"/>
      <c r="V22" s="617"/>
      <c r="W22" s="617"/>
      <c r="AA22" s="451"/>
      <c r="AB22" s="451"/>
    </row>
    <row r="23" spans="1:28" x14ac:dyDescent="0.2">
      <c r="A23" s="651"/>
      <c r="B23" s="642"/>
      <c r="C23" s="40" t="s">
        <v>211</v>
      </c>
      <c r="D23" s="40"/>
      <c r="E23" s="40"/>
      <c r="F23" s="40"/>
      <c r="G23" s="40"/>
      <c r="H23" s="40">
        <v>28263</v>
      </c>
      <c r="I23" s="41">
        <v>29878</v>
      </c>
      <c r="J23" s="24">
        <v>31474</v>
      </c>
      <c r="K23" s="24">
        <v>37978</v>
      </c>
      <c r="L23" s="24">
        <v>32751.27</v>
      </c>
      <c r="M23" s="192">
        <v>29179.68</v>
      </c>
      <c r="N23" s="24">
        <v>29312</v>
      </c>
      <c r="O23" s="453">
        <f>18811.92+13366</f>
        <v>32177.919999999998</v>
      </c>
      <c r="P23" s="557">
        <f t="shared" si="1"/>
        <v>109.77729257641921</v>
      </c>
      <c r="Q23" s="617"/>
      <c r="R23" s="617"/>
      <c r="S23" s="617"/>
      <c r="T23" s="617"/>
      <c r="U23" s="617"/>
      <c r="V23" s="617"/>
      <c r="W23" s="617"/>
      <c r="AA23" s="451"/>
      <c r="AB23" s="451"/>
    </row>
    <row r="24" spans="1:28" x14ac:dyDescent="0.2">
      <c r="A24" s="651"/>
      <c r="B24" s="642"/>
      <c r="C24" s="40" t="s">
        <v>212</v>
      </c>
      <c r="D24" s="40"/>
      <c r="E24" s="40"/>
      <c r="F24" s="40"/>
      <c r="G24" s="40"/>
      <c r="H24" s="40">
        <v>162034</v>
      </c>
      <c r="I24" s="41">
        <f>159378+2395</f>
        <v>161773</v>
      </c>
      <c r="J24" s="24">
        <v>174176</v>
      </c>
      <c r="K24" s="24">
        <f>265321+3376</f>
        <v>268697</v>
      </c>
      <c r="L24" s="24">
        <v>243006.26</v>
      </c>
      <c r="M24" s="192">
        <v>240323.78</v>
      </c>
      <c r="N24" s="24">
        <v>239000</v>
      </c>
      <c r="O24" s="453">
        <f>3533.33+251517.71</f>
        <v>255051.03999999998</v>
      </c>
      <c r="P24" s="557">
        <f t="shared" si="1"/>
        <v>106.71591631799163</v>
      </c>
      <c r="Q24" s="617"/>
      <c r="R24" s="617"/>
      <c r="S24" s="617"/>
      <c r="T24" s="617"/>
      <c r="U24" s="617"/>
      <c r="V24" s="617"/>
      <c r="W24" s="617"/>
      <c r="AA24" s="451"/>
      <c r="AB24" s="451"/>
    </row>
    <row r="25" spans="1:28" ht="13.5" thickBot="1" x14ac:dyDescent="0.25">
      <c r="A25" s="674"/>
      <c r="B25" s="643"/>
      <c r="C25" s="43" t="s">
        <v>213</v>
      </c>
      <c r="D25" s="44"/>
      <c r="E25" s="44"/>
      <c r="F25" s="44"/>
      <c r="G25" s="44"/>
      <c r="H25" s="44">
        <v>86944</v>
      </c>
      <c r="I25" s="41">
        <v>86021</v>
      </c>
      <c r="J25" s="45">
        <v>86667</v>
      </c>
      <c r="K25" s="45">
        <v>102104</v>
      </c>
      <c r="L25" s="45">
        <v>104494.88</v>
      </c>
      <c r="M25" s="242">
        <v>101193</v>
      </c>
      <c r="N25" s="45">
        <v>117000</v>
      </c>
      <c r="O25" s="454">
        <v>126956.95</v>
      </c>
      <c r="P25" s="558">
        <f t="shared" si="1"/>
        <v>108.51021367521368</v>
      </c>
      <c r="Q25" s="617"/>
      <c r="R25" s="617"/>
      <c r="S25" s="617"/>
      <c r="T25" s="617"/>
      <c r="U25" s="617"/>
      <c r="V25" s="617"/>
      <c r="W25" s="617"/>
      <c r="AA25" s="451"/>
      <c r="AB25" s="451"/>
    </row>
    <row r="26" spans="1:28" ht="16.5" thickBot="1" x14ac:dyDescent="0.3">
      <c r="A26" s="46">
        <v>200</v>
      </c>
      <c r="B26" s="646" t="s">
        <v>214</v>
      </c>
      <c r="C26" s="647"/>
      <c r="D26" s="47">
        <f>D27+D40+D58+D60</f>
        <v>1277767</v>
      </c>
      <c r="E26" s="47">
        <f>E27+E40+E58+E60</f>
        <v>1153090</v>
      </c>
      <c r="F26" s="47">
        <f>F27+F40+F58+F60</f>
        <v>1821583</v>
      </c>
      <c r="G26" s="47">
        <f>G27+G40+G58+G60</f>
        <v>1266222</v>
      </c>
      <c r="H26" s="47">
        <v>1215651</v>
      </c>
      <c r="I26" s="47">
        <f t="shared" ref="I26:O26" si="7">I27+I40+I58+I60</f>
        <v>1492638</v>
      </c>
      <c r="J26" s="47">
        <f t="shared" si="7"/>
        <v>1090799</v>
      </c>
      <c r="K26" s="47">
        <f t="shared" si="7"/>
        <v>1258962</v>
      </c>
      <c r="L26" s="47">
        <f t="shared" si="7"/>
        <v>1049268.01</v>
      </c>
      <c r="M26" s="47">
        <f t="shared" si="7"/>
        <v>1119583.28</v>
      </c>
      <c r="N26" s="439">
        <f t="shared" si="7"/>
        <v>994822</v>
      </c>
      <c r="O26" s="547">
        <f t="shared" si="7"/>
        <v>1113252.3600000001</v>
      </c>
      <c r="P26" s="562">
        <f t="shared" si="1"/>
        <v>111.90467842488405</v>
      </c>
      <c r="Q26" s="615"/>
      <c r="R26" s="615"/>
      <c r="S26" s="615"/>
      <c r="T26" s="615"/>
      <c r="U26" s="615"/>
      <c r="V26" s="615"/>
      <c r="W26" s="615"/>
      <c r="AA26" s="451"/>
      <c r="AB26" s="541"/>
    </row>
    <row r="27" spans="1:28" ht="15.75" thickBot="1" x14ac:dyDescent="0.3">
      <c r="A27" s="48">
        <v>210</v>
      </c>
      <c r="B27" s="639" t="s">
        <v>215</v>
      </c>
      <c r="C27" s="676"/>
      <c r="D27" s="49">
        <f>D28+D32</f>
        <v>873233</v>
      </c>
      <c r="E27" s="49">
        <f>E28+E32</f>
        <v>794430</v>
      </c>
      <c r="F27" s="49">
        <f>F28+F32</f>
        <v>1059517</v>
      </c>
      <c r="G27" s="49">
        <f>G28+G32</f>
        <v>810580</v>
      </c>
      <c r="H27" s="49">
        <v>598394</v>
      </c>
      <c r="I27" s="49">
        <f t="shared" ref="I27:O27" si="8">I28+I32</f>
        <v>741364</v>
      </c>
      <c r="J27" s="49">
        <f t="shared" si="8"/>
        <v>560834</v>
      </c>
      <c r="K27" s="49">
        <f t="shared" si="8"/>
        <v>650004</v>
      </c>
      <c r="L27" s="49">
        <f>L28+L32</f>
        <v>379467.55</v>
      </c>
      <c r="M27" s="49">
        <f t="shared" si="8"/>
        <v>418308.61</v>
      </c>
      <c r="N27" s="440">
        <f t="shared" si="8"/>
        <v>425008</v>
      </c>
      <c r="O27" s="548">
        <f t="shared" si="8"/>
        <v>461210.13</v>
      </c>
      <c r="P27" s="563">
        <f t="shared" si="1"/>
        <v>108.51798789669841</v>
      </c>
      <c r="Q27" s="616"/>
      <c r="R27" s="616"/>
      <c r="S27" s="616"/>
      <c r="T27" s="616"/>
      <c r="U27" s="616"/>
      <c r="V27" s="616"/>
      <c r="W27" s="616"/>
      <c r="AA27" s="451"/>
      <c r="AB27" s="451"/>
    </row>
    <row r="28" spans="1:28" ht="13.5" thickBot="1" x14ac:dyDescent="0.25">
      <c r="A28" s="650" t="s">
        <v>216</v>
      </c>
      <c r="B28" s="7">
        <v>211</v>
      </c>
      <c r="C28" s="50" t="s">
        <v>215</v>
      </c>
      <c r="D28" s="7">
        <v>93242</v>
      </c>
      <c r="E28" s="7">
        <v>23701</v>
      </c>
      <c r="F28" s="7">
        <v>51351</v>
      </c>
      <c r="G28" s="7">
        <v>38822</v>
      </c>
      <c r="H28" s="7">
        <v>66052</v>
      </c>
      <c r="I28" s="34">
        <f t="shared" ref="I28:O28" si="9">SUM(I29:I31)</f>
        <v>29084</v>
      </c>
      <c r="J28" s="34">
        <f t="shared" si="9"/>
        <v>47000</v>
      </c>
      <c r="K28" s="34">
        <f t="shared" si="9"/>
        <v>58181</v>
      </c>
      <c r="L28" s="34">
        <f>SUM(L29:L31)</f>
        <v>20000</v>
      </c>
      <c r="M28" s="34">
        <f t="shared" si="9"/>
        <v>15000</v>
      </c>
      <c r="N28" s="121">
        <f t="shared" si="9"/>
        <v>24000</v>
      </c>
      <c r="O28" s="524">
        <f t="shared" si="9"/>
        <v>24000</v>
      </c>
      <c r="P28" s="561">
        <f t="shared" si="1"/>
        <v>100</v>
      </c>
      <c r="Q28" s="620"/>
      <c r="R28" s="620"/>
      <c r="S28" s="620"/>
      <c r="T28" s="620"/>
      <c r="U28" s="620"/>
      <c r="V28" s="620"/>
      <c r="W28" s="620"/>
      <c r="AA28" s="451"/>
      <c r="AB28" s="451"/>
    </row>
    <row r="29" spans="1:28" hidden="1" x14ac:dyDescent="0.2">
      <c r="A29" s="651"/>
      <c r="B29" s="652"/>
      <c r="C29" s="51" t="s">
        <v>217</v>
      </c>
      <c r="D29" s="52"/>
      <c r="E29" s="52"/>
      <c r="F29" s="52"/>
      <c r="G29" s="52"/>
      <c r="H29" s="52"/>
      <c r="I29" s="52"/>
      <c r="J29" s="52"/>
      <c r="K29" s="53"/>
      <c r="L29" s="20"/>
      <c r="M29" s="20"/>
      <c r="N29" s="20"/>
      <c r="O29" s="452"/>
      <c r="P29" s="556">
        <f t="shared" si="1"/>
        <v>0</v>
      </c>
      <c r="Q29" s="617"/>
      <c r="R29" s="617"/>
      <c r="S29" s="617"/>
      <c r="T29" s="617"/>
      <c r="U29" s="617"/>
      <c r="V29" s="617"/>
      <c r="W29" s="617"/>
      <c r="AA29" s="451"/>
      <c r="AB29" s="451"/>
    </row>
    <row r="30" spans="1:28" hidden="1" x14ac:dyDescent="0.2">
      <c r="A30" s="651"/>
      <c r="B30" s="653"/>
      <c r="C30" s="54" t="s">
        <v>218</v>
      </c>
      <c r="D30" s="54"/>
      <c r="E30" s="54"/>
      <c r="F30" s="54"/>
      <c r="G30" s="54"/>
      <c r="H30" s="54"/>
      <c r="I30" s="54"/>
      <c r="J30" s="54"/>
      <c r="K30" s="41"/>
      <c r="L30" s="24"/>
      <c r="M30" s="24"/>
      <c r="N30" s="24"/>
      <c r="O30" s="453"/>
      <c r="P30" s="557">
        <f t="shared" si="1"/>
        <v>0</v>
      </c>
      <c r="Q30" s="617"/>
      <c r="R30" s="617"/>
      <c r="S30" s="617"/>
      <c r="T30" s="617"/>
      <c r="U30" s="617"/>
      <c r="V30" s="617"/>
      <c r="W30" s="617"/>
      <c r="AA30" s="451"/>
      <c r="AB30" s="451"/>
    </row>
    <row r="31" spans="1:28" ht="13.5" thickBot="1" x14ac:dyDescent="0.25">
      <c r="A31" s="651"/>
      <c r="B31" s="675"/>
      <c r="C31" s="55" t="s">
        <v>219</v>
      </c>
      <c r="D31" s="55"/>
      <c r="E31" s="55"/>
      <c r="F31" s="55"/>
      <c r="G31" s="55"/>
      <c r="H31" s="55"/>
      <c r="I31" s="55">
        <v>29084</v>
      </c>
      <c r="J31" s="55">
        <v>47000</v>
      </c>
      <c r="K31" s="56">
        <v>58181</v>
      </c>
      <c r="L31" s="28">
        <v>20000</v>
      </c>
      <c r="M31" s="28">
        <v>15000</v>
      </c>
      <c r="N31" s="28">
        <v>24000</v>
      </c>
      <c r="O31" s="454">
        <v>24000</v>
      </c>
      <c r="P31" s="558">
        <f t="shared" si="1"/>
        <v>100</v>
      </c>
      <c r="Q31" s="617"/>
      <c r="R31" s="617"/>
      <c r="S31" s="617"/>
      <c r="T31" s="617"/>
      <c r="U31" s="617"/>
      <c r="V31" s="617"/>
      <c r="W31" s="617"/>
      <c r="AA31" s="451"/>
      <c r="AB31" s="451"/>
    </row>
    <row r="32" spans="1:28" ht="13.5" thickBot="1" x14ac:dyDescent="0.25">
      <c r="A32" s="651"/>
      <c r="B32" s="57">
        <v>212</v>
      </c>
      <c r="C32" s="58" t="s">
        <v>220</v>
      </c>
      <c r="D32" s="59">
        <f>SUM(D33:D39)</f>
        <v>779991</v>
      </c>
      <c r="E32" s="59">
        <f>SUM(E33:E39)</f>
        <v>770729</v>
      </c>
      <c r="F32" s="59">
        <f>SUM(F33:F39)</f>
        <v>1008166</v>
      </c>
      <c r="G32" s="59">
        <f>SUM(G33:G39)</f>
        <v>771758</v>
      </c>
      <c r="H32" s="59">
        <v>532342</v>
      </c>
      <c r="I32" s="59">
        <f t="shared" ref="I32:N32" si="10">SUM(I33:I39)</f>
        <v>712280</v>
      </c>
      <c r="J32" s="59">
        <f t="shared" si="10"/>
        <v>513834</v>
      </c>
      <c r="K32" s="60">
        <f t="shared" si="10"/>
        <v>591823</v>
      </c>
      <c r="L32" s="60">
        <f t="shared" si="10"/>
        <v>359467.55</v>
      </c>
      <c r="M32" s="147">
        <f t="shared" si="10"/>
        <v>403308.61</v>
      </c>
      <c r="N32" s="90">
        <f t="shared" si="10"/>
        <v>401008</v>
      </c>
      <c r="O32" s="133">
        <f>SUM(O33:O39)</f>
        <v>437210.13</v>
      </c>
      <c r="P32" s="134">
        <f t="shared" si="1"/>
        <v>109.02778248812992</v>
      </c>
      <c r="Q32" s="619"/>
      <c r="R32" s="619"/>
      <c r="S32" s="619"/>
      <c r="T32" s="619"/>
      <c r="U32" s="619"/>
      <c r="V32" s="619"/>
      <c r="W32" s="619"/>
      <c r="AA32" s="451"/>
      <c r="AB32" s="451"/>
    </row>
    <row r="33" spans="1:28" x14ac:dyDescent="0.2">
      <c r="A33" s="651"/>
      <c r="B33" s="641"/>
      <c r="C33" s="51" t="s">
        <v>221</v>
      </c>
      <c r="D33" s="51">
        <v>751610</v>
      </c>
      <c r="E33" s="51">
        <v>750249</v>
      </c>
      <c r="F33" s="51">
        <v>649539</v>
      </c>
      <c r="G33" s="51">
        <v>427233</v>
      </c>
      <c r="H33" s="51">
        <v>348791</v>
      </c>
      <c r="I33" s="51">
        <v>510884</v>
      </c>
      <c r="J33" s="51">
        <v>324320</v>
      </c>
      <c r="K33" s="20">
        <v>401050</v>
      </c>
      <c r="L33" s="20">
        <v>135673.06</v>
      </c>
      <c r="M33" s="110">
        <v>134183.87</v>
      </c>
      <c r="N33" s="20">
        <v>77226</v>
      </c>
      <c r="O33" s="110">
        <v>87968.33</v>
      </c>
      <c r="P33" s="136">
        <f t="shared" si="1"/>
        <v>113.91025043379173</v>
      </c>
      <c r="Q33" s="505"/>
      <c r="R33" s="505"/>
      <c r="S33" s="505"/>
      <c r="T33" s="505"/>
      <c r="U33" s="505"/>
      <c r="V33" s="505"/>
      <c r="W33" s="505"/>
      <c r="AA33" s="451"/>
      <c r="AB33" s="451"/>
    </row>
    <row r="34" spans="1:28" x14ac:dyDescent="0.2">
      <c r="A34" s="651"/>
      <c r="B34" s="642"/>
      <c r="C34" s="54" t="s">
        <v>222</v>
      </c>
      <c r="D34" s="54">
        <v>6108</v>
      </c>
      <c r="E34" s="54">
        <v>5709</v>
      </c>
      <c r="F34" s="54">
        <v>5809</v>
      </c>
      <c r="G34" s="54">
        <v>7235</v>
      </c>
      <c r="H34" s="54">
        <v>7034</v>
      </c>
      <c r="I34" s="54">
        <v>6012</v>
      </c>
      <c r="J34" s="54">
        <v>5150</v>
      </c>
      <c r="K34" s="24">
        <v>5043</v>
      </c>
      <c r="L34" s="24">
        <v>6242.35</v>
      </c>
      <c r="M34" s="192">
        <v>8075.84</v>
      </c>
      <c r="N34" s="24">
        <v>6000</v>
      </c>
      <c r="O34" s="192">
        <v>8856.86</v>
      </c>
      <c r="P34" s="127">
        <f t="shared" si="1"/>
        <v>147.61433333333335</v>
      </c>
      <c r="Q34" s="505"/>
      <c r="R34" s="505"/>
      <c r="S34" s="505"/>
      <c r="T34" s="505"/>
      <c r="U34" s="505"/>
      <c r="V34" s="505"/>
      <c r="W34" s="505"/>
      <c r="AA34" s="451"/>
      <c r="AB34" s="451"/>
    </row>
    <row r="35" spans="1:28" x14ac:dyDescent="0.2">
      <c r="A35" s="651"/>
      <c r="B35" s="642"/>
      <c r="C35" s="62" t="s">
        <v>223</v>
      </c>
      <c r="D35" s="62"/>
      <c r="E35" s="62"/>
      <c r="F35" s="62"/>
      <c r="G35" s="62"/>
      <c r="H35" s="62"/>
      <c r="I35" s="62"/>
      <c r="J35" s="62"/>
      <c r="K35" s="28">
        <v>0</v>
      </c>
      <c r="L35" s="28">
        <v>41494.18</v>
      </c>
      <c r="M35" s="210">
        <v>46671.58</v>
      </c>
      <c r="N35" s="28">
        <v>61829</v>
      </c>
      <c r="O35" s="210">
        <v>82406.399999999994</v>
      </c>
      <c r="P35" s="564">
        <f t="shared" si="1"/>
        <v>133.28114638761747</v>
      </c>
      <c r="Q35" s="505"/>
      <c r="R35" s="505"/>
      <c r="S35" s="505"/>
      <c r="T35" s="505"/>
      <c r="U35" s="505"/>
      <c r="V35" s="505"/>
      <c r="W35" s="505"/>
      <c r="AA35" s="451"/>
      <c r="AB35" s="451"/>
    </row>
    <row r="36" spans="1:28" x14ac:dyDescent="0.2">
      <c r="A36" s="651"/>
      <c r="B36" s="642"/>
      <c r="C36" s="62" t="s">
        <v>24</v>
      </c>
      <c r="D36" s="62"/>
      <c r="E36" s="62"/>
      <c r="F36" s="62"/>
      <c r="G36" s="62"/>
      <c r="H36" s="62"/>
      <c r="I36" s="62"/>
      <c r="J36" s="62"/>
      <c r="K36" s="28"/>
      <c r="L36" s="28"/>
      <c r="M36" s="210"/>
      <c r="N36" s="28">
        <v>19039</v>
      </c>
      <c r="O36" s="210">
        <v>19383.830000000002</v>
      </c>
      <c r="P36" s="564">
        <f t="shared" si="1"/>
        <v>101.81117705761858</v>
      </c>
      <c r="Q36" s="505"/>
      <c r="R36" s="505"/>
      <c r="S36" s="505"/>
      <c r="T36" s="505"/>
      <c r="U36" s="505"/>
      <c r="V36" s="505"/>
      <c r="W36" s="505"/>
      <c r="AA36" s="451"/>
      <c r="AB36" s="451"/>
    </row>
    <row r="37" spans="1:28" x14ac:dyDescent="0.2">
      <c r="A37" s="651"/>
      <c r="B37" s="642"/>
      <c r="C37" s="62" t="s">
        <v>435</v>
      </c>
      <c r="D37" s="62"/>
      <c r="E37" s="62"/>
      <c r="F37" s="62"/>
      <c r="G37" s="62"/>
      <c r="H37" s="62"/>
      <c r="I37" s="62"/>
      <c r="J37" s="62"/>
      <c r="K37" s="28"/>
      <c r="L37" s="28"/>
      <c r="M37" s="210"/>
      <c r="N37" s="28"/>
      <c r="O37" s="210">
        <f>3272.25+1750+1000+4072.5</f>
        <v>10094.75</v>
      </c>
      <c r="P37" s="564">
        <f t="shared" si="1"/>
        <v>0</v>
      </c>
      <c r="Q37" s="505"/>
      <c r="R37" s="505"/>
      <c r="S37" s="505"/>
      <c r="T37" s="505"/>
      <c r="U37" s="505"/>
      <c r="V37" s="505"/>
      <c r="W37" s="505"/>
      <c r="AA37" s="451"/>
      <c r="AB37" s="451"/>
    </row>
    <row r="38" spans="1:28" x14ac:dyDescent="0.2">
      <c r="A38" s="651"/>
      <c r="B38" s="642"/>
      <c r="C38" s="62" t="s">
        <v>25</v>
      </c>
      <c r="D38" s="62"/>
      <c r="E38" s="62">
        <v>0</v>
      </c>
      <c r="F38" s="62">
        <v>339806</v>
      </c>
      <c r="G38" s="62">
        <v>322656</v>
      </c>
      <c r="H38" s="62">
        <v>92953</v>
      </c>
      <c r="I38" s="62">
        <v>100909</v>
      </c>
      <c r="J38" s="62">
        <v>83511</v>
      </c>
      <c r="K38" s="28">
        <f>77287+178+128</f>
        <v>77593</v>
      </c>
      <c r="L38" s="28">
        <v>80654.7</v>
      </c>
      <c r="M38" s="210">
        <v>77194.39</v>
      </c>
      <c r="N38" s="28">
        <v>81572</v>
      </c>
      <c r="O38" s="210">
        <f>75116.58+122.97+247.04</f>
        <v>75486.59</v>
      </c>
      <c r="P38" s="564">
        <f t="shared" si="1"/>
        <v>92.53982984357377</v>
      </c>
      <c r="Q38" s="505"/>
      <c r="R38" s="505"/>
      <c r="S38" s="505"/>
      <c r="T38" s="505"/>
      <c r="U38" s="505"/>
      <c r="V38" s="505"/>
      <c r="W38" s="505"/>
      <c r="AA38" s="451"/>
      <c r="AB38" s="451"/>
    </row>
    <row r="39" spans="1:28" ht="13.5" thickBot="1" x14ac:dyDescent="0.25">
      <c r="A39" s="674"/>
      <c r="B39" s="643"/>
      <c r="C39" s="55" t="s">
        <v>224</v>
      </c>
      <c r="D39" s="55">
        <v>22273</v>
      </c>
      <c r="E39" s="55">
        <v>14771</v>
      </c>
      <c r="F39" s="55">
        <v>13012</v>
      </c>
      <c r="G39" s="55">
        <v>14634</v>
      </c>
      <c r="H39" s="55">
        <v>83564</v>
      </c>
      <c r="I39" s="55">
        <v>94475</v>
      </c>
      <c r="J39" s="55">
        <v>100853</v>
      </c>
      <c r="K39" s="28">
        <v>108137</v>
      </c>
      <c r="L39" s="28">
        <v>95403.26</v>
      </c>
      <c r="M39" s="210">
        <v>137182.93</v>
      </c>
      <c r="N39" s="28">
        <v>155342</v>
      </c>
      <c r="O39" s="210">
        <f>40503.47+44072.76+38113.16+30323.98</f>
        <v>153013.37000000002</v>
      </c>
      <c r="P39" s="564">
        <f t="shared" si="1"/>
        <v>98.500965611360755</v>
      </c>
      <c r="Q39" s="505"/>
      <c r="R39" s="505"/>
      <c r="S39" s="505"/>
      <c r="T39" s="505"/>
      <c r="U39" s="505"/>
      <c r="V39" s="505"/>
      <c r="W39" s="505"/>
      <c r="AA39" s="451"/>
      <c r="AB39" s="451"/>
    </row>
    <row r="40" spans="1:28" ht="15.75" thickBot="1" x14ac:dyDescent="0.3">
      <c r="A40" s="29">
        <v>220</v>
      </c>
      <c r="B40" s="639" t="s">
        <v>225</v>
      </c>
      <c r="C40" s="676"/>
      <c r="D40" s="63">
        <f t="shared" ref="D40:N40" si="11">D41+D45+D56</f>
        <v>320786</v>
      </c>
      <c r="E40" s="63">
        <f t="shared" si="11"/>
        <v>327192</v>
      </c>
      <c r="F40" s="63">
        <f t="shared" si="11"/>
        <v>429297</v>
      </c>
      <c r="G40" s="63">
        <f t="shared" si="11"/>
        <v>326610</v>
      </c>
      <c r="H40" s="63">
        <f t="shared" si="11"/>
        <v>550895</v>
      </c>
      <c r="I40" s="63">
        <f t="shared" si="11"/>
        <v>581281</v>
      </c>
      <c r="J40" s="63">
        <f t="shared" si="11"/>
        <v>471458</v>
      </c>
      <c r="K40" s="63">
        <f t="shared" si="11"/>
        <v>514547</v>
      </c>
      <c r="L40" s="63">
        <f>L41+L45+L56</f>
        <v>595361.41999999993</v>
      </c>
      <c r="M40" s="63">
        <f t="shared" si="11"/>
        <v>603358.30999999994</v>
      </c>
      <c r="N40" s="99">
        <f t="shared" si="11"/>
        <v>510743</v>
      </c>
      <c r="O40" s="508">
        <f>O41+O45+O56</f>
        <v>575655.29</v>
      </c>
      <c r="P40" s="565">
        <f t="shared" si="1"/>
        <v>112.70938417168715</v>
      </c>
      <c r="Q40" s="616"/>
      <c r="R40" s="616"/>
      <c r="S40" s="616"/>
      <c r="T40" s="616"/>
      <c r="U40" s="616"/>
      <c r="V40" s="616"/>
      <c r="W40" s="616"/>
      <c r="AA40" s="451"/>
      <c r="AB40" s="451"/>
    </row>
    <row r="41" spans="1:28" ht="13.5" thickBot="1" x14ac:dyDescent="0.25">
      <c r="A41" s="650"/>
      <c r="B41" s="57">
        <v>221</v>
      </c>
      <c r="C41" s="58" t="s">
        <v>226</v>
      </c>
      <c r="D41" s="60">
        <f t="shared" ref="D41:N41" si="12">SUM(D42:D44)</f>
        <v>108312</v>
      </c>
      <c r="E41" s="60">
        <f t="shared" si="12"/>
        <v>99747</v>
      </c>
      <c r="F41" s="60">
        <f t="shared" si="12"/>
        <v>156211</v>
      </c>
      <c r="G41" s="60">
        <f t="shared" si="12"/>
        <v>110441</v>
      </c>
      <c r="H41" s="60">
        <f t="shared" si="12"/>
        <v>116883</v>
      </c>
      <c r="I41" s="60">
        <f t="shared" si="12"/>
        <v>93914</v>
      </c>
      <c r="J41" s="60">
        <f t="shared" si="12"/>
        <v>69092</v>
      </c>
      <c r="K41" s="60">
        <f t="shared" si="12"/>
        <v>77127</v>
      </c>
      <c r="L41" s="60">
        <f>SUM(L42:L44)</f>
        <v>85540.68</v>
      </c>
      <c r="M41" s="147">
        <f t="shared" si="12"/>
        <v>81456.3</v>
      </c>
      <c r="N41" s="90">
        <f t="shared" si="12"/>
        <v>102294</v>
      </c>
      <c r="O41" s="133">
        <f>SUM(O42:O44)</f>
        <v>65885.95</v>
      </c>
      <c r="P41" s="134">
        <f t="shared" si="1"/>
        <v>64.408420826245916</v>
      </c>
      <c r="Q41" s="619"/>
      <c r="R41" s="619"/>
      <c r="S41" s="619"/>
      <c r="T41" s="619"/>
      <c r="U41" s="619"/>
      <c r="V41" s="619"/>
      <c r="W41" s="619"/>
      <c r="AA41" s="451"/>
      <c r="AB41" s="451"/>
    </row>
    <row r="42" spans="1:28" x14ac:dyDescent="0.2">
      <c r="A42" s="672"/>
      <c r="B42" s="641"/>
      <c r="C42" s="38" t="s">
        <v>227</v>
      </c>
      <c r="D42" s="51">
        <v>103532</v>
      </c>
      <c r="E42" s="51">
        <v>91482</v>
      </c>
      <c r="F42" s="51">
        <v>143896</v>
      </c>
      <c r="G42" s="51">
        <v>103964</v>
      </c>
      <c r="H42" s="51">
        <v>97289</v>
      </c>
      <c r="I42" s="51">
        <v>69567</v>
      </c>
      <c r="J42" s="51">
        <v>48641</v>
      </c>
      <c r="K42" s="24">
        <v>58713</v>
      </c>
      <c r="L42" s="24">
        <v>65956.11</v>
      </c>
      <c r="M42" s="110">
        <v>53025.13</v>
      </c>
      <c r="N42" s="20">
        <v>48641</v>
      </c>
      <c r="O42" s="110">
        <f>37191.18-1870.76</f>
        <v>35320.42</v>
      </c>
      <c r="P42" s="136">
        <f t="shared" si="1"/>
        <v>72.614502168952114</v>
      </c>
      <c r="Q42" s="505"/>
      <c r="R42" s="505"/>
      <c r="S42" s="505"/>
      <c r="T42" s="505"/>
      <c r="U42" s="505"/>
      <c r="V42" s="505"/>
      <c r="W42" s="505"/>
      <c r="AA42" s="451"/>
      <c r="AB42" s="451"/>
    </row>
    <row r="43" spans="1:28" x14ac:dyDescent="0.2">
      <c r="A43" s="672"/>
      <c r="B43" s="642"/>
      <c r="C43" s="52" t="s">
        <v>228</v>
      </c>
      <c r="D43" s="65"/>
      <c r="E43" s="65"/>
      <c r="F43" s="65"/>
      <c r="G43" s="65"/>
      <c r="H43" s="65"/>
      <c r="I43" s="65"/>
      <c r="J43" s="65"/>
      <c r="K43" s="24"/>
      <c r="L43" s="24">
        <v>768.56</v>
      </c>
      <c r="M43" s="108">
        <v>1339.48</v>
      </c>
      <c r="N43" s="66">
        <v>1500</v>
      </c>
      <c r="O43" s="108">
        <v>1870.76</v>
      </c>
      <c r="P43" s="566">
        <f t="shared" si="1"/>
        <v>124.71733333333333</v>
      </c>
      <c r="Q43" s="505"/>
      <c r="R43" s="505"/>
      <c r="S43" s="505"/>
      <c r="T43" s="505"/>
      <c r="U43" s="505"/>
      <c r="V43" s="505"/>
      <c r="W43" s="505"/>
      <c r="AA43" s="451"/>
      <c r="AB43" s="451"/>
    </row>
    <row r="44" spans="1:28" ht="13.5" thickBot="1" x14ac:dyDescent="0.25">
      <c r="A44" s="672"/>
      <c r="B44" s="643"/>
      <c r="C44" s="55" t="s">
        <v>23</v>
      </c>
      <c r="D44" s="55">
        <v>4780</v>
      </c>
      <c r="E44" s="55">
        <v>8265</v>
      </c>
      <c r="F44" s="55">
        <v>12315</v>
      </c>
      <c r="G44" s="55">
        <v>6477</v>
      </c>
      <c r="H44" s="55">
        <v>19594</v>
      </c>
      <c r="I44" s="55">
        <v>24347</v>
      </c>
      <c r="J44" s="55">
        <v>20451</v>
      </c>
      <c r="K44" s="24">
        <v>18414</v>
      </c>
      <c r="L44" s="24">
        <v>18816.009999999998</v>
      </c>
      <c r="M44" s="210">
        <v>27091.69</v>
      </c>
      <c r="N44" s="28">
        <v>52153</v>
      </c>
      <c r="O44" s="210">
        <v>28694.77</v>
      </c>
      <c r="P44" s="564">
        <f t="shared" si="1"/>
        <v>55.020363162234197</v>
      </c>
      <c r="Q44" s="505"/>
      <c r="R44" s="505"/>
      <c r="S44" s="505"/>
      <c r="T44" s="505"/>
      <c r="U44" s="505"/>
      <c r="V44" s="505"/>
      <c r="W44" s="505"/>
      <c r="AA44" s="451"/>
      <c r="AB44" s="451"/>
    </row>
    <row r="45" spans="1:28" ht="13.5" thickBot="1" x14ac:dyDescent="0.25">
      <c r="A45" s="672"/>
      <c r="B45" s="57">
        <v>223</v>
      </c>
      <c r="C45" s="57" t="s">
        <v>229</v>
      </c>
      <c r="D45" s="57">
        <v>209420</v>
      </c>
      <c r="E45" s="57">
        <v>224723</v>
      </c>
      <c r="F45" s="57">
        <v>270165</v>
      </c>
      <c r="G45" s="57">
        <v>213694</v>
      </c>
      <c r="H45" s="57">
        <v>431444</v>
      </c>
      <c r="I45" s="60">
        <f t="shared" ref="I45:O45" si="13">SUM(I46:I55)</f>
        <v>484992</v>
      </c>
      <c r="J45" s="60">
        <f t="shared" si="13"/>
        <v>400298</v>
      </c>
      <c r="K45" s="60">
        <f t="shared" si="13"/>
        <v>434944</v>
      </c>
      <c r="L45" s="60">
        <f t="shared" si="13"/>
        <v>507780.69999999995</v>
      </c>
      <c r="M45" s="147">
        <f t="shared" si="13"/>
        <v>519757.41999999993</v>
      </c>
      <c r="N45" s="90">
        <f t="shared" si="13"/>
        <v>406649</v>
      </c>
      <c r="O45" s="133">
        <f t="shared" si="13"/>
        <v>507767.17</v>
      </c>
      <c r="P45" s="134">
        <f t="shared" si="1"/>
        <v>124.86620402361741</v>
      </c>
      <c r="Q45" s="619"/>
      <c r="R45" s="619"/>
      <c r="S45" s="619"/>
      <c r="T45" s="619"/>
      <c r="U45" s="619"/>
      <c r="V45" s="619"/>
      <c r="W45" s="619"/>
      <c r="AA45" s="451"/>
      <c r="AB45" s="451"/>
    </row>
    <row r="46" spans="1:28" x14ac:dyDescent="0.2">
      <c r="A46" s="672"/>
      <c r="B46" s="641"/>
      <c r="C46" s="51" t="s">
        <v>230</v>
      </c>
      <c r="D46" s="51"/>
      <c r="E46" s="51"/>
      <c r="F46" s="51"/>
      <c r="G46" s="51"/>
      <c r="H46" s="51"/>
      <c r="I46" s="51">
        <v>19602</v>
      </c>
      <c r="J46" s="51">
        <v>19573</v>
      </c>
      <c r="K46" s="24">
        <v>20641</v>
      </c>
      <c r="L46" s="24">
        <v>20552.5</v>
      </c>
      <c r="M46" s="110">
        <v>20532.330000000002</v>
      </c>
      <c r="N46" s="20">
        <v>21000</v>
      </c>
      <c r="O46" s="110">
        <v>37975.43</v>
      </c>
      <c r="P46" s="136">
        <f t="shared" si="1"/>
        <v>180.83538095238097</v>
      </c>
      <c r="Q46" s="505"/>
      <c r="R46" s="505"/>
      <c r="S46" s="505"/>
      <c r="T46" s="505"/>
      <c r="U46" s="505"/>
      <c r="V46" s="505"/>
      <c r="W46" s="505"/>
      <c r="AA46" s="451"/>
      <c r="AB46" s="451"/>
    </row>
    <row r="47" spans="1:28" x14ac:dyDescent="0.2">
      <c r="A47" s="672"/>
      <c r="B47" s="642"/>
      <c r="C47" s="52" t="s">
        <v>231</v>
      </c>
      <c r="D47" s="52"/>
      <c r="E47" s="52"/>
      <c r="F47" s="52"/>
      <c r="G47" s="52"/>
      <c r="H47" s="52"/>
      <c r="I47" s="52">
        <v>20170</v>
      </c>
      <c r="J47" s="52">
        <v>3900</v>
      </c>
      <c r="K47" s="24">
        <v>8400</v>
      </c>
      <c r="L47" s="24">
        <v>4100</v>
      </c>
      <c r="M47" s="110">
        <v>15650</v>
      </c>
      <c r="N47" s="20"/>
      <c r="O47" s="110">
        <f>6950+3803+9000</f>
        <v>19753</v>
      </c>
      <c r="P47" s="136">
        <f t="shared" si="1"/>
        <v>0</v>
      </c>
      <c r="Q47" s="505"/>
      <c r="R47" s="505"/>
      <c r="S47" s="505"/>
      <c r="T47" s="505"/>
      <c r="U47" s="505"/>
      <c r="V47" s="505"/>
      <c r="W47" s="505"/>
      <c r="AA47" s="451"/>
      <c r="AB47" s="451"/>
    </row>
    <row r="48" spans="1:28" hidden="1" x14ac:dyDescent="0.2">
      <c r="A48" s="672"/>
      <c r="B48" s="642"/>
      <c r="C48" s="52" t="s">
        <v>232</v>
      </c>
      <c r="D48" s="52"/>
      <c r="E48" s="52"/>
      <c r="F48" s="52"/>
      <c r="G48" s="52"/>
      <c r="H48" s="52"/>
      <c r="I48" s="67">
        <v>1309</v>
      </c>
      <c r="J48" s="68"/>
      <c r="K48" s="24"/>
      <c r="L48" s="24"/>
      <c r="M48" s="110"/>
      <c r="N48" s="20"/>
      <c r="O48" s="110"/>
      <c r="P48" s="136">
        <f t="shared" si="1"/>
        <v>0</v>
      </c>
      <c r="Q48" s="505"/>
      <c r="R48" s="505"/>
      <c r="S48" s="505"/>
      <c r="T48" s="505"/>
      <c r="U48" s="505"/>
      <c r="V48" s="505"/>
      <c r="W48" s="505"/>
      <c r="AA48" s="451"/>
      <c r="AB48" s="451"/>
    </row>
    <row r="49" spans="1:29" x14ac:dyDescent="0.2">
      <c r="A49" s="672"/>
      <c r="B49" s="642"/>
      <c r="C49" s="54" t="s">
        <v>233</v>
      </c>
      <c r="D49" s="54"/>
      <c r="E49" s="54"/>
      <c r="F49" s="54"/>
      <c r="G49" s="54"/>
      <c r="H49" s="54"/>
      <c r="I49" s="41">
        <v>23291</v>
      </c>
      <c r="J49" s="41">
        <v>27058</v>
      </c>
      <c r="K49" s="24">
        <f>18432+1749</f>
        <v>20181</v>
      </c>
      <c r="L49" s="24">
        <v>31759</v>
      </c>
      <c r="M49" s="192">
        <v>31403.35</v>
      </c>
      <c r="N49" s="24">
        <v>25000</v>
      </c>
      <c r="O49" s="192">
        <v>35343</v>
      </c>
      <c r="P49" s="127">
        <f t="shared" si="1"/>
        <v>141.37200000000001</v>
      </c>
      <c r="Q49" s="505"/>
      <c r="R49" s="505"/>
      <c r="S49" s="505"/>
      <c r="T49" s="505"/>
      <c r="U49" s="505"/>
      <c r="V49" s="505"/>
      <c r="W49" s="505"/>
      <c r="AA49" s="451"/>
      <c r="AB49" s="451"/>
    </row>
    <row r="50" spans="1:29" x14ac:dyDescent="0.2">
      <c r="A50" s="672"/>
      <c r="B50" s="642"/>
      <c r="C50" s="54" t="s">
        <v>234</v>
      </c>
      <c r="D50" s="54"/>
      <c r="E50" s="54"/>
      <c r="F50" s="54"/>
      <c r="G50" s="54"/>
      <c r="H50" s="54"/>
      <c r="I50" s="41">
        <f>25266+1975-2735</f>
        <v>24506</v>
      </c>
      <c r="J50" s="41">
        <v>29035</v>
      </c>
      <c r="K50" s="24">
        <v>28418</v>
      </c>
      <c r="L50" s="24">
        <v>20267.02</v>
      </c>
      <c r="M50" s="192">
        <v>19677.18</v>
      </c>
      <c r="N50" s="24">
        <v>20000</v>
      </c>
      <c r="O50" s="192">
        <v>14953.06</v>
      </c>
      <c r="P50" s="127">
        <f t="shared" si="1"/>
        <v>74.765299999999996</v>
      </c>
      <c r="Q50" s="505"/>
      <c r="R50" s="505"/>
      <c r="S50" s="505"/>
      <c r="T50" s="505"/>
      <c r="U50" s="505"/>
      <c r="V50" s="505"/>
      <c r="W50" s="505"/>
      <c r="AA50" s="451"/>
      <c r="AB50" s="451"/>
    </row>
    <row r="51" spans="1:29" x14ac:dyDescent="0.2">
      <c r="A51" s="672"/>
      <c r="B51" s="642"/>
      <c r="C51" s="54" t="s">
        <v>5</v>
      </c>
      <c r="D51" s="54"/>
      <c r="E51" s="54"/>
      <c r="F51" s="54"/>
      <c r="G51" s="54"/>
      <c r="H51" s="54"/>
      <c r="I51" s="41">
        <f>19469+134+18</f>
        <v>19621</v>
      </c>
      <c r="J51" s="41">
        <v>15462</v>
      </c>
      <c r="K51" s="24">
        <v>15205</v>
      </c>
      <c r="L51" s="24">
        <v>17827.7</v>
      </c>
      <c r="M51" s="192">
        <v>16873.900000000001</v>
      </c>
      <c r="N51" s="24">
        <v>16930</v>
      </c>
      <c r="O51" s="192">
        <v>18524.400000000001</v>
      </c>
      <c r="P51" s="127">
        <f t="shared" si="1"/>
        <v>109.41760189013586</v>
      </c>
      <c r="Q51" s="505"/>
      <c r="R51" s="505"/>
      <c r="S51" s="505"/>
      <c r="T51" s="505"/>
      <c r="U51" s="505"/>
      <c r="V51" s="505"/>
      <c r="W51" s="505"/>
      <c r="AA51" s="451"/>
      <c r="AB51" s="451"/>
    </row>
    <row r="52" spans="1:29" x14ac:dyDescent="0.2">
      <c r="A52" s="672"/>
      <c r="B52" s="642"/>
      <c r="C52" s="62" t="s">
        <v>235</v>
      </c>
      <c r="D52" s="62"/>
      <c r="E52" s="62"/>
      <c r="F52" s="62"/>
      <c r="G52" s="62"/>
      <c r="H52" s="62"/>
      <c r="I52" s="69">
        <v>136368</v>
      </c>
      <c r="J52" s="41">
        <v>127040</v>
      </c>
      <c r="K52" s="24">
        <f>149434+40</f>
        <v>149474</v>
      </c>
      <c r="L52" s="24">
        <v>154903.56</v>
      </c>
      <c r="M52" s="210">
        <v>163189.57</v>
      </c>
      <c r="N52" s="28">
        <v>122000</v>
      </c>
      <c r="O52" s="210">
        <f>120274.28+812.97</f>
        <v>121087.25</v>
      </c>
      <c r="P52" s="564">
        <f t="shared" si="1"/>
        <v>99.25184426229508</v>
      </c>
      <c r="Q52" s="505"/>
      <c r="R52" s="505"/>
      <c r="S52" s="505"/>
      <c r="T52" s="505"/>
      <c r="U52" s="505"/>
      <c r="V52" s="505"/>
      <c r="W52" s="505"/>
      <c r="AA52" s="451"/>
      <c r="AB52" s="451"/>
    </row>
    <row r="53" spans="1:29" x14ac:dyDescent="0.2">
      <c r="A53" s="672"/>
      <c r="B53" s="642"/>
      <c r="C53" s="62" t="s">
        <v>236</v>
      </c>
      <c r="D53" s="62"/>
      <c r="E53" s="62"/>
      <c r="F53" s="62"/>
      <c r="G53" s="62"/>
      <c r="H53" s="62"/>
      <c r="I53" s="69">
        <v>60412</v>
      </c>
      <c r="J53" s="41">
        <v>44729</v>
      </c>
      <c r="K53" s="24">
        <v>51770</v>
      </c>
      <c r="L53" s="24">
        <v>49600.39</v>
      </c>
      <c r="M53" s="210">
        <v>49002.82</v>
      </c>
      <c r="N53" s="28">
        <v>75500</v>
      </c>
      <c r="O53" s="210">
        <f>48758.66</f>
        <v>48758.66</v>
      </c>
      <c r="P53" s="564">
        <f t="shared" si="1"/>
        <v>64.581006622516554</v>
      </c>
      <c r="Q53" s="505"/>
      <c r="R53" s="505"/>
      <c r="S53" s="505"/>
      <c r="T53" s="505"/>
      <c r="U53" s="505"/>
      <c r="V53" s="505"/>
      <c r="W53" s="505"/>
      <c r="AA53" s="451"/>
      <c r="AB53" s="451"/>
    </row>
    <row r="54" spans="1:29" x14ac:dyDescent="0.2">
      <c r="A54" s="672"/>
      <c r="B54" s="642"/>
      <c r="C54" s="62" t="s">
        <v>237</v>
      </c>
      <c r="D54" s="62"/>
      <c r="E54" s="62"/>
      <c r="F54" s="62"/>
      <c r="G54" s="62"/>
      <c r="H54" s="62"/>
      <c r="I54" s="69"/>
      <c r="J54" s="41"/>
      <c r="K54" s="24"/>
      <c r="L54" s="24">
        <v>760.76</v>
      </c>
      <c r="M54" s="210"/>
      <c r="N54" s="28"/>
      <c r="O54" s="210">
        <f>91+3722</f>
        <v>3813</v>
      </c>
      <c r="P54" s="564">
        <f t="shared" si="1"/>
        <v>0</v>
      </c>
      <c r="Q54" s="505"/>
      <c r="R54" s="505"/>
      <c r="S54" s="505"/>
      <c r="T54" s="505"/>
      <c r="U54" s="505"/>
      <c r="V54" s="505"/>
      <c r="W54" s="505"/>
      <c r="AA54" s="451"/>
      <c r="AB54" s="451"/>
    </row>
    <row r="55" spans="1:29" ht="13.5" thickBot="1" x14ac:dyDescent="0.25">
      <c r="A55" s="672"/>
      <c r="B55" s="642"/>
      <c r="C55" s="62" t="s">
        <v>238</v>
      </c>
      <c r="D55" s="62"/>
      <c r="E55" s="62"/>
      <c r="F55" s="62"/>
      <c r="G55" s="62"/>
      <c r="H55" s="62"/>
      <c r="I55" s="69">
        <f>111+179602</f>
        <v>179713</v>
      </c>
      <c r="J55" s="41">
        <f>91+133410</f>
        <v>133501</v>
      </c>
      <c r="K55" s="24">
        <f>60+137299+3496</f>
        <v>140855</v>
      </c>
      <c r="L55" s="24">
        <v>208009.77</v>
      </c>
      <c r="M55" s="210">
        <v>203428.27</v>
      </c>
      <c r="N55" s="28">
        <v>126219</v>
      </c>
      <c r="O55" s="210">
        <v>207559.37</v>
      </c>
      <c r="P55" s="564">
        <f t="shared" si="1"/>
        <v>164.44383967548467</v>
      </c>
      <c r="Q55" s="505"/>
      <c r="R55" s="505"/>
      <c r="S55" s="505"/>
      <c r="T55" s="505"/>
      <c r="U55" s="505"/>
      <c r="V55" s="505"/>
      <c r="W55" s="505"/>
      <c r="AA55" s="451"/>
      <c r="AB55" s="451"/>
      <c r="AC55" s="451"/>
    </row>
    <row r="56" spans="1:29" ht="13.5" thickBot="1" x14ac:dyDescent="0.25">
      <c r="A56" s="672"/>
      <c r="B56" s="57">
        <v>229</v>
      </c>
      <c r="C56" s="57" t="s">
        <v>239</v>
      </c>
      <c r="D56" s="59">
        <f>D57</f>
        <v>3054</v>
      </c>
      <c r="E56" s="59">
        <f>E57</f>
        <v>2722</v>
      </c>
      <c r="F56" s="59">
        <f>F57</f>
        <v>2921</v>
      </c>
      <c r="G56" s="59">
        <f>G57</f>
        <v>2475</v>
      </c>
      <c r="H56" s="59">
        <f>H57</f>
        <v>2568</v>
      </c>
      <c r="I56" s="59">
        <f t="shared" ref="I56:N56" si="14">I57</f>
        <v>2375</v>
      </c>
      <c r="J56" s="59">
        <f t="shared" si="14"/>
        <v>2068</v>
      </c>
      <c r="K56" s="60">
        <f t="shared" si="14"/>
        <v>2476</v>
      </c>
      <c r="L56" s="60">
        <f t="shared" si="14"/>
        <v>2040.04</v>
      </c>
      <c r="M56" s="147">
        <f t="shared" si="14"/>
        <v>2144.59</v>
      </c>
      <c r="N56" s="90">
        <f t="shared" si="14"/>
        <v>1800</v>
      </c>
      <c r="O56" s="133">
        <f>O57</f>
        <v>2002.17</v>
      </c>
      <c r="P56" s="134">
        <f t="shared" si="1"/>
        <v>111.23166666666665</v>
      </c>
      <c r="Q56" s="619"/>
      <c r="R56" s="619"/>
      <c r="S56" s="619"/>
      <c r="T56" s="619"/>
      <c r="U56" s="619"/>
      <c r="V56" s="619"/>
      <c r="W56" s="619"/>
      <c r="AA56" s="451"/>
      <c r="AB56" s="451"/>
    </row>
    <row r="57" spans="1:29" ht="13.5" thickBot="1" x14ac:dyDescent="0.25">
      <c r="A57" s="673"/>
      <c r="B57" s="70"/>
      <c r="C57" s="70" t="s">
        <v>240</v>
      </c>
      <c r="D57" s="70">
        <v>3054</v>
      </c>
      <c r="E57" s="70">
        <v>2722</v>
      </c>
      <c r="F57" s="70">
        <v>2921</v>
      </c>
      <c r="G57" s="70">
        <v>2475</v>
      </c>
      <c r="H57" s="70">
        <v>2568</v>
      </c>
      <c r="I57" s="70">
        <v>2375</v>
      </c>
      <c r="J57" s="70">
        <v>2068</v>
      </c>
      <c r="K57" s="71">
        <v>2476</v>
      </c>
      <c r="L57" s="71">
        <v>2040.04</v>
      </c>
      <c r="M57" s="198">
        <v>2144.59</v>
      </c>
      <c r="N57" s="72">
        <v>1800</v>
      </c>
      <c r="O57" s="198">
        <v>2002.17</v>
      </c>
      <c r="P57" s="555">
        <f t="shared" si="1"/>
        <v>111.23166666666665</v>
      </c>
      <c r="Q57" s="617"/>
      <c r="R57" s="617"/>
      <c r="S57" s="617"/>
      <c r="T57" s="617"/>
      <c r="U57" s="617"/>
      <c r="V57" s="617"/>
      <c r="W57" s="617"/>
      <c r="AA57" s="451"/>
      <c r="AB57" s="451"/>
    </row>
    <row r="58" spans="1:29" ht="15.75" thickBot="1" x14ac:dyDescent="0.3">
      <c r="A58" s="12">
        <v>240</v>
      </c>
      <c r="B58" s="648" t="s">
        <v>241</v>
      </c>
      <c r="C58" s="649"/>
      <c r="D58" s="73">
        <f>SUM(D59:D59)</f>
        <v>27352</v>
      </c>
      <c r="E58" s="73">
        <f>SUM(E59:E59)</f>
        <v>10390</v>
      </c>
      <c r="F58" s="73">
        <f>SUM(F59:F59)</f>
        <v>16730</v>
      </c>
      <c r="G58" s="73">
        <f>SUM(G59:G59)</f>
        <v>5867</v>
      </c>
      <c r="H58" s="73">
        <f>SUM(H59:H59)</f>
        <v>6403</v>
      </c>
      <c r="I58" s="73">
        <f t="shared" ref="I58:O58" si="15">SUM(I59:I59)</f>
        <v>3943</v>
      </c>
      <c r="J58" s="73">
        <f t="shared" si="15"/>
        <v>3352</v>
      </c>
      <c r="K58" s="73">
        <f t="shared" si="15"/>
        <v>1988</v>
      </c>
      <c r="L58" s="74">
        <f t="shared" si="15"/>
        <v>1226.92</v>
      </c>
      <c r="M58" s="73">
        <f t="shared" si="15"/>
        <v>445.87</v>
      </c>
      <c r="N58" s="384">
        <f t="shared" si="15"/>
        <v>0</v>
      </c>
      <c r="O58" s="549">
        <f t="shared" si="15"/>
        <v>2584.38</v>
      </c>
      <c r="P58" s="567">
        <f t="shared" si="1"/>
        <v>0</v>
      </c>
      <c r="Q58" s="616"/>
      <c r="R58" s="616"/>
      <c r="S58" s="616"/>
      <c r="T58" s="616"/>
      <c r="U58" s="616"/>
      <c r="V58" s="616"/>
      <c r="W58" s="616"/>
      <c r="AA58" s="451"/>
      <c r="AB58" s="451"/>
    </row>
    <row r="59" spans="1:29" ht="15.75" thickBot="1" x14ac:dyDescent="0.3">
      <c r="A59" s="48"/>
      <c r="B59" s="75"/>
      <c r="C59" s="76" t="s">
        <v>242</v>
      </c>
      <c r="D59" s="76">
        <v>27352</v>
      </c>
      <c r="E59" s="76">
        <v>10390</v>
      </c>
      <c r="F59" s="76">
        <v>16730</v>
      </c>
      <c r="G59" s="76">
        <v>5867</v>
      </c>
      <c r="H59" s="76">
        <v>6403</v>
      </c>
      <c r="I59" s="76">
        <v>3943</v>
      </c>
      <c r="J59" s="76">
        <v>3352</v>
      </c>
      <c r="K59" s="77">
        <v>1988</v>
      </c>
      <c r="L59" s="77">
        <v>1226.92</v>
      </c>
      <c r="M59" s="254">
        <v>445.87</v>
      </c>
      <c r="N59" s="78"/>
      <c r="O59" s="455">
        <v>2584.38</v>
      </c>
      <c r="P59" s="555">
        <f t="shared" si="1"/>
        <v>0</v>
      </c>
      <c r="Q59" s="617"/>
      <c r="R59" s="617"/>
      <c r="S59" s="617"/>
      <c r="T59" s="617"/>
      <c r="U59" s="617"/>
      <c r="V59" s="617"/>
      <c r="W59" s="617"/>
      <c r="AA59" s="451"/>
      <c r="AB59" s="451"/>
    </row>
    <row r="60" spans="1:29" ht="15.75" thickBot="1" x14ac:dyDescent="0.3">
      <c r="A60" s="12">
        <v>290</v>
      </c>
      <c r="B60" s="644" t="s">
        <v>243</v>
      </c>
      <c r="C60" s="645"/>
      <c r="D60" s="79">
        <f>D61</f>
        <v>56396</v>
      </c>
      <c r="E60" s="79">
        <f>E61</f>
        <v>21078</v>
      </c>
      <c r="F60" s="79">
        <f>F61</f>
        <v>316039</v>
      </c>
      <c r="G60" s="79">
        <f>G61</f>
        <v>123165</v>
      </c>
      <c r="H60" s="79">
        <v>59959</v>
      </c>
      <c r="I60" s="79">
        <f t="shared" ref="I60:N60" si="16">I61</f>
        <v>166050</v>
      </c>
      <c r="J60" s="79">
        <f t="shared" si="16"/>
        <v>55155</v>
      </c>
      <c r="K60" s="79">
        <f t="shared" si="16"/>
        <v>92423</v>
      </c>
      <c r="L60" s="79">
        <f t="shared" si="16"/>
        <v>73212.12000000001</v>
      </c>
      <c r="M60" s="498">
        <f t="shared" si="16"/>
        <v>97470.49</v>
      </c>
      <c r="N60" s="441">
        <f t="shared" si="16"/>
        <v>59071</v>
      </c>
      <c r="O60" s="550">
        <f>O61</f>
        <v>73802.559999999983</v>
      </c>
      <c r="P60" s="568">
        <f t="shared" si="1"/>
        <v>124.93873474293645</v>
      </c>
      <c r="Q60" s="618"/>
      <c r="R60" s="618"/>
      <c r="S60" s="618"/>
      <c r="T60" s="618"/>
      <c r="U60" s="618"/>
      <c r="V60" s="618"/>
      <c r="W60" s="618"/>
      <c r="AA60" s="451"/>
      <c r="AB60" s="451"/>
    </row>
    <row r="61" spans="1:29" ht="13.5" thickBot="1" x14ac:dyDescent="0.25">
      <c r="A61" s="650"/>
      <c r="B61" s="58">
        <v>292</v>
      </c>
      <c r="C61" s="58" t="s">
        <v>243</v>
      </c>
      <c r="D61" s="58">
        <v>56396</v>
      </c>
      <c r="E61" s="58">
        <v>21078</v>
      </c>
      <c r="F61" s="58">
        <v>316039</v>
      </c>
      <c r="G61" s="58">
        <v>123165</v>
      </c>
      <c r="H61" s="58">
        <v>59959</v>
      </c>
      <c r="I61" s="60">
        <f t="shared" ref="I61:O61" si="17">SUM(I62:I65)</f>
        <v>166050</v>
      </c>
      <c r="J61" s="60">
        <f t="shared" si="17"/>
        <v>55155</v>
      </c>
      <c r="K61" s="60">
        <f t="shared" si="17"/>
        <v>92423</v>
      </c>
      <c r="L61" s="60">
        <f t="shared" si="17"/>
        <v>73212.12000000001</v>
      </c>
      <c r="M61" s="147">
        <f t="shared" si="17"/>
        <v>97470.49</v>
      </c>
      <c r="N61" s="90">
        <f t="shared" si="17"/>
        <v>59071</v>
      </c>
      <c r="O61" s="133">
        <f t="shared" si="17"/>
        <v>73802.559999999983</v>
      </c>
      <c r="P61" s="134">
        <f t="shared" si="1"/>
        <v>124.93873474293645</v>
      </c>
      <c r="Q61" s="619"/>
      <c r="R61" s="619"/>
      <c r="S61" s="619"/>
      <c r="T61" s="619"/>
      <c r="U61" s="619"/>
      <c r="V61" s="619"/>
      <c r="W61" s="619"/>
      <c r="AA61" s="451"/>
      <c r="AB61" s="451"/>
    </row>
    <row r="62" spans="1:29" x14ac:dyDescent="0.2">
      <c r="A62" s="651"/>
      <c r="B62" s="652"/>
      <c r="C62" s="80" t="s">
        <v>244</v>
      </c>
      <c r="D62" s="80"/>
      <c r="E62" s="80"/>
      <c r="F62" s="80"/>
      <c r="G62" s="80"/>
      <c r="H62" s="80"/>
      <c r="I62" s="81">
        <v>19700</v>
      </c>
      <c r="J62" s="81">
        <v>19300</v>
      </c>
      <c r="K62" s="24">
        <v>29700</v>
      </c>
      <c r="L62" s="24">
        <v>27700</v>
      </c>
      <c r="M62" s="110">
        <v>46500</v>
      </c>
      <c r="N62" s="20">
        <v>30000</v>
      </c>
      <c r="O62" s="110">
        <v>35700</v>
      </c>
      <c r="P62" s="569">
        <f t="shared" si="1"/>
        <v>119</v>
      </c>
      <c r="Q62" s="617"/>
      <c r="R62" s="617"/>
      <c r="S62" s="617"/>
      <c r="T62" s="617"/>
      <c r="U62" s="617"/>
      <c r="V62" s="617"/>
      <c r="W62" s="617"/>
      <c r="AA62" s="451"/>
      <c r="AB62" s="451"/>
    </row>
    <row r="63" spans="1:29" x14ac:dyDescent="0.2">
      <c r="A63" s="651"/>
      <c r="B63" s="653"/>
      <c r="C63" s="82" t="s">
        <v>245</v>
      </c>
      <c r="D63" s="82"/>
      <c r="E63" s="82"/>
      <c r="F63" s="82"/>
      <c r="G63" s="82"/>
      <c r="H63" s="82"/>
      <c r="I63" s="83">
        <v>37534</v>
      </c>
      <c r="J63" s="83">
        <v>14000</v>
      </c>
      <c r="K63" s="24">
        <v>2888</v>
      </c>
      <c r="L63" s="24">
        <v>313.32</v>
      </c>
      <c r="M63" s="110">
        <v>6641.91</v>
      </c>
      <c r="N63" s="20"/>
      <c r="O63" s="110">
        <f>434.45</f>
        <v>434.45</v>
      </c>
      <c r="P63" s="557">
        <f t="shared" si="1"/>
        <v>0</v>
      </c>
      <c r="Q63" s="617"/>
      <c r="R63" s="617"/>
      <c r="S63" s="617"/>
      <c r="T63" s="617"/>
      <c r="U63" s="617"/>
      <c r="V63" s="617"/>
      <c r="W63" s="617"/>
      <c r="AA63" s="451"/>
      <c r="AB63" s="451"/>
    </row>
    <row r="64" spans="1:29" x14ac:dyDescent="0.2">
      <c r="A64" s="651"/>
      <c r="B64" s="653"/>
      <c r="C64" s="82" t="s">
        <v>243</v>
      </c>
      <c r="D64" s="82"/>
      <c r="E64" s="82"/>
      <c r="F64" s="82"/>
      <c r="G64" s="82"/>
      <c r="H64" s="82"/>
      <c r="I64" s="83">
        <v>106407</v>
      </c>
      <c r="J64" s="83">
        <v>19147</v>
      </c>
      <c r="K64" s="24">
        <f>16091+34106+2444+185+641+2733+114-32+43+286+668</f>
        <v>57279</v>
      </c>
      <c r="L64" s="24">
        <v>42730.559999999998</v>
      </c>
      <c r="M64" s="110">
        <v>42300.639999999999</v>
      </c>
      <c r="N64" s="20">
        <v>26871</v>
      </c>
      <c r="O64" s="110">
        <f>2140.19+1772.13+10420+14386.21+825.92+84.58+167+219+48.94+5604.6</f>
        <v>35668.57</v>
      </c>
      <c r="P64" s="557">
        <f t="shared" si="1"/>
        <v>132.74001711882698</v>
      </c>
      <c r="Q64" s="617"/>
      <c r="R64" s="617"/>
      <c r="S64" s="617"/>
      <c r="T64" s="617"/>
      <c r="U64" s="617"/>
      <c r="V64" s="617"/>
      <c r="W64" s="617"/>
      <c r="AA64" s="451"/>
      <c r="AB64" s="451"/>
    </row>
    <row r="65" spans="1:32" ht="13.5" thickBot="1" x14ac:dyDescent="0.25">
      <c r="A65" s="674"/>
      <c r="B65" s="675"/>
      <c r="C65" s="788" t="s">
        <v>246</v>
      </c>
      <c r="D65" s="788"/>
      <c r="E65" s="788"/>
      <c r="F65" s="788"/>
      <c r="G65" s="788"/>
      <c r="H65" s="788"/>
      <c r="I65" s="263">
        <v>2409</v>
      </c>
      <c r="J65" s="263">
        <v>2708</v>
      </c>
      <c r="K65" s="45">
        <v>2556</v>
      </c>
      <c r="L65" s="45">
        <v>2468.2399999999998</v>
      </c>
      <c r="M65" s="499">
        <v>2027.94</v>
      </c>
      <c r="N65" s="264">
        <v>2200</v>
      </c>
      <c r="O65" s="499">
        <v>1999.54</v>
      </c>
      <c r="P65" s="789">
        <f t="shared" si="1"/>
        <v>90.888181818181806</v>
      </c>
      <c r="Q65" s="617"/>
      <c r="R65" s="617"/>
      <c r="S65" s="617"/>
      <c r="T65" s="617"/>
      <c r="U65" s="617"/>
      <c r="V65" s="617"/>
      <c r="W65" s="617"/>
      <c r="AA65" s="451"/>
      <c r="AB65" s="451"/>
    </row>
    <row r="66" spans="1:32" ht="16.5" thickBot="1" x14ac:dyDescent="0.3">
      <c r="A66" s="46">
        <v>300</v>
      </c>
      <c r="B66" s="629" t="s">
        <v>247</v>
      </c>
      <c r="C66" s="630"/>
      <c r="D66" s="460">
        <f t="shared" ref="D66:N66" si="18">D67+D105</f>
        <v>1842129</v>
      </c>
      <c r="E66" s="460">
        <f t="shared" si="18"/>
        <v>1999701</v>
      </c>
      <c r="F66" s="460">
        <f t="shared" si="18"/>
        <v>2077242</v>
      </c>
      <c r="G66" s="460">
        <f t="shared" si="18"/>
        <v>2645110</v>
      </c>
      <c r="H66" s="460">
        <f t="shared" si="18"/>
        <v>2979865</v>
      </c>
      <c r="I66" s="460">
        <f t="shared" si="18"/>
        <v>2749519</v>
      </c>
      <c r="J66" s="460">
        <f t="shared" si="18"/>
        <v>2901991</v>
      </c>
      <c r="K66" s="460">
        <f t="shared" si="18"/>
        <v>3466649</v>
      </c>
      <c r="L66" s="460">
        <f>L67+L105</f>
        <v>3450076.55</v>
      </c>
      <c r="M66" s="500">
        <f t="shared" si="18"/>
        <v>3251492.52</v>
      </c>
      <c r="N66" s="461">
        <f t="shared" si="18"/>
        <v>3211461</v>
      </c>
      <c r="O66" s="551">
        <f>O67+O105</f>
        <v>3217895.7500000009</v>
      </c>
      <c r="P66" s="570">
        <f t="shared" si="1"/>
        <v>100.20036830588947</v>
      </c>
      <c r="Q66" s="621"/>
      <c r="R66" s="621"/>
      <c r="S66" s="621"/>
      <c r="T66" s="621"/>
      <c r="U66" s="621"/>
      <c r="V66" s="621"/>
      <c r="W66" s="621"/>
      <c r="AA66" s="451"/>
      <c r="AB66" s="451"/>
    </row>
    <row r="67" spans="1:32" ht="15.75" thickBot="1" x14ac:dyDescent="0.3">
      <c r="A67" s="29">
        <v>310</v>
      </c>
      <c r="B67" s="639" t="s">
        <v>248</v>
      </c>
      <c r="C67" s="640"/>
      <c r="D67" s="63">
        <f t="shared" ref="D67:N67" si="19">D68+D70</f>
        <v>1842129</v>
      </c>
      <c r="E67" s="63">
        <f t="shared" si="19"/>
        <v>1999701</v>
      </c>
      <c r="F67" s="63">
        <f t="shared" si="19"/>
        <v>2077242</v>
      </c>
      <c r="G67" s="63">
        <f t="shared" si="19"/>
        <v>2645110</v>
      </c>
      <c r="H67" s="63">
        <f t="shared" si="19"/>
        <v>2958818</v>
      </c>
      <c r="I67" s="63">
        <f t="shared" si="19"/>
        <v>2721164</v>
      </c>
      <c r="J67" s="63">
        <f t="shared" si="19"/>
        <v>2862933</v>
      </c>
      <c r="K67" s="63">
        <f t="shared" si="19"/>
        <v>3457133</v>
      </c>
      <c r="L67" s="63">
        <f>L68+L70</f>
        <v>3450076.55</v>
      </c>
      <c r="M67" s="201">
        <f t="shared" si="19"/>
        <v>3251492.52</v>
      </c>
      <c r="N67" s="99">
        <f t="shared" si="19"/>
        <v>3211461</v>
      </c>
      <c r="O67" s="508">
        <f>O68+O70</f>
        <v>3217895.7500000009</v>
      </c>
      <c r="P67" s="565">
        <f t="shared" si="1"/>
        <v>100.20036830588947</v>
      </c>
      <c r="Q67" s="616"/>
      <c r="R67" s="616"/>
      <c r="S67" s="616"/>
      <c r="T67" s="616"/>
      <c r="U67" s="616"/>
      <c r="V67" s="616"/>
      <c r="W67" s="616"/>
      <c r="AA67" s="451"/>
      <c r="AB67" s="451"/>
      <c r="AC67" s="451"/>
      <c r="AF67" s="451"/>
    </row>
    <row r="68" spans="1:32" ht="13.5" thickBot="1" x14ac:dyDescent="0.25">
      <c r="A68" s="650"/>
      <c r="B68" s="85">
        <v>311</v>
      </c>
      <c r="C68" s="57" t="s">
        <v>249</v>
      </c>
      <c r="D68" s="86">
        <f t="shared" ref="D68:M68" si="20">SUM(D69:D69)</f>
        <v>0</v>
      </c>
      <c r="E68" s="86">
        <f t="shared" si="20"/>
        <v>23003</v>
      </c>
      <c r="F68" s="86">
        <f t="shared" si="20"/>
        <v>14107</v>
      </c>
      <c r="G68" s="86">
        <f t="shared" si="20"/>
        <v>9307</v>
      </c>
      <c r="H68" s="86">
        <f t="shared" si="20"/>
        <v>19495</v>
      </c>
      <c r="I68" s="86">
        <f t="shared" si="20"/>
        <v>11396</v>
      </c>
      <c r="J68" s="86">
        <f t="shared" si="20"/>
        <v>19287</v>
      </c>
      <c r="K68" s="60">
        <f t="shared" si="20"/>
        <v>18260</v>
      </c>
      <c r="L68" s="60">
        <f t="shared" si="20"/>
        <v>700</v>
      </c>
      <c r="M68" s="147">
        <f t="shared" si="20"/>
        <v>4100</v>
      </c>
      <c r="N68" s="442">
        <f>N69</f>
        <v>4000</v>
      </c>
      <c r="O68" s="546">
        <f>O69</f>
        <v>4000</v>
      </c>
      <c r="P68" s="560">
        <f t="shared" si="1"/>
        <v>100</v>
      </c>
      <c r="Q68" s="619"/>
      <c r="R68" s="619"/>
      <c r="S68" s="619"/>
      <c r="T68" s="619"/>
      <c r="U68" s="619"/>
      <c r="V68" s="619"/>
      <c r="W68" s="619"/>
      <c r="AA68" s="451"/>
      <c r="AB68" s="451"/>
      <c r="AC68" s="451"/>
    </row>
    <row r="69" spans="1:32" ht="13.5" thickBot="1" x14ac:dyDescent="0.25">
      <c r="A69" s="651"/>
      <c r="B69" s="37"/>
      <c r="C69" s="38" t="s">
        <v>250</v>
      </c>
      <c r="D69" s="38">
        <v>0</v>
      </c>
      <c r="E69" s="38">
        <v>23003</v>
      </c>
      <c r="F69" s="38">
        <v>14107</v>
      </c>
      <c r="G69" s="38">
        <v>9307</v>
      </c>
      <c r="H69" s="38">
        <v>19495</v>
      </c>
      <c r="I69" s="38">
        <v>11396</v>
      </c>
      <c r="J69" s="38">
        <v>19287</v>
      </c>
      <c r="K69" s="52">
        <v>18260</v>
      </c>
      <c r="L69" s="65">
        <v>700</v>
      </c>
      <c r="M69" s="110">
        <v>4100</v>
      </c>
      <c r="N69" s="20">
        <v>4000</v>
      </c>
      <c r="O69" s="110">
        <v>4000</v>
      </c>
      <c r="P69" s="136">
        <f t="shared" ref="P69:P108" si="21">IF(N69=0,0,O69/N69*100)</f>
        <v>100</v>
      </c>
      <c r="Q69" s="505"/>
      <c r="R69" s="505"/>
      <c r="S69" s="505"/>
      <c r="T69" s="505"/>
      <c r="U69" s="505"/>
      <c r="V69" s="505"/>
      <c r="W69" s="505"/>
      <c r="AA69" s="539"/>
      <c r="AB69" s="451"/>
      <c r="AC69" s="451"/>
    </row>
    <row r="70" spans="1:32" ht="13.5" thickBot="1" x14ac:dyDescent="0.25">
      <c r="A70" s="651"/>
      <c r="B70" s="7">
        <v>312</v>
      </c>
      <c r="C70" s="7" t="s">
        <v>251</v>
      </c>
      <c r="D70" s="7">
        <v>1842129</v>
      </c>
      <c r="E70" s="7">
        <v>1976698</v>
      </c>
      <c r="F70" s="7">
        <v>2063135</v>
      </c>
      <c r="G70" s="7">
        <v>2635803</v>
      </c>
      <c r="H70" s="7">
        <v>2939323</v>
      </c>
      <c r="I70" s="34">
        <f>SUM(I71:I104)</f>
        <v>2709768</v>
      </c>
      <c r="J70" s="34">
        <f>SUM(J71:J104)</f>
        <v>2843646</v>
      </c>
      <c r="K70" s="34">
        <f>SUM(K71:K104)</f>
        <v>3438873</v>
      </c>
      <c r="L70" s="34">
        <v>3449376.55</v>
      </c>
      <c r="M70" s="312">
        <f>SUM(M71:M104)</f>
        <v>3247392.52</v>
      </c>
      <c r="N70" s="121">
        <f>SUM(N71:N104)</f>
        <v>3207461</v>
      </c>
      <c r="O70" s="524">
        <f>SUM(O71:O104)</f>
        <v>3213895.7500000009</v>
      </c>
      <c r="P70" s="561">
        <f t="shared" si="21"/>
        <v>100.20061818366617</v>
      </c>
      <c r="Q70" s="620"/>
      <c r="R70" s="620"/>
      <c r="S70" s="620"/>
      <c r="T70" s="620"/>
      <c r="U70" s="620"/>
      <c r="V70" s="620"/>
      <c r="W70" s="620"/>
      <c r="AA70" s="451"/>
      <c r="AB70" s="451"/>
    </row>
    <row r="71" spans="1:32" x14ac:dyDescent="0.2">
      <c r="A71" s="651"/>
      <c r="B71" s="657"/>
      <c r="C71" s="38" t="s">
        <v>252</v>
      </c>
      <c r="D71" s="38"/>
      <c r="E71" s="38"/>
      <c r="F71" s="38"/>
      <c r="G71" s="38"/>
      <c r="H71" s="38"/>
      <c r="I71" s="38">
        <v>23695</v>
      </c>
      <c r="J71" s="38">
        <v>17245</v>
      </c>
      <c r="K71" s="24">
        <v>10901</v>
      </c>
      <c r="L71" s="20">
        <v>11158.85</v>
      </c>
      <c r="M71" s="143">
        <v>11477.1</v>
      </c>
      <c r="N71" s="87">
        <v>11818</v>
      </c>
      <c r="O71" s="452">
        <v>11818.38</v>
      </c>
      <c r="P71" s="556">
        <f t="shared" si="21"/>
        <v>100.00321543408359</v>
      </c>
      <c r="Q71" s="617"/>
      <c r="R71" s="617"/>
      <c r="S71" s="617"/>
      <c r="T71" s="617"/>
      <c r="U71" s="617"/>
      <c r="V71" s="617"/>
      <c r="W71" s="617"/>
      <c r="AA71" s="539"/>
      <c r="AB71" s="451"/>
    </row>
    <row r="72" spans="1:32" x14ac:dyDescent="0.2">
      <c r="A72" s="651"/>
      <c r="B72" s="658"/>
      <c r="C72" s="40" t="s">
        <v>253</v>
      </c>
      <c r="D72" s="40"/>
      <c r="E72" s="40"/>
      <c r="F72" s="40"/>
      <c r="G72" s="40"/>
      <c r="H72" s="40"/>
      <c r="I72" s="40">
        <v>2039732</v>
      </c>
      <c r="J72" s="40">
        <v>2219230</v>
      </c>
      <c r="K72" s="24">
        <v>2305975</v>
      </c>
      <c r="L72" s="24">
        <v>2374727</v>
      </c>
      <c r="M72" s="106">
        <v>2385302.7000000002</v>
      </c>
      <c r="N72" s="24">
        <v>2378883</v>
      </c>
      <c r="O72" s="452">
        <f>2458880.87-80000</f>
        <v>2378880.87</v>
      </c>
      <c r="P72" s="556">
        <f t="shared" si="21"/>
        <v>99.999910462179102</v>
      </c>
      <c r="Q72" s="617"/>
      <c r="R72" s="617"/>
      <c r="S72" s="617"/>
      <c r="T72" s="617"/>
      <c r="U72" s="617"/>
      <c r="V72" s="617"/>
      <c r="W72" s="617"/>
      <c r="AA72" s="540"/>
      <c r="AB72" s="451"/>
      <c r="AD72" s="451"/>
      <c r="AE72" s="451"/>
      <c r="AF72" s="451"/>
    </row>
    <row r="73" spans="1:32" x14ac:dyDescent="0.2">
      <c r="A73" s="651"/>
      <c r="B73" s="658"/>
      <c r="C73" s="40" t="s">
        <v>254</v>
      </c>
      <c r="D73" s="40"/>
      <c r="E73" s="40"/>
      <c r="F73" s="40"/>
      <c r="G73" s="40"/>
      <c r="H73" s="40"/>
      <c r="I73" s="40">
        <v>18027</v>
      </c>
      <c r="J73" s="40">
        <v>18084</v>
      </c>
      <c r="K73" s="24">
        <v>17994</v>
      </c>
      <c r="L73" s="24">
        <v>18008.52</v>
      </c>
      <c r="M73" s="106">
        <v>18041.07</v>
      </c>
      <c r="N73" s="24">
        <v>17963</v>
      </c>
      <c r="O73" s="452">
        <v>17962.95</v>
      </c>
      <c r="P73" s="485">
        <f t="shared" si="21"/>
        <v>99.999721650058461</v>
      </c>
      <c r="Q73" s="622"/>
      <c r="R73" s="622"/>
      <c r="S73" s="622"/>
      <c r="T73" s="622"/>
      <c r="U73" s="622"/>
      <c r="V73" s="622"/>
      <c r="W73" s="622"/>
      <c r="AA73" s="540"/>
      <c r="AB73" s="451"/>
    </row>
    <row r="74" spans="1:32" x14ac:dyDescent="0.2">
      <c r="A74" s="651"/>
      <c r="B74" s="658"/>
      <c r="C74" s="40" t="s">
        <v>255</v>
      </c>
      <c r="D74" s="40"/>
      <c r="E74" s="40"/>
      <c r="F74" s="40"/>
      <c r="G74" s="40"/>
      <c r="H74" s="40"/>
      <c r="I74" s="40">
        <v>24577</v>
      </c>
      <c r="J74" s="40">
        <v>25124</v>
      </c>
      <c r="K74" s="24">
        <v>25564</v>
      </c>
      <c r="L74" s="24">
        <v>26022</v>
      </c>
      <c r="M74" s="106">
        <v>26310</v>
      </c>
      <c r="N74" s="24">
        <v>27303</v>
      </c>
      <c r="O74" s="452">
        <v>27303</v>
      </c>
      <c r="P74" s="485">
        <f t="shared" si="21"/>
        <v>100</v>
      </c>
      <c r="Q74" s="622"/>
      <c r="R74" s="622"/>
      <c r="S74" s="622"/>
      <c r="T74" s="622"/>
      <c r="U74" s="622"/>
      <c r="V74" s="622"/>
      <c r="W74" s="622"/>
      <c r="AA74" s="539"/>
      <c r="AB74" s="451"/>
      <c r="AE74" s="451"/>
      <c r="AF74" s="451"/>
    </row>
    <row r="75" spans="1:32" x14ac:dyDescent="0.2">
      <c r="A75" s="651"/>
      <c r="B75" s="658"/>
      <c r="C75" s="40" t="s">
        <v>256</v>
      </c>
      <c r="D75" s="40"/>
      <c r="E75" s="40"/>
      <c r="F75" s="40"/>
      <c r="G75" s="40"/>
      <c r="H75" s="40"/>
      <c r="I75" s="40">
        <v>7039</v>
      </c>
      <c r="J75" s="40">
        <v>7075</v>
      </c>
      <c r="K75" s="24">
        <v>7128</v>
      </c>
      <c r="L75" s="24">
        <v>7141.61</v>
      </c>
      <c r="M75" s="106">
        <v>7157.02</v>
      </c>
      <c r="N75" s="24">
        <v>7145</v>
      </c>
      <c r="O75" s="452">
        <v>7145.67</v>
      </c>
      <c r="P75" s="485">
        <f t="shared" si="21"/>
        <v>100.00937718684395</v>
      </c>
      <c r="Q75" s="622"/>
      <c r="R75" s="622"/>
      <c r="S75" s="622"/>
      <c r="T75" s="622"/>
      <c r="U75" s="622"/>
      <c r="V75" s="622"/>
      <c r="W75" s="622"/>
      <c r="AA75" s="540"/>
      <c r="AB75" s="451"/>
    </row>
    <row r="76" spans="1:32" x14ac:dyDescent="0.2">
      <c r="A76" s="651"/>
      <c r="B76" s="658"/>
      <c r="C76" s="40" t="s">
        <v>257</v>
      </c>
      <c r="D76" s="40"/>
      <c r="E76" s="40"/>
      <c r="F76" s="40"/>
      <c r="G76" s="40"/>
      <c r="H76" s="40"/>
      <c r="I76" s="40">
        <v>10058</v>
      </c>
      <c r="J76" s="40">
        <v>10551</v>
      </c>
      <c r="K76" s="24">
        <v>6336</v>
      </c>
      <c r="L76" s="24">
        <v>5427.66</v>
      </c>
      <c r="M76" s="106">
        <v>4327.68</v>
      </c>
      <c r="N76" s="24">
        <v>3105</v>
      </c>
      <c r="O76" s="453">
        <v>3104.64</v>
      </c>
      <c r="P76" s="479">
        <f t="shared" si="21"/>
        <v>99.98840579710145</v>
      </c>
      <c r="Q76" s="622"/>
      <c r="R76" s="622"/>
      <c r="S76" s="622"/>
      <c r="T76" s="622"/>
      <c r="U76" s="622"/>
      <c r="V76" s="622"/>
      <c r="W76" s="622"/>
      <c r="AA76" s="539"/>
      <c r="AB76" s="451"/>
      <c r="AC76" s="541"/>
    </row>
    <row r="77" spans="1:32" x14ac:dyDescent="0.2">
      <c r="A77" s="651"/>
      <c r="B77" s="658"/>
      <c r="C77" s="40" t="s">
        <v>258</v>
      </c>
      <c r="D77" s="40"/>
      <c r="E77" s="40"/>
      <c r="F77" s="40"/>
      <c r="G77" s="40"/>
      <c r="H77" s="40"/>
      <c r="I77" s="40">
        <v>83191</v>
      </c>
      <c r="J77" s="40">
        <v>97555</v>
      </c>
      <c r="K77" s="24">
        <v>85709</v>
      </c>
      <c r="L77" s="24">
        <v>73418.710000000006</v>
      </c>
      <c r="M77" s="106">
        <v>58497.09</v>
      </c>
      <c r="N77" s="24">
        <v>43284</v>
      </c>
      <c r="O77" s="453">
        <v>43283.74</v>
      </c>
      <c r="P77" s="479">
        <f t="shared" si="21"/>
        <v>99.999399316144533</v>
      </c>
      <c r="Q77" s="622"/>
      <c r="R77" s="622"/>
      <c r="S77" s="622"/>
      <c r="T77" s="622"/>
      <c r="U77" s="622"/>
      <c r="V77" s="622"/>
      <c r="W77" s="622"/>
      <c r="AA77" s="539"/>
      <c r="AB77" s="451"/>
    </row>
    <row r="78" spans="1:32" x14ac:dyDescent="0.2">
      <c r="A78" s="651"/>
      <c r="B78" s="658"/>
      <c r="C78" s="40" t="s">
        <v>259</v>
      </c>
      <c r="D78" s="40"/>
      <c r="E78" s="40"/>
      <c r="F78" s="40"/>
      <c r="G78" s="40"/>
      <c r="H78" s="40"/>
      <c r="I78" s="40">
        <v>25474</v>
      </c>
      <c r="J78" s="40">
        <v>22043</v>
      </c>
      <c r="K78" s="24">
        <f>1699+18018</f>
        <v>19717</v>
      </c>
      <c r="L78" s="24">
        <v>29033.54</v>
      </c>
      <c r="M78" s="106">
        <v>25989.77</v>
      </c>
      <c r="N78" s="24">
        <v>45876</v>
      </c>
      <c r="O78" s="452">
        <f>5754.01+2301.75+3399.5+1282.84+226.38+8275.79+1460.42+1896.22+7799.66+1376.39+1767.44+311.92+5953.73+1035.69+16.36+2.89+2561.82+452.08</f>
        <v>45874.890000000007</v>
      </c>
      <c r="P78" s="485">
        <f t="shared" si="21"/>
        <v>99.997580434213987</v>
      </c>
      <c r="Q78" s="622"/>
      <c r="R78" s="622"/>
      <c r="S78" s="622"/>
      <c r="T78" s="622"/>
      <c r="U78" s="622"/>
      <c r="V78" s="622"/>
      <c r="W78" s="622"/>
      <c r="AA78" s="451"/>
      <c r="AB78" s="451"/>
      <c r="AE78" s="541"/>
    </row>
    <row r="79" spans="1:32" x14ac:dyDescent="0.2">
      <c r="A79" s="651"/>
      <c r="B79" s="658"/>
      <c r="C79" s="40" t="s">
        <v>260</v>
      </c>
      <c r="D79" s="40"/>
      <c r="E79" s="40"/>
      <c r="F79" s="40"/>
      <c r="G79" s="40"/>
      <c r="H79" s="40"/>
      <c r="I79" s="40">
        <v>1008</v>
      </c>
      <c r="J79" s="40">
        <v>1008</v>
      </c>
      <c r="K79" s="24">
        <v>995</v>
      </c>
      <c r="L79" s="24">
        <v>836.54</v>
      </c>
      <c r="M79" s="106">
        <v>838.04</v>
      </c>
      <c r="N79" s="24">
        <v>834</v>
      </c>
      <c r="O79" s="452">
        <v>834.41</v>
      </c>
      <c r="P79" s="485">
        <f t="shared" si="21"/>
        <v>100.04916067146283</v>
      </c>
      <c r="Q79" s="622"/>
      <c r="R79" s="622"/>
      <c r="S79" s="622"/>
      <c r="T79" s="622"/>
      <c r="U79" s="622"/>
      <c r="V79" s="622"/>
      <c r="W79" s="622"/>
      <c r="AA79" s="539"/>
      <c r="AB79" s="451"/>
      <c r="AD79" s="451"/>
    </row>
    <row r="80" spans="1:32" x14ac:dyDescent="0.2">
      <c r="A80" s="651"/>
      <c r="B80" s="658"/>
      <c r="C80" s="40" t="s">
        <v>261</v>
      </c>
      <c r="D80" s="40"/>
      <c r="E80" s="40"/>
      <c r="F80" s="40"/>
      <c r="G80" s="40"/>
      <c r="H80" s="40"/>
      <c r="I80" s="40">
        <v>1487</v>
      </c>
      <c r="J80" s="40">
        <v>1415</v>
      </c>
      <c r="K80" s="24">
        <v>1362</v>
      </c>
      <c r="L80" s="24">
        <v>1386.9</v>
      </c>
      <c r="M80" s="106">
        <v>1388.19</v>
      </c>
      <c r="N80" s="24">
        <v>1383</v>
      </c>
      <c r="O80" s="452">
        <v>1382.72</v>
      </c>
      <c r="P80" s="485">
        <f t="shared" si="21"/>
        <v>99.979754157628349</v>
      </c>
      <c r="Q80" s="622"/>
      <c r="R80" s="622"/>
      <c r="S80" s="622"/>
      <c r="T80" s="622"/>
      <c r="U80" s="622"/>
      <c r="V80" s="622"/>
      <c r="W80" s="622"/>
      <c r="AA80" s="539"/>
      <c r="AB80" s="451"/>
      <c r="AC80" s="451"/>
      <c r="AD80" s="451"/>
    </row>
    <row r="81" spans="1:28" x14ac:dyDescent="0.2">
      <c r="A81" s="651"/>
      <c r="B81" s="658"/>
      <c r="C81" s="40" t="s">
        <v>262</v>
      </c>
      <c r="D81" s="40"/>
      <c r="E81" s="40"/>
      <c r="F81" s="40"/>
      <c r="G81" s="40"/>
      <c r="H81" s="40"/>
      <c r="I81" s="40">
        <v>46640</v>
      </c>
      <c r="J81" s="40">
        <v>26998</v>
      </c>
      <c r="K81" s="24">
        <v>72974</v>
      </c>
      <c r="L81" s="24">
        <v>59711.85</v>
      </c>
      <c r="M81" s="106">
        <v>88644.08</v>
      </c>
      <c r="N81" s="24">
        <v>0</v>
      </c>
      <c r="O81" s="452"/>
      <c r="P81" s="485">
        <f t="shared" si="21"/>
        <v>0</v>
      </c>
      <c r="Q81" s="622"/>
      <c r="R81" s="622"/>
      <c r="S81" s="622"/>
      <c r="T81" s="622"/>
      <c r="U81" s="622"/>
      <c r="V81" s="622"/>
      <c r="W81" s="622"/>
      <c r="AA81" s="451"/>
      <c r="AB81" s="451"/>
    </row>
    <row r="82" spans="1:28" x14ac:dyDescent="0.2">
      <c r="A82" s="651"/>
      <c r="B82" s="658"/>
      <c r="C82" s="40" t="s">
        <v>263</v>
      </c>
      <c r="D82" s="40"/>
      <c r="E82" s="40"/>
      <c r="F82" s="40"/>
      <c r="G82" s="40"/>
      <c r="H82" s="40"/>
      <c r="I82" s="40">
        <v>4903</v>
      </c>
      <c r="J82" s="40">
        <v>4921</v>
      </c>
      <c r="K82" s="24">
        <v>4883</v>
      </c>
      <c r="L82" s="24">
        <v>4883.67</v>
      </c>
      <c r="M82" s="106">
        <v>4892.91</v>
      </c>
      <c r="N82" s="24">
        <v>4949</v>
      </c>
      <c r="O82" s="452">
        <v>4949.79</v>
      </c>
      <c r="P82" s="485">
        <f t="shared" si="21"/>
        <v>100.01596282077188</v>
      </c>
      <c r="Q82" s="622"/>
      <c r="R82" s="622"/>
      <c r="S82" s="622"/>
      <c r="T82" s="622"/>
      <c r="U82" s="622"/>
      <c r="V82" s="622"/>
      <c r="W82" s="622"/>
      <c r="AA82" s="539"/>
      <c r="AB82" s="451"/>
    </row>
    <row r="83" spans="1:28" x14ac:dyDescent="0.2">
      <c r="A83" s="651"/>
      <c r="B83" s="658"/>
      <c r="C83" s="40" t="s">
        <v>264</v>
      </c>
      <c r="D83" s="40"/>
      <c r="E83" s="40"/>
      <c r="F83" s="40"/>
      <c r="G83" s="40"/>
      <c r="H83" s="40"/>
      <c r="I83" s="40">
        <v>4172</v>
      </c>
      <c r="J83" s="40">
        <v>4305</v>
      </c>
      <c r="K83" s="24">
        <v>4445</v>
      </c>
      <c r="L83" s="24">
        <v>4634.95</v>
      </c>
      <c r="M83" s="106">
        <v>5001.3599999999997</v>
      </c>
      <c r="N83" s="24">
        <v>5331</v>
      </c>
      <c r="O83" s="452">
        <v>5331.12</v>
      </c>
      <c r="P83" s="556">
        <f t="shared" si="21"/>
        <v>100.00225098480584</v>
      </c>
      <c r="Q83" s="617"/>
      <c r="R83" s="617"/>
      <c r="S83" s="617"/>
      <c r="T83" s="617"/>
      <c r="U83" s="617"/>
      <c r="V83" s="617"/>
      <c r="W83" s="617"/>
      <c r="AA83" s="539"/>
      <c r="AB83" s="451"/>
    </row>
    <row r="84" spans="1:28" ht="12.75" customHeight="1" x14ac:dyDescent="0.2">
      <c r="A84" s="651"/>
      <c r="B84" s="658"/>
      <c r="C84" s="40" t="s">
        <v>421</v>
      </c>
      <c r="D84" s="40"/>
      <c r="E84" s="40"/>
      <c r="F84" s="40"/>
      <c r="G84" s="40"/>
      <c r="H84" s="40"/>
      <c r="I84" s="40"/>
      <c r="J84" s="40"/>
      <c r="K84" s="24"/>
      <c r="L84" s="24"/>
      <c r="M84" s="106"/>
      <c r="N84" s="24">
        <v>4700</v>
      </c>
      <c r="O84" s="477">
        <v>4700</v>
      </c>
      <c r="P84" s="556">
        <f t="shared" si="21"/>
        <v>100</v>
      </c>
      <c r="Q84" s="617"/>
      <c r="R84" s="617"/>
      <c r="S84" s="617"/>
      <c r="T84" s="617"/>
      <c r="U84" s="617"/>
      <c r="V84" s="617"/>
      <c r="W84" s="617"/>
      <c r="AA84" s="451"/>
      <c r="AB84" s="451"/>
    </row>
    <row r="85" spans="1:28" ht="12.75" customHeight="1" x14ac:dyDescent="0.2">
      <c r="A85" s="651"/>
      <c r="B85" s="658"/>
      <c r="C85" s="40" t="s">
        <v>265</v>
      </c>
      <c r="D85" s="40"/>
      <c r="E85" s="40"/>
      <c r="F85" s="40"/>
      <c r="G85" s="40"/>
      <c r="H85" s="40"/>
      <c r="I85" s="40">
        <v>13965</v>
      </c>
      <c r="J85" s="40">
        <v>20215</v>
      </c>
      <c r="K85" s="24">
        <f>2614+9370+2952+12392</f>
        <v>27328</v>
      </c>
      <c r="L85" s="24">
        <v>18845.330000000002</v>
      </c>
      <c r="M85" s="106">
        <v>25120.019999999997</v>
      </c>
      <c r="N85" s="24">
        <v>34933</v>
      </c>
      <c r="O85" s="452">
        <f>2252.14+397.45+4504.33+794.87+22937.05+4047.73</f>
        <v>34933.57</v>
      </c>
      <c r="P85" s="556">
        <f t="shared" si="21"/>
        <v>100.00163169495893</v>
      </c>
      <c r="Q85" s="617"/>
      <c r="R85" s="617"/>
      <c r="S85" s="617"/>
      <c r="T85" s="617"/>
      <c r="U85" s="617"/>
      <c r="V85" s="617"/>
      <c r="W85" s="617"/>
      <c r="AA85" s="451"/>
      <c r="AB85" s="451"/>
    </row>
    <row r="86" spans="1:28" ht="12.75" customHeight="1" x14ac:dyDescent="0.2">
      <c r="A86" s="651"/>
      <c r="B86" s="658"/>
      <c r="C86" s="40" t="s">
        <v>34</v>
      </c>
      <c r="D86" s="40"/>
      <c r="E86" s="40"/>
      <c r="F86" s="40"/>
      <c r="G86" s="40"/>
      <c r="H86" s="40"/>
      <c r="I86" s="40"/>
      <c r="J86" s="40"/>
      <c r="K86" s="24"/>
      <c r="L86" s="24"/>
      <c r="M86" s="192">
        <v>4039</v>
      </c>
      <c r="N86" s="24">
        <v>37805</v>
      </c>
      <c r="O86" s="453">
        <v>37805</v>
      </c>
      <c r="P86" s="557">
        <f t="shared" si="21"/>
        <v>100</v>
      </c>
      <c r="Q86" s="617"/>
      <c r="R86" s="617"/>
      <c r="S86" s="617"/>
      <c r="T86" s="617"/>
      <c r="U86" s="617"/>
      <c r="V86" s="617"/>
      <c r="W86" s="617"/>
      <c r="AA86" s="539"/>
      <c r="AB86" s="451"/>
    </row>
    <row r="87" spans="1:28" ht="12.75" customHeight="1" x14ac:dyDescent="0.2">
      <c r="A87" s="651"/>
      <c r="B87" s="658"/>
      <c r="C87" s="40" t="s">
        <v>431</v>
      </c>
      <c r="D87" s="40"/>
      <c r="E87" s="40"/>
      <c r="F87" s="40"/>
      <c r="G87" s="40"/>
      <c r="H87" s="40"/>
      <c r="I87" s="40"/>
      <c r="J87" s="40">
        <v>100000</v>
      </c>
      <c r="K87" s="24"/>
      <c r="L87" s="24"/>
      <c r="M87" s="24"/>
      <c r="N87" s="24">
        <v>13020</v>
      </c>
      <c r="O87" s="453">
        <v>13019.76</v>
      </c>
      <c r="P87" s="557">
        <f t="shared" si="21"/>
        <v>99.998156682027656</v>
      </c>
      <c r="Q87" s="617"/>
      <c r="R87" s="617"/>
      <c r="S87" s="617"/>
      <c r="T87" s="617"/>
      <c r="U87" s="617"/>
      <c r="V87" s="617"/>
      <c r="W87" s="617"/>
      <c r="AA87" s="451"/>
      <c r="AB87" s="451"/>
    </row>
    <row r="88" spans="1:28" ht="12.75" customHeight="1" x14ac:dyDescent="0.2">
      <c r="A88" s="651"/>
      <c r="B88" s="658"/>
      <c r="C88" s="54" t="s">
        <v>438</v>
      </c>
      <c r="D88" s="54"/>
      <c r="E88" s="54"/>
      <c r="F88" s="54"/>
      <c r="G88" s="54"/>
      <c r="H88" s="54"/>
      <c r="I88" s="54"/>
      <c r="J88" s="54"/>
      <c r="K88" s="24">
        <v>11061</v>
      </c>
      <c r="L88" s="24"/>
      <c r="M88" s="24"/>
      <c r="N88" s="24">
        <v>0</v>
      </c>
      <c r="O88" s="478">
        <v>6438.61</v>
      </c>
      <c r="P88" s="557">
        <f t="shared" si="21"/>
        <v>0</v>
      </c>
      <c r="Q88" s="617"/>
      <c r="R88" s="617"/>
      <c r="S88" s="617"/>
      <c r="T88" s="617"/>
      <c r="U88" s="617"/>
      <c r="V88" s="617"/>
      <c r="W88" s="617"/>
      <c r="AA88" s="451"/>
      <c r="AB88" s="451"/>
    </row>
    <row r="89" spans="1:28" ht="12.75" customHeight="1" x14ac:dyDescent="0.2">
      <c r="A89" s="651"/>
      <c r="B89" s="658"/>
      <c r="C89" s="54" t="s">
        <v>405</v>
      </c>
      <c r="D89" s="54"/>
      <c r="E89" s="54"/>
      <c r="F89" s="54"/>
      <c r="G89" s="54"/>
      <c r="H89" s="54"/>
      <c r="I89" s="54"/>
      <c r="J89" s="54"/>
      <c r="K89" s="24"/>
      <c r="L89" s="24">
        <v>35000</v>
      </c>
      <c r="M89" s="24"/>
      <c r="N89" s="24">
        <v>73008</v>
      </c>
      <c r="O89" s="453">
        <v>73008</v>
      </c>
      <c r="P89" s="557">
        <f t="shared" si="21"/>
        <v>100</v>
      </c>
      <c r="Q89" s="617"/>
      <c r="R89" s="617"/>
      <c r="S89" s="617"/>
      <c r="T89" s="617"/>
      <c r="U89" s="617"/>
      <c r="V89" s="617"/>
      <c r="W89" s="617"/>
      <c r="AA89" s="451"/>
      <c r="AB89" s="451"/>
    </row>
    <row r="90" spans="1:28" ht="12.75" customHeight="1" x14ac:dyDescent="0.2">
      <c r="A90" s="651"/>
      <c r="B90" s="658"/>
      <c r="C90" s="54" t="s">
        <v>266</v>
      </c>
      <c r="D90" s="54"/>
      <c r="E90" s="54"/>
      <c r="F90" s="54"/>
      <c r="G90" s="54"/>
      <c r="H90" s="54"/>
      <c r="I90" s="54"/>
      <c r="J90" s="54"/>
      <c r="K90" s="24"/>
      <c r="L90" s="24">
        <v>149100</v>
      </c>
      <c r="M90" s="192">
        <v>108000</v>
      </c>
      <c r="N90" s="24">
        <v>90000</v>
      </c>
      <c r="O90" s="453">
        <v>90000</v>
      </c>
      <c r="P90" s="557">
        <f t="shared" si="21"/>
        <v>100</v>
      </c>
      <c r="Q90" s="617"/>
      <c r="R90" s="617"/>
      <c r="S90" s="617"/>
      <c r="T90" s="617"/>
      <c r="U90" s="617"/>
      <c r="V90" s="617"/>
      <c r="W90" s="617"/>
      <c r="AA90" s="451"/>
      <c r="AB90" s="451"/>
    </row>
    <row r="91" spans="1:28" ht="12.75" customHeight="1" x14ac:dyDescent="0.2">
      <c r="A91" s="651"/>
      <c r="B91" s="658"/>
      <c r="C91" s="54" t="s">
        <v>3</v>
      </c>
      <c r="D91" s="54"/>
      <c r="E91" s="54"/>
      <c r="F91" s="54"/>
      <c r="G91" s="54"/>
      <c r="H91" s="54"/>
      <c r="I91" s="54"/>
      <c r="J91" s="54"/>
      <c r="K91" s="24"/>
      <c r="L91" s="24"/>
      <c r="M91" s="192"/>
      <c r="N91" s="24">
        <v>15000</v>
      </c>
      <c r="O91" s="453">
        <v>15000</v>
      </c>
      <c r="P91" s="557">
        <f t="shared" si="21"/>
        <v>100</v>
      </c>
      <c r="Q91" s="617"/>
      <c r="R91" s="617"/>
      <c r="S91" s="617"/>
      <c r="T91" s="617"/>
      <c r="U91" s="617"/>
      <c r="V91" s="617"/>
      <c r="W91" s="617"/>
      <c r="AA91" s="451"/>
      <c r="AB91" s="451"/>
    </row>
    <row r="92" spans="1:28" ht="12.75" customHeight="1" x14ac:dyDescent="0.2">
      <c r="A92" s="651"/>
      <c r="B92" s="658"/>
      <c r="C92" s="40" t="s">
        <v>400</v>
      </c>
      <c r="D92" s="40"/>
      <c r="E92" s="40"/>
      <c r="F92" s="40"/>
      <c r="G92" s="40"/>
      <c r="H92" s="40"/>
      <c r="I92" s="40">
        <v>119232</v>
      </c>
      <c r="J92" s="40">
        <f>30008+30023</f>
        <v>60031</v>
      </c>
      <c r="K92" s="24"/>
      <c r="L92" s="24"/>
      <c r="M92" s="192"/>
      <c r="N92" s="24">
        <v>13000</v>
      </c>
      <c r="O92" s="453">
        <v>13000</v>
      </c>
      <c r="P92" s="557">
        <f t="shared" si="21"/>
        <v>100</v>
      </c>
      <c r="Q92" s="617"/>
      <c r="R92" s="617"/>
      <c r="S92" s="617"/>
      <c r="T92" s="617"/>
      <c r="U92" s="617"/>
      <c r="V92" s="617"/>
      <c r="W92" s="617"/>
      <c r="AA92" s="539"/>
      <c r="AB92" s="451"/>
    </row>
    <row r="93" spans="1:28" x14ac:dyDescent="0.2">
      <c r="A93" s="651"/>
      <c r="B93" s="658"/>
      <c r="C93" s="40" t="s">
        <v>417</v>
      </c>
      <c r="D93" s="40"/>
      <c r="E93" s="40"/>
      <c r="F93" s="40"/>
      <c r="G93" s="40"/>
      <c r="H93" s="40"/>
      <c r="I93" s="40"/>
      <c r="J93" s="40">
        <v>40000</v>
      </c>
      <c r="K93" s="24"/>
      <c r="L93" s="24"/>
      <c r="M93" s="192"/>
      <c r="N93" s="24">
        <v>11058</v>
      </c>
      <c r="O93" s="453">
        <v>11055.68</v>
      </c>
      <c r="P93" s="557">
        <f t="shared" si="21"/>
        <v>99.979019714234042</v>
      </c>
      <c r="Q93" s="617"/>
      <c r="R93" s="617"/>
      <c r="S93" s="617"/>
      <c r="T93" s="617"/>
      <c r="U93" s="617"/>
      <c r="V93" s="617"/>
      <c r="W93" s="617"/>
      <c r="AA93" s="451"/>
      <c r="AB93" s="451"/>
    </row>
    <row r="94" spans="1:28" x14ac:dyDescent="0.2">
      <c r="A94" s="651"/>
      <c r="B94" s="658"/>
      <c r="C94" s="40" t="s">
        <v>267</v>
      </c>
      <c r="D94" s="40"/>
      <c r="E94" s="40"/>
      <c r="F94" s="40"/>
      <c r="G94" s="40"/>
      <c r="H94" s="40"/>
      <c r="I94" s="40"/>
      <c r="J94" s="40">
        <v>85385</v>
      </c>
      <c r="K94" s="24">
        <v>389162</v>
      </c>
      <c r="L94" s="24"/>
      <c r="M94" s="106">
        <v>298131.34999999998</v>
      </c>
      <c r="N94" s="24">
        <v>274991</v>
      </c>
      <c r="O94" s="453">
        <f>47816.16+17475.2+209547.54</f>
        <v>274838.90000000002</v>
      </c>
      <c r="P94" s="557">
        <f t="shared" si="21"/>
        <v>99.944689098915973</v>
      </c>
      <c r="Q94" s="617"/>
      <c r="R94" s="617"/>
      <c r="S94" s="617"/>
      <c r="T94" s="617"/>
      <c r="U94" s="617"/>
      <c r="V94" s="617"/>
      <c r="W94" s="617"/>
      <c r="AA94" s="539"/>
      <c r="AB94" s="451"/>
    </row>
    <row r="95" spans="1:28" x14ac:dyDescent="0.2">
      <c r="A95" s="651"/>
      <c r="B95" s="658"/>
      <c r="C95" s="40" t="s">
        <v>268</v>
      </c>
      <c r="D95" s="40"/>
      <c r="E95" s="40"/>
      <c r="F95" s="40"/>
      <c r="G95" s="40"/>
      <c r="H95" s="40"/>
      <c r="I95" s="40"/>
      <c r="J95" s="40"/>
      <c r="K95" s="24">
        <v>6226</v>
      </c>
      <c r="L95" s="24"/>
      <c r="M95" s="24"/>
      <c r="N95" s="24">
        <v>4582</v>
      </c>
      <c r="O95" s="453">
        <v>4582.43</v>
      </c>
      <c r="P95" s="557">
        <f t="shared" si="21"/>
        <v>100.00938454823223</v>
      </c>
      <c r="Q95" s="617"/>
      <c r="R95" s="617"/>
      <c r="S95" s="617"/>
      <c r="T95" s="617"/>
      <c r="U95" s="617"/>
      <c r="V95" s="617"/>
      <c r="W95" s="617"/>
      <c r="AA95" s="451"/>
      <c r="AB95" s="451"/>
    </row>
    <row r="96" spans="1:28" x14ac:dyDescent="0.2">
      <c r="A96" s="651"/>
      <c r="B96" s="658"/>
      <c r="C96" s="40" t="s">
        <v>430</v>
      </c>
      <c r="D96" s="40"/>
      <c r="E96" s="40"/>
      <c r="F96" s="40"/>
      <c r="G96" s="40"/>
      <c r="H96" s="40"/>
      <c r="I96" s="40">
        <v>3534</v>
      </c>
      <c r="J96" s="40">
        <v>4595</v>
      </c>
      <c r="K96" s="24">
        <v>1120</v>
      </c>
      <c r="L96" s="24"/>
      <c r="M96" s="24"/>
      <c r="N96" s="24">
        <v>6790</v>
      </c>
      <c r="O96" s="453">
        <v>6941.62</v>
      </c>
      <c r="P96" s="557">
        <f t="shared" si="21"/>
        <v>102.23298969072165</v>
      </c>
      <c r="Q96" s="617"/>
      <c r="R96" s="617"/>
      <c r="S96" s="617"/>
      <c r="T96" s="617"/>
      <c r="U96" s="617"/>
      <c r="V96" s="617"/>
      <c r="W96" s="617"/>
      <c r="AA96" s="451"/>
      <c r="AB96" s="451"/>
    </row>
    <row r="97" spans="1:28" hidden="1" x14ac:dyDescent="0.2">
      <c r="A97" s="651"/>
      <c r="B97" s="658"/>
      <c r="C97" s="40" t="s">
        <v>270</v>
      </c>
      <c r="D97" s="40"/>
      <c r="E97" s="40"/>
      <c r="F97" s="40"/>
      <c r="G97" s="40"/>
      <c r="H97" s="40"/>
      <c r="I97" s="40"/>
      <c r="J97" s="40"/>
      <c r="K97" s="24">
        <v>73802</v>
      </c>
      <c r="L97" s="24"/>
      <c r="M97" s="24"/>
      <c r="N97" s="24">
        <v>0</v>
      </c>
      <c r="O97" s="453"/>
      <c r="P97" s="557">
        <f t="shared" si="21"/>
        <v>0</v>
      </c>
      <c r="Q97" s="617"/>
      <c r="R97" s="617"/>
      <c r="S97" s="617"/>
      <c r="T97" s="617"/>
      <c r="U97" s="617"/>
      <c r="V97" s="617"/>
      <c r="W97" s="617"/>
      <c r="AA97" s="451"/>
      <c r="AB97" s="451"/>
    </row>
    <row r="98" spans="1:28" hidden="1" x14ac:dyDescent="0.2">
      <c r="A98" s="651"/>
      <c r="B98" s="658"/>
      <c r="C98" s="40" t="s">
        <v>271</v>
      </c>
      <c r="D98" s="40"/>
      <c r="E98" s="40"/>
      <c r="F98" s="40"/>
      <c r="G98" s="40"/>
      <c r="H98" s="40"/>
      <c r="I98" s="40"/>
      <c r="J98" s="40">
        <v>18000</v>
      </c>
      <c r="K98" s="24"/>
      <c r="L98" s="24"/>
      <c r="M98" s="24"/>
      <c r="N98" s="24">
        <v>0</v>
      </c>
      <c r="O98" s="453"/>
      <c r="P98" s="557">
        <f t="shared" si="21"/>
        <v>0</v>
      </c>
      <c r="Q98" s="617"/>
      <c r="R98" s="617"/>
      <c r="S98" s="617"/>
      <c r="T98" s="617"/>
      <c r="U98" s="617"/>
      <c r="V98" s="617"/>
      <c r="W98" s="617"/>
      <c r="AA98" s="451"/>
      <c r="AB98" s="451"/>
    </row>
    <row r="99" spans="1:28" hidden="1" x14ac:dyDescent="0.2">
      <c r="A99" s="651"/>
      <c r="B99" s="658"/>
      <c r="C99" s="40" t="s">
        <v>272</v>
      </c>
      <c r="D99" s="40"/>
      <c r="E99" s="40"/>
      <c r="F99" s="40"/>
      <c r="G99" s="40"/>
      <c r="H99" s="40"/>
      <c r="I99" s="40"/>
      <c r="J99" s="40"/>
      <c r="K99" s="24"/>
      <c r="L99" s="24"/>
      <c r="M99" s="88"/>
      <c r="N99" s="89">
        <v>0</v>
      </c>
      <c r="O99" s="453"/>
      <c r="P99" s="557">
        <f t="shared" si="21"/>
        <v>0</v>
      </c>
      <c r="Q99" s="617"/>
      <c r="R99" s="617"/>
      <c r="S99" s="617"/>
      <c r="T99" s="617"/>
      <c r="U99" s="617"/>
      <c r="V99" s="617"/>
      <c r="W99" s="617"/>
      <c r="AA99" s="451"/>
      <c r="AB99" s="451"/>
    </row>
    <row r="100" spans="1:28" hidden="1" x14ac:dyDescent="0.2">
      <c r="A100" s="651"/>
      <c r="B100" s="658"/>
      <c r="C100" s="40" t="s">
        <v>273</v>
      </c>
      <c r="D100" s="40"/>
      <c r="E100" s="40"/>
      <c r="F100" s="40"/>
      <c r="G100" s="40"/>
      <c r="H100" s="40"/>
      <c r="I100" s="40"/>
      <c r="J100" s="40"/>
      <c r="K100" s="24"/>
      <c r="L100" s="24"/>
      <c r="M100" s="89"/>
      <c r="N100" s="89">
        <v>0</v>
      </c>
      <c r="O100" s="453"/>
      <c r="P100" s="557">
        <f t="shared" si="21"/>
        <v>0</v>
      </c>
      <c r="Q100" s="617"/>
      <c r="R100" s="617"/>
      <c r="S100" s="617"/>
      <c r="T100" s="617"/>
      <c r="U100" s="617"/>
      <c r="V100" s="617"/>
      <c r="W100" s="617"/>
      <c r="AA100" s="451"/>
      <c r="AB100" s="451"/>
    </row>
    <row r="101" spans="1:28" hidden="1" x14ac:dyDescent="0.2">
      <c r="A101" s="651"/>
      <c r="B101" s="658"/>
      <c r="C101" s="40" t="s">
        <v>274</v>
      </c>
      <c r="D101" s="40"/>
      <c r="E101" s="40"/>
      <c r="F101" s="40"/>
      <c r="G101" s="40"/>
      <c r="H101" s="40"/>
      <c r="I101" s="40"/>
      <c r="J101" s="40"/>
      <c r="K101" s="24"/>
      <c r="L101" s="24"/>
      <c r="M101" s="24"/>
      <c r="N101" s="24">
        <v>0</v>
      </c>
      <c r="O101" s="453"/>
      <c r="P101" s="557">
        <f t="shared" si="21"/>
        <v>0</v>
      </c>
      <c r="Q101" s="617"/>
      <c r="R101" s="617"/>
      <c r="S101" s="617"/>
      <c r="T101" s="617"/>
      <c r="U101" s="617"/>
      <c r="V101" s="617"/>
      <c r="W101" s="617"/>
      <c r="AA101" s="451"/>
      <c r="AB101" s="451"/>
    </row>
    <row r="102" spans="1:28" x14ac:dyDescent="0.2">
      <c r="A102" s="651"/>
      <c r="B102" s="658"/>
      <c r="C102" s="40" t="s">
        <v>439</v>
      </c>
      <c r="D102" s="40"/>
      <c r="E102" s="40"/>
      <c r="F102" s="40"/>
      <c r="G102" s="40"/>
      <c r="H102" s="40"/>
      <c r="I102" s="40">
        <v>165906</v>
      </c>
      <c r="J102" s="40"/>
      <c r="K102" s="24">
        <v>0</v>
      </c>
      <c r="L102" s="24"/>
      <c r="M102" s="24"/>
      <c r="N102" s="24">
        <v>700</v>
      </c>
      <c r="O102" s="453">
        <v>700</v>
      </c>
      <c r="P102" s="557">
        <f t="shared" si="21"/>
        <v>100</v>
      </c>
      <c r="Q102" s="617"/>
      <c r="R102" s="617"/>
      <c r="S102" s="617"/>
      <c r="T102" s="617"/>
      <c r="U102" s="617"/>
      <c r="V102" s="617"/>
      <c r="W102" s="617"/>
      <c r="AA102" s="451"/>
      <c r="AB102" s="451"/>
    </row>
    <row r="103" spans="1:28" x14ac:dyDescent="0.2">
      <c r="A103" s="651"/>
      <c r="B103" s="658"/>
      <c r="C103" s="18" t="s">
        <v>413</v>
      </c>
      <c r="D103" s="44"/>
      <c r="E103" s="44"/>
      <c r="F103" s="44"/>
      <c r="G103" s="44"/>
      <c r="H103" s="44"/>
      <c r="I103" s="44"/>
      <c r="J103" s="44"/>
      <c r="K103" s="24"/>
      <c r="L103" s="24"/>
      <c r="M103" s="24"/>
      <c r="N103" s="24">
        <v>80000</v>
      </c>
      <c r="O103" s="453">
        <v>80000</v>
      </c>
      <c r="P103" s="557">
        <f t="shared" si="21"/>
        <v>100</v>
      </c>
      <c r="Q103" s="617"/>
      <c r="R103" s="617"/>
      <c r="S103" s="617"/>
      <c r="T103" s="617"/>
      <c r="U103" s="617"/>
      <c r="V103" s="617"/>
      <c r="W103" s="617"/>
      <c r="AA103" s="451"/>
      <c r="AB103" s="451"/>
    </row>
    <row r="104" spans="1:28" ht="13.5" thickBot="1" x14ac:dyDescent="0.25">
      <c r="A104" s="651"/>
      <c r="B104" s="658"/>
      <c r="C104" s="43" t="s">
        <v>276</v>
      </c>
      <c r="D104" s="44"/>
      <c r="E104" s="44"/>
      <c r="F104" s="44"/>
      <c r="G104" s="44"/>
      <c r="H104" s="44"/>
      <c r="I104" s="44">
        <v>117128</v>
      </c>
      <c r="J104" s="44">
        <v>59866</v>
      </c>
      <c r="K104" s="24">
        <v>366191</v>
      </c>
      <c r="L104" s="24"/>
      <c r="M104" s="192">
        <v>174235.13999999966</v>
      </c>
      <c r="N104" s="24">
        <v>0</v>
      </c>
      <c r="O104" s="454"/>
      <c r="P104" s="558">
        <f t="shared" si="21"/>
        <v>0</v>
      </c>
      <c r="Q104" s="617"/>
      <c r="R104" s="617"/>
      <c r="S104" s="617"/>
      <c r="T104" s="617"/>
      <c r="U104" s="617"/>
      <c r="V104" s="617"/>
      <c r="W104" s="617"/>
      <c r="AA104" s="451"/>
      <c r="AB104" s="451"/>
    </row>
    <row r="105" spans="1:28" ht="15.75" thickBot="1" x14ac:dyDescent="0.3">
      <c r="A105" s="29">
        <v>330</v>
      </c>
      <c r="B105" s="639" t="s">
        <v>277</v>
      </c>
      <c r="C105" s="640"/>
      <c r="D105" s="63">
        <f>D106</f>
        <v>0</v>
      </c>
      <c r="E105" s="63">
        <f>E106</f>
        <v>0</v>
      </c>
      <c r="F105" s="63">
        <f>F106</f>
        <v>0</v>
      </c>
      <c r="G105" s="63">
        <f>G106</f>
        <v>0</v>
      </c>
      <c r="H105" s="63">
        <f>H106</f>
        <v>21047</v>
      </c>
      <c r="I105" s="63">
        <f t="shared" ref="I105:O106" si="22">I106</f>
        <v>28355</v>
      </c>
      <c r="J105" s="63">
        <f t="shared" si="22"/>
        <v>39058</v>
      </c>
      <c r="K105" s="63">
        <f t="shared" si="22"/>
        <v>9516</v>
      </c>
      <c r="L105" s="63">
        <f t="shared" si="22"/>
        <v>0</v>
      </c>
      <c r="M105" s="63">
        <f t="shared" si="22"/>
        <v>0</v>
      </c>
      <c r="N105" s="99">
        <f t="shared" si="22"/>
        <v>0</v>
      </c>
      <c r="O105" s="508">
        <f t="shared" si="22"/>
        <v>0</v>
      </c>
      <c r="P105" s="555">
        <f t="shared" si="21"/>
        <v>0</v>
      </c>
      <c r="Q105" s="617"/>
      <c r="R105" s="617"/>
      <c r="S105" s="617"/>
      <c r="T105" s="617"/>
      <c r="U105" s="617"/>
      <c r="V105" s="617"/>
      <c r="W105" s="617"/>
      <c r="AA105" s="451"/>
      <c r="AB105" s="451"/>
    </row>
    <row r="106" spans="1:28" ht="13.5" thickBot="1" x14ac:dyDescent="0.25">
      <c r="A106" s="650"/>
      <c r="B106" s="57">
        <v>331</v>
      </c>
      <c r="C106" s="58" t="s">
        <v>278</v>
      </c>
      <c r="D106" s="58"/>
      <c r="E106" s="58">
        <v>0</v>
      </c>
      <c r="F106" s="58">
        <v>0</v>
      </c>
      <c r="G106" s="58">
        <v>0</v>
      </c>
      <c r="H106" s="58">
        <v>21047</v>
      </c>
      <c r="I106" s="60">
        <f t="shared" si="22"/>
        <v>28355</v>
      </c>
      <c r="J106" s="60">
        <f t="shared" si="22"/>
        <v>39058</v>
      </c>
      <c r="K106" s="60">
        <f t="shared" si="22"/>
        <v>9516</v>
      </c>
      <c r="L106" s="90"/>
      <c r="M106" s="90"/>
      <c r="N106" s="90"/>
      <c r="O106" s="455"/>
      <c r="P106" s="555">
        <f t="shared" si="21"/>
        <v>0</v>
      </c>
      <c r="Q106" s="617"/>
      <c r="R106" s="617"/>
      <c r="S106" s="617"/>
      <c r="T106" s="617"/>
      <c r="U106" s="617"/>
      <c r="V106" s="617"/>
      <c r="W106" s="617"/>
      <c r="AA106" s="451"/>
      <c r="AB106" s="451"/>
    </row>
    <row r="107" spans="1:28" ht="13.5" thickBot="1" x14ac:dyDescent="0.25">
      <c r="A107" s="651"/>
      <c r="B107" s="37"/>
      <c r="C107" s="91" t="s">
        <v>269</v>
      </c>
      <c r="D107" s="91"/>
      <c r="E107" s="91"/>
      <c r="F107" s="91"/>
      <c r="G107" s="91"/>
      <c r="H107" s="91">
        <v>21047</v>
      </c>
      <c r="I107" s="91">
        <v>28355</v>
      </c>
      <c r="J107" s="91">
        <v>39058</v>
      </c>
      <c r="K107" s="92">
        <v>9516</v>
      </c>
      <c r="L107" s="66"/>
      <c r="M107" s="66"/>
      <c r="N107" s="66"/>
      <c r="O107" s="456"/>
      <c r="P107" s="571">
        <f t="shared" si="21"/>
        <v>0</v>
      </c>
      <c r="Q107" s="617"/>
      <c r="R107" s="617"/>
      <c r="S107" s="617"/>
      <c r="T107" s="617"/>
      <c r="U107" s="617"/>
      <c r="V107" s="617"/>
      <c r="W107" s="617"/>
      <c r="AA107" s="451"/>
      <c r="AB107" s="451"/>
    </row>
    <row r="108" spans="1:28" ht="17.25" thickTop="1" thickBot="1" x14ac:dyDescent="0.3">
      <c r="A108" s="654" t="s">
        <v>279</v>
      </c>
      <c r="B108" s="655"/>
      <c r="C108" s="656"/>
      <c r="D108" s="93">
        <f t="shared" ref="D108:M108" si="23">D5+D26+D66</f>
        <v>7125871</v>
      </c>
      <c r="E108" s="93">
        <f t="shared" si="23"/>
        <v>7561840</v>
      </c>
      <c r="F108" s="93">
        <f t="shared" si="23"/>
        <v>9082354</v>
      </c>
      <c r="G108" s="93">
        <f t="shared" si="23"/>
        <v>9080838</v>
      </c>
      <c r="H108" s="93">
        <f t="shared" si="23"/>
        <v>8537685</v>
      </c>
      <c r="I108" s="93">
        <f t="shared" si="23"/>
        <v>9096722</v>
      </c>
      <c r="J108" s="93">
        <f t="shared" si="23"/>
        <v>9201831</v>
      </c>
      <c r="K108" s="93">
        <f t="shared" si="23"/>
        <v>9722622</v>
      </c>
      <c r="L108" s="93">
        <f t="shared" si="23"/>
        <v>9640328.2399999984</v>
      </c>
      <c r="M108" s="501">
        <f t="shared" si="23"/>
        <v>10178626.01</v>
      </c>
      <c r="N108" s="448">
        <f>N66+N26+N5</f>
        <v>10572354</v>
      </c>
      <c r="O108" s="552">
        <f>O66+O26+O5</f>
        <v>10784511.660000002</v>
      </c>
      <c r="P108" s="572">
        <f t="shared" si="21"/>
        <v>102.00672111433273</v>
      </c>
      <c r="Q108" s="623"/>
      <c r="R108" s="623"/>
      <c r="S108" s="623"/>
      <c r="T108" s="623"/>
      <c r="U108" s="623"/>
      <c r="V108" s="623"/>
      <c r="W108" s="623"/>
      <c r="AA108" s="451"/>
      <c r="AB108" s="451"/>
    </row>
    <row r="109" spans="1:28" ht="13.5" thickTop="1" x14ac:dyDescent="0.2"/>
    <row r="113" spans="13:13" x14ac:dyDescent="0.2">
      <c r="M113" s="451"/>
    </row>
  </sheetData>
  <mergeCells count="48">
    <mergeCell ref="A2:P2"/>
    <mergeCell ref="A1:P1"/>
    <mergeCell ref="A13:A16"/>
    <mergeCell ref="A41:A57"/>
    <mergeCell ref="A28:A39"/>
    <mergeCell ref="B29:B31"/>
    <mergeCell ref="B33:B39"/>
    <mergeCell ref="B40:C40"/>
    <mergeCell ref="B27:C27"/>
    <mergeCell ref="B42:B44"/>
    <mergeCell ref="P3:P4"/>
    <mergeCell ref="A18:A25"/>
    <mergeCell ref="B14:B16"/>
    <mergeCell ref="D3:D4"/>
    <mergeCell ref="E3:E4"/>
    <mergeCell ref="G3:G4"/>
    <mergeCell ref="O3:O4"/>
    <mergeCell ref="A3:A4"/>
    <mergeCell ref="B3:B4"/>
    <mergeCell ref="I3:I4"/>
    <mergeCell ref="N3:N4"/>
    <mergeCell ref="K3:K4"/>
    <mergeCell ref="L3:L4"/>
    <mergeCell ref="H3:H4"/>
    <mergeCell ref="M3:M4"/>
    <mergeCell ref="C3:C4"/>
    <mergeCell ref="J3:J4"/>
    <mergeCell ref="F3:F4"/>
    <mergeCell ref="A108:C108"/>
    <mergeCell ref="B67:C67"/>
    <mergeCell ref="A68:A104"/>
    <mergeCell ref="B71:B104"/>
    <mergeCell ref="B105:C105"/>
    <mergeCell ref="A106:A107"/>
    <mergeCell ref="B66:C66"/>
    <mergeCell ref="A7:A11"/>
    <mergeCell ref="B7:B11"/>
    <mergeCell ref="B5:C5"/>
    <mergeCell ref="B6:C6"/>
    <mergeCell ref="B46:B55"/>
    <mergeCell ref="B19:B25"/>
    <mergeCell ref="B17:C17"/>
    <mergeCell ref="B26:C26"/>
    <mergeCell ref="B12:C12"/>
    <mergeCell ref="B58:C58"/>
    <mergeCell ref="B60:C60"/>
    <mergeCell ref="A61:A65"/>
    <mergeCell ref="B62:B65"/>
  </mergeCells>
  <phoneticPr fontId="2" type="noConversion"/>
  <pageMargins left="0.15748031496062992" right="0.11811023622047245" top="0.19685039370078741" bottom="0.23622047244094491" header="0.11811023622047245" footer="0.15748031496062992"/>
  <pageSetup paperSize="9" scale="90" orientation="portrait" r:id="rId1"/>
  <headerFooter alignWithMargins="0"/>
  <rowBreaks count="1" manualBreakCount="1">
    <brk id="65" max="16383" man="1"/>
  </rowBreaks>
  <ignoredErrors>
    <ignoredError sqref="N105:N106 N58:N59 N40:N41 N45 N56 N27:N30 N66:N68 N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indexed="11"/>
  </sheetPr>
  <dimension ref="A1:U200"/>
  <sheetViews>
    <sheetView topLeftCell="A46" workbookViewId="0">
      <selection activeCell="L148" sqref="L148"/>
    </sheetView>
  </sheetViews>
  <sheetFormatPr defaultRowHeight="12.75" x14ac:dyDescent="0.2"/>
  <cols>
    <col min="1" max="1" width="10.42578125" style="474" customWidth="1"/>
    <col min="2" max="2" width="8" style="474" customWidth="1"/>
    <col min="3" max="3" width="31.140625" style="474" customWidth="1"/>
    <col min="4" max="9" width="13.42578125" style="474" hidden="1" customWidth="1"/>
    <col min="10" max="10" width="11.85546875" style="474" hidden="1" customWidth="1"/>
    <col min="11" max="11" width="12" style="474" hidden="1" customWidth="1"/>
    <col min="12" max="12" width="14.140625" style="474" customWidth="1"/>
    <col min="13" max="13" width="14.5703125" style="494" customWidth="1"/>
    <col min="14" max="14" width="12.140625" style="474" customWidth="1"/>
    <col min="15" max="15" width="14.42578125" style="494" customWidth="1"/>
    <col min="16" max="16" width="9.85546875" style="474" customWidth="1"/>
    <col min="17" max="17" width="9.140625" style="474"/>
    <col min="18" max="18" width="11" style="474" customWidth="1"/>
    <col min="19" max="16384" width="9.140625" style="474"/>
  </cols>
  <sheetData>
    <row r="1" spans="1:16" ht="13.5" thickBot="1" x14ac:dyDescent="0.25">
      <c r="A1" s="726" t="s">
        <v>15</v>
      </c>
      <c r="B1" s="726"/>
      <c r="C1" s="726"/>
      <c r="D1" s="726"/>
      <c r="E1" s="726"/>
      <c r="F1" s="726"/>
      <c r="G1" s="726"/>
      <c r="H1" s="726"/>
      <c r="I1" s="726"/>
      <c r="J1" s="726"/>
      <c r="K1" s="726"/>
      <c r="L1" s="726"/>
      <c r="M1" s="726"/>
      <c r="N1" s="726"/>
      <c r="O1" s="726"/>
      <c r="P1" s="726"/>
    </row>
    <row r="2" spans="1:16" ht="14.25" customHeight="1" thickTop="1" x14ac:dyDescent="0.2">
      <c r="A2" s="679" t="s">
        <v>135</v>
      </c>
      <c r="B2" s="688" t="s">
        <v>185</v>
      </c>
      <c r="C2" s="684" t="s">
        <v>136</v>
      </c>
      <c r="D2" s="659" t="s">
        <v>280</v>
      </c>
      <c r="E2" s="659" t="s">
        <v>281</v>
      </c>
      <c r="F2" s="659" t="s">
        <v>282</v>
      </c>
      <c r="G2" s="659" t="s">
        <v>283</v>
      </c>
      <c r="H2" s="659" t="s">
        <v>284</v>
      </c>
      <c r="I2" s="659" t="s">
        <v>192</v>
      </c>
      <c r="J2" s="659" t="s">
        <v>193</v>
      </c>
      <c r="K2" s="659" t="s">
        <v>194</v>
      </c>
      <c r="L2" s="659" t="s">
        <v>195</v>
      </c>
      <c r="M2" s="665" t="s">
        <v>410</v>
      </c>
      <c r="N2" s="659" t="s">
        <v>392</v>
      </c>
      <c r="O2" s="724" t="s">
        <v>432</v>
      </c>
      <c r="P2" s="677" t="s">
        <v>433</v>
      </c>
    </row>
    <row r="3" spans="1:16" ht="24" customHeight="1" thickBot="1" x14ac:dyDescent="0.25">
      <c r="A3" s="680"/>
      <c r="B3" s="689"/>
      <c r="C3" s="685"/>
      <c r="D3" s="660"/>
      <c r="E3" s="660"/>
      <c r="F3" s="660"/>
      <c r="G3" s="660"/>
      <c r="H3" s="660"/>
      <c r="I3" s="660"/>
      <c r="J3" s="660"/>
      <c r="K3" s="660"/>
      <c r="L3" s="660"/>
      <c r="M3" s="666"/>
      <c r="N3" s="660"/>
      <c r="O3" s="725"/>
      <c r="P3" s="678"/>
    </row>
    <row r="4" spans="1:16" ht="25.5" customHeight="1" thickTop="1" thickBot="1" x14ac:dyDescent="0.3">
      <c r="A4" s="186" t="s">
        <v>65</v>
      </c>
      <c r="B4" s="686" t="s">
        <v>66</v>
      </c>
      <c r="C4" s="687"/>
      <c r="D4" s="187">
        <f>SUM(D5:D8)</f>
        <v>778928</v>
      </c>
      <c r="E4" s="187">
        <f>SUM(E5:E9)</f>
        <v>871108</v>
      </c>
      <c r="F4" s="187">
        <f>SUM(F5:F9)</f>
        <v>1155712</v>
      </c>
      <c r="G4" s="187">
        <f>SUM(G5:G9)</f>
        <v>1166481</v>
      </c>
      <c r="H4" s="187">
        <f t="shared" ref="H4:O4" si="0">SUM(H5:H8)</f>
        <v>1147628</v>
      </c>
      <c r="I4" s="187">
        <f t="shared" si="0"/>
        <v>985015</v>
      </c>
      <c r="J4" s="187">
        <f t="shared" si="0"/>
        <v>971730</v>
      </c>
      <c r="K4" s="187">
        <f t="shared" si="0"/>
        <v>883614</v>
      </c>
      <c r="L4" s="188">
        <f t="shared" si="0"/>
        <v>976223.29</v>
      </c>
      <c r="M4" s="188">
        <f t="shared" si="0"/>
        <v>957107.49</v>
      </c>
      <c r="N4" s="475">
        <f t="shared" si="0"/>
        <v>994377</v>
      </c>
      <c r="O4" s="585">
        <f t="shared" si="0"/>
        <v>918554.61999999988</v>
      </c>
      <c r="P4" s="589">
        <f>IF(N4=0,0,O4/N4*100)</f>
        <v>92.374885983887395</v>
      </c>
    </row>
    <row r="5" spans="1:16" x14ac:dyDescent="0.2">
      <c r="A5" s="631"/>
      <c r="B5" s="189">
        <v>610</v>
      </c>
      <c r="C5" s="38" t="s">
        <v>67</v>
      </c>
      <c r="D5" s="39">
        <v>363938</v>
      </c>
      <c r="E5" s="39">
        <v>383290</v>
      </c>
      <c r="F5" s="39">
        <v>452765</v>
      </c>
      <c r="G5" s="39">
        <v>532728</v>
      </c>
      <c r="H5" s="39">
        <v>538578</v>
      </c>
      <c r="I5" s="38">
        <v>504967</v>
      </c>
      <c r="J5" s="39">
        <v>465252</v>
      </c>
      <c r="K5" s="39">
        <v>431649</v>
      </c>
      <c r="L5" s="143">
        <v>437364.06</v>
      </c>
      <c r="M5" s="502">
        <v>454979.56</v>
      </c>
      <c r="N5" s="87">
        <v>497208</v>
      </c>
      <c r="O5" s="477">
        <v>470394.73</v>
      </c>
      <c r="P5" s="485">
        <f t="shared" ref="P5:P68" si="1">IF(N5=0,0,O5/N5*100)</f>
        <v>94.607232787887568</v>
      </c>
    </row>
    <row r="6" spans="1:16" x14ac:dyDescent="0.2">
      <c r="A6" s="632"/>
      <c r="B6" s="191">
        <v>620</v>
      </c>
      <c r="C6" s="40" t="s">
        <v>68</v>
      </c>
      <c r="D6" s="41">
        <v>111465</v>
      </c>
      <c r="E6" s="41">
        <v>132411</v>
      </c>
      <c r="F6" s="41">
        <v>158202</v>
      </c>
      <c r="G6" s="41">
        <v>187864</v>
      </c>
      <c r="H6" s="41">
        <v>188430</v>
      </c>
      <c r="I6" s="40">
        <v>189093</v>
      </c>
      <c r="J6" s="41">
        <v>179953</v>
      </c>
      <c r="K6" s="41">
        <v>175243</v>
      </c>
      <c r="L6" s="106">
        <v>178000.1</v>
      </c>
      <c r="M6" s="503">
        <v>174131.76</v>
      </c>
      <c r="N6" s="24">
        <v>192092</v>
      </c>
      <c r="O6" s="478">
        <f>181309.37-1499.5</f>
        <v>179809.87</v>
      </c>
      <c r="P6" s="479">
        <f t="shared" si="1"/>
        <v>93.60612102534202</v>
      </c>
    </row>
    <row r="7" spans="1:16" x14ac:dyDescent="0.2">
      <c r="A7" s="632"/>
      <c r="B7" s="191">
        <v>630</v>
      </c>
      <c r="C7" s="40" t="s">
        <v>69</v>
      </c>
      <c r="D7" s="41">
        <v>303525</v>
      </c>
      <c r="E7" s="41">
        <v>353781</v>
      </c>
      <c r="F7" s="41">
        <v>543916</v>
      </c>
      <c r="G7" s="41">
        <v>395781</v>
      </c>
      <c r="H7" s="41">
        <v>413206</v>
      </c>
      <c r="I7" s="40">
        <v>272860</v>
      </c>
      <c r="J7" s="41">
        <v>302729</v>
      </c>
      <c r="K7" s="41">
        <v>273797</v>
      </c>
      <c r="L7" s="106">
        <v>356359.19</v>
      </c>
      <c r="M7" s="503">
        <v>297179.95</v>
      </c>
      <c r="N7" s="24">
        <v>299080</v>
      </c>
      <c r="O7" s="478">
        <f>260025.36+721.77+2.34-15.43</f>
        <v>260734.03999999998</v>
      </c>
      <c r="P7" s="479">
        <f t="shared" si="1"/>
        <v>87.178694663635142</v>
      </c>
    </row>
    <row r="8" spans="1:16" ht="13.5" thickBot="1" x14ac:dyDescent="0.25">
      <c r="A8" s="632"/>
      <c r="B8" s="191">
        <v>640</v>
      </c>
      <c r="C8" s="40" t="s">
        <v>70</v>
      </c>
      <c r="D8" s="41"/>
      <c r="E8" s="41">
        <v>564</v>
      </c>
      <c r="F8" s="41">
        <v>232</v>
      </c>
      <c r="G8" s="41">
        <v>49367</v>
      </c>
      <c r="H8" s="41">
        <v>7414</v>
      </c>
      <c r="I8" s="40">
        <v>18095</v>
      </c>
      <c r="J8" s="193">
        <v>23796</v>
      </c>
      <c r="K8" s="193">
        <v>2925</v>
      </c>
      <c r="L8" s="194">
        <v>4499.9399999999996</v>
      </c>
      <c r="M8" s="504">
        <v>30816.22</v>
      </c>
      <c r="N8" s="24">
        <v>5997</v>
      </c>
      <c r="O8" s="478">
        <v>7615.98</v>
      </c>
      <c r="P8" s="479">
        <f t="shared" si="1"/>
        <v>126.99649824912456</v>
      </c>
    </row>
    <row r="9" spans="1:16" ht="13.5" hidden="1" thickBot="1" x14ac:dyDescent="0.25">
      <c r="A9" s="633"/>
      <c r="B9" s="191">
        <v>650</v>
      </c>
      <c r="C9" s="40"/>
      <c r="D9" s="41"/>
      <c r="E9" s="41">
        <v>1062</v>
      </c>
      <c r="F9" s="41">
        <v>597</v>
      </c>
      <c r="G9" s="41">
        <v>741</v>
      </c>
      <c r="H9" s="41"/>
      <c r="I9" s="195"/>
      <c r="J9" s="195"/>
      <c r="K9" s="195"/>
      <c r="L9" s="196"/>
      <c r="M9" s="320"/>
      <c r="N9" s="72"/>
      <c r="O9" s="480"/>
      <c r="P9" s="481">
        <f t="shared" si="1"/>
        <v>0</v>
      </c>
    </row>
    <row r="10" spans="1:16" ht="15.75" thickBot="1" x14ac:dyDescent="0.3">
      <c r="A10" s="199" t="s">
        <v>391</v>
      </c>
      <c r="B10" s="676" t="s">
        <v>71</v>
      </c>
      <c r="C10" s="640"/>
      <c r="D10" s="200">
        <v>7269</v>
      </c>
      <c r="E10" s="200">
        <v>6772</v>
      </c>
      <c r="F10" s="200">
        <v>8265</v>
      </c>
      <c r="G10" s="200">
        <v>13828</v>
      </c>
      <c r="H10" s="63">
        <f t="shared" ref="H10:O10" si="2">SUM(H11:H13)</f>
        <v>14882</v>
      </c>
      <c r="I10" s="63">
        <f t="shared" si="2"/>
        <v>14051</v>
      </c>
      <c r="J10" s="63">
        <f t="shared" si="2"/>
        <v>82274</v>
      </c>
      <c r="K10" s="63">
        <f t="shared" si="2"/>
        <v>22548</v>
      </c>
      <c r="L10" s="508">
        <f t="shared" si="2"/>
        <v>18623.79</v>
      </c>
      <c r="M10" s="201">
        <f t="shared" si="2"/>
        <v>22356.78</v>
      </c>
      <c r="N10" s="99">
        <f t="shared" si="2"/>
        <v>16486</v>
      </c>
      <c r="O10" s="586">
        <f t="shared" si="2"/>
        <v>18604.68</v>
      </c>
      <c r="P10" s="581">
        <f t="shared" si="1"/>
        <v>112.85138905738201</v>
      </c>
    </row>
    <row r="11" spans="1:16" x14ac:dyDescent="0.2">
      <c r="A11" s="681"/>
      <c r="B11" s="202">
        <v>630</v>
      </c>
      <c r="C11" s="122" t="s">
        <v>72</v>
      </c>
      <c r="D11" s="203"/>
      <c r="E11" s="203"/>
      <c r="F11" s="203"/>
      <c r="G11" s="203"/>
      <c r="H11" s="203">
        <v>2345</v>
      </c>
      <c r="I11" s="122">
        <v>2324</v>
      </c>
      <c r="J11" s="39">
        <v>1162</v>
      </c>
      <c r="K11" s="39">
        <v>2324</v>
      </c>
      <c r="L11" s="190">
        <v>3486</v>
      </c>
      <c r="M11" s="371">
        <v>2324</v>
      </c>
      <c r="N11" s="135">
        <v>3486</v>
      </c>
      <c r="O11" s="371">
        <v>2324</v>
      </c>
      <c r="P11" s="485">
        <f t="shared" si="1"/>
        <v>66.666666666666657</v>
      </c>
    </row>
    <row r="12" spans="1:16" x14ac:dyDescent="0.2">
      <c r="A12" s="682"/>
      <c r="B12" s="205">
        <v>630</v>
      </c>
      <c r="C12" s="22" t="s">
        <v>73</v>
      </c>
      <c r="D12" s="206"/>
      <c r="E12" s="206"/>
      <c r="F12" s="206"/>
      <c r="G12" s="206"/>
      <c r="H12" s="206">
        <v>12537</v>
      </c>
      <c r="I12" s="22">
        <v>11727</v>
      </c>
      <c r="J12" s="41">
        <v>13096</v>
      </c>
      <c r="K12" s="41">
        <v>9612</v>
      </c>
      <c r="L12" s="192">
        <v>14911.65</v>
      </c>
      <c r="M12" s="507">
        <v>19064.189999999999</v>
      </c>
      <c r="N12" s="23">
        <v>13000</v>
      </c>
      <c r="O12" s="507">
        <v>8451.5499999999993</v>
      </c>
      <c r="P12" s="479">
        <f t="shared" si="1"/>
        <v>65.011923076923068</v>
      </c>
    </row>
    <row r="13" spans="1:16" ht="13.5" thickBot="1" x14ac:dyDescent="0.25">
      <c r="A13" s="683"/>
      <c r="B13" s="207">
        <v>630</v>
      </c>
      <c r="C13" s="208" t="s">
        <v>74</v>
      </c>
      <c r="D13" s="209"/>
      <c r="E13" s="209"/>
      <c r="F13" s="209"/>
      <c r="G13" s="209"/>
      <c r="H13" s="209"/>
      <c r="I13" s="208"/>
      <c r="J13" s="41">
        <v>68016</v>
      </c>
      <c r="K13" s="41">
        <v>10612</v>
      </c>
      <c r="L13" s="210">
        <v>226.14</v>
      </c>
      <c r="M13" s="512">
        <v>968.59</v>
      </c>
      <c r="N13" s="27"/>
      <c r="O13" s="480">
        <v>7829.13</v>
      </c>
      <c r="P13" s="481">
        <f t="shared" si="1"/>
        <v>0</v>
      </c>
    </row>
    <row r="14" spans="1:16" ht="15.75" thickBot="1" x14ac:dyDescent="0.3">
      <c r="A14" s="199" t="s">
        <v>21</v>
      </c>
      <c r="B14" s="676" t="s">
        <v>75</v>
      </c>
      <c r="C14" s="640"/>
      <c r="D14" s="200">
        <v>20846</v>
      </c>
      <c r="E14" s="200">
        <v>22240</v>
      </c>
      <c r="F14" s="200">
        <v>25427</v>
      </c>
      <c r="G14" s="200">
        <v>26903</v>
      </c>
      <c r="H14" s="63">
        <f>SUM(H15:H17)</f>
        <v>29798</v>
      </c>
      <c r="I14" s="63">
        <f>SUM(I15:I17)</f>
        <v>28936</v>
      </c>
      <c r="J14" s="63">
        <f>SUM(J15:J17)</f>
        <v>27963</v>
      </c>
      <c r="K14" s="63">
        <f>SUM(K15:K18)</f>
        <v>24050</v>
      </c>
      <c r="L14" s="508">
        <f>SUM(L15:L18)</f>
        <v>25050.219999999998</v>
      </c>
      <c r="M14" s="201">
        <f>SUM(M15:M18)</f>
        <v>28488.050000000003</v>
      </c>
      <c r="N14" s="99">
        <v>31067</v>
      </c>
      <c r="O14" s="586">
        <f>SUM(O15:O18)</f>
        <v>30083.289999999997</v>
      </c>
      <c r="P14" s="581">
        <f t="shared" si="1"/>
        <v>96.833585476550681</v>
      </c>
    </row>
    <row r="15" spans="1:16" x14ac:dyDescent="0.2">
      <c r="A15" s="681"/>
      <c r="B15" s="189">
        <v>610</v>
      </c>
      <c r="C15" s="211" t="s">
        <v>67</v>
      </c>
      <c r="D15" s="212"/>
      <c r="E15" s="212">
        <v>13875</v>
      </c>
      <c r="F15" s="212">
        <v>15734</v>
      </c>
      <c r="G15" s="212">
        <v>16231</v>
      </c>
      <c r="H15" s="212">
        <v>16787</v>
      </c>
      <c r="I15" s="38">
        <v>17943</v>
      </c>
      <c r="J15" s="39">
        <v>18167</v>
      </c>
      <c r="K15" s="39">
        <v>15592</v>
      </c>
      <c r="L15" s="190">
        <v>15883.66</v>
      </c>
      <c r="M15" s="143">
        <v>19536.88</v>
      </c>
      <c r="N15" s="87">
        <v>20452</v>
      </c>
      <c r="O15" s="477">
        <v>20405.939999999999</v>
      </c>
      <c r="P15" s="485">
        <f t="shared" si="1"/>
        <v>99.774789751613525</v>
      </c>
    </row>
    <row r="16" spans="1:16" x14ac:dyDescent="0.2">
      <c r="A16" s="682"/>
      <c r="B16" s="191">
        <v>620</v>
      </c>
      <c r="C16" s="213" t="s">
        <v>68</v>
      </c>
      <c r="D16" s="214"/>
      <c r="E16" s="214">
        <v>4647</v>
      </c>
      <c r="F16" s="214">
        <v>5411</v>
      </c>
      <c r="G16" s="214">
        <v>5677</v>
      </c>
      <c r="H16" s="214">
        <v>6011</v>
      </c>
      <c r="I16" s="40">
        <v>6464</v>
      </c>
      <c r="J16" s="41">
        <v>6580</v>
      </c>
      <c r="K16" s="41">
        <v>5691</v>
      </c>
      <c r="L16" s="192">
        <v>6220</v>
      </c>
      <c r="M16" s="106">
        <v>6654.3</v>
      </c>
      <c r="N16" s="24">
        <v>7396</v>
      </c>
      <c r="O16" s="478">
        <v>7320.69</v>
      </c>
      <c r="P16" s="479">
        <f t="shared" si="1"/>
        <v>98.981746890210914</v>
      </c>
    </row>
    <row r="17" spans="1:16" x14ac:dyDescent="0.2">
      <c r="A17" s="682"/>
      <c r="B17" s="191">
        <v>630</v>
      </c>
      <c r="C17" s="213" t="s">
        <v>69</v>
      </c>
      <c r="D17" s="214"/>
      <c r="E17" s="214">
        <v>3718</v>
      </c>
      <c r="F17" s="214">
        <v>4282</v>
      </c>
      <c r="G17" s="214">
        <v>4995</v>
      </c>
      <c r="H17" s="214">
        <v>7000</v>
      </c>
      <c r="I17" s="40">
        <v>4529</v>
      </c>
      <c r="J17" s="41">
        <v>3216</v>
      </c>
      <c r="K17" s="41">
        <v>2533</v>
      </c>
      <c r="L17" s="192">
        <v>2610.08</v>
      </c>
      <c r="M17" s="106">
        <v>2181.04</v>
      </c>
      <c r="N17" s="24">
        <v>3219</v>
      </c>
      <c r="O17" s="478">
        <v>2356.66</v>
      </c>
      <c r="P17" s="479">
        <f t="shared" si="1"/>
        <v>73.210935073004038</v>
      </c>
    </row>
    <row r="18" spans="1:16" ht="13.5" thickBot="1" x14ac:dyDescent="0.25">
      <c r="A18" s="683"/>
      <c r="B18" s="240">
        <v>640</v>
      </c>
      <c r="C18" s="195" t="s">
        <v>70</v>
      </c>
      <c r="D18" s="215"/>
      <c r="E18" s="215"/>
      <c r="F18" s="215"/>
      <c r="G18" s="215"/>
      <c r="H18" s="215"/>
      <c r="I18" s="137"/>
      <c r="J18" s="41"/>
      <c r="K18" s="41">
        <v>234</v>
      </c>
      <c r="L18" s="108">
        <v>336.48</v>
      </c>
      <c r="M18" s="509">
        <v>115.83</v>
      </c>
      <c r="N18" s="66"/>
      <c r="O18" s="480"/>
      <c r="P18" s="481">
        <f t="shared" si="1"/>
        <v>0</v>
      </c>
    </row>
    <row r="19" spans="1:16" ht="15.75" thickBot="1" x14ac:dyDescent="0.3">
      <c r="A19" s="199" t="s">
        <v>76</v>
      </c>
      <c r="B19" s="676" t="s">
        <v>77</v>
      </c>
      <c r="C19" s="640"/>
      <c r="D19" s="200">
        <v>13145</v>
      </c>
      <c r="E19" s="200">
        <v>10057</v>
      </c>
      <c r="F19" s="200">
        <v>8498</v>
      </c>
      <c r="G19" s="200">
        <v>54518</v>
      </c>
      <c r="H19" s="63">
        <f t="shared" ref="H19:N19" si="3">H22+H20+H21+H23+H24</f>
        <v>31457</v>
      </c>
      <c r="I19" s="63">
        <f t="shared" si="3"/>
        <v>31963</v>
      </c>
      <c r="J19" s="63">
        <f t="shared" si="3"/>
        <v>33449</v>
      </c>
      <c r="K19" s="63">
        <f t="shared" si="3"/>
        <v>18092</v>
      </c>
      <c r="L19" s="508">
        <f t="shared" si="3"/>
        <v>54586.799999999996</v>
      </c>
      <c r="M19" s="201">
        <f t="shared" si="3"/>
        <v>16584.939999999999</v>
      </c>
      <c r="N19" s="63">
        <f t="shared" si="3"/>
        <v>25304</v>
      </c>
      <c r="O19" s="587">
        <f>SUM(O20:O24)</f>
        <v>25483.51</v>
      </c>
      <c r="P19" s="582">
        <f t="shared" si="1"/>
        <v>100.70941353145749</v>
      </c>
    </row>
    <row r="20" spans="1:16" x14ac:dyDescent="0.2">
      <c r="A20" s="690"/>
      <c r="B20" s="216">
        <v>610</v>
      </c>
      <c r="C20" s="211" t="s">
        <v>67</v>
      </c>
      <c r="D20" s="212"/>
      <c r="E20" s="212">
        <v>0</v>
      </c>
      <c r="F20" s="212">
        <v>4482</v>
      </c>
      <c r="G20" s="212">
        <v>7787</v>
      </c>
      <c r="H20" s="212">
        <v>7509</v>
      </c>
      <c r="I20" s="211">
        <v>7692</v>
      </c>
      <c r="J20" s="39">
        <v>7969</v>
      </c>
      <c r="K20" s="39">
        <v>7777</v>
      </c>
      <c r="L20" s="190">
        <v>7662.08</v>
      </c>
      <c r="M20" s="143">
        <v>8679.9500000000007</v>
      </c>
      <c r="N20" s="87">
        <v>9198</v>
      </c>
      <c r="O20" s="477">
        <v>9877.67</v>
      </c>
      <c r="P20" s="485">
        <f t="shared" si="1"/>
        <v>107.3893237660361</v>
      </c>
    </row>
    <row r="21" spans="1:16" x14ac:dyDescent="0.2">
      <c r="A21" s="691"/>
      <c r="B21" s="217">
        <v>620</v>
      </c>
      <c r="C21" s="213" t="s">
        <v>68</v>
      </c>
      <c r="D21" s="193"/>
      <c r="E21" s="193">
        <v>0</v>
      </c>
      <c r="F21" s="193">
        <v>2058</v>
      </c>
      <c r="G21" s="193">
        <v>3864</v>
      </c>
      <c r="H21" s="193">
        <v>2426</v>
      </c>
      <c r="I21" s="213">
        <v>2683</v>
      </c>
      <c r="J21" s="41">
        <v>3469</v>
      </c>
      <c r="K21" s="41">
        <v>3267</v>
      </c>
      <c r="L21" s="192">
        <v>3320.66</v>
      </c>
      <c r="M21" s="106">
        <v>3113.97</v>
      </c>
      <c r="N21" s="24">
        <v>3468</v>
      </c>
      <c r="O21" s="478">
        <v>3720.13</v>
      </c>
      <c r="P21" s="479">
        <f t="shared" si="1"/>
        <v>107.27018454440599</v>
      </c>
    </row>
    <row r="22" spans="1:16" x14ac:dyDescent="0.2">
      <c r="A22" s="691"/>
      <c r="B22" s="217">
        <v>630</v>
      </c>
      <c r="C22" s="213" t="s">
        <v>69</v>
      </c>
      <c r="D22" s="193"/>
      <c r="E22" s="193">
        <v>0</v>
      </c>
      <c r="F22" s="193">
        <v>1958</v>
      </c>
      <c r="G22" s="193">
        <v>42867</v>
      </c>
      <c r="H22" s="193">
        <v>1012</v>
      </c>
      <c r="I22" s="213">
        <v>989</v>
      </c>
      <c r="J22" s="41">
        <v>1227</v>
      </c>
      <c r="K22" s="41">
        <v>947</v>
      </c>
      <c r="L22" s="192">
        <v>588.04</v>
      </c>
      <c r="M22" s="106">
        <v>634.67999999999995</v>
      </c>
      <c r="N22" s="24">
        <v>1580</v>
      </c>
      <c r="O22" s="478">
        <v>827.63</v>
      </c>
      <c r="P22" s="479">
        <f t="shared" si="1"/>
        <v>52.381645569620247</v>
      </c>
    </row>
    <row r="23" spans="1:16" x14ac:dyDescent="0.2">
      <c r="A23" s="691"/>
      <c r="B23" s="217">
        <v>640</v>
      </c>
      <c r="C23" s="40" t="s">
        <v>70</v>
      </c>
      <c r="D23" s="41"/>
      <c r="E23" s="41"/>
      <c r="F23" s="41"/>
      <c r="G23" s="41"/>
      <c r="H23" s="41"/>
      <c r="I23" s="40"/>
      <c r="J23" s="41">
        <v>3100</v>
      </c>
      <c r="K23" s="41"/>
      <c r="L23" s="24"/>
      <c r="M23" s="106">
        <v>113.93</v>
      </c>
      <c r="N23" s="24"/>
      <c r="O23" s="478"/>
      <c r="P23" s="479">
        <f t="shared" si="1"/>
        <v>0</v>
      </c>
    </row>
    <row r="24" spans="1:16" ht="13.5" thickBot="1" x14ac:dyDescent="0.25">
      <c r="A24" s="692"/>
      <c r="B24" s="219">
        <v>600</v>
      </c>
      <c r="C24" s="195" t="s">
        <v>78</v>
      </c>
      <c r="D24" s="220"/>
      <c r="E24" s="220"/>
      <c r="F24" s="220"/>
      <c r="G24" s="220"/>
      <c r="H24" s="41">
        <v>20510</v>
      </c>
      <c r="I24" s="195">
        <v>20599</v>
      </c>
      <c r="J24" s="41">
        <v>17684</v>
      </c>
      <c r="K24" s="41">
        <v>6101</v>
      </c>
      <c r="L24" s="108">
        <v>43016.02</v>
      </c>
      <c r="M24" s="509">
        <v>4042.409999999998</v>
      </c>
      <c r="N24" s="66">
        <v>11058</v>
      </c>
      <c r="O24" s="480">
        <v>11058.08</v>
      </c>
      <c r="P24" s="481">
        <f t="shared" si="1"/>
        <v>100.00072345812987</v>
      </c>
    </row>
    <row r="25" spans="1:16" ht="15.75" thickBot="1" x14ac:dyDescent="0.3">
      <c r="A25" s="199" t="s">
        <v>79</v>
      </c>
      <c r="B25" s="676" t="s">
        <v>145</v>
      </c>
      <c r="C25" s="640"/>
      <c r="D25" s="221">
        <f t="shared" ref="D25:M25" si="4">D26</f>
        <v>86802</v>
      </c>
      <c r="E25" s="221">
        <f t="shared" si="4"/>
        <v>77342</v>
      </c>
      <c r="F25" s="221">
        <f t="shared" si="4"/>
        <v>79566</v>
      </c>
      <c r="G25" s="221">
        <f t="shared" si="4"/>
        <v>75201</v>
      </c>
      <c r="H25" s="221">
        <f t="shared" si="4"/>
        <v>66074</v>
      </c>
      <c r="I25" s="63">
        <f t="shared" si="4"/>
        <v>84841</v>
      </c>
      <c r="J25" s="63">
        <f t="shared" si="4"/>
        <v>92558</v>
      </c>
      <c r="K25" s="63">
        <f t="shared" si="4"/>
        <v>89614</v>
      </c>
      <c r="L25" s="99">
        <f t="shared" si="4"/>
        <v>87966.26</v>
      </c>
      <c r="M25" s="201">
        <f t="shared" si="4"/>
        <v>89070.75</v>
      </c>
      <c r="N25" s="99">
        <v>108000</v>
      </c>
      <c r="O25" s="587">
        <f>O26</f>
        <v>84152.6</v>
      </c>
      <c r="P25" s="582">
        <f t="shared" si="1"/>
        <v>77.919074074074075</v>
      </c>
    </row>
    <row r="26" spans="1:16" ht="13.5" thickBot="1" x14ac:dyDescent="0.25">
      <c r="A26" s="222"/>
      <c r="B26" s="223">
        <v>630</v>
      </c>
      <c r="C26" s="224" t="s">
        <v>80</v>
      </c>
      <c r="D26" s="225">
        <v>86802</v>
      </c>
      <c r="E26" s="225">
        <v>77342</v>
      </c>
      <c r="F26" s="225">
        <v>79566</v>
      </c>
      <c r="G26" s="225">
        <v>75201</v>
      </c>
      <c r="H26" s="225">
        <v>66074</v>
      </c>
      <c r="I26" s="137">
        <v>84841</v>
      </c>
      <c r="J26" s="137">
        <v>92558</v>
      </c>
      <c r="K26" s="77">
        <v>89614</v>
      </c>
      <c r="L26" s="108">
        <v>87966.26</v>
      </c>
      <c r="M26" s="509">
        <v>89070.75</v>
      </c>
      <c r="N26" s="66">
        <v>108000</v>
      </c>
      <c r="O26" s="482">
        <v>84152.6</v>
      </c>
      <c r="P26" s="488">
        <f t="shared" si="1"/>
        <v>77.919074074074075</v>
      </c>
    </row>
    <row r="27" spans="1:16" ht="15.75" thickBot="1" x14ac:dyDescent="0.3">
      <c r="A27" s="199" t="s">
        <v>81</v>
      </c>
      <c r="B27" s="676" t="s">
        <v>82</v>
      </c>
      <c r="C27" s="640"/>
      <c r="D27" s="221">
        <f t="shared" ref="D27:M27" si="5">D28</f>
        <v>0</v>
      </c>
      <c r="E27" s="221">
        <f t="shared" si="5"/>
        <v>1826</v>
      </c>
      <c r="F27" s="221">
        <f t="shared" si="5"/>
        <v>66</v>
      </c>
      <c r="G27" s="221">
        <f t="shared" si="5"/>
        <v>770</v>
      </c>
      <c r="H27" s="221">
        <f t="shared" si="5"/>
        <v>2589</v>
      </c>
      <c r="I27" s="63">
        <f t="shared" si="5"/>
        <v>366</v>
      </c>
      <c r="J27" s="63">
        <f t="shared" si="5"/>
        <v>274</v>
      </c>
      <c r="K27" s="63">
        <f t="shared" si="5"/>
        <v>464</v>
      </c>
      <c r="L27" s="99">
        <f t="shared" si="5"/>
        <v>276.29000000000002</v>
      </c>
      <c r="M27" s="201">
        <f t="shared" si="5"/>
        <v>34.4</v>
      </c>
      <c r="N27" s="99">
        <v>500</v>
      </c>
      <c r="O27" s="587">
        <f>O28</f>
        <v>81.5</v>
      </c>
      <c r="P27" s="582">
        <f t="shared" si="1"/>
        <v>16.3</v>
      </c>
    </row>
    <row r="28" spans="1:16" ht="13.5" thickBot="1" x14ac:dyDescent="0.25">
      <c r="A28" s="226"/>
      <c r="B28" s="227"/>
      <c r="C28" s="224" t="s">
        <v>83</v>
      </c>
      <c r="D28" s="225">
        <v>0</v>
      </c>
      <c r="E28" s="225">
        <v>1826</v>
      </c>
      <c r="F28" s="225">
        <v>66</v>
      </c>
      <c r="G28" s="225">
        <v>770</v>
      </c>
      <c r="H28" s="225">
        <v>2589</v>
      </c>
      <c r="I28" s="137">
        <v>366</v>
      </c>
      <c r="J28" s="137">
        <v>274</v>
      </c>
      <c r="K28" s="77">
        <v>464</v>
      </c>
      <c r="L28" s="108">
        <v>276.29000000000002</v>
      </c>
      <c r="M28" s="320">
        <v>34.4</v>
      </c>
      <c r="N28" s="66">
        <v>500</v>
      </c>
      <c r="O28" s="483">
        <v>81.5</v>
      </c>
      <c r="P28" s="487">
        <f t="shared" si="1"/>
        <v>16.3</v>
      </c>
    </row>
    <row r="29" spans="1:16" ht="15.75" thickBot="1" x14ac:dyDescent="0.3">
      <c r="A29" s="199" t="s">
        <v>151</v>
      </c>
      <c r="B29" s="676" t="s">
        <v>84</v>
      </c>
      <c r="C29" s="640"/>
      <c r="D29" s="200">
        <v>80362</v>
      </c>
      <c r="E29" s="200">
        <v>93674</v>
      </c>
      <c r="F29" s="200">
        <v>104461</v>
      </c>
      <c r="G29" s="200">
        <v>126342</v>
      </c>
      <c r="H29" s="63">
        <f t="shared" ref="H29:N29" si="6">SUM(H30:H32)</f>
        <v>137485</v>
      </c>
      <c r="I29" s="63">
        <f t="shared" si="6"/>
        <v>141454</v>
      </c>
      <c r="J29" s="63">
        <f t="shared" si="6"/>
        <v>150296</v>
      </c>
      <c r="K29" s="63">
        <f t="shared" si="6"/>
        <v>153336</v>
      </c>
      <c r="L29" s="201">
        <f>SUM(L30:L33)</f>
        <v>153063.15</v>
      </c>
      <c r="M29" s="201">
        <f>SUM(M30:M33)</f>
        <v>160199.88999999998</v>
      </c>
      <c r="N29" s="63">
        <f t="shared" si="6"/>
        <v>168334</v>
      </c>
      <c r="O29" s="587">
        <f>SUM(O30:O33)</f>
        <v>160815.16</v>
      </c>
      <c r="P29" s="582">
        <f t="shared" si="1"/>
        <v>95.533380065821532</v>
      </c>
    </row>
    <row r="30" spans="1:16" x14ac:dyDescent="0.2">
      <c r="A30" s="631"/>
      <c r="B30" s="216">
        <v>610</v>
      </c>
      <c r="C30" s="38" t="s">
        <v>67</v>
      </c>
      <c r="D30" s="150"/>
      <c r="E30" s="150">
        <v>56762</v>
      </c>
      <c r="F30" s="150">
        <v>60944</v>
      </c>
      <c r="G30" s="150">
        <v>75340</v>
      </c>
      <c r="H30" s="150">
        <v>84414</v>
      </c>
      <c r="I30" s="38">
        <v>89012</v>
      </c>
      <c r="J30" s="39">
        <v>92984</v>
      </c>
      <c r="K30" s="39">
        <v>93001</v>
      </c>
      <c r="L30" s="143">
        <v>93672.78</v>
      </c>
      <c r="M30" s="143">
        <v>102320.64</v>
      </c>
      <c r="N30" s="87">
        <v>108430</v>
      </c>
      <c r="O30" s="477">
        <v>102319.48</v>
      </c>
      <c r="P30" s="485">
        <f t="shared" si="1"/>
        <v>94.364548556672503</v>
      </c>
    </row>
    <row r="31" spans="1:16" x14ac:dyDescent="0.2">
      <c r="A31" s="632"/>
      <c r="B31" s="217">
        <v>620</v>
      </c>
      <c r="C31" s="40" t="s">
        <v>68</v>
      </c>
      <c r="D31" s="228"/>
      <c r="E31" s="228">
        <v>20315</v>
      </c>
      <c r="F31" s="228">
        <v>21709</v>
      </c>
      <c r="G31" s="228">
        <v>27650</v>
      </c>
      <c r="H31" s="228">
        <v>30919</v>
      </c>
      <c r="I31" s="40">
        <v>32877</v>
      </c>
      <c r="J31" s="41">
        <v>34488</v>
      </c>
      <c r="K31" s="41">
        <v>34548</v>
      </c>
      <c r="L31" s="106">
        <v>37213.83</v>
      </c>
      <c r="M31" s="106">
        <v>35543.370000000003</v>
      </c>
      <c r="N31" s="24">
        <v>38504</v>
      </c>
      <c r="O31" s="478">
        <v>37856.519999999997</v>
      </c>
      <c r="P31" s="479">
        <f t="shared" si="1"/>
        <v>98.318408477041345</v>
      </c>
    </row>
    <row r="32" spans="1:16" x14ac:dyDescent="0.2">
      <c r="A32" s="632"/>
      <c r="B32" s="217">
        <v>630</v>
      </c>
      <c r="C32" s="40" t="s">
        <v>69</v>
      </c>
      <c r="D32" s="228"/>
      <c r="E32" s="228">
        <v>16597</v>
      </c>
      <c r="F32" s="228">
        <v>21078</v>
      </c>
      <c r="G32" s="228">
        <v>23021</v>
      </c>
      <c r="H32" s="228">
        <f>22134+18</f>
        <v>22152</v>
      </c>
      <c r="I32" s="40">
        <v>19565</v>
      </c>
      <c r="J32" s="41">
        <v>22824</v>
      </c>
      <c r="K32" s="41">
        <v>25787</v>
      </c>
      <c r="L32" s="106">
        <v>22014.74</v>
      </c>
      <c r="M32" s="192">
        <v>22171.17</v>
      </c>
      <c r="N32" s="24">
        <v>21400</v>
      </c>
      <c r="O32" s="478">
        <v>20256.810000000001</v>
      </c>
      <c r="P32" s="479">
        <f t="shared" si="1"/>
        <v>94.657990654205619</v>
      </c>
    </row>
    <row r="33" spans="1:16" ht="13.5" thickBot="1" x14ac:dyDescent="0.25">
      <c r="A33" s="633"/>
      <c r="B33" s="217">
        <v>650</v>
      </c>
      <c r="C33" s="40" t="s">
        <v>85</v>
      </c>
      <c r="D33" s="225"/>
      <c r="E33" s="225"/>
      <c r="F33" s="225"/>
      <c r="G33" s="225"/>
      <c r="H33" s="225"/>
      <c r="I33" s="137"/>
      <c r="J33" s="137"/>
      <c r="K33" s="229"/>
      <c r="L33" s="108">
        <v>161.80000000000001</v>
      </c>
      <c r="M33" s="108">
        <v>164.71</v>
      </c>
      <c r="N33" s="108"/>
      <c r="O33" s="480">
        <v>382.35</v>
      </c>
      <c r="P33" s="481">
        <f t="shared" si="1"/>
        <v>0</v>
      </c>
    </row>
    <row r="34" spans="1:16" ht="15.75" thickBot="1" x14ac:dyDescent="0.3">
      <c r="A34" s="199" t="s">
        <v>86</v>
      </c>
      <c r="B34" s="676" t="s">
        <v>87</v>
      </c>
      <c r="C34" s="640"/>
      <c r="D34" s="221">
        <f t="shared" ref="D34:M34" si="7">D35</f>
        <v>1328</v>
      </c>
      <c r="E34" s="221">
        <f t="shared" si="7"/>
        <v>332</v>
      </c>
      <c r="F34" s="221">
        <f t="shared" si="7"/>
        <v>797</v>
      </c>
      <c r="G34" s="221">
        <f t="shared" si="7"/>
        <v>3524</v>
      </c>
      <c r="H34" s="221">
        <f t="shared" si="7"/>
        <v>112</v>
      </c>
      <c r="I34" s="63">
        <f t="shared" si="7"/>
        <v>600</v>
      </c>
      <c r="J34" s="63">
        <f t="shared" si="7"/>
        <v>1028</v>
      </c>
      <c r="K34" s="63">
        <f t="shared" si="7"/>
        <v>1230</v>
      </c>
      <c r="L34" s="201">
        <f t="shared" si="7"/>
        <v>600</v>
      </c>
      <c r="M34" s="201">
        <f t="shared" si="7"/>
        <v>1048.67</v>
      </c>
      <c r="N34" s="99">
        <v>2200</v>
      </c>
      <c r="O34" s="587">
        <f>O35</f>
        <v>1510.99</v>
      </c>
      <c r="P34" s="582">
        <f t="shared" si="1"/>
        <v>68.681363636363642</v>
      </c>
    </row>
    <row r="35" spans="1:16" ht="13.5" thickBot="1" x14ac:dyDescent="0.25">
      <c r="A35" s="226"/>
      <c r="B35" s="230"/>
      <c r="C35" s="231" t="s">
        <v>88</v>
      </c>
      <c r="D35" s="232">
        <v>1328</v>
      </c>
      <c r="E35" s="232">
        <v>332</v>
      </c>
      <c r="F35" s="232">
        <v>797</v>
      </c>
      <c r="G35" s="232">
        <v>3524</v>
      </c>
      <c r="H35" s="232">
        <v>112</v>
      </c>
      <c r="I35" s="107">
        <v>600</v>
      </c>
      <c r="J35" s="107">
        <v>1028</v>
      </c>
      <c r="K35" s="77">
        <v>1230</v>
      </c>
      <c r="L35" s="233">
        <v>600</v>
      </c>
      <c r="M35" s="320">
        <v>1048.67</v>
      </c>
      <c r="N35" s="11">
        <v>2200</v>
      </c>
      <c r="O35" s="483">
        <v>1510.99</v>
      </c>
      <c r="P35" s="487">
        <f t="shared" si="1"/>
        <v>68.681363636363642</v>
      </c>
    </row>
    <row r="36" spans="1:16" ht="15.75" thickBot="1" x14ac:dyDescent="0.3">
      <c r="A36" s="235" t="s">
        <v>89</v>
      </c>
      <c r="B36" s="676" t="s">
        <v>90</v>
      </c>
      <c r="C36" s="640"/>
      <c r="D36" s="200">
        <v>64894</v>
      </c>
      <c r="E36" s="200">
        <v>59384</v>
      </c>
      <c r="F36" s="200">
        <v>62471</v>
      </c>
      <c r="G36" s="200">
        <v>47851</v>
      </c>
      <c r="H36" s="13">
        <f>SUM(H37:H39)</f>
        <v>43042</v>
      </c>
      <c r="I36" s="13">
        <f>SUM(I37:I39)</f>
        <v>42993</v>
      </c>
      <c r="J36" s="13">
        <f>SUM(J37:J39)</f>
        <v>45897</v>
      </c>
      <c r="K36" s="13">
        <f>SUM(K37:K40)</f>
        <v>45604</v>
      </c>
      <c r="L36" s="236">
        <f>SUM(L37:L40)</f>
        <v>70768.37</v>
      </c>
      <c r="M36" s="236">
        <f>SUM(M37:M40)</f>
        <v>57765.42</v>
      </c>
      <c r="N36" s="438">
        <v>36882</v>
      </c>
      <c r="O36" s="587">
        <f>SUM(O37:O40)</f>
        <v>67218.58</v>
      </c>
      <c r="P36" s="582">
        <f t="shared" si="1"/>
        <v>182.25307738192072</v>
      </c>
    </row>
    <row r="37" spans="1:16" x14ac:dyDescent="0.2">
      <c r="A37" s="631"/>
      <c r="B37" s="216">
        <v>610</v>
      </c>
      <c r="C37" s="38" t="s">
        <v>67</v>
      </c>
      <c r="D37" s="150"/>
      <c r="E37" s="150"/>
      <c r="F37" s="150"/>
      <c r="G37" s="150"/>
      <c r="H37" s="150">
        <v>19662</v>
      </c>
      <c r="I37" s="38">
        <v>20165</v>
      </c>
      <c r="J37" s="39">
        <v>21683</v>
      </c>
      <c r="K37" s="39">
        <v>23558</v>
      </c>
      <c r="L37" s="190">
        <v>34957.480000000003</v>
      </c>
      <c r="M37" s="190">
        <v>28518.63</v>
      </c>
      <c r="N37" s="87">
        <v>27144</v>
      </c>
      <c r="O37" s="477">
        <v>34041.99</v>
      </c>
      <c r="P37" s="485">
        <f t="shared" si="1"/>
        <v>125.41257736516356</v>
      </c>
    </row>
    <row r="38" spans="1:16" x14ac:dyDescent="0.2">
      <c r="A38" s="632"/>
      <c r="B38" s="217">
        <v>620</v>
      </c>
      <c r="C38" s="40" t="s">
        <v>68</v>
      </c>
      <c r="D38" s="228"/>
      <c r="E38" s="228"/>
      <c r="F38" s="228"/>
      <c r="G38" s="228"/>
      <c r="H38" s="228">
        <v>6810</v>
      </c>
      <c r="I38" s="40">
        <v>7285</v>
      </c>
      <c r="J38" s="41">
        <v>7713</v>
      </c>
      <c r="K38" s="41">
        <v>8188</v>
      </c>
      <c r="L38" s="192">
        <v>13167.56</v>
      </c>
      <c r="M38" s="192">
        <v>9242.2099999999991</v>
      </c>
      <c r="N38" s="24">
        <v>9738</v>
      </c>
      <c r="O38" s="478">
        <v>11670.69</v>
      </c>
      <c r="P38" s="479">
        <f t="shared" si="1"/>
        <v>119.84688847812693</v>
      </c>
    </row>
    <row r="39" spans="1:16" x14ac:dyDescent="0.2">
      <c r="A39" s="632"/>
      <c r="B39" s="217">
        <v>630</v>
      </c>
      <c r="C39" s="40" t="s">
        <v>69</v>
      </c>
      <c r="D39" s="228"/>
      <c r="E39" s="228"/>
      <c r="F39" s="228"/>
      <c r="G39" s="228"/>
      <c r="H39" s="228">
        <v>16570</v>
      </c>
      <c r="I39" s="40">
        <v>15543</v>
      </c>
      <c r="J39" s="41">
        <v>16501</v>
      </c>
      <c r="K39" s="41">
        <v>13727</v>
      </c>
      <c r="L39" s="192">
        <v>20379.169999999998</v>
      </c>
      <c r="M39" s="192">
        <v>19888.419999999998</v>
      </c>
      <c r="N39" s="24">
        <v>0</v>
      </c>
      <c r="O39" s="478">
        <v>21248.55</v>
      </c>
      <c r="P39" s="479">
        <f t="shared" si="1"/>
        <v>0</v>
      </c>
    </row>
    <row r="40" spans="1:16" ht="13.5" thickBot="1" x14ac:dyDescent="0.25">
      <c r="A40" s="633"/>
      <c r="B40" s="217">
        <v>640</v>
      </c>
      <c r="C40" s="195"/>
      <c r="D40" s="215"/>
      <c r="E40" s="215"/>
      <c r="F40" s="215"/>
      <c r="G40" s="215"/>
      <c r="H40" s="215"/>
      <c r="I40" s="137"/>
      <c r="J40" s="41"/>
      <c r="K40" s="41">
        <v>131</v>
      </c>
      <c r="L40" s="108">
        <v>2264.16</v>
      </c>
      <c r="M40" s="108">
        <v>116.16</v>
      </c>
      <c r="N40" s="66"/>
      <c r="O40" s="480">
        <v>257.35000000000002</v>
      </c>
      <c r="P40" s="481">
        <f t="shared" si="1"/>
        <v>0</v>
      </c>
    </row>
    <row r="41" spans="1:16" ht="15.75" thickBot="1" x14ac:dyDescent="0.3">
      <c r="A41" s="199" t="s">
        <v>91</v>
      </c>
      <c r="B41" s="676" t="s">
        <v>92</v>
      </c>
      <c r="C41" s="640"/>
      <c r="D41" s="221">
        <f t="shared" ref="D41:M41" si="8">D42</f>
        <v>0</v>
      </c>
      <c r="E41" s="221">
        <f t="shared" si="8"/>
        <v>0</v>
      </c>
      <c r="F41" s="221">
        <f t="shared" si="8"/>
        <v>0</v>
      </c>
      <c r="G41" s="221">
        <f t="shared" si="8"/>
        <v>66</v>
      </c>
      <c r="H41" s="221">
        <f t="shared" si="8"/>
        <v>175</v>
      </c>
      <c r="I41" s="63">
        <f t="shared" si="8"/>
        <v>269</v>
      </c>
      <c r="J41" s="63">
        <f t="shared" si="8"/>
        <v>182</v>
      </c>
      <c r="K41" s="63">
        <f t="shared" si="8"/>
        <v>104</v>
      </c>
      <c r="L41" s="201">
        <f t="shared" si="8"/>
        <v>169.4</v>
      </c>
      <c r="M41" s="201">
        <f t="shared" si="8"/>
        <v>87.6</v>
      </c>
      <c r="N41" s="99">
        <v>200</v>
      </c>
      <c r="O41" s="587">
        <f>O42</f>
        <v>40.1</v>
      </c>
      <c r="P41" s="582">
        <f t="shared" si="1"/>
        <v>20.05</v>
      </c>
    </row>
    <row r="42" spans="1:16" ht="13.5" thickBot="1" x14ac:dyDescent="0.25">
      <c r="A42" s="237"/>
      <c r="B42" s="238">
        <v>640</v>
      </c>
      <c r="C42" s="137" t="s">
        <v>93</v>
      </c>
      <c r="D42" s="225"/>
      <c r="E42" s="225"/>
      <c r="F42" s="225"/>
      <c r="G42" s="225">
        <v>66</v>
      </c>
      <c r="H42" s="225">
        <v>175</v>
      </c>
      <c r="I42" s="137">
        <v>269</v>
      </c>
      <c r="J42" s="137">
        <v>182</v>
      </c>
      <c r="K42" s="137">
        <v>104</v>
      </c>
      <c r="L42" s="239">
        <v>169.4</v>
      </c>
      <c r="M42" s="233">
        <v>87.6</v>
      </c>
      <c r="N42" s="11">
        <v>200</v>
      </c>
      <c r="O42" s="483">
        <v>40.1</v>
      </c>
      <c r="P42" s="487">
        <f t="shared" si="1"/>
        <v>20.05</v>
      </c>
    </row>
    <row r="43" spans="1:16" ht="15.75" thickBot="1" x14ac:dyDescent="0.3">
      <c r="A43" s="199" t="s">
        <v>146</v>
      </c>
      <c r="B43" s="676" t="s">
        <v>149</v>
      </c>
      <c r="C43" s="640"/>
      <c r="D43" s="200">
        <v>29310</v>
      </c>
      <c r="E43" s="200">
        <v>30173</v>
      </c>
      <c r="F43" s="200">
        <v>33061</v>
      </c>
      <c r="G43" s="200">
        <v>31215</v>
      </c>
      <c r="H43" s="13">
        <f t="shared" ref="H43:M43" si="9">SUM(H44:H46)</f>
        <v>30188</v>
      </c>
      <c r="I43" s="13">
        <f t="shared" si="9"/>
        <v>30251</v>
      </c>
      <c r="J43" s="13">
        <f t="shared" si="9"/>
        <v>29902</v>
      </c>
      <c r="K43" s="13">
        <f t="shared" si="9"/>
        <v>27922</v>
      </c>
      <c r="L43" s="13">
        <f t="shared" si="9"/>
        <v>26736.059999999998</v>
      </c>
      <c r="M43" s="236">
        <f t="shared" si="9"/>
        <v>31580.040000000005</v>
      </c>
      <c r="N43" s="438">
        <v>34539</v>
      </c>
      <c r="O43" s="587">
        <f>SUM(O44:O46)</f>
        <v>36470.850000000006</v>
      </c>
      <c r="P43" s="582">
        <f t="shared" si="1"/>
        <v>105.59324242161037</v>
      </c>
    </row>
    <row r="44" spans="1:16" x14ac:dyDescent="0.2">
      <c r="A44" s="631"/>
      <c r="B44" s="216">
        <v>610</v>
      </c>
      <c r="C44" s="38" t="s">
        <v>67</v>
      </c>
      <c r="D44" s="150"/>
      <c r="E44" s="150">
        <v>17128</v>
      </c>
      <c r="F44" s="150">
        <v>19186</v>
      </c>
      <c r="G44" s="150">
        <v>18647</v>
      </c>
      <c r="H44" s="150">
        <v>19330</v>
      </c>
      <c r="I44" s="38">
        <v>19430</v>
      </c>
      <c r="J44" s="39">
        <v>19249</v>
      </c>
      <c r="K44" s="39">
        <v>18860</v>
      </c>
      <c r="L44" s="143">
        <v>17749.95</v>
      </c>
      <c r="M44" s="143">
        <v>21482.58</v>
      </c>
      <c r="N44" s="87">
        <v>23371</v>
      </c>
      <c r="O44" s="477">
        <v>23137.49</v>
      </c>
      <c r="P44" s="485">
        <f t="shared" si="1"/>
        <v>99.000855761413717</v>
      </c>
    </row>
    <row r="45" spans="1:16" x14ac:dyDescent="0.2">
      <c r="A45" s="632"/>
      <c r="B45" s="217">
        <v>620</v>
      </c>
      <c r="C45" s="40" t="s">
        <v>68</v>
      </c>
      <c r="D45" s="228"/>
      <c r="E45" s="228">
        <v>6174</v>
      </c>
      <c r="F45" s="228">
        <v>6440</v>
      </c>
      <c r="G45" s="228">
        <v>6250</v>
      </c>
      <c r="H45" s="228">
        <v>6780</v>
      </c>
      <c r="I45" s="40">
        <v>6793</v>
      </c>
      <c r="J45" s="41">
        <v>6741</v>
      </c>
      <c r="K45" s="41">
        <v>6528</v>
      </c>
      <c r="L45" s="106">
        <v>6227.83</v>
      </c>
      <c r="M45" s="106">
        <v>7544.26</v>
      </c>
      <c r="N45" s="24">
        <v>8168</v>
      </c>
      <c r="O45" s="478">
        <v>8118.17</v>
      </c>
      <c r="P45" s="479">
        <f t="shared" si="1"/>
        <v>99.389936336924592</v>
      </c>
    </row>
    <row r="46" spans="1:16" ht="13.5" thickBot="1" x14ac:dyDescent="0.25">
      <c r="A46" s="633"/>
      <c r="B46" s="240">
        <v>630</v>
      </c>
      <c r="C46" s="43" t="s">
        <v>69</v>
      </c>
      <c r="D46" s="145"/>
      <c r="E46" s="145">
        <v>6871</v>
      </c>
      <c r="F46" s="145">
        <v>7435</v>
      </c>
      <c r="G46" s="145">
        <v>6318</v>
      </c>
      <c r="H46" s="145">
        <v>4078</v>
      </c>
      <c r="I46" s="43">
        <v>4028</v>
      </c>
      <c r="J46" s="41">
        <v>3912</v>
      </c>
      <c r="K46" s="41">
        <f>27588-25054</f>
        <v>2534</v>
      </c>
      <c r="L46" s="241">
        <v>2758.28</v>
      </c>
      <c r="M46" s="289">
        <v>2553.1999999999998</v>
      </c>
      <c r="N46" s="45">
        <v>3000</v>
      </c>
      <c r="O46" s="480">
        <v>5215.1899999999996</v>
      </c>
      <c r="P46" s="481">
        <f t="shared" si="1"/>
        <v>173.83966666666666</v>
      </c>
    </row>
    <row r="47" spans="1:16" ht="15.75" thickBot="1" x14ac:dyDescent="0.3">
      <c r="A47" s="199" t="s">
        <v>27</v>
      </c>
      <c r="B47" s="676" t="s">
        <v>29</v>
      </c>
      <c r="C47" s="640"/>
      <c r="D47" s="221">
        <v>13278</v>
      </c>
      <c r="E47" s="221">
        <v>366029</v>
      </c>
      <c r="F47" s="221">
        <v>277733</v>
      </c>
      <c r="G47" s="221">
        <v>398013</v>
      </c>
      <c r="H47" s="221">
        <v>368170</v>
      </c>
      <c r="I47" s="63">
        <f t="shared" ref="I47:O47" si="10">SUM(I48:I51)</f>
        <v>294633</v>
      </c>
      <c r="J47" s="63">
        <f t="shared" si="10"/>
        <v>216960</v>
      </c>
      <c r="K47" s="63">
        <f t="shared" si="10"/>
        <v>236599</v>
      </c>
      <c r="L47" s="201">
        <f t="shared" si="10"/>
        <v>216987.18</v>
      </c>
      <c r="M47" s="201">
        <f t="shared" si="10"/>
        <v>226497.02000000002</v>
      </c>
      <c r="N47" s="99">
        <f t="shared" si="10"/>
        <v>260845</v>
      </c>
      <c r="O47" s="587">
        <f t="shared" si="10"/>
        <v>249510.29</v>
      </c>
      <c r="P47" s="582">
        <f t="shared" si="1"/>
        <v>95.654618643255574</v>
      </c>
    </row>
    <row r="48" spans="1:16" x14ac:dyDescent="0.2">
      <c r="A48" s="690"/>
      <c r="B48" s="243">
        <v>640</v>
      </c>
      <c r="C48" s="244" t="s">
        <v>94</v>
      </c>
      <c r="D48" s="245"/>
      <c r="E48" s="245"/>
      <c r="F48" s="245"/>
      <c r="G48" s="245"/>
      <c r="H48" s="245">
        <v>307476</v>
      </c>
      <c r="I48" s="246">
        <v>234550</v>
      </c>
      <c r="J48" s="39">
        <v>150070</v>
      </c>
      <c r="K48" s="39">
        <v>167336</v>
      </c>
      <c r="L48" s="190">
        <v>148104</v>
      </c>
      <c r="M48" s="626">
        <v>157211</v>
      </c>
      <c r="N48" s="135">
        <v>183945</v>
      </c>
      <c r="O48" s="477">
        <v>183945</v>
      </c>
      <c r="P48" s="485">
        <f t="shared" si="1"/>
        <v>100</v>
      </c>
    </row>
    <row r="49" spans="1:16" x14ac:dyDescent="0.2">
      <c r="A49" s="691"/>
      <c r="B49" s="247">
        <v>630</v>
      </c>
      <c r="C49" s="248" t="s">
        <v>28</v>
      </c>
      <c r="D49" s="249"/>
      <c r="E49" s="249"/>
      <c r="F49" s="249"/>
      <c r="G49" s="249"/>
      <c r="H49" s="249">
        <v>9596</v>
      </c>
      <c r="I49" s="250">
        <v>3094</v>
      </c>
      <c r="J49" s="41">
        <v>2060</v>
      </c>
      <c r="K49" s="41">
        <v>1011</v>
      </c>
      <c r="L49" s="110">
        <v>1770</v>
      </c>
      <c r="M49" s="627">
        <v>1790</v>
      </c>
      <c r="N49" s="19">
        <v>10900</v>
      </c>
      <c r="O49" s="478">
        <v>1340</v>
      </c>
      <c r="P49" s="479">
        <f t="shared" si="1"/>
        <v>12.293577981651376</v>
      </c>
    </row>
    <row r="50" spans="1:16" x14ac:dyDescent="0.2">
      <c r="A50" s="691"/>
      <c r="B50" s="247">
        <v>630</v>
      </c>
      <c r="C50" s="248" t="s">
        <v>85</v>
      </c>
      <c r="D50" s="249"/>
      <c r="E50" s="249"/>
      <c r="F50" s="249"/>
      <c r="G50" s="249"/>
      <c r="H50" s="249"/>
      <c r="I50" s="250"/>
      <c r="J50" s="41"/>
      <c r="K50" s="41"/>
      <c r="L50" s="110"/>
      <c r="M50" s="506">
        <v>0</v>
      </c>
      <c r="N50" s="19"/>
      <c r="O50" s="478"/>
      <c r="P50" s="479">
        <f t="shared" si="1"/>
        <v>0</v>
      </c>
    </row>
    <row r="51" spans="1:16" ht="13.5" thickBot="1" x14ac:dyDescent="0.25">
      <c r="A51" s="692"/>
      <c r="B51" s="219">
        <v>640</v>
      </c>
      <c r="C51" s="251" t="s">
        <v>95</v>
      </c>
      <c r="D51" s="252"/>
      <c r="E51" s="252"/>
      <c r="F51" s="252"/>
      <c r="G51" s="252"/>
      <c r="H51" s="252">
        <v>49953</v>
      </c>
      <c r="I51" s="253">
        <v>56989</v>
      </c>
      <c r="J51" s="56">
        <v>64830</v>
      </c>
      <c r="K51" s="56">
        <v>68252</v>
      </c>
      <c r="L51" s="198">
        <v>67113.179999999993</v>
      </c>
      <c r="M51" s="320">
        <v>67496.02</v>
      </c>
      <c r="N51" s="78">
        <v>66000</v>
      </c>
      <c r="O51" s="480">
        <v>64225.29</v>
      </c>
      <c r="P51" s="481">
        <f t="shared" si="1"/>
        <v>97.31104545454545</v>
      </c>
    </row>
    <row r="52" spans="1:16" ht="15.75" thickBot="1" x14ac:dyDescent="0.3">
      <c r="A52" s="255" t="s">
        <v>176</v>
      </c>
      <c r="B52" s="699" t="s">
        <v>177</v>
      </c>
      <c r="C52" s="649"/>
      <c r="D52" s="257">
        <v>33426</v>
      </c>
      <c r="E52" s="257">
        <v>39800</v>
      </c>
      <c r="F52" s="257">
        <v>42953</v>
      </c>
      <c r="G52" s="257">
        <v>66506</v>
      </c>
      <c r="H52" s="257">
        <v>76065</v>
      </c>
      <c r="I52" s="73">
        <f>SUM(I57:I64)+I53</f>
        <v>59613</v>
      </c>
      <c r="J52" s="73">
        <f>SUM(J57:J64)+J53</f>
        <v>58168</v>
      </c>
      <c r="K52" s="73">
        <f>SUM(K57:K64)+K53</f>
        <v>57293</v>
      </c>
      <c r="L52" s="384">
        <f>SUM(L57:L65)+L53</f>
        <v>53359.31</v>
      </c>
      <c r="M52" s="74">
        <f>SUM(M57:M65)+M53</f>
        <v>49261.270000000004</v>
      </c>
      <c r="N52" s="384">
        <f>N53+N57+N59+N60+N61+N62+N65</f>
        <v>84667</v>
      </c>
      <c r="O52" s="587">
        <f>O53+O57+O59+O60+O61+O62+O65</f>
        <v>69492.78</v>
      </c>
      <c r="P52" s="582">
        <f t="shared" si="1"/>
        <v>82.077763473372158</v>
      </c>
    </row>
    <row r="53" spans="1:16" ht="13.5" thickBot="1" x14ac:dyDescent="0.25">
      <c r="A53" s="681"/>
      <c r="B53" s="695" t="s">
        <v>96</v>
      </c>
      <c r="C53" s="696"/>
      <c r="D53" s="258">
        <v>0</v>
      </c>
      <c r="E53" s="258">
        <v>13477</v>
      </c>
      <c r="F53" s="258">
        <v>15800</v>
      </c>
      <c r="G53" s="258">
        <v>26596</v>
      </c>
      <c r="H53" s="258">
        <v>25323</v>
      </c>
      <c r="I53" s="9">
        <f t="shared" ref="I53:O53" si="11">SUM(I54:I56)</f>
        <v>25388</v>
      </c>
      <c r="J53" s="9">
        <f t="shared" si="11"/>
        <v>23577</v>
      </c>
      <c r="K53" s="9">
        <f t="shared" si="11"/>
        <v>25508</v>
      </c>
      <c r="L53" s="10">
        <f t="shared" si="11"/>
        <v>26966.809999999998</v>
      </c>
      <c r="M53" s="511">
        <f>SUM(M54:M56)</f>
        <v>26493.65</v>
      </c>
      <c r="N53" s="11">
        <f t="shared" si="11"/>
        <v>25367</v>
      </c>
      <c r="O53" s="483">
        <f t="shared" si="11"/>
        <v>11116.460000000001</v>
      </c>
      <c r="P53" s="487">
        <f t="shared" si="1"/>
        <v>43.822525328182287</v>
      </c>
    </row>
    <row r="54" spans="1:16" x14ac:dyDescent="0.2">
      <c r="A54" s="682"/>
      <c r="B54" s="259">
        <v>610</v>
      </c>
      <c r="C54" s="18" t="s">
        <v>67</v>
      </c>
      <c r="D54" s="83"/>
      <c r="E54" s="83"/>
      <c r="F54" s="83"/>
      <c r="G54" s="83"/>
      <c r="H54" s="83">
        <v>16865</v>
      </c>
      <c r="I54" s="18">
        <v>17260</v>
      </c>
      <c r="J54" s="39">
        <v>15432</v>
      </c>
      <c r="K54" s="39">
        <v>15427</v>
      </c>
      <c r="L54" s="20">
        <v>14767.98</v>
      </c>
      <c r="M54" s="506">
        <v>15800.44</v>
      </c>
      <c r="N54" s="20">
        <v>12080</v>
      </c>
      <c r="O54" s="477">
        <v>9158.7800000000007</v>
      </c>
      <c r="P54" s="485">
        <f t="shared" si="1"/>
        <v>75.817715231788085</v>
      </c>
    </row>
    <row r="55" spans="1:16" x14ac:dyDescent="0.2">
      <c r="A55" s="682"/>
      <c r="B55" s="259">
        <v>620</v>
      </c>
      <c r="C55" s="18" t="s">
        <v>68</v>
      </c>
      <c r="D55" s="83"/>
      <c r="E55" s="83"/>
      <c r="F55" s="83"/>
      <c r="G55" s="83"/>
      <c r="H55" s="83">
        <v>6017</v>
      </c>
      <c r="I55" s="18">
        <v>6225</v>
      </c>
      <c r="J55" s="41">
        <v>5547</v>
      </c>
      <c r="K55" s="41">
        <v>5746</v>
      </c>
      <c r="L55" s="20">
        <v>5836.68</v>
      </c>
      <c r="M55" s="506">
        <v>5402.44</v>
      </c>
      <c r="N55" s="20">
        <v>5787</v>
      </c>
      <c r="O55" s="478">
        <v>1957.68</v>
      </c>
      <c r="P55" s="479">
        <f t="shared" si="1"/>
        <v>33.828926905132192</v>
      </c>
    </row>
    <row r="56" spans="1:16" ht="13.5" thickBot="1" x14ac:dyDescent="0.25">
      <c r="A56" s="682"/>
      <c r="B56" s="260">
        <v>630</v>
      </c>
      <c r="C56" s="76" t="s">
        <v>69</v>
      </c>
      <c r="D56" s="261"/>
      <c r="E56" s="261"/>
      <c r="F56" s="261"/>
      <c r="G56" s="261"/>
      <c r="H56" s="261">
        <v>2441</v>
      </c>
      <c r="I56" s="76">
        <v>1903</v>
      </c>
      <c r="J56" s="56">
        <v>2598</v>
      </c>
      <c r="K56" s="56">
        <v>4335</v>
      </c>
      <c r="L56" s="72">
        <v>6362.15</v>
      </c>
      <c r="M56" s="628">
        <f>10117.77-827-3000-1000</f>
        <v>5290.77</v>
      </c>
      <c r="N56" s="45">
        <v>7500</v>
      </c>
      <c r="O56" s="588"/>
      <c r="P56" s="583">
        <f t="shared" si="1"/>
        <v>0</v>
      </c>
    </row>
    <row r="57" spans="1:16" x14ac:dyDescent="0.2">
      <c r="A57" s="682"/>
      <c r="B57" s="259">
        <v>600</v>
      </c>
      <c r="C57" s="18" t="s">
        <v>97</v>
      </c>
      <c r="D57" s="83"/>
      <c r="E57" s="83"/>
      <c r="F57" s="83"/>
      <c r="G57" s="83"/>
      <c r="H57" s="83"/>
      <c r="I57" s="18">
        <v>9190</v>
      </c>
      <c r="J57" s="83">
        <v>6912</v>
      </c>
      <c r="K57" s="83">
        <v>9446</v>
      </c>
      <c r="L57" s="83">
        <v>4778.18</v>
      </c>
      <c r="M57" s="371">
        <v>8683.39</v>
      </c>
      <c r="N57" s="20">
        <v>26000</v>
      </c>
      <c r="O57" s="477">
        <v>34595.32</v>
      </c>
      <c r="P57" s="485">
        <f t="shared" si="1"/>
        <v>133.05892307692309</v>
      </c>
    </row>
    <row r="58" spans="1:16" hidden="1" x14ac:dyDescent="0.2">
      <c r="A58" s="682"/>
      <c r="B58" s="259">
        <v>600</v>
      </c>
      <c r="C58" s="18" t="s">
        <v>98</v>
      </c>
      <c r="D58" s="83"/>
      <c r="E58" s="83"/>
      <c r="F58" s="83"/>
      <c r="G58" s="83"/>
      <c r="H58" s="83"/>
      <c r="I58" s="18">
        <v>2000</v>
      </c>
      <c r="J58" s="83"/>
      <c r="K58" s="83"/>
      <c r="L58" s="83"/>
      <c r="M58" s="506"/>
      <c r="N58" s="24"/>
      <c r="O58" s="478"/>
      <c r="P58" s="479">
        <f t="shared" si="1"/>
        <v>0</v>
      </c>
    </row>
    <row r="59" spans="1:16" x14ac:dyDescent="0.2">
      <c r="A59" s="682"/>
      <c r="B59" s="259">
        <v>600</v>
      </c>
      <c r="C59" s="22" t="s">
        <v>99</v>
      </c>
      <c r="D59" s="84"/>
      <c r="E59" s="84"/>
      <c r="F59" s="84"/>
      <c r="G59" s="84"/>
      <c r="H59" s="84"/>
      <c r="I59" s="22">
        <v>10000</v>
      </c>
      <c r="J59" s="84">
        <v>1500</v>
      </c>
      <c r="K59" s="84">
        <v>370</v>
      </c>
      <c r="L59" s="84">
        <v>592.20000000000005</v>
      </c>
      <c r="M59" s="507">
        <v>1220</v>
      </c>
      <c r="N59" s="24"/>
      <c r="O59" s="478"/>
      <c r="P59" s="479">
        <f t="shared" si="1"/>
        <v>0</v>
      </c>
    </row>
    <row r="60" spans="1:16" x14ac:dyDescent="0.2">
      <c r="A60" s="682"/>
      <c r="B60" s="259">
        <v>600</v>
      </c>
      <c r="C60" s="22" t="s">
        <v>179</v>
      </c>
      <c r="D60" s="84"/>
      <c r="E60" s="84"/>
      <c r="F60" s="84"/>
      <c r="G60" s="84"/>
      <c r="H60" s="84"/>
      <c r="I60" s="22">
        <v>1871</v>
      </c>
      <c r="J60" s="84">
        <v>2416</v>
      </c>
      <c r="K60" s="84">
        <v>4274</v>
      </c>
      <c r="L60" s="84">
        <v>2000</v>
      </c>
      <c r="M60" s="507">
        <v>3500</v>
      </c>
      <c r="N60" s="24">
        <v>5000</v>
      </c>
      <c r="O60" s="478"/>
      <c r="P60" s="479">
        <f t="shared" si="1"/>
        <v>0</v>
      </c>
    </row>
    <row r="61" spans="1:16" x14ac:dyDescent="0.2">
      <c r="A61" s="682"/>
      <c r="B61" s="259">
        <v>600</v>
      </c>
      <c r="C61" s="22" t="s">
        <v>100</v>
      </c>
      <c r="D61" s="84"/>
      <c r="E61" s="84"/>
      <c r="F61" s="84"/>
      <c r="G61" s="84"/>
      <c r="H61" s="84"/>
      <c r="I61" s="22">
        <v>3240</v>
      </c>
      <c r="J61" s="84">
        <v>832</v>
      </c>
      <c r="K61" s="84">
        <v>1493</v>
      </c>
      <c r="L61" s="84">
        <v>1232</v>
      </c>
      <c r="M61" s="507">
        <v>1000</v>
      </c>
      <c r="N61" s="24">
        <v>2000</v>
      </c>
      <c r="O61" s="478"/>
      <c r="P61" s="479">
        <f t="shared" si="1"/>
        <v>0</v>
      </c>
    </row>
    <row r="62" spans="1:16" x14ac:dyDescent="0.2">
      <c r="A62" s="682"/>
      <c r="B62" s="259">
        <v>600</v>
      </c>
      <c r="C62" s="22" t="s">
        <v>30</v>
      </c>
      <c r="D62" s="84"/>
      <c r="E62" s="84"/>
      <c r="F62" s="84"/>
      <c r="G62" s="84"/>
      <c r="H62" s="84"/>
      <c r="I62" s="22">
        <v>7924</v>
      </c>
      <c r="J62" s="84">
        <v>11969</v>
      </c>
      <c r="K62" s="84">
        <v>11202</v>
      </c>
      <c r="L62" s="84">
        <v>15790.12</v>
      </c>
      <c r="M62" s="507">
        <v>6364.23</v>
      </c>
      <c r="N62" s="24">
        <v>26300</v>
      </c>
      <c r="O62" s="477">
        <v>23781</v>
      </c>
      <c r="P62" s="485">
        <f t="shared" si="1"/>
        <v>90.422053231939159</v>
      </c>
    </row>
    <row r="63" spans="1:16" hidden="1" x14ac:dyDescent="0.2">
      <c r="A63" s="682"/>
      <c r="B63" s="259">
        <v>600</v>
      </c>
      <c r="C63" s="22" t="s">
        <v>101</v>
      </c>
      <c r="D63" s="84"/>
      <c r="E63" s="84"/>
      <c r="F63" s="84"/>
      <c r="G63" s="84"/>
      <c r="H63" s="84"/>
      <c r="I63" s="22"/>
      <c r="J63" s="84">
        <v>4512</v>
      </c>
      <c r="K63" s="84">
        <v>5000</v>
      </c>
      <c r="L63" s="84"/>
      <c r="M63" s="512"/>
      <c r="N63" s="112"/>
      <c r="O63" s="478"/>
      <c r="P63" s="479">
        <f t="shared" si="1"/>
        <v>0</v>
      </c>
    </row>
    <row r="64" spans="1:16" hidden="1" x14ac:dyDescent="0.2">
      <c r="A64" s="682"/>
      <c r="B64" s="259">
        <v>600</v>
      </c>
      <c r="C64" s="262" t="s">
        <v>102</v>
      </c>
      <c r="D64" s="84"/>
      <c r="E64" s="84"/>
      <c r="F64" s="84"/>
      <c r="G64" s="84"/>
      <c r="H64" s="84"/>
      <c r="I64" s="22"/>
      <c r="J64" s="84">
        <v>6450</v>
      </c>
      <c r="K64" s="83"/>
      <c r="L64" s="84"/>
      <c r="M64" s="507"/>
      <c r="N64" s="112"/>
      <c r="O64" s="478"/>
      <c r="P64" s="479">
        <f t="shared" si="1"/>
        <v>0</v>
      </c>
    </row>
    <row r="65" spans="1:18" ht="13.5" thickBot="1" x14ac:dyDescent="0.25">
      <c r="A65" s="683"/>
      <c r="B65" s="785">
        <v>600</v>
      </c>
      <c r="C65" s="43" t="s">
        <v>103</v>
      </c>
      <c r="D65" s="197"/>
      <c r="E65" s="197"/>
      <c r="F65" s="197"/>
      <c r="G65" s="197"/>
      <c r="H65" s="197"/>
      <c r="I65" s="107"/>
      <c r="J65" s="107"/>
      <c r="K65" s="261"/>
      <c r="L65" s="261">
        <v>2000</v>
      </c>
      <c r="M65" s="513">
        <v>2000</v>
      </c>
      <c r="N65" s="484"/>
      <c r="O65" s="492"/>
      <c r="P65" s="519">
        <f t="shared" si="1"/>
        <v>0</v>
      </c>
    </row>
    <row r="66" spans="1:18" ht="15.75" thickBot="1" x14ac:dyDescent="0.3">
      <c r="A66" s="199" t="s">
        <v>104</v>
      </c>
      <c r="B66" s="676" t="s">
        <v>105</v>
      </c>
      <c r="C66" s="640"/>
      <c r="D66" s="200">
        <v>16132</v>
      </c>
      <c r="E66" s="200">
        <v>16995</v>
      </c>
      <c r="F66" s="200">
        <v>21045</v>
      </c>
      <c r="G66" s="200">
        <v>23225</v>
      </c>
      <c r="H66" s="200">
        <v>22830</v>
      </c>
      <c r="I66" s="265">
        <v>22296</v>
      </c>
      <c r="J66" s="265">
        <v>33352</v>
      </c>
      <c r="K66" s="63">
        <v>37492</v>
      </c>
      <c r="L66" s="201">
        <v>38137.74</v>
      </c>
      <c r="M66" s="508">
        <v>48253.93</v>
      </c>
      <c r="N66" s="99">
        <v>44345</v>
      </c>
      <c r="O66" s="587">
        <v>65222.28</v>
      </c>
      <c r="P66" s="582">
        <f t="shared" si="1"/>
        <v>147.07921975420001</v>
      </c>
    </row>
    <row r="67" spans="1:18" ht="13.5" hidden="1" thickBot="1" x14ac:dyDescent="0.25">
      <c r="A67" s="681"/>
      <c r="B67" s="266" t="s">
        <v>106</v>
      </c>
      <c r="C67" s="122" t="s">
        <v>67</v>
      </c>
      <c r="D67" s="203"/>
      <c r="E67" s="203"/>
      <c r="F67" s="203"/>
      <c r="G67" s="203"/>
      <c r="H67" s="203"/>
      <c r="I67" s="122"/>
      <c r="J67" s="122"/>
      <c r="K67" s="81"/>
      <c r="L67" s="81"/>
      <c r="M67" s="123"/>
      <c r="N67" s="19">
        <v>17307</v>
      </c>
      <c r="O67" s="477"/>
      <c r="P67" s="485">
        <f t="shared" si="1"/>
        <v>0</v>
      </c>
    </row>
    <row r="68" spans="1:18" ht="13.5" hidden="1" thickBot="1" x14ac:dyDescent="0.25">
      <c r="A68" s="682"/>
      <c r="B68" s="267" t="s">
        <v>106</v>
      </c>
      <c r="C68" s="22" t="s">
        <v>68</v>
      </c>
      <c r="D68" s="206"/>
      <c r="E68" s="206"/>
      <c r="F68" s="206"/>
      <c r="G68" s="206"/>
      <c r="H68" s="206"/>
      <c r="I68" s="22"/>
      <c r="J68" s="22"/>
      <c r="K68" s="84"/>
      <c r="L68" s="84"/>
      <c r="M68" s="126"/>
      <c r="N68" s="23">
        <v>6502</v>
      </c>
      <c r="O68" s="478"/>
      <c r="P68" s="479">
        <f t="shared" si="1"/>
        <v>0</v>
      </c>
    </row>
    <row r="69" spans="1:18" ht="13.5" hidden="1" thickBot="1" x14ac:dyDescent="0.25">
      <c r="A69" s="683"/>
      <c r="B69" s="240">
        <v>600</v>
      </c>
      <c r="C69" s="43" t="s">
        <v>69</v>
      </c>
      <c r="D69" s="145"/>
      <c r="E69" s="145"/>
      <c r="F69" s="145"/>
      <c r="G69" s="145"/>
      <c r="H69" s="145"/>
      <c r="I69" s="43"/>
      <c r="J69" s="43"/>
      <c r="K69" s="56"/>
      <c r="L69" s="56"/>
      <c r="M69" s="210"/>
      <c r="N69" s="28">
        <v>0</v>
      </c>
      <c r="O69" s="480"/>
      <c r="P69" s="481">
        <f t="shared" ref="P69:P132" si="12">IF(N69=0,0,O69/N69*100)</f>
        <v>0</v>
      </c>
    </row>
    <row r="70" spans="1:18" ht="15.75" thickBot="1" x14ac:dyDescent="0.3">
      <c r="A70" s="255" t="s">
        <v>153</v>
      </c>
      <c r="B70" s="693" t="s">
        <v>154</v>
      </c>
      <c r="C70" s="694"/>
      <c r="D70" s="257">
        <v>1016763</v>
      </c>
      <c r="E70" s="257">
        <v>271062</v>
      </c>
      <c r="F70" s="257">
        <v>471453</v>
      </c>
      <c r="G70" s="257">
        <v>456862</v>
      </c>
      <c r="H70" s="73">
        <f t="shared" ref="H70:M70" si="13">SUM(H71:H73)</f>
        <v>440003</v>
      </c>
      <c r="I70" s="73">
        <f t="shared" si="13"/>
        <v>428961</v>
      </c>
      <c r="J70" s="73">
        <f t="shared" si="13"/>
        <v>454364</v>
      </c>
      <c r="K70" s="73">
        <f t="shared" si="13"/>
        <v>445324</v>
      </c>
      <c r="L70" s="74">
        <f>SUM(L71:L73)</f>
        <v>440667.17</v>
      </c>
      <c r="M70" s="201">
        <f t="shared" si="13"/>
        <v>406831.45</v>
      </c>
      <c r="N70" s="99">
        <f>SUM(N71:N73)</f>
        <v>488580</v>
      </c>
      <c r="O70" s="587">
        <f>SUM(O71:O73)</f>
        <v>398077.16</v>
      </c>
      <c r="P70" s="582">
        <f t="shared" si="12"/>
        <v>81.476351876867653</v>
      </c>
    </row>
    <row r="71" spans="1:18" hidden="1" x14ac:dyDescent="0.2">
      <c r="A71" s="690"/>
      <c r="B71" s="202">
        <v>650</v>
      </c>
      <c r="C71" s="268" t="s">
        <v>85</v>
      </c>
      <c r="D71" s="269"/>
      <c r="E71" s="269"/>
      <c r="F71" s="269"/>
      <c r="G71" s="269"/>
      <c r="H71" s="245">
        <v>4585</v>
      </c>
      <c r="I71" s="270">
        <v>1644</v>
      </c>
      <c r="J71" s="268"/>
      <c r="K71" s="81"/>
      <c r="L71" s="371"/>
      <c r="M71" s="123"/>
      <c r="N71" s="19"/>
      <c r="O71" s="477"/>
      <c r="P71" s="485">
        <f t="shared" si="12"/>
        <v>0</v>
      </c>
    </row>
    <row r="72" spans="1:18" x14ac:dyDescent="0.2">
      <c r="A72" s="691"/>
      <c r="B72" s="267" t="s">
        <v>137</v>
      </c>
      <c r="C72" s="271" t="s">
        <v>107</v>
      </c>
      <c r="D72" s="272"/>
      <c r="E72" s="272"/>
      <c r="F72" s="272"/>
      <c r="G72" s="272"/>
      <c r="H72" s="214">
        <v>7659</v>
      </c>
      <c r="I72" s="273">
        <v>5301</v>
      </c>
      <c r="J72" s="214">
        <v>3974</v>
      </c>
      <c r="K72" s="274">
        <v>3974</v>
      </c>
      <c r="L72" s="156">
        <v>3974.17</v>
      </c>
      <c r="M72" s="126">
        <v>4974.0200000000004</v>
      </c>
      <c r="N72" s="23">
        <v>3636</v>
      </c>
      <c r="O72" s="478">
        <v>3974.17</v>
      </c>
      <c r="P72" s="479">
        <f t="shared" si="12"/>
        <v>109.30060506050606</v>
      </c>
    </row>
    <row r="73" spans="1:18" ht="13.5" thickBot="1" x14ac:dyDescent="0.25">
      <c r="A73" s="692"/>
      <c r="B73" s="207">
        <v>640</v>
      </c>
      <c r="C73" s="275" t="s">
        <v>418</v>
      </c>
      <c r="D73" s="56"/>
      <c r="E73" s="56"/>
      <c r="F73" s="56"/>
      <c r="G73" s="56"/>
      <c r="H73" s="145">
        <v>427759</v>
      </c>
      <c r="I73" s="276">
        <v>422016</v>
      </c>
      <c r="J73" s="145">
        <v>450390</v>
      </c>
      <c r="K73" s="277">
        <v>441350</v>
      </c>
      <c r="L73" s="146">
        <v>436693</v>
      </c>
      <c r="M73" s="499">
        <v>401857.43</v>
      </c>
      <c r="N73" s="264">
        <v>484944</v>
      </c>
      <c r="O73" s="480">
        <v>394102.99</v>
      </c>
      <c r="P73" s="481">
        <f t="shared" si="12"/>
        <v>81.267731944306959</v>
      </c>
      <c r="Q73" s="476"/>
    </row>
    <row r="74" spans="1:18" ht="15.75" hidden="1" thickBot="1" x14ac:dyDescent="0.3">
      <c r="A74" s="278" t="s">
        <v>108</v>
      </c>
      <c r="B74" s="697" t="s">
        <v>26</v>
      </c>
      <c r="C74" s="698"/>
      <c r="D74" s="279"/>
      <c r="E74" s="279"/>
      <c r="F74" s="279"/>
      <c r="G74" s="279"/>
      <c r="H74" s="279"/>
      <c r="I74" s="280">
        <v>0</v>
      </c>
      <c r="J74" s="280">
        <v>0</v>
      </c>
      <c r="K74" s="281">
        <f>K75</f>
        <v>0</v>
      </c>
      <c r="L74" s="282"/>
      <c r="M74" s="282">
        <f>M75</f>
        <v>0</v>
      </c>
      <c r="N74" s="486">
        <v>0</v>
      </c>
      <c r="O74" s="483"/>
      <c r="P74" s="487">
        <f t="shared" si="12"/>
        <v>0</v>
      </c>
    </row>
    <row r="75" spans="1:18" ht="15.75" hidden="1" thickBot="1" x14ac:dyDescent="0.3">
      <c r="A75" s="218"/>
      <c r="B75" s="260">
        <v>630</v>
      </c>
      <c r="C75" s="283" t="s">
        <v>109</v>
      </c>
      <c r="D75" s="284"/>
      <c r="E75" s="284"/>
      <c r="F75" s="284"/>
      <c r="G75" s="284"/>
      <c r="H75" s="284"/>
      <c r="I75" s="285" t="s">
        <v>110</v>
      </c>
      <c r="J75" s="285" t="s">
        <v>110</v>
      </c>
      <c r="K75" s="261"/>
      <c r="L75" s="254"/>
      <c r="M75" s="254"/>
      <c r="N75" s="78"/>
      <c r="O75" s="482"/>
      <c r="P75" s="488">
        <f t="shared" si="12"/>
        <v>0</v>
      </c>
    </row>
    <row r="76" spans="1:18" ht="15.75" thickBot="1" x14ac:dyDescent="0.3">
      <c r="A76" s="255" t="s">
        <v>150</v>
      </c>
      <c r="B76" s="693" t="s">
        <v>111</v>
      </c>
      <c r="C76" s="694"/>
      <c r="D76" s="257">
        <v>11817</v>
      </c>
      <c r="E76" s="257">
        <v>11784</v>
      </c>
      <c r="F76" s="257">
        <v>12315</v>
      </c>
      <c r="G76" s="257">
        <v>20259</v>
      </c>
      <c r="H76" s="73">
        <f t="shared" ref="H76:M76" si="14">SUM(H77:H80)</f>
        <v>14522</v>
      </c>
      <c r="I76" s="73">
        <f t="shared" si="14"/>
        <v>159820</v>
      </c>
      <c r="J76" s="73">
        <f t="shared" si="14"/>
        <v>64721</v>
      </c>
      <c r="K76" s="73">
        <f t="shared" si="14"/>
        <v>10450</v>
      </c>
      <c r="L76" s="74">
        <f t="shared" si="14"/>
        <v>10682.39</v>
      </c>
      <c r="M76" s="74">
        <f t="shared" si="14"/>
        <v>9819.23</v>
      </c>
      <c r="N76" s="384">
        <v>8729</v>
      </c>
      <c r="O76" s="587">
        <f>SUM(O77:O80)</f>
        <v>9873.75</v>
      </c>
      <c r="P76" s="582">
        <f t="shared" si="12"/>
        <v>113.11433153854966</v>
      </c>
      <c r="R76" s="476"/>
    </row>
    <row r="77" spans="1:18" x14ac:dyDescent="0.2">
      <c r="A77" s="681"/>
      <c r="B77" s="216">
        <v>610</v>
      </c>
      <c r="C77" s="38" t="s">
        <v>67</v>
      </c>
      <c r="D77" s="150"/>
      <c r="E77" s="150">
        <v>7435</v>
      </c>
      <c r="F77" s="150">
        <v>7170</v>
      </c>
      <c r="G77" s="150">
        <v>13170</v>
      </c>
      <c r="H77" s="150">
        <v>9057</v>
      </c>
      <c r="I77" s="38">
        <v>7158</v>
      </c>
      <c r="J77" s="39">
        <v>7062</v>
      </c>
      <c r="K77" s="39">
        <v>6902</v>
      </c>
      <c r="L77" s="143">
        <v>7013.99</v>
      </c>
      <c r="M77" s="143">
        <v>6670.5</v>
      </c>
      <c r="N77" s="87">
        <v>5594</v>
      </c>
      <c r="O77" s="477">
        <v>6756.74</v>
      </c>
      <c r="P77" s="485">
        <f t="shared" si="12"/>
        <v>120.78548444762245</v>
      </c>
    </row>
    <row r="78" spans="1:18" x14ac:dyDescent="0.2">
      <c r="A78" s="682"/>
      <c r="B78" s="217">
        <v>620</v>
      </c>
      <c r="C78" s="40" t="s">
        <v>68</v>
      </c>
      <c r="D78" s="228"/>
      <c r="E78" s="228">
        <v>2722</v>
      </c>
      <c r="F78" s="228">
        <v>2589</v>
      </c>
      <c r="G78" s="228">
        <v>4447</v>
      </c>
      <c r="H78" s="228">
        <v>3981</v>
      </c>
      <c r="I78" s="40">
        <v>2874</v>
      </c>
      <c r="J78" s="41">
        <v>2706</v>
      </c>
      <c r="K78" s="41">
        <v>2594</v>
      </c>
      <c r="L78" s="106">
        <v>2904.51</v>
      </c>
      <c r="M78" s="106">
        <v>2212.12</v>
      </c>
      <c r="N78" s="24">
        <v>2135</v>
      </c>
      <c r="O78" s="478">
        <v>2382.5100000000002</v>
      </c>
      <c r="P78" s="479">
        <f t="shared" si="12"/>
        <v>111.59297423887588</v>
      </c>
    </row>
    <row r="79" spans="1:18" x14ac:dyDescent="0.2">
      <c r="A79" s="682"/>
      <c r="B79" s="217">
        <v>630</v>
      </c>
      <c r="C79" s="40" t="s">
        <v>69</v>
      </c>
      <c r="D79" s="228"/>
      <c r="E79" s="228">
        <v>1627</v>
      </c>
      <c r="F79" s="228">
        <v>2556</v>
      </c>
      <c r="G79" s="228">
        <v>2642</v>
      </c>
      <c r="H79" s="228">
        <v>1484</v>
      </c>
      <c r="I79" s="40">
        <v>1204</v>
      </c>
      <c r="J79" s="41">
        <v>1574</v>
      </c>
      <c r="K79" s="41">
        <v>954</v>
      </c>
      <c r="L79" s="106">
        <v>763.89</v>
      </c>
      <c r="M79" s="106">
        <v>936.61</v>
      </c>
      <c r="N79" s="24">
        <v>1000</v>
      </c>
      <c r="O79" s="478">
        <v>734.5</v>
      </c>
      <c r="P79" s="479">
        <f t="shared" si="12"/>
        <v>73.45</v>
      </c>
    </row>
    <row r="80" spans="1:18" ht="13.5" thickBot="1" x14ac:dyDescent="0.25">
      <c r="A80" s="683"/>
      <c r="B80" s="240">
        <v>600</v>
      </c>
      <c r="C80" s="286" t="s">
        <v>112</v>
      </c>
      <c r="D80" s="287"/>
      <c r="E80" s="287"/>
      <c r="F80" s="287"/>
      <c r="G80" s="287"/>
      <c r="H80" s="287"/>
      <c r="I80" s="286">
        <v>148584</v>
      </c>
      <c r="J80" s="288">
        <v>53379</v>
      </c>
      <c r="K80" s="56"/>
      <c r="L80" s="289"/>
      <c r="M80" s="289"/>
      <c r="N80" s="45"/>
      <c r="O80" s="480"/>
      <c r="P80" s="481">
        <f t="shared" si="12"/>
        <v>0</v>
      </c>
    </row>
    <row r="81" spans="1:16" ht="15.75" thickBot="1" x14ac:dyDescent="0.3">
      <c r="A81" s="290" t="s">
        <v>39</v>
      </c>
      <c r="B81" s="727" t="s">
        <v>139</v>
      </c>
      <c r="C81" s="728"/>
      <c r="D81" s="200">
        <v>11518</v>
      </c>
      <c r="E81" s="200">
        <v>13012</v>
      </c>
      <c r="F81" s="200">
        <v>13643</v>
      </c>
      <c r="G81" s="200">
        <v>15109</v>
      </c>
      <c r="H81" s="200">
        <v>14271</v>
      </c>
      <c r="I81" s="63">
        <f>SUM(I82:I84)</f>
        <v>14580</v>
      </c>
      <c r="J81" s="63">
        <f>SUM(J82:J84)</f>
        <v>13755</v>
      </c>
      <c r="K81" s="63">
        <f>SUM(K82:K84)</f>
        <v>12987</v>
      </c>
      <c r="L81" s="201">
        <f>SUM(L82:L84)</f>
        <v>12440.38</v>
      </c>
      <c r="M81" s="201">
        <f>SUM(M82:M85)</f>
        <v>12085.220000000001</v>
      </c>
      <c r="N81" s="99">
        <v>14650</v>
      </c>
      <c r="O81" s="587">
        <f>SUM(O82:O84)</f>
        <v>14820</v>
      </c>
      <c r="P81" s="582">
        <f t="shared" si="12"/>
        <v>101.16040955631401</v>
      </c>
    </row>
    <row r="82" spans="1:16" x14ac:dyDescent="0.2">
      <c r="A82" s="681"/>
      <c r="B82" s="216">
        <v>610</v>
      </c>
      <c r="C82" s="38" t="s">
        <v>67</v>
      </c>
      <c r="D82" s="150"/>
      <c r="E82" s="150">
        <v>8099</v>
      </c>
      <c r="F82" s="150">
        <v>8597</v>
      </c>
      <c r="G82" s="150">
        <v>9417</v>
      </c>
      <c r="H82" s="150">
        <v>9528</v>
      </c>
      <c r="I82" s="38">
        <v>9523</v>
      </c>
      <c r="J82" s="39">
        <v>8900</v>
      </c>
      <c r="K82" s="39">
        <v>8730</v>
      </c>
      <c r="L82" s="190">
        <v>8356.07</v>
      </c>
      <c r="M82" s="190">
        <v>8369.9699999999993</v>
      </c>
      <c r="N82" s="87">
        <v>10300</v>
      </c>
      <c r="O82" s="477">
        <v>10167.75</v>
      </c>
      <c r="P82" s="485">
        <f t="shared" si="12"/>
        <v>98.716019417475735</v>
      </c>
    </row>
    <row r="83" spans="1:16" x14ac:dyDescent="0.2">
      <c r="A83" s="682"/>
      <c r="B83" s="217">
        <v>620</v>
      </c>
      <c r="C83" s="40" t="s">
        <v>68</v>
      </c>
      <c r="D83" s="228"/>
      <c r="E83" s="228">
        <v>2855</v>
      </c>
      <c r="F83" s="228">
        <v>3220</v>
      </c>
      <c r="G83" s="228">
        <v>3567</v>
      </c>
      <c r="H83" s="228">
        <v>3607</v>
      </c>
      <c r="I83" s="40">
        <v>3617</v>
      </c>
      <c r="J83" s="41">
        <v>3393</v>
      </c>
      <c r="K83" s="41">
        <v>3330</v>
      </c>
      <c r="L83" s="192">
        <v>3406.87</v>
      </c>
      <c r="M83" s="192">
        <v>2973.01</v>
      </c>
      <c r="N83" s="24">
        <v>3900</v>
      </c>
      <c r="O83" s="478">
        <v>3841.92</v>
      </c>
      <c r="P83" s="479">
        <f t="shared" si="12"/>
        <v>98.510769230769242</v>
      </c>
    </row>
    <row r="84" spans="1:16" ht="13.5" thickBot="1" x14ac:dyDescent="0.25">
      <c r="A84" s="682"/>
      <c r="B84" s="297">
        <v>630</v>
      </c>
      <c r="C84" s="44" t="s">
        <v>69</v>
      </c>
      <c r="D84" s="145"/>
      <c r="E84" s="145">
        <v>2058</v>
      </c>
      <c r="F84" s="145">
        <v>1826</v>
      </c>
      <c r="G84" s="145">
        <v>2125</v>
      </c>
      <c r="H84" s="145">
        <v>1136</v>
      </c>
      <c r="I84" s="43">
        <v>1440</v>
      </c>
      <c r="J84" s="56">
        <v>1462</v>
      </c>
      <c r="K84" s="69">
        <v>927</v>
      </c>
      <c r="L84" s="241">
        <v>677.44</v>
      </c>
      <c r="M84" s="106">
        <v>629.37</v>
      </c>
      <c r="N84" s="24">
        <v>450</v>
      </c>
      <c r="O84" s="478">
        <v>810.33</v>
      </c>
      <c r="P84" s="479">
        <f t="shared" si="12"/>
        <v>180.07333333333335</v>
      </c>
    </row>
    <row r="85" spans="1:16" ht="13.5" thickBot="1" x14ac:dyDescent="0.25">
      <c r="A85" s="683"/>
      <c r="B85" s="240">
        <v>640</v>
      </c>
      <c r="C85" s="43" t="s">
        <v>70</v>
      </c>
      <c r="D85" s="252"/>
      <c r="E85" s="252"/>
      <c r="F85" s="252"/>
      <c r="G85" s="252"/>
      <c r="H85" s="252"/>
      <c r="I85" s="107"/>
      <c r="J85" s="197"/>
      <c r="K85" s="229"/>
      <c r="L85" s="509"/>
      <c r="M85" s="509">
        <v>112.87</v>
      </c>
      <c r="N85" s="66"/>
      <c r="O85" s="482"/>
      <c r="P85" s="488">
        <f t="shared" si="12"/>
        <v>0</v>
      </c>
    </row>
    <row r="86" spans="1:16" ht="15.75" thickBot="1" x14ac:dyDescent="0.3">
      <c r="A86" s="255" t="s">
        <v>389</v>
      </c>
      <c r="B86" s="699" t="s">
        <v>390</v>
      </c>
      <c r="C86" s="649"/>
      <c r="D86" s="257">
        <v>0</v>
      </c>
      <c r="E86" s="257">
        <v>221337</v>
      </c>
      <c r="F86" s="257">
        <v>136394</v>
      </c>
      <c r="G86" s="257">
        <v>214824</v>
      </c>
      <c r="H86" s="257">
        <v>646088</v>
      </c>
      <c r="I86" s="63">
        <f>SUM(I92:I104)</f>
        <v>152165</v>
      </c>
      <c r="J86" s="63">
        <f>SUM(J92:J104)</f>
        <v>173492</v>
      </c>
      <c r="K86" s="63">
        <f>SUM(K92:K104)</f>
        <v>219663</v>
      </c>
      <c r="L86" s="201">
        <f t="shared" ref="L86:O86" si="15">SUM(L87:L104)</f>
        <v>485501.09</v>
      </c>
      <c r="M86" s="201">
        <f t="shared" si="15"/>
        <v>315963.52000000002</v>
      </c>
      <c r="N86" s="99">
        <f t="shared" si="15"/>
        <v>323572</v>
      </c>
      <c r="O86" s="587">
        <f t="shared" si="15"/>
        <v>306308.77</v>
      </c>
      <c r="P86" s="582">
        <f t="shared" si="12"/>
        <v>94.664794852459437</v>
      </c>
    </row>
    <row r="87" spans="1:16" ht="15" x14ac:dyDescent="0.25">
      <c r="A87" s="690"/>
      <c r="B87" s="216">
        <v>630</v>
      </c>
      <c r="C87" s="38" t="s">
        <v>266</v>
      </c>
      <c r="D87" s="291"/>
      <c r="E87" s="291"/>
      <c r="F87" s="291"/>
      <c r="G87" s="291"/>
      <c r="H87" s="291"/>
      <c r="I87" s="292"/>
      <c r="J87" s="292"/>
      <c r="K87" s="292"/>
      <c r="L87" s="204">
        <v>164829</v>
      </c>
      <c r="M87" s="110">
        <v>115488</v>
      </c>
      <c r="N87" s="135">
        <v>90000</v>
      </c>
      <c r="O87" s="477">
        <v>98750</v>
      </c>
      <c r="P87" s="485">
        <f t="shared" si="12"/>
        <v>109.72222222222223</v>
      </c>
    </row>
    <row r="88" spans="1:16" ht="14.25" customHeight="1" x14ac:dyDescent="0.25">
      <c r="A88" s="691"/>
      <c r="B88" s="217"/>
      <c r="C88" s="40" t="s">
        <v>3</v>
      </c>
      <c r="D88" s="293"/>
      <c r="E88" s="293"/>
      <c r="F88" s="293"/>
      <c r="G88" s="293"/>
      <c r="H88" s="293"/>
      <c r="I88" s="294"/>
      <c r="J88" s="294"/>
      <c r="K88" s="294"/>
      <c r="L88" s="123">
        <v>9696.5400000000009</v>
      </c>
      <c r="M88" s="514"/>
      <c r="N88" s="19">
        <v>15000</v>
      </c>
      <c r="O88" s="478">
        <v>17446.490000000002</v>
      </c>
      <c r="P88" s="479">
        <f t="shared" si="12"/>
        <v>116.30993333333335</v>
      </c>
    </row>
    <row r="89" spans="1:16" ht="15" hidden="1" x14ac:dyDescent="0.25">
      <c r="A89" s="691"/>
      <c r="B89" s="217"/>
      <c r="C89" s="44" t="s">
        <v>113</v>
      </c>
      <c r="D89" s="293"/>
      <c r="E89" s="293"/>
      <c r="F89" s="293"/>
      <c r="G89" s="293"/>
      <c r="H89" s="293"/>
      <c r="I89" s="294"/>
      <c r="J89" s="294"/>
      <c r="K89" s="294"/>
      <c r="L89" s="123">
        <v>9955.2999999999993</v>
      </c>
      <c r="M89" s="514"/>
      <c r="N89" s="295"/>
      <c r="O89" s="478"/>
      <c r="P89" s="479">
        <f t="shared" si="12"/>
        <v>0</v>
      </c>
    </row>
    <row r="90" spans="1:16" ht="15" hidden="1" x14ac:dyDescent="0.25">
      <c r="A90" s="691"/>
      <c r="B90" s="217"/>
      <c r="C90" s="44" t="s">
        <v>114</v>
      </c>
      <c r="D90" s="293"/>
      <c r="E90" s="293"/>
      <c r="F90" s="293"/>
      <c r="G90" s="293"/>
      <c r="H90" s="293"/>
      <c r="I90" s="294"/>
      <c r="J90" s="294"/>
      <c r="K90" s="294"/>
      <c r="L90" s="123">
        <v>11550</v>
      </c>
      <c r="M90" s="514"/>
      <c r="N90" s="295"/>
      <c r="O90" s="478"/>
      <c r="P90" s="479">
        <f t="shared" si="12"/>
        <v>0</v>
      </c>
    </row>
    <row r="91" spans="1:16" ht="15" hidden="1" x14ac:dyDescent="0.25">
      <c r="A91" s="691"/>
      <c r="B91" s="217"/>
      <c r="C91" s="40" t="s">
        <v>304</v>
      </c>
      <c r="D91" s="293"/>
      <c r="E91" s="293"/>
      <c r="F91" s="293"/>
      <c r="G91" s="293"/>
      <c r="H91" s="293"/>
      <c r="I91" s="294"/>
      <c r="J91" s="294"/>
      <c r="K91" s="294"/>
      <c r="L91" s="123">
        <v>11848</v>
      </c>
      <c r="M91" s="514"/>
      <c r="N91" s="295"/>
      <c r="O91" s="478"/>
      <c r="P91" s="479">
        <f t="shared" si="12"/>
        <v>0</v>
      </c>
    </row>
    <row r="92" spans="1:16" x14ac:dyDescent="0.2">
      <c r="A92" s="691"/>
      <c r="B92" s="296"/>
      <c r="C92" s="67" t="s">
        <v>115</v>
      </c>
      <c r="D92" s="53"/>
      <c r="E92" s="53"/>
      <c r="F92" s="53"/>
      <c r="G92" s="53"/>
      <c r="H92" s="53"/>
      <c r="I92" s="67"/>
      <c r="J92" s="53"/>
      <c r="K92" s="53"/>
      <c r="L92" s="110">
        <v>55733.87</v>
      </c>
      <c r="M92" s="510">
        <v>17376</v>
      </c>
      <c r="N92" s="20"/>
      <c r="O92" s="478"/>
      <c r="P92" s="479">
        <f t="shared" si="12"/>
        <v>0</v>
      </c>
    </row>
    <row r="93" spans="1:16" x14ac:dyDescent="0.2">
      <c r="A93" s="691"/>
      <c r="B93" s="297"/>
      <c r="C93" s="44" t="s">
        <v>373</v>
      </c>
      <c r="D93" s="69"/>
      <c r="E93" s="69"/>
      <c r="F93" s="69"/>
      <c r="G93" s="69"/>
      <c r="H93" s="69"/>
      <c r="I93" s="44"/>
      <c r="J93" s="69"/>
      <c r="K93" s="41"/>
      <c r="L93" s="192">
        <v>41848</v>
      </c>
      <c r="M93" s="192"/>
      <c r="N93" s="24">
        <v>1000</v>
      </c>
      <c r="O93" s="478"/>
      <c r="P93" s="479">
        <f t="shared" si="12"/>
        <v>0</v>
      </c>
    </row>
    <row r="94" spans="1:16" hidden="1" x14ac:dyDescent="0.2">
      <c r="A94" s="691"/>
      <c r="B94" s="297"/>
      <c r="C94" s="44"/>
      <c r="D94" s="69"/>
      <c r="E94" s="69"/>
      <c r="F94" s="69"/>
      <c r="G94" s="69"/>
      <c r="H94" s="69"/>
      <c r="I94" s="44"/>
      <c r="J94" s="69"/>
      <c r="K94" s="41"/>
      <c r="L94" s="24"/>
      <c r="M94" s="192"/>
      <c r="N94" s="24"/>
      <c r="O94" s="478"/>
      <c r="P94" s="479">
        <f t="shared" si="12"/>
        <v>0</v>
      </c>
    </row>
    <row r="95" spans="1:16" hidden="1" x14ac:dyDescent="0.2">
      <c r="A95" s="691"/>
      <c r="B95" s="297"/>
      <c r="C95" s="44"/>
      <c r="D95" s="69"/>
      <c r="E95" s="69"/>
      <c r="F95" s="69"/>
      <c r="G95" s="69"/>
      <c r="H95" s="69"/>
      <c r="I95" s="44"/>
      <c r="J95" s="69"/>
      <c r="K95" s="41"/>
      <c r="L95" s="24"/>
      <c r="M95" s="192"/>
      <c r="N95" s="24"/>
      <c r="O95" s="478"/>
      <c r="P95" s="479">
        <f t="shared" si="12"/>
        <v>0</v>
      </c>
    </row>
    <row r="96" spans="1:16" hidden="1" x14ac:dyDescent="0.2">
      <c r="A96" s="691"/>
      <c r="B96" s="297"/>
      <c r="C96" s="40"/>
      <c r="D96" s="41"/>
      <c r="E96" s="41"/>
      <c r="F96" s="41"/>
      <c r="G96" s="41"/>
      <c r="H96" s="41"/>
      <c r="I96" s="40"/>
      <c r="J96" s="41"/>
      <c r="K96" s="41"/>
      <c r="L96" s="24"/>
      <c r="M96" s="192"/>
      <c r="N96" s="24"/>
      <c r="O96" s="478"/>
      <c r="P96" s="479">
        <f t="shared" si="12"/>
        <v>0</v>
      </c>
    </row>
    <row r="97" spans="1:17" hidden="1" x14ac:dyDescent="0.2">
      <c r="A97" s="691"/>
      <c r="B97" s="297">
        <v>630</v>
      </c>
      <c r="C97" s="40" t="s">
        <v>116</v>
      </c>
      <c r="D97" s="41"/>
      <c r="E97" s="41"/>
      <c r="F97" s="41"/>
      <c r="G97" s="41"/>
      <c r="H97" s="41"/>
      <c r="I97" s="40">
        <v>800</v>
      </c>
      <c r="J97" s="41"/>
      <c r="K97" s="41"/>
      <c r="L97" s="24"/>
      <c r="M97" s="192"/>
      <c r="N97" s="24"/>
      <c r="O97" s="478"/>
      <c r="P97" s="479">
        <f t="shared" si="12"/>
        <v>0</v>
      </c>
    </row>
    <row r="98" spans="1:17" hidden="1" x14ac:dyDescent="0.2">
      <c r="A98" s="691"/>
      <c r="B98" s="297">
        <v>630</v>
      </c>
      <c r="C98" s="40" t="s">
        <v>117</v>
      </c>
      <c r="D98" s="41"/>
      <c r="E98" s="41"/>
      <c r="F98" s="41"/>
      <c r="G98" s="41"/>
      <c r="H98" s="41"/>
      <c r="I98" s="40">
        <v>2124</v>
      </c>
      <c r="J98" s="41">
        <v>1200</v>
      </c>
      <c r="K98" s="24">
        <f>25728+5970+25054</f>
        <v>56752</v>
      </c>
      <c r="L98" s="24"/>
      <c r="M98" s="192"/>
      <c r="N98" s="24"/>
      <c r="O98" s="478"/>
      <c r="P98" s="479">
        <f t="shared" si="12"/>
        <v>0</v>
      </c>
    </row>
    <row r="99" spans="1:17" x14ac:dyDescent="0.2">
      <c r="A99" s="691"/>
      <c r="B99" s="297">
        <v>630</v>
      </c>
      <c r="C99" s="40" t="s">
        <v>118</v>
      </c>
      <c r="D99" s="41"/>
      <c r="E99" s="41"/>
      <c r="F99" s="41"/>
      <c r="G99" s="41"/>
      <c r="H99" s="41"/>
      <c r="I99" s="40"/>
      <c r="J99" s="41">
        <v>22691</v>
      </c>
      <c r="K99" s="24">
        <v>859</v>
      </c>
      <c r="L99" s="24"/>
      <c r="M99" s="192">
        <f>500+274.55</f>
        <v>774.55</v>
      </c>
      <c r="N99" s="24"/>
      <c r="O99" s="478"/>
      <c r="P99" s="479">
        <f t="shared" si="12"/>
        <v>0</v>
      </c>
    </row>
    <row r="100" spans="1:17" x14ac:dyDescent="0.2">
      <c r="A100" s="691"/>
      <c r="B100" s="297">
        <v>630</v>
      </c>
      <c r="C100" s="40" t="s">
        <v>119</v>
      </c>
      <c r="D100" s="41"/>
      <c r="E100" s="41"/>
      <c r="F100" s="41"/>
      <c r="G100" s="41"/>
      <c r="H100" s="41"/>
      <c r="I100" s="40">
        <v>4435</v>
      </c>
      <c r="J100" s="41"/>
      <c r="K100" s="41">
        <v>0</v>
      </c>
      <c r="L100" s="192">
        <v>931.15</v>
      </c>
      <c r="M100" s="192">
        <v>7872</v>
      </c>
      <c r="N100" s="24">
        <v>8200</v>
      </c>
      <c r="O100" s="478">
        <f>6050.79+34.2+130.73</f>
        <v>6215.7199999999993</v>
      </c>
      <c r="P100" s="479">
        <f t="shared" si="12"/>
        <v>75.801463414634142</v>
      </c>
    </row>
    <row r="101" spans="1:17" hidden="1" x14ac:dyDescent="0.2">
      <c r="A101" s="691"/>
      <c r="B101" s="297">
        <v>630</v>
      </c>
      <c r="C101" s="44" t="s">
        <v>120</v>
      </c>
      <c r="D101" s="69"/>
      <c r="E101" s="69"/>
      <c r="F101" s="69"/>
      <c r="G101" s="69"/>
      <c r="H101" s="69"/>
      <c r="I101" s="44"/>
      <c r="J101" s="69"/>
      <c r="K101" s="69"/>
      <c r="L101" s="28"/>
      <c r="M101" s="210">
        <v>0</v>
      </c>
      <c r="N101" s="28"/>
      <c r="O101" s="478"/>
      <c r="P101" s="479">
        <f t="shared" si="12"/>
        <v>0</v>
      </c>
    </row>
    <row r="102" spans="1:17" hidden="1" x14ac:dyDescent="0.2">
      <c r="A102" s="691"/>
      <c r="B102" s="297">
        <v>630</v>
      </c>
      <c r="C102" s="44" t="s">
        <v>121</v>
      </c>
      <c r="D102" s="69"/>
      <c r="E102" s="69"/>
      <c r="F102" s="69"/>
      <c r="G102" s="69"/>
      <c r="H102" s="69"/>
      <c r="I102" s="44">
        <v>931</v>
      </c>
      <c r="J102" s="69">
        <v>0</v>
      </c>
      <c r="K102" s="69"/>
      <c r="L102" s="69"/>
      <c r="M102" s="241"/>
      <c r="N102" s="28"/>
      <c r="O102" s="478"/>
      <c r="P102" s="479">
        <f t="shared" si="12"/>
        <v>0</v>
      </c>
    </row>
    <row r="103" spans="1:17" x14ac:dyDescent="0.2">
      <c r="A103" s="691"/>
      <c r="B103" s="297">
        <v>630</v>
      </c>
      <c r="C103" s="44" t="s">
        <v>122</v>
      </c>
      <c r="D103" s="69"/>
      <c r="E103" s="69"/>
      <c r="F103" s="69"/>
      <c r="G103" s="69"/>
      <c r="H103" s="69"/>
      <c r="I103" s="40">
        <v>10805</v>
      </c>
      <c r="J103" s="41">
        <v>3148</v>
      </c>
      <c r="K103" s="69">
        <f>2890+1395+2974+8613+1646</f>
        <v>17518</v>
      </c>
      <c r="L103" s="210">
        <v>34575.230000000003</v>
      </c>
      <c r="M103" s="210">
        <v>22975.97</v>
      </c>
      <c r="N103" s="28">
        <v>54000</v>
      </c>
      <c r="O103" s="478">
        <v>28524.560000000001</v>
      </c>
      <c r="P103" s="479">
        <f t="shared" si="12"/>
        <v>52.82325925925926</v>
      </c>
    </row>
    <row r="104" spans="1:17" ht="13.5" thickBot="1" x14ac:dyDescent="0.25">
      <c r="A104" s="692"/>
      <c r="B104" s="240">
        <v>640</v>
      </c>
      <c r="C104" s="43" t="s">
        <v>123</v>
      </c>
      <c r="D104" s="56"/>
      <c r="E104" s="56">
        <v>217951</v>
      </c>
      <c r="F104" s="56">
        <v>132776</v>
      </c>
      <c r="G104" s="56">
        <v>141830</v>
      </c>
      <c r="H104" s="56">
        <v>137000</v>
      </c>
      <c r="I104" s="43">
        <v>133070</v>
      </c>
      <c r="J104" s="56">
        <v>146453</v>
      </c>
      <c r="K104" s="56">
        <v>144534</v>
      </c>
      <c r="L104" s="289">
        <v>144534</v>
      </c>
      <c r="M104" s="241">
        <v>151477</v>
      </c>
      <c r="N104" s="45">
        <v>155372</v>
      </c>
      <c r="O104" s="480">
        <v>155372</v>
      </c>
      <c r="P104" s="481">
        <f t="shared" si="12"/>
        <v>100</v>
      </c>
    </row>
    <row r="105" spans="1:17" ht="15.75" thickBot="1" x14ac:dyDescent="0.3">
      <c r="A105" s="199" t="s">
        <v>124</v>
      </c>
      <c r="B105" s="676" t="s">
        <v>138</v>
      </c>
      <c r="C105" s="640"/>
      <c r="D105" s="63">
        <f>D106</f>
        <v>10589</v>
      </c>
      <c r="E105" s="63">
        <f>E106</f>
        <v>11917</v>
      </c>
      <c r="F105" s="63">
        <f>F106</f>
        <v>11883</v>
      </c>
      <c r="G105" s="63">
        <f>G106</f>
        <v>4189</v>
      </c>
      <c r="H105" s="63">
        <v>5005</v>
      </c>
      <c r="I105" s="63">
        <f>I106</f>
        <v>5041</v>
      </c>
      <c r="J105" s="63">
        <f>J106</f>
        <v>5609</v>
      </c>
      <c r="K105" s="63">
        <f>K106</f>
        <v>6003</v>
      </c>
      <c r="L105" s="201">
        <v>3745.53</v>
      </c>
      <c r="M105" s="201">
        <f>M106</f>
        <v>5989.44</v>
      </c>
      <c r="N105" s="99">
        <v>6000</v>
      </c>
      <c r="O105" s="587">
        <f>O106</f>
        <v>5966.9</v>
      </c>
      <c r="P105" s="582">
        <f t="shared" si="12"/>
        <v>99.448333333333323</v>
      </c>
    </row>
    <row r="106" spans="1:17" ht="13.5" thickBot="1" x14ac:dyDescent="0.25">
      <c r="A106" s="298"/>
      <c r="B106" s="299"/>
      <c r="C106" s="70" t="s">
        <v>125</v>
      </c>
      <c r="D106" s="77">
        <v>10589</v>
      </c>
      <c r="E106" s="77">
        <v>11917</v>
      </c>
      <c r="F106" s="77">
        <v>11883</v>
      </c>
      <c r="G106" s="77">
        <v>4189</v>
      </c>
      <c r="H106" s="77">
        <v>5005</v>
      </c>
      <c r="I106" s="70">
        <v>5041</v>
      </c>
      <c r="J106" s="77">
        <v>5609</v>
      </c>
      <c r="K106" s="11">
        <v>6003</v>
      </c>
      <c r="L106" s="234">
        <v>3745.53</v>
      </c>
      <c r="M106" s="234">
        <v>5989.44</v>
      </c>
      <c r="N106" s="11">
        <v>6000</v>
      </c>
      <c r="O106" s="483">
        <v>5966.9</v>
      </c>
      <c r="P106" s="487">
        <f t="shared" si="12"/>
        <v>99.448333333333323</v>
      </c>
    </row>
    <row r="107" spans="1:17" ht="15.75" thickBot="1" x14ac:dyDescent="0.3">
      <c r="A107" s="255" t="s">
        <v>166</v>
      </c>
      <c r="B107" s="699" t="s">
        <v>165</v>
      </c>
      <c r="C107" s="649"/>
      <c r="D107" s="73">
        <f>D108</f>
        <v>0</v>
      </c>
      <c r="E107" s="73">
        <f>E108</f>
        <v>122817</v>
      </c>
      <c r="F107" s="73">
        <f>F108</f>
        <v>236905</v>
      </c>
      <c r="G107" s="73">
        <f>G108</f>
        <v>210760</v>
      </c>
      <c r="H107" s="73">
        <v>216000</v>
      </c>
      <c r="I107" s="73">
        <f>I108</f>
        <v>173560</v>
      </c>
      <c r="J107" s="73">
        <f>J108</f>
        <v>168880</v>
      </c>
      <c r="K107" s="73">
        <f>K108</f>
        <v>168880</v>
      </c>
      <c r="L107" s="74">
        <v>166668</v>
      </c>
      <c r="M107" s="74">
        <f>M108</f>
        <v>150364</v>
      </c>
      <c r="N107" s="384">
        <v>136000</v>
      </c>
      <c r="O107" s="587">
        <f>O108</f>
        <v>136000</v>
      </c>
      <c r="P107" s="582">
        <f t="shared" si="12"/>
        <v>100</v>
      </c>
    </row>
    <row r="108" spans="1:17" ht="13.5" thickBot="1" x14ac:dyDescent="0.25">
      <c r="A108" s="298"/>
      <c r="B108" s="299">
        <v>640</v>
      </c>
      <c r="C108" s="70" t="s">
        <v>126</v>
      </c>
      <c r="D108" s="77"/>
      <c r="E108" s="77">
        <v>122817</v>
      </c>
      <c r="F108" s="77">
        <v>236905</v>
      </c>
      <c r="G108" s="77">
        <v>210760</v>
      </c>
      <c r="H108" s="77">
        <v>216000</v>
      </c>
      <c r="I108" s="70">
        <v>173560</v>
      </c>
      <c r="J108" s="77">
        <v>168880</v>
      </c>
      <c r="K108" s="11">
        <v>168880</v>
      </c>
      <c r="L108" s="234">
        <v>166668</v>
      </c>
      <c r="M108" s="234">
        <v>150364</v>
      </c>
      <c r="N108" s="11">
        <v>136000</v>
      </c>
      <c r="O108" s="483">
        <v>136000</v>
      </c>
      <c r="P108" s="487">
        <f t="shared" si="12"/>
        <v>100</v>
      </c>
    </row>
    <row r="109" spans="1:17" ht="15.75" thickBot="1" x14ac:dyDescent="0.3">
      <c r="A109" s="255" t="s">
        <v>143</v>
      </c>
      <c r="B109" s="699" t="s">
        <v>127</v>
      </c>
      <c r="C109" s="649"/>
      <c r="D109" s="73">
        <v>0</v>
      </c>
      <c r="E109" s="73">
        <v>56430</v>
      </c>
      <c r="F109" s="73">
        <v>359789</v>
      </c>
      <c r="G109" s="73">
        <v>312928</v>
      </c>
      <c r="H109" s="73">
        <v>336361</v>
      </c>
      <c r="I109" s="73">
        <f t="shared" ref="I109:N109" si="16">SUM(I110:I115)</f>
        <v>283963</v>
      </c>
      <c r="J109" s="73">
        <f t="shared" si="16"/>
        <v>347786</v>
      </c>
      <c r="K109" s="73">
        <f t="shared" si="16"/>
        <v>268221</v>
      </c>
      <c r="L109" s="73">
        <f t="shared" si="16"/>
        <v>263798.23</v>
      </c>
      <c r="M109" s="74">
        <f t="shared" si="16"/>
        <v>287887.32</v>
      </c>
      <c r="N109" s="384">
        <f t="shared" si="16"/>
        <v>407097</v>
      </c>
      <c r="O109" s="587">
        <f>SUM(O110:O115)</f>
        <v>314491.48</v>
      </c>
      <c r="P109" s="582">
        <f t="shared" si="12"/>
        <v>77.252222443299743</v>
      </c>
      <c r="Q109" s="447"/>
    </row>
    <row r="110" spans="1:17" x14ac:dyDescent="0.2">
      <c r="A110" s="690"/>
      <c r="B110" s="216">
        <v>610</v>
      </c>
      <c r="C110" s="38" t="s">
        <v>67</v>
      </c>
      <c r="D110" s="39"/>
      <c r="E110" s="39"/>
      <c r="F110" s="39"/>
      <c r="G110" s="39"/>
      <c r="H110" s="39"/>
      <c r="I110" s="38">
        <v>264635</v>
      </c>
      <c r="J110" s="39">
        <v>24997</v>
      </c>
      <c r="K110" s="39">
        <v>24062</v>
      </c>
      <c r="L110" s="87">
        <v>22719.55</v>
      </c>
      <c r="M110" s="38">
        <v>28495.57</v>
      </c>
      <c r="N110" s="135">
        <v>28353</v>
      </c>
      <c r="O110" s="477">
        <v>28348.01</v>
      </c>
      <c r="P110" s="485">
        <f t="shared" si="12"/>
        <v>99.98240045145134</v>
      </c>
    </row>
    <row r="111" spans="1:17" x14ac:dyDescent="0.2">
      <c r="A111" s="691"/>
      <c r="B111" s="217">
        <v>620</v>
      </c>
      <c r="C111" s="40" t="s">
        <v>68</v>
      </c>
      <c r="D111" s="41"/>
      <c r="E111" s="41"/>
      <c r="F111" s="41"/>
      <c r="G111" s="41"/>
      <c r="H111" s="41"/>
      <c r="I111" s="40"/>
      <c r="J111" s="41">
        <v>9316</v>
      </c>
      <c r="K111" s="41">
        <v>8959</v>
      </c>
      <c r="L111" s="24">
        <v>9337.6200000000008</v>
      </c>
      <c r="M111" s="40">
        <v>10210.040000000001</v>
      </c>
      <c r="N111" s="23">
        <v>10594</v>
      </c>
      <c r="O111" s="478">
        <v>10765.88</v>
      </c>
      <c r="P111" s="479">
        <f t="shared" si="12"/>
        <v>101.6224277893147</v>
      </c>
    </row>
    <row r="112" spans="1:17" x14ac:dyDescent="0.2">
      <c r="A112" s="691"/>
      <c r="B112" s="217">
        <v>630</v>
      </c>
      <c r="C112" s="40" t="s">
        <v>69</v>
      </c>
      <c r="D112" s="41"/>
      <c r="E112" s="41"/>
      <c r="F112" s="41"/>
      <c r="G112" s="41"/>
      <c r="H112" s="41"/>
      <c r="I112" s="40"/>
      <c r="J112" s="41">
        <v>291329</v>
      </c>
      <c r="K112" s="41">
        <f>212898</f>
        <v>212898</v>
      </c>
      <c r="L112" s="24">
        <v>204427.59</v>
      </c>
      <c r="M112" s="40">
        <v>218239.71</v>
      </c>
      <c r="N112" s="23">
        <v>302158</v>
      </c>
      <c r="O112" s="478">
        <v>254385.59</v>
      </c>
      <c r="P112" s="479">
        <f t="shared" si="12"/>
        <v>84.189592862012589</v>
      </c>
    </row>
    <row r="113" spans="1:16" x14ac:dyDescent="0.2">
      <c r="A113" s="691"/>
      <c r="B113" s="191">
        <v>640</v>
      </c>
      <c r="C113" s="40" t="s">
        <v>70</v>
      </c>
      <c r="D113" s="41"/>
      <c r="E113" s="41"/>
      <c r="F113" s="41"/>
      <c r="G113" s="41"/>
      <c r="H113" s="41"/>
      <c r="I113" s="40"/>
      <c r="J113" s="41"/>
      <c r="K113" s="24">
        <v>158</v>
      </c>
      <c r="L113" s="24">
        <v>169.47</v>
      </c>
      <c r="M113" s="126">
        <v>0</v>
      </c>
      <c r="N113" s="23"/>
      <c r="O113" s="478"/>
      <c r="P113" s="479">
        <f t="shared" si="12"/>
        <v>0</v>
      </c>
    </row>
    <row r="114" spans="1:16" x14ac:dyDescent="0.2">
      <c r="A114" s="691"/>
      <c r="B114" s="191"/>
      <c r="C114" s="40" t="s">
        <v>398</v>
      </c>
      <c r="D114" s="41"/>
      <c r="E114" s="41"/>
      <c r="F114" s="41"/>
      <c r="G114" s="41"/>
      <c r="H114" s="41"/>
      <c r="I114" s="40"/>
      <c r="J114" s="41"/>
      <c r="K114" s="24"/>
      <c r="L114" s="24"/>
      <c r="M114" s="126"/>
      <c r="N114" s="23">
        <v>45000</v>
      </c>
      <c r="O114" s="478"/>
      <c r="P114" s="479">
        <f t="shared" si="12"/>
        <v>0</v>
      </c>
    </row>
    <row r="115" spans="1:16" ht="13.5" thickBot="1" x14ac:dyDescent="0.25">
      <c r="A115" s="692"/>
      <c r="B115" s="219">
        <v>640</v>
      </c>
      <c r="C115" s="107" t="s">
        <v>126</v>
      </c>
      <c r="D115" s="197"/>
      <c r="E115" s="197">
        <v>56430</v>
      </c>
      <c r="F115" s="197">
        <v>66388</v>
      </c>
      <c r="G115" s="197">
        <v>33070</v>
      </c>
      <c r="H115" s="197">
        <v>34000</v>
      </c>
      <c r="I115" s="107">
        <v>19328</v>
      </c>
      <c r="J115" s="197">
        <v>22144</v>
      </c>
      <c r="K115" s="72">
        <v>22144</v>
      </c>
      <c r="L115" s="72">
        <v>27144</v>
      </c>
      <c r="M115" s="518">
        <v>30942</v>
      </c>
      <c r="N115" s="72">
        <v>20992</v>
      </c>
      <c r="O115" s="482">
        <v>20992</v>
      </c>
      <c r="P115" s="481">
        <f t="shared" si="12"/>
        <v>100</v>
      </c>
    </row>
    <row r="116" spans="1:16" ht="15.75" thickBot="1" x14ac:dyDescent="0.3">
      <c r="A116" s="255" t="s">
        <v>37</v>
      </c>
      <c r="B116" s="699" t="s">
        <v>128</v>
      </c>
      <c r="C116" s="649"/>
      <c r="D116" s="73">
        <f t="shared" ref="D116:N116" si="17">SUM(D117:D120)</f>
        <v>398161</v>
      </c>
      <c r="E116" s="73">
        <f t="shared" si="17"/>
        <v>245269</v>
      </c>
      <c r="F116" s="73">
        <f t="shared" si="17"/>
        <v>266050</v>
      </c>
      <c r="G116" s="73">
        <f t="shared" si="17"/>
        <v>237941</v>
      </c>
      <c r="H116" s="73">
        <f t="shared" si="17"/>
        <v>273708</v>
      </c>
      <c r="I116" s="73">
        <f t="shared" si="17"/>
        <v>262675</v>
      </c>
      <c r="J116" s="73">
        <f t="shared" si="17"/>
        <v>162661</v>
      </c>
      <c r="K116" s="73">
        <f t="shared" si="17"/>
        <v>165913</v>
      </c>
      <c r="L116" s="74">
        <f t="shared" si="17"/>
        <v>173111</v>
      </c>
      <c r="M116" s="74">
        <f t="shared" si="17"/>
        <v>179007.07</v>
      </c>
      <c r="N116" s="73">
        <f t="shared" si="17"/>
        <v>214760</v>
      </c>
      <c r="O116" s="587">
        <f>SUM(O117:O120)</f>
        <v>207573.5</v>
      </c>
      <c r="P116" s="582">
        <f t="shared" si="12"/>
        <v>96.653706463028499</v>
      </c>
    </row>
    <row r="117" spans="1:16" x14ac:dyDescent="0.2">
      <c r="A117" s="681"/>
      <c r="B117" s="300"/>
      <c r="C117" s="38" t="s">
        <v>129</v>
      </c>
      <c r="D117" s="39">
        <v>373863</v>
      </c>
      <c r="E117" s="39">
        <v>211312</v>
      </c>
      <c r="F117" s="39">
        <v>220574</v>
      </c>
      <c r="G117" s="39">
        <v>190734</v>
      </c>
      <c r="H117" s="39">
        <v>216608</v>
      </c>
      <c r="I117" s="38">
        <v>202225</v>
      </c>
      <c r="J117" s="41">
        <v>118262</v>
      </c>
      <c r="K117" s="41">
        <v>116713</v>
      </c>
      <c r="L117" s="110">
        <v>116713</v>
      </c>
      <c r="M117" s="110">
        <v>132538</v>
      </c>
      <c r="N117" s="20">
        <v>117290</v>
      </c>
      <c r="O117" s="477">
        <v>117290</v>
      </c>
      <c r="P117" s="485">
        <f t="shared" si="12"/>
        <v>100</v>
      </c>
    </row>
    <row r="118" spans="1:16" x14ac:dyDescent="0.2">
      <c r="A118" s="682"/>
      <c r="B118" s="309"/>
      <c r="C118" s="40" t="s">
        <v>404</v>
      </c>
      <c r="D118" s="229"/>
      <c r="E118" s="229"/>
      <c r="F118" s="229"/>
      <c r="G118" s="229"/>
      <c r="H118" s="229"/>
      <c r="I118" s="137"/>
      <c r="J118" s="41"/>
      <c r="K118" s="41"/>
      <c r="L118" s="108"/>
      <c r="M118" s="192"/>
      <c r="N118" s="41">
        <v>57470</v>
      </c>
      <c r="O118" s="478"/>
      <c r="P118" s="479">
        <f t="shared" si="12"/>
        <v>0</v>
      </c>
    </row>
    <row r="119" spans="1:16" x14ac:dyDescent="0.2">
      <c r="A119" s="682"/>
      <c r="B119" s="301"/>
      <c r="C119" s="40" t="s">
        <v>411</v>
      </c>
      <c r="D119" s="229"/>
      <c r="E119" s="229"/>
      <c r="F119" s="229"/>
      <c r="G119" s="229"/>
      <c r="H119" s="229"/>
      <c r="I119" s="137"/>
      <c r="J119" s="41"/>
      <c r="K119" s="41"/>
      <c r="L119" s="108"/>
      <c r="M119" s="192">
        <v>3467.07</v>
      </c>
      <c r="N119" s="66"/>
      <c r="O119" s="480"/>
      <c r="P119" s="481">
        <f t="shared" si="12"/>
        <v>0</v>
      </c>
    </row>
    <row r="120" spans="1:16" ht="13.5" thickBot="1" x14ac:dyDescent="0.25">
      <c r="A120" s="683"/>
      <c r="B120" s="302"/>
      <c r="C120" s="107" t="s">
        <v>130</v>
      </c>
      <c r="D120" s="56">
        <v>24298</v>
      </c>
      <c r="E120" s="56">
        <v>33957</v>
      </c>
      <c r="F120" s="56">
        <v>45476</v>
      </c>
      <c r="G120" s="56">
        <v>47207</v>
      </c>
      <c r="H120" s="56">
        <v>57100</v>
      </c>
      <c r="I120" s="43">
        <v>60450</v>
      </c>
      <c r="J120" s="41">
        <v>44399</v>
      </c>
      <c r="K120" s="41">
        <v>49200</v>
      </c>
      <c r="L120" s="210">
        <v>56398</v>
      </c>
      <c r="M120" s="210">
        <v>43002</v>
      </c>
      <c r="N120" s="28">
        <v>40000</v>
      </c>
      <c r="O120" s="480">
        <v>90283.5</v>
      </c>
      <c r="P120" s="481">
        <f t="shared" si="12"/>
        <v>225.70874999999998</v>
      </c>
    </row>
    <row r="121" spans="1:16" ht="15.75" thickBot="1" x14ac:dyDescent="0.3">
      <c r="A121" s="199" t="s">
        <v>164</v>
      </c>
      <c r="B121" s="676" t="s">
        <v>178</v>
      </c>
      <c r="C121" s="640"/>
      <c r="D121" s="63">
        <v>16298</v>
      </c>
      <c r="E121" s="63">
        <f>SUM(E122:E132)</f>
        <v>196674</v>
      </c>
      <c r="F121" s="63">
        <f>SUM(F122:F132)</f>
        <v>276704</v>
      </c>
      <c r="G121" s="63">
        <v>322185</v>
      </c>
      <c r="H121" s="63">
        <v>434860</v>
      </c>
      <c r="I121" s="63">
        <f>SUM(I122:I132)</f>
        <v>399432</v>
      </c>
      <c r="J121" s="63">
        <f>SUM(J122:J132)</f>
        <v>332348</v>
      </c>
      <c r="K121" s="63">
        <f>SUM(K122:K132)</f>
        <v>315787</v>
      </c>
      <c r="L121" s="201">
        <f t="shared" ref="L121:O121" si="18">SUM(L122:L134)</f>
        <v>311192.31999999995</v>
      </c>
      <c r="M121" s="201">
        <f t="shared" si="18"/>
        <v>355810.5</v>
      </c>
      <c r="N121" s="99">
        <f t="shared" si="18"/>
        <v>372534</v>
      </c>
      <c r="O121" s="587">
        <f t="shared" si="18"/>
        <v>384915.19</v>
      </c>
      <c r="P121" s="582">
        <f t="shared" si="12"/>
        <v>103.3235060424015</v>
      </c>
    </row>
    <row r="122" spans="1:16" x14ac:dyDescent="0.2">
      <c r="A122" s="681"/>
      <c r="B122" s="303"/>
      <c r="C122" s="211" t="s">
        <v>131</v>
      </c>
      <c r="D122" s="304">
        <v>4913</v>
      </c>
      <c r="E122" s="304">
        <v>3850</v>
      </c>
      <c r="F122" s="304">
        <v>5112</v>
      </c>
      <c r="G122" s="304"/>
      <c r="H122" s="304"/>
      <c r="I122" s="211">
        <v>6756</v>
      </c>
      <c r="J122" s="304">
        <v>7114</v>
      </c>
      <c r="K122" s="39">
        <v>7113</v>
      </c>
      <c r="L122" s="87">
        <v>7438.6</v>
      </c>
      <c r="M122" s="190">
        <v>12903.29</v>
      </c>
      <c r="N122" s="87">
        <v>8440</v>
      </c>
      <c r="O122" s="477">
        <v>10157.040000000001</v>
      </c>
      <c r="P122" s="485">
        <f t="shared" si="12"/>
        <v>120.34407582938388</v>
      </c>
    </row>
    <row r="123" spans="1:16" hidden="1" x14ac:dyDescent="0.2">
      <c r="A123" s="682"/>
      <c r="B123" s="305"/>
      <c r="C123" s="213" t="s">
        <v>51</v>
      </c>
      <c r="D123" s="306"/>
      <c r="E123" s="306"/>
      <c r="F123" s="306"/>
      <c r="G123" s="306"/>
      <c r="H123" s="306"/>
      <c r="I123" s="307">
        <v>48971</v>
      </c>
      <c r="J123" s="306"/>
      <c r="K123" s="53"/>
      <c r="L123" s="20"/>
      <c r="M123" s="110"/>
      <c r="N123" s="20">
        <v>0</v>
      </c>
      <c r="O123" s="478"/>
      <c r="P123" s="479">
        <f t="shared" si="12"/>
        <v>0</v>
      </c>
    </row>
    <row r="124" spans="1:16" x14ac:dyDescent="0.2">
      <c r="A124" s="682"/>
      <c r="B124" s="305"/>
      <c r="C124" s="213" t="s">
        <v>35</v>
      </c>
      <c r="D124" s="306"/>
      <c r="E124" s="306"/>
      <c r="F124" s="306"/>
      <c r="G124" s="306"/>
      <c r="H124" s="306"/>
      <c r="I124" s="307">
        <v>24304</v>
      </c>
      <c r="J124" s="306">
        <v>10566</v>
      </c>
      <c r="K124" s="53">
        <v>3350</v>
      </c>
      <c r="L124" s="20">
        <v>4052</v>
      </c>
      <c r="M124" s="110">
        <v>10555.27</v>
      </c>
      <c r="N124" s="20">
        <v>0</v>
      </c>
      <c r="O124" s="478">
        <f>9907.57+500</f>
        <v>10407.57</v>
      </c>
      <c r="P124" s="479">
        <f t="shared" si="12"/>
        <v>0</v>
      </c>
    </row>
    <row r="125" spans="1:16" x14ac:dyDescent="0.2">
      <c r="A125" s="682"/>
      <c r="B125" s="305"/>
      <c r="C125" s="213" t="s">
        <v>11</v>
      </c>
      <c r="D125" s="306"/>
      <c r="E125" s="306"/>
      <c r="F125" s="306"/>
      <c r="G125" s="306"/>
      <c r="H125" s="306"/>
      <c r="I125" s="307"/>
      <c r="J125" s="306"/>
      <c r="K125" s="53"/>
      <c r="L125" s="20"/>
      <c r="M125" s="110">
        <v>19000</v>
      </c>
      <c r="N125" s="20">
        <v>15000</v>
      </c>
      <c r="O125" s="478">
        <v>15000</v>
      </c>
      <c r="P125" s="479">
        <f t="shared" si="12"/>
        <v>100</v>
      </c>
    </row>
    <row r="126" spans="1:16" x14ac:dyDescent="0.2">
      <c r="A126" s="682"/>
      <c r="B126" s="308"/>
      <c r="C126" s="213" t="s">
        <v>132</v>
      </c>
      <c r="D126" s="193"/>
      <c r="E126" s="193">
        <v>7568</v>
      </c>
      <c r="F126" s="193">
        <v>15767</v>
      </c>
      <c r="G126" s="193">
        <v>15084</v>
      </c>
      <c r="H126" s="193"/>
      <c r="I126" s="213">
        <v>13552</v>
      </c>
      <c r="J126" s="193">
        <v>11060</v>
      </c>
      <c r="K126" s="41">
        <v>9650</v>
      </c>
      <c r="L126" s="24">
        <v>9100</v>
      </c>
      <c r="M126" s="192">
        <v>10889.5</v>
      </c>
      <c r="N126" s="24">
        <v>10000</v>
      </c>
      <c r="O126" s="478">
        <v>10000</v>
      </c>
      <c r="P126" s="479">
        <f t="shared" si="12"/>
        <v>100</v>
      </c>
    </row>
    <row r="127" spans="1:16" x14ac:dyDescent="0.2">
      <c r="A127" s="682"/>
      <c r="B127" s="308"/>
      <c r="C127" s="213" t="s">
        <v>0</v>
      </c>
      <c r="D127" s="193"/>
      <c r="E127" s="193"/>
      <c r="F127" s="193"/>
      <c r="G127" s="193"/>
      <c r="H127" s="193"/>
      <c r="I127" s="213"/>
      <c r="J127" s="193"/>
      <c r="K127" s="41"/>
      <c r="L127" s="24"/>
      <c r="M127" s="192"/>
      <c r="N127" s="24">
        <v>5000</v>
      </c>
      <c r="O127" s="478">
        <v>5000</v>
      </c>
      <c r="P127" s="479">
        <f t="shared" si="12"/>
        <v>100</v>
      </c>
    </row>
    <row r="128" spans="1:16" x14ac:dyDescent="0.2">
      <c r="A128" s="682"/>
      <c r="B128" s="308"/>
      <c r="C128" s="213" t="s">
        <v>436</v>
      </c>
      <c r="D128" s="193"/>
      <c r="E128" s="193"/>
      <c r="F128" s="193"/>
      <c r="G128" s="193"/>
      <c r="H128" s="193"/>
      <c r="I128" s="213"/>
      <c r="J128" s="193"/>
      <c r="K128" s="41"/>
      <c r="L128" s="24"/>
      <c r="M128" s="192"/>
      <c r="N128" s="24">
        <v>0</v>
      </c>
      <c r="O128" s="478">
        <v>256.58</v>
      </c>
      <c r="P128" s="479">
        <f t="shared" si="12"/>
        <v>0</v>
      </c>
    </row>
    <row r="129" spans="1:16" x14ac:dyDescent="0.2">
      <c r="A129" s="682"/>
      <c r="B129" s="308"/>
      <c r="C129" s="213" t="s">
        <v>1</v>
      </c>
      <c r="D129" s="193"/>
      <c r="E129" s="193"/>
      <c r="F129" s="193"/>
      <c r="G129" s="193"/>
      <c r="H129" s="193"/>
      <c r="I129" s="213"/>
      <c r="J129" s="193"/>
      <c r="K129" s="41"/>
      <c r="L129" s="24"/>
      <c r="M129" s="192"/>
      <c r="N129" s="24">
        <v>4000</v>
      </c>
      <c r="O129" s="478">
        <v>4000</v>
      </c>
      <c r="P129" s="479">
        <f t="shared" si="12"/>
        <v>100</v>
      </c>
    </row>
    <row r="130" spans="1:16" x14ac:dyDescent="0.2">
      <c r="A130" s="682"/>
      <c r="B130" s="308"/>
      <c r="C130" s="213" t="s">
        <v>6</v>
      </c>
      <c r="D130" s="193"/>
      <c r="E130" s="193">
        <v>58189</v>
      </c>
      <c r="F130" s="193">
        <v>75483</v>
      </c>
      <c r="G130" s="193">
        <v>91400</v>
      </c>
      <c r="H130" s="193"/>
      <c r="I130" s="213">
        <v>152242</v>
      </c>
      <c r="J130" s="193">
        <v>162681</v>
      </c>
      <c r="K130" s="41">
        <v>150333</v>
      </c>
      <c r="L130" s="24">
        <v>119218</v>
      </c>
      <c r="M130" s="192">
        <v>148153</v>
      </c>
      <c r="N130" s="24">
        <v>76969</v>
      </c>
      <c r="O130" s="478">
        <v>76969</v>
      </c>
      <c r="P130" s="479">
        <f t="shared" si="12"/>
        <v>100</v>
      </c>
    </row>
    <row r="131" spans="1:16" x14ac:dyDescent="0.2">
      <c r="A131" s="682"/>
      <c r="B131" s="308"/>
      <c r="C131" s="213" t="s">
        <v>7</v>
      </c>
      <c r="D131" s="193"/>
      <c r="E131" s="193">
        <v>99250</v>
      </c>
      <c r="F131" s="193">
        <v>153754</v>
      </c>
      <c r="G131" s="193">
        <v>143286</v>
      </c>
      <c r="H131" s="193"/>
      <c r="I131" s="213">
        <v>86643</v>
      </c>
      <c r="J131" s="193">
        <v>82311</v>
      </c>
      <c r="K131" s="41">
        <v>93232</v>
      </c>
      <c r="L131" s="24">
        <v>109100</v>
      </c>
      <c r="M131" s="192">
        <v>88221</v>
      </c>
      <c r="N131" s="24">
        <v>81209</v>
      </c>
      <c r="O131" s="478">
        <v>81209</v>
      </c>
      <c r="P131" s="479">
        <f t="shared" si="12"/>
        <v>100</v>
      </c>
    </row>
    <row r="132" spans="1:16" x14ac:dyDescent="0.2">
      <c r="A132" s="682"/>
      <c r="B132" s="309"/>
      <c r="C132" s="40" t="s">
        <v>8</v>
      </c>
      <c r="D132" s="41"/>
      <c r="E132" s="41">
        <v>27817</v>
      </c>
      <c r="F132" s="41">
        <v>26588</v>
      </c>
      <c r="G132" s="41">
        <v>25790</v>
      </c>
      <c r="H132" s="41"/>
      <c r="I132" s="40">
        <v>66964</v>
      </c>
      <c r="J132" s="41">
        <v>58616</v>
      </c>
      <c r="K132" s="41">
        <v>52109</v>
      </c>
      <c r="L132" s="41">
        <v>49442</v>
      </c>
      <c r="M132" s="106">
        <v>49808</v>
      </c>
      <c r="N132" s="24">
        <v>60863</v>
      </c>
      <c r="O132" s="478">
        <v>60863</v>
      </c>
      <c r="P132" s="479">
        <f t="shared" si="12"/>
        <v>100</v>
      </c>
    </row>
    <row r="133" spans="1:16" x14ac:dyDescent="0.2">
      <c r="A133" s="682"/>
      <c r="B133" s="423"/>
      <c r="C133" s="44" t="s">
        <v>9</v>
      </c>
      <c r="D133" s="69"/>
      <c r="E133" s="69"/>
      <c r="F133" s="69"/>
      <c r="G133" s="69"/>
      <c r="H133" s="69"/>
      <c r="I133" s="44"/>
      <c r="J133" s="69"/>
      <c r="K133" s="69"/>
      <c r="L133" s="69">
        <v>12841.72</v>
      </c>
      <c r="M133" s="241">
        <v>16280.44</v>
      </c>
      <c r="N133" s="28">
        <v>18152</v>
      </c>
      <c r="O133" s="478">
        <v>18152</v>
      </c>
      <c r="P133" s="479">
        <f t="shared" ref="P133:P196" si="19">IF(N133=0,0,O133/N133*100)</f>
        <v>100</v>
      </c>
    </row>
    <row r="134" spans="1:16" ht="13.5" thickBot="1" x14ac:dyDescent="0.25">
      <c r="A134" s="683"/>
      <c r="B134" s="310"/>
      <c r="C134" s="43" t="s">
        <v>10</v>
      </c>
      <c r="D134" s="56"/>
      <c r="E134" s="56"/>
      <c r="F134" s="56"/>
      <c r="G134" s="56"/>
      <c r="H134" s="56"/>
      <c r="I134" s="43"/>
      <c r="J134" s="56"/>
      <c r="K134" s="56"/>
      <c r="L134" s="56"/>
      <c r="M134" s="289"/>
      <c r="N134" s="45">
        <v>92901</v>
      </c>
      <c r="O134" s="480">
        <v>92901</v>
      </c>
      <c r="P134" s="481">
        <f t="shared" si="19"/>
        <v>100</v>
      </c>
    </row>
    <row r="135" spans="1:16" ht="15.75" thickBot="1" x14ac:dyDescent="0.3">
      <c r="A135" s="278" t="s">
        <v>133</v>
      </c>
      <c r="B135" s="676" t="s">
        <v>306</v>
      </c>
      <c r="C135" s="640"/>
      <c r="D135" s="63">
        <f>SUM(D136:D137)</f>
        <v>0</v>
      </c>
      <c r="E135" s="63">
        <f>SUM(E136:E137)</f>
        <v>44944</v>
      </c>
      <c r="F135" s="63">
        <f>SUM(F136:F137)</f>
        <v>55765</v>
      </c>
      <c r="G135" s="63">
        <f>SUM(G136:G137)</f>
        <v>48780</v>
      </c>
      <c r="H135" s="63">
        <f t="shared" ref="H135:M135" si="20">SUM(H136:H137)</f>
        <v>52570</v>
      </c>
      <c r="I135" s="63">
        <f t="shared" si="20"/>
        <v>48691</v>
      </c>
      <c r="J135" s="63">
        <f t="shared" si="20"/>
        <v>46108</v>
      </c>
      <c r="K135" s="73">
        <f t="shared" si="20"/>
        <v>47470</v>
      </c>
      <c r="L135" s="74">
        <f t="shared" si="20"/>
        <v>48334.8</v>
      </c>
      <c r="M135" s="74">
        <f t="shared" si="20"/>
        <v>45244.800000000003</v>
      </c>
      <c r="N135" s="384">
        <v>51500</v>
      </c>
      <c r="O135" s="587">
        <f>O136+O137</f>
        <v>51246.22</v>
      </c>
      <c r="P135" s="582">
        <f t="shared" si="19"/>
        <v>99.507223300970864</v>
      </c>
    </row>
    <row r="136" spans="1:16" x14ac:dyDescent="0.2">
      <c r="A136" s="681"/>
      <c r="B136" s="216">
        <v>630</v>
      </c>
      <c r="C136" s="211" t="s">
        <v>22</v>
      </c>
      <c r="D136" s="304"/>
      <c r="E136" s="304">
        <v>36679</v>
      </c>
      <c r="F136" s="304">
        <v>46803</v>
      </c>
      <c r="G136" s="304">
        <v>39726</v>
      </c>
      <c r="H136" s="304">
        <v>43006</v>
      </c>
      <c r="I136" s="211">
        <v>38795</v>
      </c>
      <c r="J136" s="211">
        <v>36600</v>
      </c>
      <c r="K136" s="39">
        <v>37500</v>
      </c>
      <c r="L136" s="190">
        <v>40890</v>
      </c>
      <c r="M136" s="190">
        <v>37800</v>
      </c>
      <c r="N136" s="87">
        <v>38000</v>
      </c>
      <c r="O136" s="477">
        <v>39750</v>
      </c>
      <c r="P136" s="485">
        <f t="shared" si="19"/>
        <v>104.60526315789474</v>
      </c>
    </row>
    <row r="137" spans="1:16" ht="13.5" thickBot="1" x14ac:dyDescent="0.25">
      <c r="A137" s="683"/>
      <c r="B137" s="240">
        <v>630</v>
      </c>
      <c r="C137" s="286" t="s">
        <v>307</v>
      </c>
      <c r="D137" s="288"/>
      <c r="E137" s="288">
        <v>8265</v>
      </c>
      <c r="F137" s="288">
        <v>8962</v>
      </c>
      <c r="G137" s="288">
        <v>9054</v>
      </c>
      <c r="H137" s="288">
        <v>9564</v>
      </c>
      <c r="I137" s="286">
        <v>9896</v>
      </c>
      <c r="J137" s="286">
        <v>9508</v>
      </c>
      <c r="K137" s="56">
        <v>9970</v>
      </c>
      <c r="L137" s="242">
        <v>7444.8</v>
      </c>
      <c r="M137" s="242">
        <v>7444.8</v>
      </c>
      <c r="N137" s="45">
        <v>13500</v>
      </c>
      <c r="O137" s="480">
        <v>11496.22</v>
      </c>
      <c r="P137" s="481">
        <f t="shared" si="19"/>
        <v>85.157185185185185</v>
      </c>
    </row>
    <row r="138" spans="1:16" ht="15.75" thickBot="1" x14ac:dyDescent="0.3">
      <c r="A138" s="255" t="s">
        <v>148</v>
      </c>
      <c r="B138" s="676" t="s">
        <v>308</v>
      </c>
      <c r="C138" s="640"/>
      <c r="D138" s="63">
        <v>6008</v>
      </c>
      <c r="E138" s="63">
        <f>SUM(E139:E142)</f>
        <v>6373</v>
      </c>
      <c r="F138" s="63">
        <f>SUM(F139:F142)</f>
        <v>76413</v>
      </c>
      <c r="G138" s="63">
        <f>SUM(G139:G142)</f>
        <v>50904</v>
      </c>
      <c r="H138" s="63">
        <v>43602</v>
      </c>
      <c r="I138" s="63">
        <f>SUM(I139:I142)</f>
        <v>80402</v>
      </c>
      <c r="J138" s="63">
        <f>SUM(J139:J142)</f>
        <v>65201</v>
      </c>
      <c r="K138" s="63">
        <f>SUM(K139:K142)</f>
        <v>82763</v>
      </c>
      <c r="L138" s="201">
        <f>SUM(L139:L142)</f>
        <v>85325.96</v>
      </c>
      <c r="M138" s="201">
        <f>SUM(M139:M142)</f>
        <v>98428.31</v>
      </c>
      <c r="N138" s="99">
        <f>SUM(N140:N142)</f>
        <v>88985</v>
      </c>
      <c r="O138" s="587">
        <f>O141+O142+O140+O139</f>
        <v>91637.849999999991</v>
      </c>
      <c r="P138" s="582">
        <f t="shared" si="19"/>
        <v>102.98123279204358</v>
      </c>
    </row>
    <row r="139" spans="1:16" x14ac:dyDescent="0.2">
      <c r="A139" s="703"/>
      <c r="B139" s="700"/>
      <c r="C139" s="38" t="s">
        <v>309</v>
      </c>
      <c r="D139" s="39"/>
      <c r="E139" s="39">
        <v>5842</v>
      </c>
      <c r="F139" s="39">
        <v>6108</v>
      </c>
      <c r="G139" s="39">
        <v>13480</v>
      </c>
      <c r="H139" s="39">
        <v>6009</v>
      </c>
      <c r="I139" s="38">
        <v>6900</v>
      </c>
      <c r="J139" s="304">
        <v>3787</v>
      </c>
      <c r="K139" s="39">
        <v>3290</v>
      </c>
      <c r="L139" s="190">
        <v>1483</v>
      </c>
      <c r="M139" s="190">
        <v>9142.9500000000007</v>
      </c>
      <c r="N139" s="87"/>
      <c r="O139" s="786">
        <v>5153.01</v>
      </c>
      <c r="P139" s="787">
        <f t="shared" si="19"/>
        <v>0</v>
      </c>
    </row>
    <row r="140" spans="1:16" x14ac:dyDescent="0.2">
      <c r="A140" s="704"/>
      <c r="B140" s="701"/>
      <c r="C140" s="40" t="s">
        <v>420</v>
      </c>
      <c r="D140" s="41"/>
      <c r="E140" s="41"/>
      <c r="F140" s="41"/>
      <c r="G140" s="41"/>
      <c r="H140" s="41"/>
      <c r="I140" s="40"/>
      <c r="J140" s="193"/>
      <c r="K140" s="41"/>
      <c r="L140" s="110"/>
      <c r="M140" s="110"/>
      <c r="N140" s="20">
        <v>5875</v>
      </c>
      <c r="O140" s="477">
        <f>4700+1174.72</f>
        <v>5874.72</v>
      </c>
      <c r="P140" s="479">
        <f t="shared" si="19"/>
        <v>99.995234042553193</v>
      </c>
    </row>
    <row r="141" spans="1:16" x14ac:dyDescent="0.2">
      <c r="A141" s="704"/>
      <c r="B141" s="701"/>
      <c r="C141" s="40" t="s">
        <v>310</v>
      </c>
      <c r="D141" s="41"/>
      <c r="E141" s="41">
        <v>0</v>
      </c>
      <c r="F141" s="41">
        <v>66388</v>
      </c>
      <c r="G141" s="41">
        <v>33390</v>
      </c>
      <c r="H141" s="41">
        <v>32749</v>
      </c>
      <c r="I141" s="40">
        <v>70000</v>
      </c>
      <c r="J141" s="193">
        <v>59118</v>
      </c>
      <c r="K141" s="41">
        <v>75103</v>
      </c>
      <c r="L141" s="192">
        <v>81056.960000000006</v>
      </c>
      <c r="M141" s="192">
        <v>86285.36</v>
      </c>
      <c r="N141" s="24">
        <v>80610</v>
      </c>
      <c r="O141" s="477">
        <f>5331.12+75279</f>
        <v>80610.12</v>
      </c>
      <c r="P141" s="479">
        <f t="shared" si="19"/>
        <v>100.00014886490509</v>
      </c>
    </row>
    <row r="142" spans="1:16" ht="13.5" thickBot="1" x14ac:dyDescent="0.25">
      <c r="A142" s="705"/>
      <c r="B142" s="702"/>
      <c r="C142" s="107" t="s">
        <v>311</v>
      </c>
      <c r="D142" s="197"/>
      <c r="E142" s="197">
        <v>531</v>
      </c>
      <c r="F142" s="197">
        <v>3917</v>
      </c>
      <c r="G142" s="197">
        <v>4034</v>
      </c>
      <c r="H142" s="197">
        <v>796</v>
      </c>
      <c r="I142" s="107">
        <v>3502</v>
      </c>
      <c r="J142" s="288">
        <v>2296</v>
      </c>
      <c r="K142" s="56">
        <v>4370</v>
      </c>
      <c r="L142" s="198">
        <v>2786</v>
      </c>
      <c r="M142" s="198">
        <v>3000</v>
      </c>
      <c r="N142" s="72">
        <v>2500</v>
      </c>
      <c r="O142" s="492"/>
      <c r="P142" s="519">
        <f t="shared" si="19"/>
        <v>0</v>
      </c>
    </row>
    <row r="143" spans="1:16" ht="15.75" thickBot="1" x14ac:dyDescent="0.3">
      <c r="A143" s="199" t="s">
        <v>312</v>
      </c>
      <c r="B143" s="676" t="s">
        <v>313</v>
      </c>
      <c r="C143" s="640"/>
      <c r="D143" s="63">
        <v>2960832</v>
      </c>
      <c r="E143" s="63">
        <v>3369814</v>
      </c>
      <c r="F143" s="63">
        <v>3780057</v>
      </c>
      <c r="G143" s="63">
        <v>4405952.43</v>
      </c>
      <c r="H143" s="63">
        <v>4455752</v>
      </c>
      <c r="I143" s="63">
        <f t="shared" ref="I143:O143" si="21">I144+I149</f>
        <v>4609033</v>
      </c>
      <c r="J143" s="63">
        <f t="shared" si="21"/>
        <v>4840194</v>
      </c>
      <c r="K143" s="63">
        <f t="shared" si="21"/>
        <v>4773475</v>
      </c>
      <c r="L143" s="201">
        <f t="shared" si="21"/>
        <v>4944992.8499999996</v>
      </c>
      <c r="M143" s="201">
        <f>M144+M149</f>
        <v>5255422.8499999996</v>
      </c>
      <c r="N143" s="63">
        <f t="shared" si="21"/>
        <v>5333763</v>
      </c>
      <c r="O143" s="587">
        <f t="shared" si="21"/>
        <v>5401219.4500000002</v>
      </c>
      <c r="P143" s="582">
        <f t="shared" si="19"/>
        <v>101.26470654957859</v>
      </c>
    </row>
    <row r="144" spans="1:16" ht="15.75" thickBot="1" x14ac:dyDescent="0.3">
      <c r="A144" s="703"/>
      <c r="B144" s="708" t="s">
        <v>36</v>
      </c>
      <c r="C144" s="709"/>
      <c r="D144" s="60">
        <v>29177</v>
      </c>
      <c r="E144" s="60">
        <v>27518</v>
      </c>
      <c r="F144" s="60">
        <v>28447</v>
      </c>
      <c r="G144" s="60">
        <v>30677</v>
      </c>
      <c r="H144" s="60">
        <v>31410</v>
      </c>
      <c r="I144" s="60">
        <f t="shared" ref="I144:O144" si="22">SUM(I145:I147)</f>
        <v>41249</v>
      </c>
      <c r="J144" s="60">
        <f t="shared" si="22"/>
        <v>38808</v>
      </c>
      <c r="K144" s="60">
        <f t="shared" si="22"/>
        <v>36313</v>
      </c>
      <c r="L144" s="147">
        <f t="shared" si="22"/>
        <v>35493.83</v>
      </c>
      <c r="M144" s="147">
        <f>SUM(M145:M148)</f>
        <v>51463.890000000007</v>
      </c>
      <c r="N144" s="60">
        <f t="shared" si="22"/>
        <v>49140</v>
      </c>
      <c r="O144" s="587">
        <f t="shared" si="22"/>
        <v>56202.630000000005</v>
      </c>
      <c r="P144" s="582">
        <f t="shared" si="19"/>
        <v>114.37246642246643</v>
      </c>
    </row>
    <row r="145" spans="1:21" x14ac:dyDescent="0.2">
      <c r="A145" s="704"/>
      <c r="B145" s="296">
        <v>610</v>
      </c>
      <c r="C145" s="67" t="s">
        <v>67</v>
      </c>
      <c r="D145" s="229"/>
      <c r="E145" s="229">
        <v>18854</v>
      </c>
      <c r="F145" s="229">
        <v>18290</v>
      </c>
      <c r="G145" s="229">
        <v>19464</v>
      </c>
      <c r="H145" s="229">
        <v>22248</v>
      </c>
      <c r="I145" s="137">
        <v>29541</v>
      </c>
      <c r="J145" s="193">
        <v>26330</v>
      </c>
      <c r="K145" s="41">
        <v>25388</v>
      </c>
      <c r="L145" s="229">
        <v>24578.53</v>
      </c>
      <c r="M145" s="515">
        <v>33902.800000000003</v>
      </c>
      <c r="N145" s="489">
        <v>33769</v>
      </c>
      <c r="O145" s="477">
        <v>34953.550000000003</v>
      </c>
      <c r="P145" s="485">
        <f t="shared" si="19"/>
        <v>103.50780301459919</v>
      </c>
    </row>
    <row r="146" spans="1:21" x14ac:dyDescent="0.2">
      <c r="A146" s="704"/>
      <c r="B146" s="217">
        <v>620</v>
      </c>
      <c r="C146" s="40" t="s">
        <v>68</v>
      </c>
      <c r="D146" s="41"/>
      <c r="E146" s="41">
        <v>6473</v>
      </c>
      <c r="F146" s="41">
        <v>6340</v>
      </c>
      <c r="G146" s="41">
        <v>6869</v>
      </c>
      <c r="H146" s="41">
        <v>6877</v>
      </c>
      <c r="I146" s="40">
        <v>9575</v>
      </c>
      <c r="J146" s="193">
        <v>9735</v>
      </c>
      <c r="K146" s="41">
        <v>9358</v>
      </c>
      <c r="L146" s="41">
        <v>9719.7999999999993</v>
      </c>
      <c r="M146" s="180">
        <v>11551.79</v>
      </c>
      <c r="N146" s="89">
        <v>12271</v>
      </c>
      <c r="O146" s="478">
        <v>12736.3</v>
      </c>
      <c r="P146" s="479">
        <f t="shared" si="19"/>
        <v>103.79186700350419</v>
      </c>
    </row>
    <row r="147" spans="1:21" ht="13.5" thickBot="1" x14ac:dyDescent="0.25">
      <c r="A147" s="704"/>
      <c r="B147" s="191">
        <v>630</v>
      </c>
      <c r="C147" s="40" t="s">
        <v>69</v>
      </c>
      <c r="D147" s="56"/>
      <c r="E147" s="56">
        <v>2191</v>
      </c>
      <c r="F147" s="56">
        <v>3817</v>
      </c>
      <c r="G147" s="56">
        <v>4344</v>
      </c>
      <c r="H147" s="56">
        <v>2285</v>
      </c>
      <c r="I147" s="43">
        <v>2133</v>
      </c>
      <c r="J147" s="193">
        <v>2743</v>
      </c>
      <c r="K147" s="41">
        <v>1567</v>
      </c>
      <c r="L147" s="69">
        <v>1195.5</v>
      </c>
      <c r="M147" s="106">
        <v>1127.3</v>
      </c>
      <c r="N147" s="24">
        <v>3100</v>
      </c>
      <c r="O147" s="478">
        <v>8512.7800000000007</v>
      </c>
      <c r="P147" s="479">
        <f t="shared" si="19"/>
        <v>274.60580645161292</v>
      </c>
      <c r="U147" s="476"/>
    </row>
    <row r="148" spans="1:21" ht="13.5" thickBot="1" x14ac:dyDescent="0.25">
      <c r="A148" s="704"/>
      <c r="B148" s="42">
        <v>640</v>
      </c>
      <c r="C148" s="251" t="s">
        <v>70</v>
      </c>
      <c r="D148" s="197"/>
      <c r="E148" s="197"/>
      <c r="F148" s="197"/>
      <c r="G148" s="197"/>
      <c r="H148" s="197"/>
      <c r="I148" s="107"/>
      <c r="J148" s="220"/>
      <c r="K148" s="229"/>
      <c r="L148" s="229"/>
      <c r="M148" s="509">
        <v>4882</v>
      </c>
      <c r="N148" s="66"/>
      <c r="O148" s="482"/>
      <c r="P148" s="488">
        <f t="shared" si="19"/>
        <v>0</v>
      </c>
    </row>
    <row r="149" spans="1:21" ht="13.5" thickBot="1" x14ac:dyDescent="0.25">
      <c r="A149" s="704"/>
      <c r="B149" s="706" t="s">
        <v>314</v>
      </c>
      <c r="C149" s="707"/>
      <c r="D149" s="34">
        <v>2931655</v>
      </c>
      <c r="E149" s="34">
        <v>3342296</v>
      </c>
      <c r="F149" s="34">
        <v>3751610</v>
      </c>
      <c r="G149" s="34">
        <v>4375275.43</v>
      </c>
      <c r="H149" s="34">
        <v>4424342</v>
      </c>
      <c r="I149" s="34">
        <f t="shared" ref="I149:O149" si="23">SUM(I150:I157)</f>
        <v>4567784</v>
      </c>
      <c r="J149" s="34">
        <f t="shared" si="23"/>
        <v>4801386</v>
      </c>
      <c r="K149" s="34">
        <f t="shared" si="23"/>
        <v>4737162</v>
      </c>
      <c r="L149" s="312">
        <f t="shared" si="23"/>
        <v>4909499.0199999996</v>
      </c>
      <c r="M149" s="312">
        <f>SUM(M150:M157)</f>
        <v>5203958.96</v>
      </c>
      <c r="N149" s="34">
        <f t="shared" si="23"/>
        <v>5284623</v>
      </c>
      <c r="O149" s="586">
        <f t="shared" si="23"/>
        <v>5345016.82</v>
      </c>
      <c r="P149" s="581">
        <f t="shared" si="19"/>
        <v>101.14282173014044</v>
      </c>
      <c r="R149" s="476"/>
      <c r="S149" s="476"/>
    </row>
    <row r="150" spans="1:21" x14ac:dyDescent="0.2">
      <c r="A150" s="704"/>
      <c r="B150" s="700"/>
      <c r="C150" s="67" t="s">
        <v>315</v>
      </c>
      <c r="D150" s="53">
        <v>1541725</v>
      </c>
      <c r="E150" s="53">
        <v>1718084</v>
      </c>
      <c r="F150" s="53">
        <v>1793999</v>
      </c>
      <c r="G150" s="53">
        <v>1958942</v>
      </c>
      <c r="H150" s="53">
        <v>2084677</v>
      </c>
      <c r="I150" s="67">
        <v>2039732</v>
      </c>
      <c r="J150" s="53">
        <v>2241882</v>
      </c>
      <c r="K150" s="53">
        <v>2385291</v>
      </c>
      <c r="L150" s="110">
        <v>2363727.67</v>
      </c>
      <c r="M150" s="110">
        <v>2385302.7000000002</v>
      </c>
      <c r="N150" s="20">
        <v>2475455</v>
      </c>
      <c r="O150" s="477">
        <f>2457964.41</f>
        <v>2457964.41</v>
      </c>
      <c r="P150" s="485">
        <f t="shared" si="19"/>
        <v>99.29343938791051</v>
      </c>
      <c r="R150" s="476"/>
      <c r="T150" s="476"/>
    </row>
    <row r="151" spans="1:21" x14ac:dyDescent="0.2">
      <c r="A151" s="704"/>
      <c r="B151" s="701"/>
      <c r="C151" s="40" t="s">
        <v>316</v>
      </c>
      <c r="D151" s="41">
        <v>1389930</v>
      </c>
      <c r="E151" s="41">
        <v>1591682</v>
      </c>
      <c r="F151" s="41">
        <v>1867423</v>
      </c>
      <c r="G151" s="41">
        <v>2134669.4300000002</v>
      </c>
      <c r="H151" s="41">
        <v>2069302</v>
      </c>
      <c r="I151" s="40">
        <v>2182809</v>
      </c>
      <c r="J151" s="41">
        <v>2169532</v>
      </c>
      <c r="K151" s="41">
        <v>1972245</v>
      </c>
      <c r="L151" s="192">
        <v>2097007.99</v>
      </c>
      <c r="M151" s="192">
        <v>2239643.29</v>
      </c>
      <c r="N151" s="24">
        <v>2332581</v>
      </c>
      <c r="O151" s="478">
        <v>2410623.65</v>
      </c>
      <c r="P151" s="479">
        <f t="shared" si="19"/>
        <v>103.34576376983264</v>
      </c>
      <c r="R151" s="476"/>
    </row>
    <row r="152" spans="1:21" x14ac:dyDescent="0.2">
      <c r="A152" s="704"/>
      <c r="B152" s="701"/>
      <c r="C152" s="44" t="s">
        <v>317</v>
      </c>
      <c r="D152" s="69"/>
      <c r="E152" s="69"/>
      <c r="F152" s="69"/>
      <c r="G152" s="69"/>
      <c r="H152" s="69"/>
      <c r="I152" s="44"/>
      <c r="J152" s="44"/>
      <c r="K152" s="69">
        <v>6822</v>
      </c>
      <c r="L152" s="210">
        <v>58464.77</v>
      </c>
      <c r="M152" s="210">
        <v>145561.9699999993</v>
      </c>
      <c r="N152" s="28">
        <v>13020</v>
      </c>
      <c r="O152" s="478">
        <v>13019.76</v>
      </c>
      <c r="P152" s="479">
        <f t="shared" si="19"/>
        <v>99.998156682027656</v>
      </c>
      <c r="R152" s="476"/>
      <c r="U152" s="476"/>
    </row>
    <row r="153" spans="1:21" hidden="1" x14ac:dyDescent="0.2">
      <c r="A153" s="704"/>
      <c r="B153" s="701"/>
      <c r="C153" s="44" t="s">
        <v>318</v>
      </c>
      <c r="D153" s="69"/>
      <c r="E153" s="69"/>
      <c r="F153" s="69"/>
      <c r="G153" s="69"/>
      <c r="H153" s="69"/>
      <c r="I153" s="44">
        <v>11276</v>
      </c>
      <c r="J153" s="44">
        <v>23184</v>
      </c>
      <c r="K153" s="69">
        <v>0</v>
      </c>
      <c r="L153" s="210">
        <v>4779.37</v>
      </c>
      <c r="M153" s="210">
        <v>0</v>
      </c>
      <c r="N153" s="28"/>
      <c r="O153" s="478"/>
      <c r="P153" s="479">
        <f t="shared" si="19"/>
        <v>0</v>
      </c>
    </row>
    <row r="154" spans="1:21" hidden="1" x14ac:dyDescent="0.2">
      <c r="A154" s="704"/>
      <c r="B154" s="701"/>
      <c r="C154" s="44" t="s">
        <v>401</v>
      </c>
      <c r="D154" s="69"/>
      <c r="E154" s="69"/>
      <c r="F154" s="69"/>
      <c r="G154" s="69"/>
      <c r="H154" s="69">
        <v>2568</v>
      </c>
      <c r="I154" s="44">
        <v>2134</v>
      </c>
      <c r="J154" s="44"/>
      <c r="K154" s="69">
        <v>0</v>
      </c>
      <c r="L154" s="210">
        <v>240.97</v>
      </c>
      <c r="M154" s="210">
        <v>0</v>
      </c>
      <c r="N154" s="28"/>
      <c r="O154" s="478"/>
      <c r="P154" s="479">
        <f t="shared" si="19"/>
        <v>0</v>
      </c>
    </row>
    <row r="155" spans="1:21" hidden="1" x14ac:dyDescent="0.2">
      <c r="A155" s="704"/>
      <c r="B155" s="701"/>
      <c r="C155" s="44" t="s">
        <v>319</v>
      </c>
      <c r="D155" s="69"/>
      <c r="E155" s="69"/>
      <c r="F155" s="69"/>
      <c r="G155" s="69"/>
      <c r="H155" s="69"/>
      <c r="I155" s="44"/>
      <c r="J155" s="44"/>
      <c r="K155" s="69"/>
      <c r="L155" s="210">
        <v>8661.25</v>
      </c>
      <c r="M155" s="210"/>
      <c r="N155" s="28"/>
      <c r="O155" s="478"/>
      <c r="P155" s="479">
        <f t="shared" si="19"/>
        <v>0</v>
      </c>
    </row>
    <row r="156" spans="1:21" x14ac:dyDescent="0.2">
      <c r="A156" s="704"/>
      <c r="B156" s="701"/>
      <c r="C156" s="44" t="s">
        <v>320</v>
      </c>
      <c r="D156" s="69"/>
      <c r="E156" s="69"/>
      <c r="F156" s="69"/>
      <c r="G156" s="69"/>
      <c r="H156" s="69">
        <v>2166</v>
      </c>
      <c r="I156" s="44">
        <v>10924</v>
      </c>
      <c r="J156" s="44">
        <v>33868</v>
      </c>
      <c r="K156" s="69">
        <v>0</v>
      </c>
      <c r="L156" s="210"/>
      <c r="M156" s="210"/>
      <c r="N156" s="28"/>
      <c r="O156" s="478"/>
      <c r="P156" s="479">
        <f t="shared" si="19"/>
        <v>0</v>
      </c>
      <c r="U156" s="476"/>
    </row>
    <row r="157" spans="1:21" ht="13.5" thickBot="1" x14ac:dyDescent="0.25">
      <c r="A157" s="705"/>
      <c r="B157" s="702"/>
      <c r="C157" s="43" t="s">
        <v>321</v>
      </c>
      <c r="D157" s="56"/>
      <c r="E157" s="56">
        <v>32530</v>
      </c>
      <c r="F157" s="56">
        <v>90188</v>
      </c>
      <c r="G157" s="56">
        <v>281664</v>
      </c>
      <c r="H157" s="56">
        <v>265629</v>
      </c>
      <c r="I157" s="43">
        <v>320909</v>
      </c>
      <c r="J157" s="43">
        <v>332920</v>
      </c>
      <c r="K157" s="56">
        <v>372804</v>
      </c>
      <c r="L157" s="242">
        <v>376617</v>
      </c>
      <c r="M157" s="242">
        <v>433451</v>
      </c>
      <c r="N157" s="45">
        <v>463567</v>
      </c>
      <c r="O157" s="480">
        <v>463409</v>
      </c>
      <c r="P157" s="481">
        <f t="shared" si="19"/>
        <v>99.965916469463963</v>
      </c>
    </row>
    <row r="158" spans="1:21" ht="15.75" thickBot="1" x14ac:dyDescent="0.3">
      <c r="A158" s="313" t="s">
        <v>322</v>
      </c>
      <c r="B158" s="676" t="s">
        <v>323</v>
      </c>
      <c r="C158" s="640"/>
      <c r="D158" s="63">
        <v>14672</v>
      </c>
      <c r="E158" s="63">
        <v>18356</v>
      </c>
      <c r="F158" s="63">
        <v>24962</v>
      </c>
      <c r="G158" s="63">
        <v>26012</v>
      </c>
      <c r="H158" s="63">
        <v>24167</v>
      </c>
      <c r="I158" s="63">
        <f>SUM(I159:I162)</f>
        <v>21978</v>
      </c>
      <c r="J158" s="63">
        <f>SUM(J159:J162)</f>
        <v>26182</v>
      </c>
      <c r="K158" s="63">
        <f>SUM(K159:K162)</f>
        <v>16605</v>
      </c>
      <c r="L158" s="201">
        <f>SUM(L159:L162)</f>
        <v>19312.66</v>
      </c>
      <c r="M158" s="201">
        <f>SUM(M159:M162)</f>
        <v>17232.5</v>
      </c>
      <c r="N158" s="99">
        <v>19086</v>
      </c>
      <c r="O158" s="586">
        <f>SUM(O159:O162)</f>
        <v>19393.890000000003</v>
      </c>
      <c r="P158" s="581">
        <f t="shared" si="19"/>
        <v>101.61317195850363</v>
      </c>
      <c r="R158" s="476"/>
      <c r="U158" s="476"/>
    </row>
    <row r="159" spans="1:21" x14ac:dyDescent="0.2">
      <c r="A159" s="712"/>
      <c r="B159" s="314">
        <v>610</v>
      </c>
      <c r="C159" s="67" t="s">
        <v>67</v>
      </c>
      <c r="D159" s="53"/>
      <c r="E159" s="53">
        <v>11817</v>
      </c>
      <c r="F159" s="53">
        <v>16331</v>
      </c>
      <c r="G159" s="53">
        <v>16188</v>
      </c>
      <c r="H159" s="53">
        <v>16639</v>
      </c>
      <c r="I159" s="53">
        <v>14808</v>
      </c>
      <c r="J159" s="53">
        <v>14984</v>
      </c>
      <c r="K159" s="53">
        <v>11095</v>
      </c>
      <c r="L159" s="110">
        <v>11946.75</v>
      </c>
      <c r="M159" s="110">
        <v>12156.96</v>
      </c>
      <c r="N159" s="20">
        <v>13090</v>
      </c>
      <c r="O159" s="477">
        <v>13480.65</v>
      </c>
      <c r="P159" s="485">
        <f t="shared" si="19"/>
        <v>102.98433919022155</v>
      </c>
      <c r="R159" s="476"/>
    </row>
    <row r="160" spans="1:21" x14ac:dyDescent="0.2">
      <c r="A160" s="713"/>
      <c r="B160" s="191">
        <v>620</v>
      </c>
      <c r="C160" s="40" t="s">
        <v>68</v>
      </c>
      <c r="D160" s="41"/>
      <c r="E160" s="41">
        <v>3983</v>
      </c>
      <c r="F160" s="41">
        <v>5610</v>
      </c>
      <c r="G160" s="41">
        <v>5689</v>
      </c>
      <c r="H160" s="41">
        <v>5822</v>
      </c>
      <c r="I160" s="41">
        <v>5320</v>
      </c>
      <c r="J160" s="41">
        <v>5972</v>
      </c>
      <c r="K160" s="41">
        <v>4227</v>
      </c>
      <c r="L160" s="192">
        <v>4902.95</v>
      </c>
      <c r="M160" s="192">
        <v>3941.03</v>
      </c>
      <c r="N160" s="24">
        <v>4576</v>
      </c>
      <c r="O160" s="478">
        <v>4701.62</v>
      </c>
      <c r="P160" s="479">
        <f t="shared" si="19"/>
        <v>102.74519230769231</v>
      </c>
      <c r="R160" s="476"/>
    </row>
    <row r="161" spans="1:16" x14ac:dyDescent="0.2">
      <c r="A161" s="713"/>
      <c r="B161" s="191">
        <v>630</v>
      </c>
      <c r="C161" s="40" t="s">
        <v>69</v>
      </c>
      <c r="D161" s="41"/>
      <c r="E161" s="41">
        <v>2556</v>
      </c>
      <c r="F161" s="41">
        <v>3021</v>
      </c>
      <c r="G161" s="41">
        <v>4135</v>
      </c>
      <c r="H161" s="41">
        <v>1706</v>
      </c>
      <c r="I161" s="41">
        <f>1591+259</f>
        <v>1850</v>
      </c>
      <c r="J161" s="41">
        <v>1495</v>
      </c>
      <c r="K161" s="41">
        <v>1200</v>
      </c>
      <c r="L161" s="192">
        <v>931.46</v>
      </c>
      <c r="M161" s="192">
        <v>1055.02</v>
      </c>
      <c r="N161" s="24">
        <v>1420</v>
      </c>
      <c r="O161" s="478">
        <f>270.47+862.5</f>
        <v>1132.97</v>
      </c>
      <c r="P161" s="479">
        <f t="shared" si="19"/>
        <v>79.786619718309865</v>
      </c>
    </row>
    <row r="162" spans="1:16" ht="13.5" thickBot="1" x14ac:dyDescent="0.25">
      <c r="A162" s="714"/>
      <c r="B162" s="315">
        <v>640</v>
      </c>
      <c r="C162" s="43" t="s">
        <v>324</v>
      </c>
      <c r="D162" s="56"/>
      <c r="E162" s="56"/>
      <c r="F162" s="56"/>
      <c r="G162" s="56"/>
      <c r="H162" s="56"/>
      <c r="I162" s="56"/>
      <c r="J162" s="56">
        <v>3731</v>
      </c>
      <c r="K162" s="229">
        <v>83</v>
      </c>
      <c r="L162" s="108">
        <v>1531.5</v>
      </c>
      <c r="M162" s="108">
        <v>79.489999999999995</v>
      </c>
      <c r="N162" s="66"/>
      <c r="O162" s="480">
        <v>78.650000000000006</v>
      </c>
      <c r="P162" s="481">
        <f t="shared" si="19"/>
        <v>0</v>
      </c>
    </row>
    <row r="163" spans="1:16" ht="15.75" thickBot="1" x14ac:dyDescent="0.3">
      <c r="A163" s="199" t="s">
        <v>325</v>
      </c>
      <c r="B163" s="676" t="s">
        <v>326</v>
      </c>
      <c r="C163" s="640"/>
      <c r="D163" s="63">
        <v>42988</v>
      </c>
      <c r="E163" s="63">
        <v>41924</v>
      </c>
      <c r="F163" s="63">
        <v>49127</v>
      </c>
      <c r="G163" s="63">
        <v>48507</v>
      </c>
      <c r="H163" s="63">
        <v>53865</v>
      </c>
      <c r="I163" s="63">
        <f>I164+I170+I169</f>
        <v>59113.2</v>
      </c>
      <c r="J163" s="63">
        <f>J164+J170+J169</f>
        <v>51352</v>
      </c>
      <c r="K163" s="63">
        <f>K164+K170+K169</f>
        <v>57413</v>
      </c>
      <c r="L163" s="201">
        <f>L164+L170+L169</f>
        <v>142019.73000000001</v>
      </c>
      <c r="M163" s="201">
        <f>M164+M170+M169</f>
        <v>67235.890000000014</v>
      </c>
      <c r="N163" s="99">
        <f>N164+N169+N170</f>
        <v>65690</v>
      </c>
      <c r="O163" s="587">
        <f>O164+O169+O170</f>
        <v>59484.65</v>
      </c>
      <c r="P163" s="582">
        <f t="shared" si="19"/>
        <v>90.553585020551068</v>
      </c>
    </row>
    <row r="164" spans="1:16" ht="15.75" thickBot="1" x14ac:dyDescent="0.3">
      <c r="A164" s="703"/>
      <c r="B164" s="708" t="s">
        <v>327</v>
      </c>
      <c r="C164" s="709"/>
      <c r="D164" s="60">
        <v>39801</v>
      </c>
      <c r="E164" s="60">
        <v>41194</v>
      </c>
      <c r="F164" s="60">
        <v>47169</v>
      </c>
      <c r="G164" s="60">
        <v>47600</v>
      </c>
      <c r="H164" s="60">
        <v>53724</v>
      </c>
      <c r="I164" s="60">
        <f>SUM(I165:I167)</f>
        <v>56208.2</v>
      </c>
      <c r="J164" s="60">
        <f>SUM(J165:J167)</f>
        <v>47897</v>
      </c>
      <c r="K164" s="60">
        <f>SUM(K165:K168)</f>
        <v>54913</v>
      </c>
      <c r="L164" s="147">
        <f>SUM(L165:L168)</f>
        <v>59991.65</v>
      </c>
      <c r="M164" s="147">
        <f>SUM(M165:M168)</f>
        <v>64735.890000000007</v>
      </c>
      <c r="N164" s="90">
        <f>SUM(N165:N167)</f>
        <v>63190</v>
      </c>
      <c r="O164" s="587">
        <f>SUM(O165:O168)</f>
        <v>54463.6</v>
      </c>
      <c r="P164" s="582">
        <f t="shared" si="19"/>
        <v>86.19021997151448</v>
      </c>
    </row>
    <row r="165" spans="1:16" x14ac:dyDescent="0.2">
      <c r="A165" s="704"/>
      <c r="B165" s="296">
        <v>610</v>
      </c>
      <c r="C165" s="67" t="s">
        <v>67</v>
      </c>
      <c r="D165" s="53"/>
      <c r="E165" s="53">
        <v>22141</v>
      </c>
      <c r="F165" s="53">
        <v>25294</v>
      </c>
      <c r="G165" s="53">
        <v>27320</v>
      </c>
      <c r="H165" s="53">
        <v>30945</v>
      </c>
      <c r="I165" s="53">
        <v>30403</v>
      </c>
      <c r="J165" s="53">
        <v>28630</v>
      </c>
      <c r="K165" s="53">
        <v>28741</v>
      </c>
      <c r="L165" s="110">
        <v>31950.86</v>
      </c>
      <c r="M165" s="110">
        <v>36896.54</v>
      </c>
      <c r="N165" s="20">
        <v>35647</v>
      </c>
      <c r="O165" s="477">
        <v>32643.72</v>
      </c>
      <c r="P165" s="485">
        <f t="shared" si="19"/>
        <v>91.574943192975567</v>
      </c>
    </row>
    <row r="166" spans="1:16" x14ac:dyDescent="0.2">
      <c r="A166" s="704"/>
      <c r="B166" s="217">
        <v>620</v>
      </c>
      <c r="C166" s="40" t="s">
        <v>68</v>
      </c>
      <c r="D166" s="41"/>
      <c r="E166" s="41">
        <v>8265</v>
      </c>
      <c r="F166" s="41">
        <v>9427</v>
      </c>
      <c r="G166" s="41">
        <v>10234</v>
      </c>
      <c r="H166" s="41">
        <v>11482</v>
      </c>
      <c r="I166" s="41">
        <f>11947-(14.4+22.4+180)</f>
        <v>11730.2</v>
      </c>
      <c r="J166" s="41">
        <v>10691</v>
      </c>
      <c r="K166" s="41">
        <v>10646</v>
      </c>
      <c r="L166" s="192">
        <v>12860.64</v>
      </c>
      <c r="M166" s="192">
        <v>12687.37</v>
      </c>
      <c r="N166" s="24">
        <v>14093</v>
      </c>
      <c r="O166" s="478">
        <v>12446.38</v>
      </c>
      <c r="P166" s="479">
        <f t="shared" si="19"/>
        <v>88.316043425814229</v>
      </c>
    </row>
    <row r="167" spans="1:16" x14ac:dyDescent="0.2">
      <c r="A167" s="704"/>
      <c r="B167" s="297">
        <v>630</v>
      </c>
      <c r="C167" s="40" t="s">
        <v>69</v>
      </c>
      <c r="D167" s="41"/>
      <c r="E167" s="41">
        <v>10788</v>
      </c>
      <c r="F167" s="41">
        <v>12448</v>
      </c>
      <c r="G167" s="41">
        <v>10046</v>
      </c>
      <c r="H167" s="41">
        <v>11297</v>
      </c>
      <c r="I167" s="41">
        <f>16682-(2550+28+110)+81</f>
        <v>14075</v>
      </c>
      <c r="J167" s="41">
        <f>11880-3455+151</f>
        <v>8576</v>
      </c>
      <c r="K167" s="41">
        <v>15451</v>
      </c>
      <c r="L167" s="106">
        <v>15180.15</v>
      </c>
      <c r="M167" s="106">
        <v>15023.18</v>
      </c>
      <c r="N167" s="24">
        <v>13450</v>
      </c>
      <c r="O167" s="478">
        <v>9257.17</v>
      </c>
      <c r="P167" s="479">
        <f t="shared" si="19"/>
        <v>68.826542750929363</v>
      </c>
    </row>
    <row r="168" spans="1:16" ht="13.5" thickBot="1" x14ac:dyDescent="0.25">
      <c r="A168" s="704"/>
      <c r="B168" s="315">
        <v>640</v>
      </c>
      <c r="C168" s="251" t="s">
        <v>70</v>
      </c>
      <c r="D168" s="284"/>
      <c r="E168" s="284"/>
      <c r="F168" s="284"/>
      <c r="G168" s="284"/>
      <c r="H168" s="284"/>
      <c r="I168" s="197"/>
      <c r="J168" s="197"/>
      <c r="K168" s="197">
        <v>75</v>
      </c>
      <c r="L168" s="72"/>
      <c r="M168" s="198">
        <v>128.80000000000001</v>
      </c>
      <c r="N168" s="45"/>
      <c r="O168" s="492">
        <v>116.33</v>
      </c>
      <c r="P168" s="519">
        <f t="shared" si="19"/>
        <v>0</v>
      </c>
    </row>
    <row r="169" spans="1:16" ht="13.5" hidden="1" thickBot="1" x14ac:dyDescent="0.25">
      <c r="A169" s="704"/>
      <c r="B169" s="299">
        <v>630</v>
      </c>
      <c r="C169" s="251" t="s">
        <v>272</v>
      </c>
      <c r="D169" s="284"/>
      <c r="E169" s="284"/>
      <c r="F169" s="284"/>
      <c r="G169" s="284"/>
      <c r="H169" s="284"/>
      <c r="I169" s="316"/>
      <c r="J169" s="316"/>
      <c r="K169" s="56"/>
      <c r="L169" s="198">
        <v>82028.08</v>
      </c>
      <c r="M169" s="198"/>
      <c r="N169" s="72"/>
      <c r="O169" s="483"/>
      <c r="P169" s="487">
        <f t="shared" si="19"/>
        <v>0</v>
      </c>
    </row>
    <row r="170" spans="1:16" ht="15.75" thickBot="1" x14ac:dyDescent="0.3">
      <c r="A170" s="704"/>
      <c r="B170" s="706" t="s">
        <v>328</v>
      </c>
      <c r="C170" s="707"/>
      <c r="D170" s="317">
        <v>3187</v>
      </c>
      <c r="E170" s="317">
        <v>730</v>
      </c>
      <c r="F170" s="317">
        <v>1958</v>
      </c>
      <c r="G170" s="317">
        <v>907</v>
      </c>
      <c r="H170" s="317">
        <v>141</v>
      </c>
      <c r="I170" s="316">
        <f>I171</f>
        <v>2905</v>
      </c>
      <c r="J170" s="316">
        <f>J171</f>
        <v>3455</v>
      </c>
      <c r="K170" s="316">
        <f>K171</f>
        <v>2500</v>
      </c>
      <c r="L170" s="316">
        <v>0</v>
      </c>
      <c r="M170" s="516">
        <f>M171</f>
        <v>2500</v>
      </c>
      <c r="N170" s="490">
        <v>2500</v>
      </c>
      <c r="O170" s="587">
        <v>5021.05</v>
      </c>
      <c r="P170" s="582">
        <f t="shared" si="19"/>
        <v>200.84200000000001</v>
      </c>
    </row>
    <row r="171" spans="1:16" ht="13.5" thickBot="1" x14ac:dyDescent="0.25">
      <c r="A171" s="705"/>
      <c r="B171" s="318">
        <v>630</v>
      </c>
      <c r="C171" s="43" t="s">
        <v>69</v>
      </c>
      <c r="D171" s="56">
        <v>3187</v>
      </c>
      <c r="E171" s="56">
        <v>730</v>
      </c>
      <c r="F171" s="56">
        <v>1958</v>
      </c>
      <c r="G171" s="56">
        <v>907</v>
      </c>
      <c r="H171" s="56">
        <v>141</v>
      </c>
      <c r="I171" s="43">
        <v>2905</v>
      </c>
      <c r="J171" s="43">
        <v>3455</v>
      </c>
      <c r="K171" s="56">
        <v>2500</v>
      </c>
      <c r="L171" s="45">
        <v>0</v>
      </c>
      <c r="M171" s="242">
        <v>2500</v>
      </c>
      <c r="N171" s="45">
        <v>2500</v>
      </c>
      <c r="O171" s="483">
        <v>5021.05</v>
      </c>
      <c r="P171" s="487">
        <f t="shared" si="19"/>
        <v>200.84200000000001</v>
      </c>
    </row>
    <row r="172" spans="1:16" ht="15.75" thickBot="1" x14ac:dyDescent="0.3">
      <c r="A172" s="319" t="s">
        <v>325</v>
      </c>
      <c r="B172" s="699" t="s">
        <v>329</v>
      </c>
      <c r="C172" s="649"/>
      <c r="D172" s="73">
        <v>90752</v>
      </c>
      <c r="E172" s="73">
        <v>96030</v>
      </c>
      <c r="F172" s="73">
        <v>117540</v>
      </c>
      <c r="G172" s="73">
        <v>141455</v>
      </c>
      <c r="H172" s="73">
        <f t="shared" ref="H172:N172" si="24">SUM(H173:H177)</f>
        <v>157876</v>
      </c>
      <c r="I172" s="73">
        <f t="shared" si="24"/>
        <v>153798</v>
      </c>
      <c r="J172" s="73">
        <f t="shared" si="24"/>
        <v>141580</v>
      </c>
      <c r="K172" s="73">
        <f t="shared" si="24"/>
        <v>144793</v>
      </c>
      <c r="L172" s="74">
        <f t="shared" si="24"/>
        <v>138341.56</v>
      </c>
      <c r="M172" s="74">
        <f t="shared" si="24"/>
        <v>147764.81</v>
      </c>
      <c r="N172" s="73">
        <f t="shared" si="24"/>
        <v>182182</v>
      </c>
      <c r="O172" s="587">
        <f>SUM(O173:O176)</f>
        <v>187629.79</v>
      </c>
      <c r="P172" s="582">
        <f t="shared" si="19"/>
        <v>102.99030090788332</v>
      </c>
    </row>
    <row r="173" spans="1:16" x14ac:dyDescent="0.2">
      <c r="A173" s="718"/>
      <c r="B173" s="216">
        <v>610</v>
      </c>
      <c r="C173" s="38" t="s">
        <v>67</v>
      </c>
      <c r="D173" s="39"/>
      <c r="E173" s="39">
        <v>65691</v>
      </c>
      <c r="F173" s="39">
        <v>80097</v>
      </c>
      <c r="G173" s="39">
        <v>93395</v>
      </c>
      <c r="H173" s="39">
        <v>102238</v>
      </c>
      <c r="I173" s="38">
        <v>102422</v>
      </c>
      <c r="J173" s="39">
        <v>93404</v>
      </c>
      <c r="K173" s="39">
        <v>93846</v>
      </c>
      <c r="L173" s="190">
        <v>85213.93</v>
      </c>
      <c r="M173" s="190">
        <v>101710.97</v>
      </c>
      <c r="N173" s="87">
        <v>124000</v>
      </c>
      <c r="O173" s="477">
        <v>126027.75</v>
      </c>
      <c r="P173" s="485">
        <f t="shared" si="19"/>
        <v>101.63528225806451</v>
      </c>
    </row>
    <row r="174" spans="1:16" x14ac:dyDescent="0.2">
      <c r="A174" s="719"/>
      <c r="B174" s="217">
        <v>620</v>
      </c>
      <c r="C174" s="40" t="s">
        <v>68</v>
      </c>
      <c r="D174" s="41"/>
      <c r="E174" s="41">
        <v>22738</v>
      </c>
      <c r="F174" s="41">
        <v>27783</v>
      </c>
      <c r="G174" s="41">
        <v>32056</v>
      </c>
      <c r="H174" s="41">
        <v>35361</v>
      </c>
      <c r="I174" s="40">
        <v>35526</v>
      </c>
      <c r="J174" s="41">
        <v>32703</v>
      </c>
      <c r="K174" s="41">
        <v>32877</v>
      </c>
      <c r="L174" s="192">
        <v>32579.829999999994</v>
      </c>
      <c r="M174" s="192">
        <v>29560.18</v>
      </c>
      <c r="N174" s="24">
        <v>43732</v>
      </c>
      <c r="O174" s="478">
        <v>41405.870000000003</v>
      </c>
      <c r="P174" s="479">
        <f t="shared" si="19"/>
        <v>94.680943016555389</v>
      </c>
    </row>
    <row r="175" spans="1:16" x14ac:dyDescent="0.2">
      <c r="A175" s="719"/>
      <c r="B175" s="297">
        <v>630</v>
      </c>
      <c r="C175" s="44" t="s">
        <v>69</v>
      </c>
      <c r="D175" s="69"/>
      <c r="E175" s="69">
        <v>7369</v>
      </c>
      <c r="F175" s="69">
        <v>8830</v>
      </c>
      <c r="G175" s="69">
        <v>15669</v>
      </c>
      <c r="H175" s="69">
        <v>19477</v>
      </c>
      <c r="I175" s="44">
        <v>15050</v>
      </c>
      <c r="J175" s="41">
        <v>14133</v>
      </c>
      <c r="K175" s="41">
        <v>17748</v>
      </c>
      <c r="L175" s="210">
        <v>20156.86</v>
      </c>
      <c r="M175" s="210">
        <v>15870.11</v>
      </c>
      <c r="N175" s="28">
        <v>14450</v>
      </c>
      <c r="O175" s="478">
        <v>19809.259999999998</v>
      </c>
      <c r="P175" s="479">
        <f t="shared" si="19"/>
        <v>137.08830449826988</v>
      </c>
    </row>
    <row r="176" spans="1:16" ht="13.5" thickBot="1" x14ac:dyDescent="0.25">
      <c r="A176" s="719"/>
      <c r="B176" s="240">
        <v>640</v>
      </c>
      <c r="C176" s="43" t="s">
        <v>70</v>
      </c>
      <c r="D176" s="56"/>
      <c r="E176" s="56"/>
      <c r="F176" s="56"/>
      <c r="G176" s="56"/>
      <c r="H176" s="56"/>
      <c r="I176" s="43"/>
      <c r="J176" s="56">
        <v>1340</v>
      </c>
      <c r="K176" s="56">
        <v>322</v>
      </c>
      <c r="L176" s="242">
        <v>390.94</v>
      </c>
      <c r="M176" s="242">
        <v>623.54999999999995</v>
      </c>
      <c r="N176" s="45"/>
      <c r="O176" s="480">
        <v>386.91</v>
      </c>
      <c r="P176" s="481">
        <f t="shared" si="19"/>
        <v>0</v>
      </c>
    </row>
    <row r="177" spans="1:18" ht="13.5" hidden="1" thickBot="1" x14ac:dyDescent="0.25">
      <c r="A177" s="720"/>
      <c r="B177" s="219">
        <v>630</v>
      </c>
      <c r="C177" s="107" t="s">
        <v>330</v>
      </c>
      <c r="D177" s="197"/>
      <c r="E177" s="197">
        <v>232</v>
      </c>
      <c r="F177" s="197">
        <v>830</v>
      </c>
      <c r="G177" s="197">
        <v>335</v>
      </c>
      <c r="H177" s="197">
        <v>800</v>
      </c>
      <c r="I177" s="107">
        <v>800</v>
      </c>
      <c r="J177" s="107"/>
      <c r="K177" s="197"/>
      <c r="L177" s="72"/>
      <c r="M177" s="198"/>
      <c r="N177" s="72"/>
      <c r="O177" s="483"/>
      <c r="P177" s="487">
        <f t="shared" si="19"/>
        <v>0</v>
      </c>
    </row>
    <row r="178" spans="1:18" ht="15.75" thickBot="1" x14ac:dyDescent="0.3">
      <c r="A178" s="449" t="s">
        <v>331</v>
      </c>
      <c r="B178" s="699" t="s">
        <v>140</v>
      </c>
      <c r="C178" s="649"/>
      <c r="D178" s="257">
        <v>35152</v>
      </c>
      <c r="E178" s="257">
        <v>34654</v>
      </c>
      <c r="F178" s="257">
        <v>45741</v>
      </c>
      <c r="G178" s="257">
        <v>45381</v>
      </c>
      <c r="H178" s="73">
        <f>SUM(H179:H182)</f>
        <v>47758</v>
      </c>
      <c r="I178" s="73">
        <f>SUM(I179:I182)</f>
        <v>57427</v>
      </c>
      <c r="J178" s="73">
        <f>SUM(J179:J181)</f>
        <v>33860</v>
      </c>
      <c r="K178" s="73">
        <f>SUM(K179:K182)</f>
        <v>33843</v>
      </c>
      <c r="L178" s="74">
        <f>SUM(L179:L182)</f>
        <v>35020.590000000004</v>
      </c>
      <c r="M178" s="74">
        <f>SUM(M179:M182)</f>
        <v>40552.410000000003</v>
      </c>
      <c r="N178" s="384">
        <v>38017</v>
      </c>
      <c r="O178" s="587">
        <f>SUM(O179:O182)</f>
        <v>37850.049999999996</v>
      </c>
      <c r="P178" s="582">
        <f t="shared" si="19"/>
        <v>99.560854354630806</v>
      </c>
    </row>
    <row r="179" spans="1:18" x14ac:dyDescent="0.2">
      <c r="A179" s="721"/>
      <c r="B179" s="216">
        <v>610</v>
      </c>
      <c r="C179" s="211" t="s">
        <v>67</v>
      </c>
      <c r="D179" s="304"/>
      <c r="E179" s="304">
        <v>21277</v>
      </c>
      <c r="F179" s="304">
        <v>26622</v>
      </c>
      <c r="G179" s="304">
        <v>27938</v>
      </c>
      <c r="H179" s="304">
        <v>29205</v>
      </c>
      <c r="I179" s="39">
        <v>32982</v>
      </c>
      <c r="J179" s="39">
        <v>19537</v>
      </c>
      <c r="K179" s="39">
        <v>19331</v>
      </c>
      <c r="L179" s="190">
        <v>19931.3</v>
      </c>
      <c r="M179" s="190">
        <v>21474.28</v>
      </c>
      <c r="N179" s="87">
        <v>21772</v>
      </c>
      <c r="O179" s="477">
        <v>19698.37</v>
      </c>
      <c r="P179" s="485">
        <f t="shared" si="19"/>
        <v>90.475702737460949</v>
      </c>
    </row>
    <row r="180" spans="1:18" x14ac:dyDescent="0.2">
      <c r="A180" s="722"/>
      <c r="B180" s="217">
        <v>620</v>
      </c>
      <c r="C180" s="213" t="s">
        <v>68</v>
      </c>
      <c r="D180" s="193"/>
      <c r="E180" s="193">
        <v>8033</v>
      </c>
      <c r="F180" s="193">
        <v>9792</v>
      </c>
      <c r="G180" s="193">
        <v>10190</v>
      </c>
      <c r="H180" s="193">
        <v>10431</v>
      </c>
      <c r="I180" s="41">
        <v>13206</v>
      </c>
      <c r="J180" s="41">
        <v>7857</v>
      </c>
      <c r="K180" s="41">
        <v>7510</v>
      </c>
      <c r="L180" s="192">
        <v>8330.59</v>
      </c>
      <c r="M180" s="192">
        <v>7982.2</v>
      </c>
      <c r="N180" s="24">
        <v>8365</v>
      </c>
      <c r="O180" s="478">
        <v>7602.19</v>
      </c>
      <c r="P180" s="479">
        <f t="shared" si="19"/>
        <v>90.880932456664667</v>
      </c>
    </row>
    <row r="181" spans="1:18" x14ac:dyDescent="0.2">
      <c r="A181" s="722"/>
      <c r="B181" s="217">
        <v>630</v>
      </c>
      <c r="C181" s="213" t="s">
        <v>69</v>
      </c>
      <c r="D181" s="193"/>
      <c r="E181" s="193">
        <v>5344</v>
      </c>
      <c r="F181" s="193">
        <v>9327</v>
      </c>
      <c r="G181" s="193">
        <v>7253</v>
      </c>
      <c r="H181" s="193">
        <v>8122</v>
      </c>
      <c r="I181" s="41">
        <v>7483</v>
      </c>
      <c r="J181" s="41">
        <v>6466</v>
      </c>
      <c r="K181" s="41">
        <v>6899</v>
      </c>
      <c r="L181" s="192">
        <v>6669.76</v>
      </c>
      <c r="M181" s="192">
        <v>10990.38</v>
      </c>
      <c r="N181" s="24">
        <v>7880</v>
      </c>
      <c r="O181" s="478">
        <v>10449.24</v>
      </c>
      <c r="P181" s="479">
        <f t="shared" si="19"/>
        <v>132.60456852791879</v>
      </c>
    </row>
    <row r="182" spans="1:18" ht="13.5" thickBot="1" x14ac:dyDescent="0.25">
      <c r="A182" s="723"/>
      <c r="B182" s="219">
        <v>640</v>
      </c>
      <c r="C182" s="251" t="s">
        <v>70</v>
      </c>
      <c r="D182" s="284"/>
      <c r="E182" s="284"/>
      <c r="F182" s="284"/>
      <c r="G182" s="284"/>
      <c r="H182" s="284"/>
      <c r="I182" s="197">
        <v>3756</v>
      </c>
      <c r="J182" s="197"/>
      <c r="K182" s="197">
        <v>103</v>
      </c>
      <c r="L182" s="320">
        <v>88.94</v>
      </c>
      <c r="M182" s="289">
        <v>105.55</v>
      </c>
      <c r="N182" s="45"/>
      <c r="O182" s="480">
        <f>100.25</f>
        <v>100.25</v>
      </c>
      <c r="P182" s="481">
        <f t="shared" si="19"/>
        <v>0</v>
      </c>
    </row>
    <row r="183" spans="1:18" ht="15.75" thickBot="1" x14ac:dyDescent="0.3">
      <c r="A183" s="321" t="s">
        <v>332</v>
      </c>
      <c r="B183" s="710" t="s">
        <v>333</v>
      </c>
      <c r="C183" s="711"/>
      <c r="D183" s="322">
        <v>105855</v>
      </c>
      <c r="E183" s="322">
        <v>102071</v>
      </c>
      <c r="F183" s="322">
        <v>77475</v>
      </c>
      <c r="G183" s="322">
        <v>119794</v>
      </c>
      <c r="H183" s="323">
        <v>122484</v>
      </c>
      <c r="I183" s="323">
        <f>I184+I189+I190+I191+I192+I193+I196+I197+I194</f>
        <v>95592</v>
      </c>
      <c r="J183" s="323">
        <f>J184+J189+J190+J191+J192+J193+J196+J197+J194</f>
        <v>235945</v>
      </c>
      <c r="K183" s="323">
        <f>K184+K189+K190+K191+K192+K193+K196+K197+K194</f>
        <v>566990</v>
      </c>
      <c r="L183" s="324">
        <f>L184+L189+L190+L191+L192+L193+L196+L197+L194</f>
        <v>568843.26</v>
      </c>
      <c r="M183" s="324">
        <f>M184+M189+M190+M191+M192+M193+M196+M197+M194</f>
        <v>470939.23</v>
      </c>
      <c r="N183" s="491">
        <f>N184+N189+N191+N192+N193+N194+N196+N197+N195</f>
        <v>334893</v>
      </c>
      <c r="O183" s="587">
        <f>O185+O186+O187+O189+O191+O192+O193+O194+O195+O196+O197</f>
        <v>341351.46</v>
      </c>
      <c r="P183" s="582">
        <f t="shared" si="19"/>
        <v>101.92851448074461</v>
      </c>
    </row>
    <row r="184" spans="1:18" ht="15.75" thickBot="1" x14ac:dyDescent="0.3">
      <c r="A184" s="715"/>
      <c r="B184" s="716" t="s">
        <v>334</v>
      </c>
      <c r="C184" s="717"/>
      <c r="D184" s="325">
        <v>26024</v>
      </c>
      <c r="E184" s="325">
        <v>26422</v>
      </c>
      <c r="F184" s="325">
        <v>12381</v>
      </c>
      <c r="G184" s="325">
        <v>67096</v>
      </c>
      <c r="H184" s="326">
        <f>SUM(H185:H187)</f>
        <v>63788</v>
      </c>
      <c r="I184" s="326">
        <f>SUM(I185:I187)</f>
        <v>2494</v>
      </c>
      <c r="J184" s="326">
        <f>SUM(J185:J187)</f>
        <v>41385</v>
      </c>
      <c r="K184" s="326">
        <f>SUM(K185:K188)</f>
        <v>80229</v>
      </c>
      <c r="L184" s="327">
        <f>SUM(L185:L188)</f>
        <v>66952.969999999987</v>
      </c>
      <c r="M184" s="327">
        <f>SUM(M185:M188)</f>
        <v>85074.98</v>
      </c>
      <c r="N184" s="326">
        <v>4500</v>
      </c>
      <c r="O184" s="587">
        <f>SUM(O185:O188)</f>
        <v>7365</v>
      </c>
      <c r="P184" s="582">
        <f t="shared" si="19"/>
        <v>163.66666666666669</v>
      </c>
    </row>
    <row r="185" spans="1:18" x14ac:dyDescent="0.2">
      <c r="A185" s="715"/>
      <c r="B185" s="296">
        <v>610</v>
      </c>
      <c r="C185" s="67" t="s">
        <v>67</v>
      </c>
      <c r="D185" s="39"/>
      <c r="E185" s="39">
        <v>16132</v>
      </c>
      <c r="F185" s="39">
        <v>7933</v>
      </c>
      <c r="G185" s="39">
        <v>43567</v>
      </c>
      <c r="H185" s="39">
        <v>42257</v>
      </c>
      <c r="I185" s="328">
        <v>2163</v>
      </c>
      <c r="J185" s="328">
        <v>27310</v>
      </c>
      <c r="K185" s="328">
        <v>54820</v>
      </c>
      <c r="L185" s="329">
        <v>43998.71</v>
      </c>
      <c r="M185" s="329">
        <v>61007.02</v>
      </c>
      <c r="N185" s="463">
        <v>0</v>
      </c>
      <c r="O185" s="477">
        <v>1010.2</v>
      </c>
      <c r="P185" s="485">
        <f t="shared" si="19"/>
        <v>0</v>
      </c>
      <c r="R185" s="494"/>
    </row>
    <row r="186" spans="1:18" x14ac:dyDescent="0.2">
      <c r="A186" s="715"/>
      <c r="B186" s="217">
        <v>620</v>
      </c>
      <c r="C186" s="40" t="s">
        <v>68</v>
      </c>
      <c r="D186" s="41"/>
      <c r="E186" s="41">
        <v>5344</v>
      </c>
      <c r="F186" s="41">
        <v>2622</v>
      </c>
      <c r="G186" s="41">
        <v>14529</v>
      </c>
      <c r="H186" s="41">
        <v>14713</v>
      </c>
      <c r="I186" s="330">
        <v>323</v>
      </c>
      <c r="J186" s="330">
        <v>10254</v>
      </c>
      <c r="K186" s="330">
        <v>19614</v>
      </c>
      <c r="L186" s="331">
        <v>18142.439999999999</v>
      </c>
      <c r="M186" s="331">
        <v>19303.48</v>
      </c>
      <c r="N186" s="332">
        <v>0</v>
      </c>
      <c r="O186" s="478">
        <v>430.73</v>
      </c>
      <c r="P186" s="479">
        <f t="shared" si="19"/>
        <v>0</v>
      </c>
    </row>
    <row r="187" spans="1:18" x14ac:dyDescent="0.2">
      <c r="A187" s="715"/>
      <c r="B187" s="191">
        <v>630</v>
      </c>
      <c r="C187" s="40" t="s">
        <v>69</v>
      </c>
      <c r="D187" s="41"/>
      <c r="E187" s="41">
        <v>4946</v>
      </c>
      <c r="F187" s="41">
        <v>1826</v>
      </c>
      <c r="G187" s="41">
        <v>9000</v>
      </c>
      <c r="H187" s="41">
        <v>6818</v>
      </c>
      <c r="I187" s="41">
        <v>8</v>
      </c>
      <c r="J187" s="41">
        <f>3526+295</f>
        <v>3821</v>
      </c>
      <c r="K187" s="330">
        <v>5011</v>
      </c>
      <c r="L187" s="331">
        <v>4277.1499999999996</v>
      </c>
      <c r="M187" s="331">
        <v>4479.7</v>
      </c>
      <c r="N187" s="332">
        <v>4500</v>
      </c>
      <c r="O187" s="478">
        <f>810.08+5113.99</f>
        <v>5924.07</v>
      </c>
      <c r="P187" s="479">
        <f t="shared" si="19"/>
        <v>131.64599999999999</v>
      </c>
    </row>
    <row r="188" spans="1:18" ht="13.5" thickBot="1" x14ac:dyDescent="0.25">
      <c r="A188" s="715"/>
      <c r="B188" s="219">
        <v>640</v>
      </c>
      <c r="C188" s="251" t="s">
        <v>70</v>
      </c>
      <c r="D188" s="288"/>
      <c r="E188" s="288"/>
      <c r="F188" s="288"/>
      <c r="G188" s="288"/>
      <c r="H188" s="288"/>
      <c r="I188" s="288"/>
      <c r="J188" s="288"/>
      <c r="K188" s="333">
        <v>784</v>
      </c>
      <c r="L188" s="334">
        <v>534.66999999999996</v>
      </c>
      <c r="M188" s="334">
        <v>284.77999999999997</v>
      </c>
      <c r="N188" s="335"/>
      <c r="O188" s="492"/>
      <c r="P188" s="519">
        <f t="shared" si="19"/>
        <v>0</v>
      </c>
      <c r="R188" s="476"/>
    </row>
    <row r="189" spans="1:18" x14ac:dyDescent="0.2">
      <c r="A189" s="715"/>
      <c r="B189" s="336"/>
      <c r="C189" s="307" t="s">
        <v>335</v>
      </c>
      <c r="D189" s="306"/>
      <c r="E189" s="306"/>
      <c r="F189" s="306"/>
      <c r="G189" s="306"/>
      <c r="H189" s="306"/>
      <c r="I189" s="307">
        <v>9265</v>
      </c>
      <c r="J189" s="193">
        <v>11343</v>
      </c>
      <c r="K189" s="41">
        <v>6313</v>
      </c>
      <c r="L189" s="110">
        <v>5404.14</v>
      </c>
      <c r="M189" s="110">
        <v>4327.68</v>
      </c>
      <c r="N189" s="20">
        <v>3105</v>
      </c>
      <c r="O189" s="68"/>
      <c r="P189" s="485">
        <f t="shared" si="19"/>
        <v>0</v>
      </c>
    </row>
    <row r="190" spans="1:18" hidden="1" x14ac:dyDescent="0.2">
      <c r="A190" s="715"/>
      <c r="B190" s="337"/>
      <c r="C190" s="213" t="s">
        <v>336</v>
      </c>
      <c r="D190" s="193"/>
      <c r="E190" s="193"/>
      <c r="F190" s="193"/>
      <c r="G190" s="193"/>
      <c r="H190" s="193"/>
      <c r="I190" s="213"/>
      <c r="J190" s="193"/>
      <c r="K190" s="41"/>
      <c r="L190" s="192"/>
      <c r="M190" s="192"/>
      <c r="N190" s="24">
        <v>0</v>
      </c>
      <c r="O190" s="106"/>
      <c r="P190" s="479">
        <f t="shared" si="19"/>
        <v>0</v>
      </c>
    </row>
    <row r="191" spans="1:18" x14ac:dyDescent="0.2">
      <c r="A191" s="715"/>
      <c r="B191" s="337">
        <v>630</v>
      </c>
      <c r="C191" s="213" t="s">
        <v>336</v>
      </c>
      <c r="D191" s="193"/>
      <c r="E191" s="193"/>
      <c r="F191" s="193"/>
      <c r="G191" s="193"/>
      <c r="H191" s="193"/>
      <c r="I191" s="213"/>
      <c r="J191" s="193"/>
      <c r="K191" s="41"/>
      <c r="L191" s="192"/>
      <c r="M191" s="192"/>
      <c r="N191" s="24">
        <v>0</v>
      </c>
      <c r="O191" s="106"/>
      <c r="P191" s="479">
        <f t="shared" si="19"/>
        <v>0</v>
      </c>
    </row>
    <row r="192" spans="1:18" x14ac:dyDescent="0.2">
      <c r="A192" s="715"/>
      <c r="B192" s="337">
        <v>630</v>
      </c>
      <c r="C192" s="213" t="s">
        <v>337</v>
      </c>
      <c r="D192" s="193"/>
      <c r="E192" s="193"/>
      <c r="F192" s="193"/>
      <c r="G192" s="193"/>
      <c r="H192" s="193"/>
      <c r="I192" s="213">
        <v>66358</v>
      </c>
      <c r="J192" s="193">
        <v>95746</v>
      </c>
      <c r="K192" s="41">
        <f>5530+80179</f>
        <v>85709</v>
      </c>
      <c r="L192" s="192">
        <v>56320.98000000001</v>
      </c>
      <c r="M192" s="192">
        <v>47905.93</v>
      </c>
      <c r="N192" s="24">
        <v>30058</v>
      </c>
      <c r="O192" s="106">
        <f>4278.12+30058.22</f>
        <v>34336.340000000004</v>
      </c>
      <c r="P192" s="479">
        <f t="shared" si="19"/>
        <v>114.2336150109788</v>
      </c>
    </row>
    <row r="193" spans="1:20" x14ac:dyDescent="0.2">
      <c r="A193" s="715"/>
      <c r="B193" s="337">
        <v>630</v>
      </c>
      <c r="C193" s="213" t="s">
        <v>430</v>
      </c>
      <c r="D193" s="193"/>
      <c r="E193" s="193"/>
      <c r="F193" s="193"/>
      <c r="G193" s="193"/>
      <c r="H193" s="193"/>
      <c r="I193" s="41">
        <v>642</v>
      </c>
      <c r="J193" s="193"/>
      <c r="K193" s="41"/>
      <c r="L193" s="192"/>
      <c r="M193" s="192">
        <v>0</v>
      </c>
      <c r="N193" s="24">
        <v>6709</v>
      </c>
      <c r="O193" s="106"/>
      <c r="P193" s="479">
        <f t="shared" si="19"/>
        <v>0</v>
      </c>
      <c r="R193" s="476"/>
      <c r="T193" s="476"/>
    </row>
    <row r="194" spans="1:20" x14ac:dyDescent="0.2">
      <c r="A194" s="715"/>
      <c r="B194" s="337"/>
      <c r="C194" s="213" t="s">
        <v>267</v>
      </c>
      <c r="D194" s="193"/>
      <c r="E194" s="193"/>
      <c r="F194" s="193"/>
      <c r="G194" s="193"/>
      <c r="H194" s="193"/>
      <c r="I194" s="213"/>
      <c r="J194" s="193">
        <v>85602</v>
      </c>
      <c r="K194" s="41">
        <f>4915+388479</f>
        <v>393394</v>
      </c>
      <c r="L194" s="192">
        <v>426977.77</v>
      </c>
      <c r="M194" s="192">
        <v>323039.83999999997</v>
      </c>
      <c r="N194" s="24">
        <v>274991</v>
      </c>
      <c r="O194" s="106">
        <f>209032.22+72138.9</f>
        <v>281171.12</v>
      </c>
      <c r="P194" s="479">
        <f t="shared" si="19"/>
        <v>102.24738991457902</v>
      </c>
    </row>
    <row r="195" spans="1:20" x14ac:dyDescent="0.2">
      <c r="A195" s="715"/>
      <c r="B195" s="337"/>
      <c r="C195" s="213" t="s">
        <v>268</v>
      </c>
      <c r="D195" s="193"/>
      <c r="E195" s="193"/>
      <c r="F195" s="193"/>
      <c r="G195" s="193"/>
      <c r="H195" s="193"/>
      <c r="I195" s="213"/>
      <c r="J195" s="193"/>
      <c r="K195" s="41"/>
      <c r="L195" s="192"/>
      <c r="M195" s="192">
        <v>6176.6</v>
      </c>
      <c r="N195" s="24">
        <v>4582</v>
      </c>
      <c r="O195" s="106">
        <v>6654.32</v>
      </c>
      <c r="P195" s="479">
        <f t="shared" si="19"/>
        <v>145.22741161065036</v>
      </c>
    </row>
    <row r="196" spans="1:20" x14ac:dyDescent="0.2">
      <c r="A196" s="715"/>
      <c r="B196" s="337">
        <v>630</v>
      </c>
      <c r="C196" s="213" t="s">
        <v>338</v>
      </c>
      <c r="D196" s="193"/>
      <c r="E196" s="193"/>
      <c r="F196" s="193"/>
      <c r="G196" s="193"/>
      <c r="H196" s="193"/>
      <c r="I196" s="213">
        <v>16833</v>
      </c>
      <c r="J196" s="193">
        <v>1809</v>
      </c>
      <c r="K196" s="41">
        <v>1345</v>
      </c>
      <c r="L196" s="192">
        <v>13077.4</v>
      </c>
      <c r="M196" s="192">
        <v>10590.8</v>
      </c>
      <c r="N196" s="24">
        <v>8948</v>
      </c>
      <c r="O196" s="106">
        <f>979.4+609.28+7968</f>
        <v>9556.68</v>
      </c>
      <c r="P196" s="479">
        <f t="shared" si="19"/>
        <v>106.80241394725078</v>
      </c>
      <c r="T196" s="476"/>
    </row>
    <row r="197" spans="1:20" ht="13.5" thickBot="1" x14ac:dyDescent="0.25">
      <c r="A197" s="715"/>
      <c r="B197" s="338">
        <v>630</v>
      </c>
      <c r="C197" s="339" t="s">
        <v>339</v>
      </c>
      <c r="D197" s="340"/>
      <c r="E197" s="340"/>
      <c r="F197" s="340"/>
      <c r="G197" s="340"/>
      <c r="H197" s="340"/>
      <c r="I197" s="339"/>
      <c r="J197" s="193">
        <v>60</v>
      </c>
      <c r="K197" s="41"/>
      <c r="L197" s="210">
        <v>110</v>
      </c>
      <c r="M197" s="517"/>
      <c r="N197" s="341">
        <v>2000</v>
      </c>
      <c r="O197" s="480">
        <f>1078+1190</f>
        <v>2268</v>
      </c>
      <c r="P197" s="481">
        <f t="shared" ref="P197:P198" si="25">IF(N197=0,0,O197/N197*100)</f>
        <v>113.39999999999999</v>
      </c>
    </row>
    <row r="198" spans="1:20" ht="17.25" thickTop="1" thickBot="1" x14ac:dyDescent="0.3">
      <c r="A198" s="342"/>
      <c r="B198" s="343"/>
      <c r="C198" s="140" t="s">
        <v>340</v>
      </c>
      <c r="D198" s="93">
        <f t="shared" ref="D198:M198" si="26">D4+D10+D14+D25+D27+D29+D34+D36+D41+D47+D52+D66+D70+D76+D81+D86+D105+D107+D116+D121+D135+D138+D143+D158+D163+D172+D178+D183+D109+D19+D43+D74</f>
        <v>5867125</v>
      </c>
      <c r="E198" s="93">
        <f t="shared" si="26"/>
        <v>6460200</v>
      </c>
      <c r="F198" s="93">
        <f t="shared" si="26"/>
        <v>7832271</v>
      </c>
      <c r="G198" s="93">
        <f t="shared" si="26"/>
        <v>8716285.4299999997</v>
      </c>
      <c r="H198" s="93">
        <f t="shared" si="26"/>
        <v>9309387</v>
      </c>
      <c r="I198" s="93">
        <f t="shared" si="26"/>
        <v>8743512.1999999993</v>
      </c>
      <c r="J198" s="93">
        <f t="shared" si="26"/>
        <v>8908071</v>
      </c>
      <c r="K198" s="93">
        <f t="shared" si="26"/>
        <v>8934542</v>
      </c>
      <c r="L198" s="473">
        <f t="shared" si="26"/>
        <v>9572545.3800000008</v>
      </c>
      <c r="M198" s="473">
        <f t="shared" si="26"/>
        <v>9554914.7999999989</v>
      </c>
      <c r="N198" s="493">
        <f>N183+N178+N172+N163+N158+N143+N138+N135+N121+N116+N109+N107+N105+N86+N81+N76+N70+N66+N52+N47+N43+N41+N36+N34+N29+N27+N25+N19+N14+N10+N4</f>
        <v>9893784</v>
      </c>
      <c r="O198" s="501">
        <f>O183+O178+O172+O163+O158+O143+O138+O135+O121+O116+O109+O107+O105+O86+O81+O76+O70+O66+O52+O47+O43+O41+O36+O34+O29+O27+O25+O19+O14+O10+O4</f>
        <v>9695081.3399999961</v>
      </c>
      <c r="P198" s="584">
        <f t="shared" si="25"/>
        <v>97.991641418490602</v>
      </c>
      <c r="R198" s="476"/>
    </row>
    <row r="199" spans="1:20" ht="13.5" thickTop="1" x14ac:dyDescent="0.2"/>
    <row r="200" spans="1:20" x14ac:dyDescent="0.2">
      <c r="N200" s="476"/>
    </row>
  </sheetData>
  <mergeCells count="82">
    <mergeCell ref="O2:O3"/>
    <mergeCell ref="B86:C86"/>
    <mergeCell ref="A1:P1"/>
    <mergeCell ref="A11:A13"/>
    <mergeCell ref="P2:P3"/>
    <mergeCell ref="A30:A33"/>
    <mergeCell ref="B27:C27"/>
    <mergeCell ref="B29:C29"/>
    <mergeCell ref="A5:A9"/>
    <mergeCell ref="B10:C10"/>
    <mergeCell ref="B43:C43"/>
    <mergeCell ref="B47:C47"/>
    <mergeCell ref="A48:A51"/>
    <mergeCell ref="B52:C52"/>
    <mergeCell ref="A77:A80"/>
    <mergeCell ref="B81:C81"/>
    <mergeCell ref="A184:A197"/>
    <mergeCell ref="B184:C184"/>
    <mergeCell ref="B172:C172"/>
    <mergeCell ref="A173:A177"/>
    <mergeCell ref="B178:C178"/>
    <mergeCell ref="A179:A182"/>
    <mergeCell ref="B170:C170"/>
    <mergeCell ref="B158:C158"/>
    <mergeCell ref="A164:A171"/>
    <mergeCell ref="B164:C164"/>
    <mergeCell ref="B183:C183"/>
    <mergeCell ref="A159:A162"/>
    <mergeCell ref="B163:C163"/>
    <mergeCell ref="B107:C107"/>
    <mergeCell ref="B121:C121"/>
    <mergeCell ref="B150:B157"/>
    <mergeCell ref="A110:A115"/>
    <mergeCell ref="B109:C109"/>
    <mergeCell ref="B143:C143"/>
    <mergeCell ref="B135:C135"/>
    <mergeCell ref="A136:A137"/>
    <mergeCell ref="A144:A157"/>
    <mergeCell ref="A139:A142"/>
    <mergeCell ref="B139:B142"/>
    <mergeCell ref="B149:C149"/>
    <mergeCell ref="B138:C138"/>
    <mergeCell ref="B144:C144"/>
    <mergeCell ref="A122:A134"/>
    <mergeCell ref="B116:C116"/>
    <mergeCell ref="A117:A120"/>
    <mergeCell ref="A44:A46"/>
    <mergeCell ref="B19:C19"/>
    <mergeCell ref="A20:A24"/>
    <mergeCell ref="B25:C25"/>
    <mergeCell ref="B105:C105"/>
    <mergeCell ref="B76:C76"/>
    <mergeCell ref="A87:A104"/>
    <mergeCell ref="B53:C53"/>
    <mergeCell ref="A53:A65"/>
    <mergeCell ref="A67:A69"/>
    <mergeCell ref="B70:C70"/>
    <mergeCell ref="B66:C66"/>
    <mergeCell ref="A71:A73"/>
    <mergeCell ref="B74:C74"/>
    <mergeCell ref="A82:A85"/>
    <mergeCell ref="H2:H3"/>
    <mergeCell ref="F2:F3"/>
    <mergeCell ref="G2:G3"/>
    <mergeCell ref="B2:B3"/>
    <mergeCell ref="N2:N3"/>
    <mergeCell ref="I2:I3"/>
    <mergeCell ref="J2:J3"/>
    <mergeCell ref="L2:L3"/>
    <mergeCell ref="M2:M3"/>
    <mergeCell ref="K2:K3"/>
    <mergeCell ref="E2:E3"/>
    <mergeCell ref="D2:D3"/>
    <mergeCell ref="A2:A3"/>
    <mergeCell ref="A15:A18"/>
    <mergeCell ref="B41:C41"/>
    <mergeCell ref="B14:C14"/>
    <mergeCell ref="B36:C36"/>
    <mergeCell ref="A37:A40"/>
    <mergeCell ref="C2:C3"/>
    <mergeCell ref="B34:C34"/>
    <mergeCell ref="B4:C4"/>
  </mergeCells>
  <phoneticPr fontId="2" type="noConversion"/>
  <pageMargins left="0.25" right="0.25" top="0.75" bottom="0.75" header="0.3" footer="0.3"/>
  <pageSetup paperSize="9" scale="87" orientation="portrait" r:id="rId1"/>
  <headerFooter alignWithMargins="0"/>
  <rowBreaks count="2" manualBreakCount="2">
    <brk id="65" max="16383" man="1"/>
    <brk id="142" max="16383" man="1"/>
  </rowBreaks>
  <ignoredErrors>
    <ignoredError sqref="B67:M70" numberStoredAsText="1"/>
    <ignoredError sqref="L107:M107 L106 L108" formula="1"/>
    <ignoredError sqref="N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 enableFormatConditionsCalculation="0">
    <tabColor indexed="13"/>
  </sheetPr>
  <dimension ref="A1:S49"/>
  <sheetViews>
    <sheetView zoomScaleNormal="160" workbookViewId="0">
      <selection activeCell="M55" sqref="M55"/>
    </sheetView>
  </sheetViews>
  <sheetFormatPr defaultRowHeight="12.75" x14ac:dyDescent="0.2"/>
  <cols>
    <col min="1" max="1" width="8.140625" customWidth="1"/>
    <col min="3" max="3" width="34.5703125" customWidth="1"/>
    <col min="4" max="11" width="0" hidden="1" customWidth="1"/>
    <col min="12" max="12" width="11.28515625" hidden="1" customWidth="1"/>
    <col min="13" max="13" width="13.42578125" style="495" customWidth="1"/>
    <col min="14" max="15" width="13.42578125" customWidth="1"/>
    <col min="16" max="16" width="11" customWidth="1"/>
  </cols>
  <sheetData>
    <row r="1" spans="1:19" x14ac:dyDescent="0.2">
      <c r="A1" s="729" t="s">
        <v>16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</row>
    <row r="2" spans="1:19" ht="13.5" thickBot="1" x14ac:dyDescent="0.25">
      <c r="A2" s="667" t="s">
        <v>17</v>
      </c>
      <c r="B2" s="667"/>
      <c r="C2" s="667"/>
      <c r="D2" s="667"/>
      <c r="E2" s="667"/>
      <c r="F2" s="667"/>
      <c r="G2" s="667"/>
      <c r="H2" s="667"/>
      <c r="I2" s="667"/>
      <c r="J2" s="667"/>
      <c r="K2" s="667"/>
      <c r="L2" s="667"/>
      <c r="M2" s="667"/>
      <c r="N2" s="667"/>
    </row>
    <row r="3" spans="1:19" ht="19.5" customHeight="1" thickTop="1" x14ac:dyDescent="0.2">
      <c r="A3" s="661" t="s">
        <v>184</v>
      </c>
      <c r="B3" s="663" t="s">
        <v>185</v>
      </c>
      <c r="C3" s="659" t="s">
        <v>186</v>
      </c>
      <c r="D3" s="659" t="s">
        <v>280</v>
      </c>
      <c r="E3" s="659" t="s">
        <v>281</v>
      </c>
      <c r="F3" s="659" t="s">
        <v>282</v>
      </c>
      <c r="G3" s="659" t="s">
        <v>283</v>
      </c>
      <c r="H3" s="659" t="s">
        <v>284</v>
      </c>
      <c r="I3" s="659" t="s">
        <v>192</v>
      </c>
      <c r="J3" s="659" t="s">
        <v>193</v>
      </c>
      <c r="K3" s="659" t="s">
        <v>194</v>
      </c>
      <c r="L3" s="659" t="s">
        <v>195</v>
      </c>
      <c r="M3" s="665" t="s">
        <v>410</v>
      </c>
      <c r="N3" s="659" t="s">
        <v>392</v>
      </c>
      <c r="O3" s="659" t="s">
        <v>432</v>
      </c>
      <c r="P3" s="677" t="s">
        <v>433</v>
      </c>
    </row>
    <row r="4" spans="1:19" ht="19.5" customHeight="1" thickBot="1" x14ac:dyDescent="0.25">
      <c r="A4" s="662"/>
      <c r="B4" s="664"/>
      <c r="C4" s="660"/>
      <c r="D4" s="660"/>
      <c r="E4" s="660"/>
      <c r="F4" s="660"/>
      <c r="G4" s="660"/>
      <c r="H4" s="660"/>
      <c r="I4" s="660"/>
      <c r="J4" s="660"/>
      <c r="K4" s="660"/>
      <c r="L4" s="660"/>
      <c r="M4" s="666"/>
      <c r="N4" s="660"/>
      <c r="O4" s="660"/>
      <c r="P4" s="678"/>
    </row>
    <row r="5" spans="1:19" ht="17.25" thickTop="1" thickBot="1" x14ac:dyDescent="0.3">
      <c r="A5" s="95">
        <v>200</v>
      </c>
      <c r="B5" s="637" t="s">
        <v>214</v>
      </c>
      <c r="C5" s="638"/>
      <c r="D5" s="96">
        <f>D6</f>
        <v>355009</v>
      </c>
      <c r="E5" s="96">
        <f>E6</f>
        <v>311359</v>
      </c>
      <c r="F5" s="96">
        <f>F6</f>
        <v>955255</v>
      </c>
      <c r="G5" s="96">
        <f>G6</f>
        <v>1090339</v>
      </c>
      <c r="H5" s="96">
        <f>H6</f>
        <v>496614</v>
      </c>
      <c r="I5" s="96">
        <f t="shared" ref="I5:O5" si="0">I6</f>
        <v>174771</v>
      </c>
      <c r="J5" s="96">
        <f t="shared" si="0"/>
        <v>74221</v>
      </c>
      <c r="K5" s="96">
        <f t="shared" si="0"/>
        <v>98051</v>
      </c>
      <c r="L5" s="96">
        <f t="shared" si="0"/>
        <v>223532.5</v>
      </c>
      <c r="M5" s="520">
        <f t="shared" si="0"/>
        <v>61991.15</v>
      </c>
      <c r="N5" s="96">
        <f t="shared" si="0"/>
        <v>127622</v>
      </c>
      <c r="O5" s="520">
        <f t="shared" si="0"/>
        <v>87107.9</v>
      </c>
      <c r="P5" s="97">
        <f t="shared" ref="P5:P48" si="1">IF(N5=0,0,O5/N5*100)</f>
        <v>68.254611273918286</v>
      </c>
    </row>
    <row r="6" spans="1:19" ht="15.75" thickBot="1" x14ac:dyDescent="0.3">
      <c r="A6" s="98">
        <v>230</v>
      </c>
      <c r="B6" s="639" t="s">
        <v>285</v>
      </c>
      <c r="C6" s="640"/>
      <c r="D6" s="99">
        <f t="shared" ref="D6:N6" si="2">D7+D11</f>
        <v>355009</v>
      </c>
      <c r="E6" s="99">
        <f t="shared" si="2"/>
        <v>311359</v>
      </c>
      <c r="F6" s="99">
        <f t="shared" si="2"/>
        <v>955255</v>
      </c>
      <c r="G6" s="99">
        <f t="shared" si="2"/>
        <v>1090339</v>
      </c>
      <c r="H6" s="99">
        <f t="shared" si="2"/>
        <v>496614</v>
      </c>
      <c r="I6" s="99">
        <f t="shared" si="2"/>
        <v>174771</v>
      </c>
      <c r="J6" s="99">
        <f t="shared" si="2"/>
        <v>74221</v>
      </c>
      <c r="K6" s="99">
        <f t="shared" si="2"/>
        <v>98051</v>
      </c>
      <c r="L6" s="99">
        <f>L7+L11</f>
        <v>223532.5</v>
      </c>
      <c r="M6" s="508">
        <f t="shared" si="2"/>
        <v>61991.15</v>
      </c>
      <c r="N6" s="63">
        <f t="shared" si="2"/>
        <v>127622</v>
      </c>
      <c r="O6" s="201">
        <f>O7+O11</f>
        <v>87107.9</v>
      </c>
      <c r="P6" s="64">
        <f t="shared" si="1"/>
        <v>68.254611273918286</v>
      </c>
    </row>
    <row r="7" spans="1:19" ht="13.5" thickBot="1" x14ac:dyDescent="0.25">
      <c r="A7" s="650"/>
      <c r="B7" s="100">
        <v>231</v>
      </c>
      <c r="C7" s="58" t="s">
        <v>286</v>
      </c>
      <c r="D7" s="90">
        <f t="shared" ref="D7:N7" si="3">SUM(D8:D10)</f>
        <v>351125</v>
      </c>
      <c r="E7" s="90">
        <f t="shared" si="3"/>
        <v>106121</v>
      </c>
      <c r="F7" s="90">
        <f t="shared" si="3"/>
        <v>227246</v>
      </c>
      <c r="G7" s="90">
        <f t="shared" si="3"/>
        <v>45397</v>
      </c>
      <c r="H7" s="90">
        <f t="shared" si="3"/>
        <v>103200</v>
      </c>
      <c r="I7" s="90">
        <f t="shared" si="3"/>
        <v>85320</v>
      </c>
      <c r="J7" s="90">
        <f t="shared" si="3"/>
        <v>21933</v>
      </c>
      <c r="K7" s="90">
        <f t="shared" si="3"/>
        <v>32153</v>
      </c>
      <c r="L7" s="90">
        <f>SUM(L8:L10)</f>
        <v>84811.72</v>
      </c>
      <c r="M7" s="133">
        <f t="shared" si="3"/>
        <v>23898.959999999999</v>
      </c>
      <c r="N7" s="60">
        <f t="shared" si="3"/>
        <v>123401</v>
      </c>
      <c r="O7" s="147">
        <f>SUM(O8:O10)</f>
        <v>33003</v>
      </c>
      <c r="P7" s="61">
        <f t="shared" si="1"/>
        <v>26.744515846711131</v>
      </c>
    </row>
    <row r="8" spans="1:19" x14ac:dyDescent="0.2">
      <c r="A8" s="651"/>
      <c r="B8" s="652"/>
      <c r="C8" s="101" t="s">
        <v>287</v>
      </c>
      <c r="D8" s="102">
        <v>192923</v>
      </c>
      <c r="E8" s="102">
        <v>101839</v>
      </c>
      <c r="F8" s="102">
        <v>227246</v>
      </c>
      <c r="G8" s="102">
        <v>45397</v>
      </c>
      <c r="H8" s="102">
        <v>103200</v>
      </c>
      <c r="I8" s="82">
        <v>85320</v>
      </c>
      <c r="J8" s="19">
        <v>21933</v>
      </c>
      <c r="K8" s="20">
        <v>23657</v>
      </c>
      <c r="L8" s="20">
        <v>83346.52</v>
      </c>
      <c r="M8" s="110">
        <v>19336.16</v>
      </c>
      <c r="N8" s="53">
        <v>116501</v>
      </c>
      <c r="O8" s="68">
        <v>33003</v>
      </c>
      <c r="P8" s="21">
        <f t="shared" si="1"/>
        <v>28.328512201612003</v>
      </c>
      <c r="S8" s="1"/>
    </row>
    <row r="9" spans="1:19" x14ac:dyDescent="0.2">
      <c r="A9" s="651"/>
      <c r="B9" s="653"/>
      <c r="C9" s="40" t="s">
        <v>288</v>
      </c>
      <c r="D9" s="103"/>
      <c r="E9" s="103"/>
      <c r="F9" s="103"/>
      <c r="G9" s="103"/>
      <c r="H9" s="103"/>
      <c r="I9" s="104"/>
      <c r="J9" s="105"/>
      <c r="K9" s="66"/>
      <c r="L9" s="106"/>
      <c r="M9" s="192">
        <v>4562.8</v>
      </c>
      <c r="N9" s="53">
        <v>0</v>
      </c>
      <c r="O9" s="68"/>
      <c r="P9" s="21">
        <f t="shared" si="1"/>
        <v>0</v>
      </c>
    </row>
    <row r="10" spans="1:19" ht="13.5" thickBot="1" x14ac:dyDescent="0.25">
      <c r="A10" s="651"/>
      <c r="B10" s="675"/>
      <c r="C10" s="107" t="s">
        <v>289</v>
      </c>
      <c r="D10" s="55">
        <v>158202</v>
      </c>
      <c r="E10" s="55">
        <v>4282</v>
      </c>
      <c r="F10" s="55">
        <v>0</v>
      </c>
      <c r="G10" s="55"/>
      <c r="H10" s="55"/>
      <c r="I10" s="55"/>
      <c r="J10" s="55"/>
      <c r="K10" s="45">
        <v>8496</v>
      </c>
      <c r="L10" s="20">
        <v>1465.2</v>
      </c>
      <c r="M10" s="108"/>
      <c r="N10" s="53">
        <v>6900</v>
      </c>
      <c r="O10" s="68"/>
      <c r="P10" s="21">
        <f t="shared" si="1"/>
        <v>0</v>
      </c>
    </row>
    <row r="11" spans="1:19" ht="13.5" thickBot="1" x14ac:dyDescent="0.25">
      <c r="A11" s="651"/>
      <c r="B11" s="109">
        <v>233</v>
      </c>
      <c r="C11" s="57" t="s">
        <v>290</v>
      </c>
      <c r="D11" s="90">
        <f t="shared" ref="D11:N11" si="4">SUM(D12:D16)</f>
        <v>3884</v>
      </c>
      <c r="E11" s="90">
        <f t="shared" si="4"/>
        <v>205238</v>
      </c>
      <c r="F11" s="90">
        <f t="shared" si="4"/>
        <v>728009</v>
      </c>
      <c r="G11" s="90">
        <f t="shared" si="4"/>
        <v>1044942</v>
      </c>
      <c r="H11" s="90">
        <f t="shared" si="4"/>
        <v>393414</v>
      </c>
      <c r="I11" s="90">
        <f t="shared" si="4"/>
        <v>89451</v>
      </c>
      <c r="J11" s="90">
        <f t="shared" si="4"/>
        <v>52288</v>
      </c>
      <c r="K11" s="90">
        <f t="shared" si="4"/>
        <v>65898</v>
      </c>
      <c r="L11" s="90">
        <f t="shared" si="4"/>
        <v>138720.78</v>
      </c>
      <c r="M11" s="133">
        <f t="shared" si="4"/>
        <v>38092.19</v>
      </c>
      <c r="N11" s="60">
        <f t="shared" si="4"/>
        <v>4221</v>
      </c>
      <c r="O11" s="147">
        <f>SUM(O12:O16)</f>
        <v>54104.9</v>
      </c>
      <c r="P11" s="61">
        <f t="shared" si="1"/>
        <v>1281.802890310353</v>
      </c>
    </row>
    <row r="12" spans="1:19" ht="13.5" thickBot="1" x14ac:dyDescent="0.25">
      <c r="A12" s="651"/>
      <c r="B12" s="652"/>
      <c r="C12" s="38" t="s">
        <v>291</v>
      </c>
      <c r="D12" s="52">
        <v>3884</v>
      </c>
      <c r="E12" s="52">
        <v>205238</v>
      </c>
      <c r="F12" s="52">
        <v>728009</v>
      </c>
      <c r="G12" s="52">
        <v>98695</v>
      </c>
      <c r="H12" s="52">
        <v>393414</v>
      </c>
      <c r="I12" s="52">
        <v>89451</v>
      </c>
      <c r="J12" s="20">
        <v>52288</v>
      </c>
      <c r="K12" s="20">
        <v>65898</v>
      </c>
      <c r="L12" s="20">
        <v>138720.78</v>
      </c>
      <c r="M12" s="110">
        <v>38092.19</v>
      </c>
      <c r="N12" s="53">
        <v>4221</v>
      </c>
      <c r="O12" s="68">
        <v>54104.9</v>
      </c>
      <c r="P12" s="21">
        <f t="shared" si="1"/>
        <v>1281.802890310353</v>
      </c>
    </row>
    <row r="13" spans="1:19" ht="13.5" hidden="1" thickBot="1" x14ac:dyDescent="0.25">
      <c r="A13" s="651"/>
      <c r="B13" s="653"/>
      <c r="C13" s="111" t="s">
        <v>292</v>
      </c>
      <c r="D13" s="112"/>
      <c r="E13" s="112"/>
      <c r="F13" s="112"/>
      <c r="G13" s="112"/>
      <c r="H13" s="112"/>
      <c r="I13" s="112"/>
      <c r="J13" s="112"/>
      <c r="K13" s="89"/>
      <c r="L13" s="113"/>
      <c r="M13" s="521"/>
      <c r="N13" s="173"/>
      <c r="O13" s="573"/>
      <c r="P13" s="114">
        <f t="shared" si="1"/>
        <v>0</v>
      </c>
    </row>
    <row r="14" spans="1:19" ht="13.5" hidden="1" thickBot="1" x14ac:dyDescent="0.25">
      <c r="A14" s="651"/>
      <c r="B14" s="653"/>
      <c r="C14" s="111" t="s">
        <v>293</v>
      </c>
      <c r="D14" s="112"/>
      <c r="E14" s="112"/>
      <c r="F14" s="112"/>
      <c r="G14" s="112"/>
      <c r="H14" s="112"/>
      <c r="I14" s="112"/>
      <c r="J14" s="112"/>
      <c r="K14" s="89"/>
      <c r="L14" s="110"/>
      <c r="M14" s="521"/>
      <c r="N14" s="173"/>
      <c r="O14" s="573"/>
      <c r="P14" s="114">
        <f t="shared" si="1"/>
        <v>0</v>
      </c>
    </row>
    <row r="15" spans="1:19" ht="13.5" hidden="1" thickBot="1" x14ac:dyDescent="0.25">
      <c r="A15" s="651"/>
      <c r="B15" s="653"/>
      <c r="C15" s="111" t="s">
        <v>294</v>
      </c>
      <c r="D15" s="112"/>
      <c r="E15" s="112"/>
      <c r="F15" s="112"/>
      <c r="G15" s="112"/>
      <c r="H15" s="112"/>
      <c r="I15" s="112"/>
      <c r="J15" s="112"/>
      <c r="K15" s="89"/>
      <c r="L15" s="113"/>
      <c r="M15" s="521"/>
      <c r="N15" s="173"/>
      <c r="O15" s="573"/>
      <c r="P15" s="114">
        <f t="shared" si="1"/>
        <v>0</v>
      </c>
    </row>
    <row r="16" spans="1:19" ht="13.5" hidden="1" thickBot="1" x14ac:dyDescent="0.25">
      <c r="A16" s="651"/>
      <c r="B16" s="675"/>
      <c r="C16" s="115" t="s">
        <v>295</v>
      </c>
      <c r="D16" s="55"/>
      <c r="E16" s="55"/>
      <c r="F16" s="55"/>
      <c r="G16" s="55">
        <v>946247</v>
      </c>
      <c r="H16" s="55"/>
      <c r="I16" s="55"/>
      <c r="J16" s="55"/>
      <c r="K16" s="45"/>
      <c r="L16" s="66"/>
      <c r="M16" s="108"/>
      <c r="N16" s="53"/>
      <c r="O16" s="68"/>
      <c r="P16" s="21">
        <f t="shared" si="1"/>
        <v>0</v>
      </c>
    </row>
    <row r="17" spans="1:18" ht="16.5" thickBot="1" x14ac:dyDescent="0.3">
      <c r="A17" s="116">
        <v>300</v>
      </c>
      <c r="B17" s="646" t="s">
        <v>247</v>
      </c>
      <c r="C17" s="734"/>
      <c r="D17" s="117">
        <f>D18+D44</f>
        <v>1758083</v>
      </c>
      <c r="E17" s="117">
        <f>E18+E44</f>
        <v>706599</v>
      </c>
      <c r="F17" s="117">
        <f>F18+F44</f>
        <v>290114</v>
      </c>
      <c r="G17" s="117">
        <f>G18+G44</f>
        <v>3301074</v>
      </c>
      <c r="H17" s="117">
        <v>2959527</v>
      </c>
      <c r="I17" s="117">
        <f t="shared" ref="I17:O17" si="5">I18+I44</f>
        <v>4474942</v>
      </c>
      <c r="J17" s="117">
        <f t="shared" si="5"/>
        <v>4428553.0599999996</v>
      </c>
      <c r="K17" s="117">
        <f t="shared" si="5"/>
        <v>3580446</v>
      </c>
      <c r="L17" s="117">
        <f t="shared" si="5"/>
        <v>994806.09</v>
      </c>
      <c r="M17" s="522">
        <f t="shared" si="5"/>
        <v>690306.37</v>
      </c>
      <c r="N17" s="443">
        <f t="shared" si="5"/>
        <v>848428</v>
      </c>
      <c r="O17" s="574">
        <f t="shared" si="5"/>
        <v>848428.28</v>
      </c>
      <c r="P17" s="118">
        <f t="shared" si="1"/>
        <v>100.00003300221114</v>
      </c>
    </row>
    <row r="18" spans="1:18" ht="15.75" thickBot="1" x14ac:dyDescent="0.3">
      <c r="A18" s="98">
        <v>320</v>
      </c>
      <c r="B18" s="639" t="s">
        <v>296</v>
      </c>
      <c r="C18" s="640"/>
      <c r="D18" s="119">
        <f>D19</f>
        <v>1758083</v>
      </c>
      <c r="E18" s="119">
        <f>E19</f>
        <v>706599</v>
      </c>
      <c r="F18" s="119">
        <f>F19</f>
        <v>290114</v>
      </c>
      <c r="G18" s="119">
        <f>G19</f>
        <v>3301074</v>
      </c>
      <c r="H18" s="119">
        <v>2959527</v>
      </c>
      <c r="I18" s="119">
        <f t="shared" ref="I18:O18" si="6">I19</f>
        <v>4417142</v>
      </c>
      <c r="J18" s="119">
        <f t="shared" si="6"/>
        <v>4408068.0599999996</v>
      </c>
      <c r="K18" s="119">
        <f t="shared" si="6"/>
        <v>3580446</v>
      </c>
      <c r="L18" s="119">
        <f t="shared" si="6"/>
        <v>994806.09</v>
      </c>
      <c r="M18" s="523">
        <f t="shared" si="6"/>
        <v>690306.37</v>
      </c>
      <c r="N18" s="444">
        <f t="shared" si="6"/>
        <v>848428</v>
      </c>
      <c r="O18" s="575">
        <f t="shared" si="6"/>
        <v>848428.28</v>
      </c>
      <c r="P18" s="120">
        <f t="shared" si="1"/>
        <v>100.00003300221114</v>
      </c>
    </row>
    <row r="19" spans="1:18" ht="13.5" customHeight="1" thickBot="1" x14ac:dyDescent="0.25">
      <c r="A19" s="731"/>
      <c r="B19" s="109">
        <v>321</v>
      </c>
      <c r="C19" s="57" t="s">
        <v>249</v>
      </c>
      <c r="D19" s="58">
        <v>1758083</v>
      </c>
      <c r="E19" s="58">
        <v>706599</v>
      </c>
      <c r="F19" s="58">
        <v>290114</v>
      </c>
      <c r="G19" s="58">
        <v>3301074</v>
      </c>
      <c r="H19" s="58">
        <v>2959527</v>
      </c>
      <c r="I19" s="121">
        <v>4417142</v>
      </c>
      <c r="J19" s="121">
        <v>4408068.0599999996</v>
      </c>
      <c r="K19" s="121">
        <v>3580446</v>
      </c>
      <c r="L19" s="121">
        <v>994806.09</v>
      </c>
      <c r="M19" s="524">
        <f>SUM(M20:M43)</f>
        <v>690306.37</v>
      </c>
      <c r="N19" s="34">
        <f>SUM(N20:N43)</f>
        <v>848428</v>
      </c>
      <c r="O19" s="312">
        <f>SUM(O20:O43)</f>
        <v>848428.28</v>
      </c>
      <c r="P19" s="35">
        <f t="shared" si="1"/>
        <v>100.00003300221114</v>
      </c>
      <c r="R19" s="1"/>
    </row>
    <row r="20" spans="1:18" ht="12.75" customHeight="1" x14ac:dyDescent="0.2">
      <c r="A20" s="732"/>
      <c r="B20" s="730"/>
      <c r="C20" s="122" t="s">
        <v>297</v>
      </c>
      <c r="D20" s="82"/>
      <c r="E20" s="82"/>
      <c r="F20" s="82"/>
      <c r="G20" s="82"/>
      <c r="H20" s="82"/>
      <c r="I20" s="82"/>
      <c r="J20" s="82"/>
      <c r="K20" s="19"/>
      <c r="L20" s="123"/>
      <c r="M20" s="123">
        <v>66064.149999999994</v>
      </c>
      <c r="N20" s="53"/>
      <c r="O20" s="68"/>
      <c r="P20" s="21">
        <f t="shared" si="1"/>
        <v>0</v>
      </c>
    </row>
    <row r="21" spans="1:18" ht="12.75" customHeight="1" x14ac:dyDescent="0.2">
      <c r="A21" s="732"/>
      <c r="B21" s="730"/>
      <c r="C21" s="18" t="s">
        <v>275</v>
      </c>
      <c r="D21" s="82"/>
      <c r="E21" s="82"/>
      <c r="F21" s="82"/>
      <c r="G21" s="82"/>
      <c r="H21" s="82"/>
      <c r="I21" s="82"/>
      <c r="J21" s="82"/>
      <c r="K21" s="19"/>
      <c r="L21" s="123"/>
      <c r="M21" s="123">
        <v>58454.17</v>
      </c>
      <c r="N21" s="53"/>
      <c r="O21" s="68"/>
      <c r="P21" s="21">
        <f t="shared" si="1"/>
        <v>0</v>
      </c>
    </row>
    <row r="22" spans="1:18" ht="12.75" customHeight="1" x14ac:dyDescent="0.2">
      <c r="A22" s="732"/>
      <c r="B22" s="730"/>
      <c r="C22" s="18" t="s">
        <v>273</v>
      </c>
      <c r="D22" s="52"/>
      <c r="E22" s="52"/>
      <c r="F22" s="52"/>
      <c r="G22" s="52"/>
      <c r="H22" s="52"/>
      <c r="I22" s="52"/>
      <c r="J22" s="52"/>
      <c r="K22" s="19"/>
      <c r="L22" s="123"/>
      <c r="M22" s="123"/>
      <c r="N22" s="53">
        <v>1221</v>
      </c>
      <c r="O22" s="68">
        <v>1221.4000000000001</v>
      </c>
      <c r="P22" s="21">
        <f t="shared" si="1"/>
        <v>100.03276003276005</v>
      </c>
    </row>
    <row r="23" spans="1:18" ht="12.75" customHeight="1" x14ac:dyDescent="0.2">
      <c r="A23" s="732"/>
      <c r="B23" s="730"/>
      <c r="C23" s="18" t="s">
        <v>299</v>
      </c>
      <c r="D23" s="18"/>
      <c r="E23" s="18"/>
      <c r="F23" s="18"/>
      <c r="G23" s="18"/>
      <c r="H23" s="18">
        <v>341897</v>
      </c>
      <c r="I23" s="83">
        <v>341897</v>
      </c>
      <c r="J23" s="83">
        <v>344900</v>
      </c>
      <c r="K23" s="23">
        <v>341900</v>
      </c>
      <c r="L23" s="20">
        <v>341900</v>
      </c>
      <c r="M23" s="123">
        <v>340000</v>
      </c>
      <c r="N23" s="53">
        <v>340000</v>
      </c>
      <c r="O23" s="68">
        <v>340000</v>
      </c>
      <c r="P23" s="21">
        <f t="shared" si="1"/>
        <v>100</v>
      </c>
    </row>
    <row r="24" spans="1:18" ht="12.75" customHeight="1" x14ac:dyDescent="0.2">
      <c r="A24" s="732"/>
      <c r="B24" s="730"/>
      <c r="C24" s="40" t="s">
        <v>300</v>
      </c>
      <c r="D24" s="54"/>
      <c r="E24" s="54"/>
      <c r="F24" s="54"/>
      <c r="G24" s="54"/>
      <c r="H24" s="54"/>
      <c r="I24" s="54"/>
      <c r="J24" s="54"/>
      <c r="K24" s="23"/>
      <c r="L24" s="20">
        <v>68448.02</v>
      </c>
      <c r="M24" s="123">
        <v>6610.12</v>
      </c>
      <c r="N24" s="53">
        <v>0</v>
      </c>
      <c r="O24" s="68"/>
      <c r="P24" s="21">
        <f t="shared" si="1"/>
        <v>0</v>
      </c>
    </row>
    <row r="25" spans="1:18" ht="12.75" customHeight="1" x14ac:dyDescent="0.2">
      <c r="A25" s="732"/>
      <c r="B25" s="730"/>
      <c r="C25" s="40" t="s">
        <v>301</v>
      </c>
      <c r="D25" s="54"/>
      <c r="E25" s="54"/>
      <c r="F25" s="54"/>
      <c r="G25" s="54"/>
      <c r="H25" s="54"/>
      <c r="I25" s="54"/>
      <c r="J25" s="54"/>
      <c r="K25" s="23"/>
      <c r="L25" s="123"/>
      <c r="M25" s="123">
        <v>9000</v>
      </c>
      <c r="N25" s="53">
        <v>0</v>
      </c>
      <c r="O25" s="68"/>
      <c r="P25" s="21">
        <f t="shared" si="1"/>
        <v>0</v>
      </c>
    </row>
    <row r="26" spans="1:18" ht="12.75" customHeight="1" x14ac:dyDescent="0.2">
      <c r="A26" s="732"/>
      <c r="B26" s="730"/>
      <c r="C26" s="124" t="s">
        <v>346</v>
      </c>
      <c r="D26" s="125"/>
      <c r="E26" s="125"/>
      <c r="F26" s="125"/>
      <c r="G26" s="125"/>
      <c r="H26" s="125"/>
      <c r="I26" s="54"/>
      <c r="J26" s="54"/>
      <c r="K26" s="23"/>
      <c r="L26" s="123"/>
      <c r="M26" s="123"/>
      <c r="N26" s="53">
        <v>0</v>
      </c>
      <c r="O26" s="68"/>
      <c r="P26" s="21">
        <f t="shared" si="1"/>
        <v>0</v>
      </c>
    </row>
    <row r="27" spans="1:18" ht="12.75" customHeight="1" x14ac:dyDescent="0.2">
      <c r="A27" s="732"/>
      <c r="B27" s="730"/>
      <c r="C27" s="40" t="s">
        <v>165</v>
      </c>
      <c r="D27" s="54"/>
      <c r="E27" s="54"/>
      <c r="F27" s="54"/>
      <c r="G27" s="54"/>
      <c r="H27" s="54"/>
      <c r="I27" s="54"/>
      <c r="J27" s="54"/>
      <c r="K27" s="23"/>
      <c r="L27" s="126"/>
      <c r="M27" s="126"/>
      <c r="N27" s="41">
        <v>484207</v>
      </c>
      <c r="O27" s="106">
        <v>484206.88</v>
      </c>
      <c r="P27" s="25">
        <f t="shared" si="1"/>
        <v>99.999975217210817</v>
      </c>
    </row>
    <row r="28" spans="1:18" ht="15" customHeight="1" x14ac:dyDescent="0.2">
      <c r="A28" s="732"/>
      <c r="B28" s="730"/>
      <c r="C28" s="40" t="s">
        <v>168</v>
      </c>
      <c r="D28" s="54"/>
      <c r="E28" s="54"/>
      <c r="F28" s="54"/>
      <c r="G28" s="54"/>
      <c r="H28" s="54"/>
      <c r="I28" s="54"/>
      <c r="J28" s="54"/>
      <c r="K28" s="23"/>
      <c r="L28" s="126"/>
      <c r="M28" s="126">
        <v>65980.73</v>
      </c>
      <c r="N28" s="41">
        <v>0</v>
      </c>
      <c r="O28" s="106"/>
      <c r="P28" s="25">
        <f t="shared" si="1"/>
        <v>0</v>
      </c>
    </row>
    <row r="29" spans="1:18" ht="15" customHeight="1" x14ac:dyDescent="0.2">
      <c r="A29" s="732"/>
      <c r="B29" s="730"/>
      <c r="C29" s="40" t="s">
        <v>273</v>
      </c>
      <c r="D29" s="54"/>
      <c r="E29" s="54"/>
      <c r="F29" s="54"/>
      <c r="G29" s="54"/>
      <c r="H29" s="54"/>
      <c r="I29" s="54"/>
      <c r="J29" s="54"/>
      <c r="K29" s="23"/>
      <c r="L29" s="126"/>
      <c r="M29" s="126">
        <v>8142.7</v>
      </c>
      <c r="N29" s="41">
        <v>0</v>
      </c>
      <c r="O29" s="106"/>
      <c r="P29" s="25">
        <f t="shared" si="1"/>
        <v>0</v>
      </c>
    </row>
    <row r="30" spans="1:18" ht="15" customHeight="1" x14ac:dyDescent="0.2">
      <c r="A30" s="732"/>
      <c r="B30" s="730"/>
      <c r="C30" s="40" t="s">
        <v>393</v>
      </c>
      <c r="D30" s="54"/>
      <c r="E30" s="54"/>
      <c r="F30" s="54"/>
      <c r="G30" s="54"/>
      <c r="H30" s="54"/>
      <c r="I30" s="54"/>
      <c r="J30" s="54"/>
      <c r="K30" s="23"/>
      <c r="L30" s="126"/>
      <c r="M30" s="126"/>
      <c r="N30" s="41">
        <v>4000</v>
      </c>
      <c r="O30" s="106">
        <v>4000</v>
      </c>
      <c r="P30" s="25">
        <f t="shared" si="1"/>
        <v>100</v>
      </c>
    </row>
    <row r="31" spans="1:18" ht="15" customHeight="1" x14ac:dyDescent="0.2">
      <c r="A31" s="732"/>
      <c r="B31" s="730"/>
      <c r="C31" s="67" t="s">
        <v>429</v>
      </c>
      <c r="D31" s="62"/>
      <c r="E31" s="62"/>
      <c r="F31" s="62"/>
      <c r="G31" s="62"/>
      <c r="H31" s="62"/>
      <c r="I31" s="54"/>
      <c r="J31" s="54"/>
      <c r="K31" s="23"/>
      <c r="L31" s="126"/>
      <c r="M31" s="126"/>
      <c r="N31" s="41">
        <v>4000</v>
      </c>
      <c r="O31" s="106">
        <v>4000</v>
      </c>
      <c r="P31" s="25">
        <f t="shared" si="1"/>
        <v>100</v>
      </c>
    </row>
    <row r="32" spans="1:18" ht="15" customHeight="1" x14ac:dyDescent="0.2">
      <c r="A32" s="732"/>
      <c r="B32" s="730"/>
      <c r="C32" s="67" t="s">
        <v>406</v>
      </c>
      <c r="D32" s="62"/>
      <c r="E32" s="62"/>
      <c r="F32" s="62"/>
      <c r="G32" s="62"/>
      <c r="H32" s="62"/>
      <c r="I32" s="54"/>
      <c r="J32" s="54"/>
      <c r="K32" s="23"/>
      <c r="L32" s="126"/>
      <c r="M32" s="126"/>
      <c r="N32" s="41">
        <v>15000</v>
      </c>
      <c r="O32" s="106">
        <v>15000</v>
      </c>
      <c r="P32" s="25">
        <f t="shared" si="1"/>
        <v>100</v>
      </c>
    </row>
    <row r="33" spans="1:16" ht="15" hidden="1" customHeight="1" x14ac:dyDescent="0.2">
      <c r="A33" s="732"/>
      <c r="B33" s="730"/>
      <c r="C33" s="67"/>
      <c r="D33" s="52"/>
      <c r="E33" s="52"/>
      <c r="F33" s="52"/>
      <c r="G33" s="52"/>
      <c r="H33" s="52"/>
      <c r="I33" s="54"/>
      <c r="J33" s="54"/>
      <c r="K33" s="23"/>
      <c r="L33" s="126"/>
      <c r="M33" s="126"/>
      <c r="N33" s="106">
        <v>0</v>
      </c>
      <c r="O33" s="106"/>
      <c r="P33" s="127">
        <f t="shared" si="1"/>
        <v>0</v>
      </c>
    </row>
    <row r="34" spans="1:16" ht="15" hidden="1" customHeight="1" x14ac:dyDescent="0.2">
      <c r="A34" s="732"/>
      <c r="B34" s="730"/>
      <c r="C34" s="67" t="s">
        <v>305</v>
      </c>
      <c r="D34" s="54"/>
      <c r="E34" s="54"/>
      <c r="F34" s="54"/>
      <c r="G34" s="54"/>
      <c r="H34" s="54"/>
      <c r="I34" s="54"/>
      <c r="J34" s="54"/>
      <c r="K34" s="23">
        <v>0</v>
      </c>
      <c r="L34" s="126"/>
      <c r="M34" s="126"/>
      <c r="N34" s="106">
        <v>0</v>
      </c>
      <c r="O34" s="106"/>
      <c r="P34" s="127">
        <f t="shared" si="1"/>
        <v>0</v>
      </c>
    </row>
    <row r="35" spans="1:16" ht="15" hidden="1" customHeight="1" x14ac:dyDescent="0.2">
      <c r="A35" s="732"/>
      <c r="B35" s="730"/>
      <c r="C35" s="67" t="s">
        <v>41</v>
      </c>
      <c r="D35" s="54"/>
      <c r="E35" s="54"/>
      <c r="F35" s="54"/>
      <c r="G35" s="54"/>
      <c r="H35" s="54"/>
      <c r="I35" s="54"/>
      <c r="J35" s="54"/>
      <c r="K35" s="23">
        <v>0</v>
      </c>
      <c r="L35" s="126"/>
      <c r="M35" s="126"/>
      <c r="N35" s="106">
        <v>0</v>
      </c>
      <c r="O35" s="106"/>
      <c r="P35" s="127">
        <f t="shared" si="1"/>
        <v>0</v>
      </c>
    </row>
    <row r="36" spans="1:16" ht="15" hidden="1" customHeight="1" x14ac:dyDescent="0.2">
      <c r="A36" s="732"/>
      <c r="B36" s="730"/>
      <c r="C36" s="67" t="s">
        <v>42</v>
      </c>
      <c r="D36" s="54"/>
      <c r="E36" s="54"/>
      <c r="F36" s="54"/>
      <c r="G36" s="54"/>
      <c r="H36" s="54"/>
      <c r="I36" s="54"/>
      <c r="J36" s="54"/>
      <c r="K36" s="23"/>
      <c r="L36" s="126"/>
      <c r="M36" s="126"/>
      <c r="N36" s="106">
        <v>0</v>
      </c>
      <c r="O36" s="106"/>
      <c r="P36" s="127">
        <f t="shared" si="1"/>
        <v>0</v>
      </c>
    </row>
    <row r="37" spans="1:16" ht="15" hidden="1" customHeight="1" x14ac:dyDescent="0.2">
      <c r="A37" s="732"/>
      <c r="B37" s="730"/>
      <c r="C37" s="40" t="s">
        <v>43</v>
      </c>
      <c r="D37" s="54"/>
      <c r="E37" s="54"/>
      <c r="F37" s="54"/>
      <c r="G37" s="54"/>
      <c r="H37" s="54"/>
      <c r="I37" s="54"/>
      <c r="J37" s="54"/>
      <c r="K37" s="23"/>
      <c r="L37" s="126"/>
      <c r="M37" s="126"/>
      <c r="N37" s="106">
        <v>0</v>
      </c>
      <c r="O37" s="106"/>
      <c r="P37" s="127">
        <f t="shared" si="1"/>
        <v>0</v>
      </c>
    </row>
    <row r="38" spans="1:16" ht="15" hidden="1" customHeight="1" x14ac:dyDescent="0.2">
      <c r="A38" s="732"/>
      <c r="B38" s="730"/>
      <c r="C38" s="40" t="s">
        <v>44</v>
      </c>
      <c r="D38" s="54"/>
      <c r="E38" s="54"/>
      <c r="F38" s="54"/>
      <c r="G38" s="54"/>
      <c r="H38" s="54"/>
      <c r="I38" s="54"/>
      <c r="J38" s="54"/>
      <c r="K38" s="23"/>
      <c r="L38" s="126"/>
      <c r="M38" s="126"/>
      <c r="N38" s="106">
        <v>0</v>
      </c>
      <c r="O38" s="106"/>
      <c r="P38" s="127">
        <f t="shared" si="1"/>
        <v>0</v>
      </c>
    </row>
    <row r="39" spans="1:16" ht="15" hidden="1" customHeight="1" x14ac:dyDescent="0.2">
      <c r="A39" s="732"/>
      <c r="B39" s="730"/>
      <c r="C39" s="40" t="s">
        <v>45</v>
      </c>
      <c r="D39" s="54"/>
      <c r="E39" s="54"/>
      <c r="F39" s="54"/>
      <c r="G39" s="54"/>
      <c r="H39" s="54"/>
      <c r="I39" s="54"/>
      <c r="J39" s="54"/>
      <c r="K39" s="23"/>
      <c r="L39" s="126"/>
      <c r="M39" s="126"/>
      <c r="N39" s="106">
        <v>0</v>
      </c>
      <c r="O39" s="106"/>
      <c r="P39" s="127">
        <f t="shared" si="1"/>
        <v>0</v>
      </c>
    </row>
    <row r="40" spans="1:16" ht="15" hidden="1" customHeight="1" x14ac:dyDescent="0.2">
      <c r="A40" s="732"/>
      <c r="B40" s="730"/>
      <c r="C40" s="40" t="s">
        <v>46</v>
      </c>
      <c r="D40" s="54"/>
      <c r="E40" s="54"/>
      <c r="F40" s="54"/>
      <c r="G40" s="54"/>
      <c r="H40" s="54"/>
      <c r="I40" s="54"/>
      <c r="J40" s="54"/>
      <c r="K40" s="23"/>
      <c r="L40" s="126"/>
      <c r="M40" s="126"/>
      <c r="N40" s="106">
        <v>0</v>
      </c>
      <c r="O40" s="106"/>
      <c r="P40" s="127">
        <f t="shared" si="1"/>
        <v>0</v>
      </c>
    </row>
    <row r="41" spans="1:16" ht="15" customHeight="1" thickBot="1" x14ac:dyDescent="0.25">
      <c r="A41" s="732"/>
      <c r="B41" s="730"/>
      <c r="C41" s="40" t="s">
        <v>47</v>
      </c>
      <c r="D41" s="54"/>
      <c r="E41" s="54"/>
      <c r="F41" s="54"/>
      <c r="G41" s="54"/>
      <c r="H41" s="54"/>
      <c r="I41" s="54"/>
      <c r="J41" s="54"/>
      <c r="K41" s="23"/>
      <c r="L41" s="126"/>
      <c r="M41" s="126">
        <v>136054.5</v>
      </c>
      <c r="N41" s="41">
        <v>0</v>
      </c>
      <c r="O41" s="106"/>
      <c r="P41" s="25">
        <f t="shared" si="1"/>
        <v>0</v>
      </c>
    </row>
    <row r="42" spans="1:16" ht="15" hidden="1" customHeight="1" x14ac:dyDescent="0.2">
      <c r="A42" s="732"/>
      <c r="B42" s="730"/>
      <c r="C42" s="40" t="s">
        <v>48</v>
      </c>
      <c r="D42" s="54"/>
      <c r="E42" s="54"/>
      <c r="F42" s="54"/>
      <c r="G42" s="54"/>
      <c r="H42" s="54"/>
      <c r="I42" s="54"/>
      <c r="J42" s="54"/>
      <c r="K42" s="23"/>
      <c r="L42" s="126"/>
      <c r="M42" s="126"/>
      <c r="N42" s="41"/>
      <c r="O42" s="106"/>
      <c r="P42" s="25">
        <f t="shared" si="1"/>
        <v>0</v>
      </c>
    </row>
    <row r="43" spans="1:16" ht="15.75" hidden="1" customHeight="1" thickBot="1" x14ac:dyDescent="0.25">
      <c r="A43" s="733"/>
      <c r="B43" s="730"/>
      <c r="C43" s="40" t="s">
        <v>49</v>
      </c>
      <c r="D43" s="54"/>
      <c r="E43" s="54"/>
      <c r="F43" s="54"/>
      <c r="G43" s="54"/>
      <c r="H43" s="54"/>
      <c r="I43" s="54"/>
      <c r="J43" s="54"/>
      <c r="K43" s="23"/>
      <c r="L43" s="126"/>
      <c r="M43" s="126"/>
      <c r="N43" s="106"/>
      <c r="O43" s="106"/>
      <c r="P43" s="127">
        <f t="shared" si="1"/>
        <v>0</v>
      </c>
    </row>
    <row r="44" spans="1:16" ht="15.75" thickBot="1" x14ac:dyDescent="0.3">
      <c r="A44" s="128">
        <v>330</v>
      </c>
      <c r="B44" s="639" t="s">
        <v>277</v>
      </c>
      <c r="C44" s="640"/>
      <c r="D44" s="129">
        <f t="shared" ref="D44:O45" si="7">D45</f>
        <v>0</v>
      </c>
      <c r="E44" s="129">
        <f t="shared" si="7"/>
        <v>0</v>
      </c>
      <c r="F44" s="129">
        <f t="shared" si="7"/>
        <v>0</v>
      </c>
      <c r="G44" s="129">
        <f t="shared" si="7"/>
        <v>0</v>
      </c>
      <c r="H44" s="129">
        <f t="shared" si="7"/>
        <v>0</v>
      </c>
      <c r="I44" s="129">
        <f t="shared" si="7"/>
        <v>57800</v>
      </c>
      <c r="J44" s="130">
        <f t="shared" si="7"/>
        <v>20485</v>
      </c>
      <c r="K44" s="129">
        <f t="shared" si="7"/>
        <v>0</v>
      </c>
      <c r="L44" s="131"/>
      <c r="M44" s="131">
        <f t="shared" si="7"/>
        <v>0</v>
      </c>
      <c r="N44" s="445">
        <f t="shared" si="7"/>
        <v>0</v>
      </c>
      <c r="O44" s="576">
        <f t="shared" si="7"/>
        <v>0</v>
      </c>
      <c r="P44" s="132">
        <f t="shared" si="1"/>
        <v>0</v>
      </c>
    </row>
    <row r="45" spans="1:16" ht="13.5" thickBot="1" x14ac:dyDescent="0.25">
      <c r="A45" s="631"/>
      <c r="B45" s="109">
        <v>332</v>
      </c>
      <c r="C45" s="57" t="s">
        <v>50</v>
      </c>
      <c r="D45" s="58">
        <f t="shared" si="7"/>
        <v>0</v>
      </c>
      <c r="E45" s="58">
        <f t="shared" si="7"/>
        <v>0</v>
      </c>
      <c r="F45" s="58">
        <f t="shared" si="7"/>
        <v>0</v>
      </c>
      <c r="G45" s="58">
        <f t="shared" si="7"/>
        <v>0</v>
      </c>
      <c r="H45" s="58">
        <f t="shared" si="7"/>
        <v>0</v>
      </c>
      <c r="I45" s="58">
        <f>I46</f>
        <v>57800</v>
      </c>
      <c r="J45" s="90">
        <f>J46</f>
        <v>20485</v>
      </c>
      <c r="K45" s="58">
        <f>K46</f>
        <v>0</v>
      </c>
      <c r="L45" s="133"/>
      <c r="M45" s="133">
        <f>M46</f>
        <v>0</v>
      </c>
      <c r="N45" s="147"/>
      <c r="O45" s="147"/>
      <c r="P45" s="134">
        <f t="shared" si="1"/>
        <v>0</v>
      </c>
    </row>
    <row r="46" spans="1:16" x14ac:dyDescent="0.2">
      <c r="A46" s="632"/>
      <c r="B46" s="652"/>
      <c r="C46" s="122" t="s">
        <v>51</v>
      </c>
      <c r="D46" s="80"/>
      <c r="E46" s="80"/>
      <c r="F46" s="80"/>
      <c r="G46" s="80"/>
      <c r="H46" s="80"/>
      <c r="I46" s="80">
        <v>57800</v>
      </c>
      <c r="J46" s="135">
        <v>20485</v>
      </c>
      <c r="K46" s="135"/>
      <c r="L46" s="19"/>
      <c r="M46" s="123"/>
      <c r="N46" s="68"/>
      <c r="O46" s="68"/>
      <c r="P46" s="136">
        <f t="shared" si="1"/>
        <v>0</v>
      </c>
    </row>
    <row r="47" spans="1:16" ht="13.5" thickBot="1" x14ac:dyDescent="0.25">
      <c r="A47" s="632"/>
      <c r="B47" s="653"/>
      <c r="C47" s="137"/>
      <c r="D47" s="65"/>
      <c r="E47" s="65"/>
      <c r="F47" s="65"/>
      <c r="G47" s="65"/>
      <c r="H47" s="65"/>
      <c r="I47" s="65"/>
      <c r="J47" s="65"/>
      <c r="K47" s="66"/>
      <c r="L47" s="66"/>
      <c r="M47" s="108"/>
      <c r="N47" s="68"/>
      <c r="O47" s="68"/>
      <c r="P47" s="136">
        <f t="shared" si="1"/>
        <v>0</v>
      </c>
    </row>
    <row r="48" spans="1:16" ht="17.25" thickTop="1" thickBot="1" x14ac:dyDescent="0.3">
      <c r="A48" s="138"/>
      <c r="B48" s="139"/>
      <c r="C48" s="140" t="s">
        <v>52</v>
      </c>
      <c r="D48" s="93">
        <f t="shared" ref="D48:N48" si="8">D17+D5</f>
        <v>2113092</v>
      </c>
      <c r="E48" s="93">
        <f t="shared" si="8"/>
        <v>1017958</v>
      </c>
      <c r="F48" s="93">
        <f t="shared" si="8"/>
        <v>1245369</v>
      </c>
      <c r="G48" s="93">
        <f t="shared" si="8"/>
        <v>4391413</v>
      </c>
      <c r="H48" s="93">
        <f t="shared" si="8"/>
        <v>3456141</v>
      </c>
      <c r="I48" s="93">
        <f t="shared" si="8"/>
        <v>4649713</v>
      </c>
      <c r="J48" s="93">
        <f t="shared" si="8"/>
        <v>4502774.0599999996</v>
      </c>
      <c r="K48" s="93">
        <f t="shared" si="8"/>
        <v>3678497</v>
      </c>
      <c r="L48" s="93">
        <f t="shared" si="8"/>
        <v>1218338.5899999999</v>
      </c>
      <c r="M48" s="501">
        <f t="shared" si="8"/>
        <v>752297.52</v>
      </c>
      <c r="N48" s="93">
        <f t="shared" si="8"/>
        <v>976050</v>
      </c>
      <c r="O48" s="501">
        <f>O17+O5</f>
        <v>935536.18</v>
      </c>
      <c r="P48" s="94">
        <f t="shared" si="1"/>
        <v>95.849206495568879</v>
      </c>
    </row>
    <row r="49" ht="13.5" thickTop="1" x14ac:dyDescent="0.2"/>
  </sheetData>
  <mergeCells count="30">
    <mergeCell ref="O3:O4"/>
    <mergeCell ref="P3:P4"/>
    <mergeCell ref="A45:A47"/>
    <mergeCell ref="B46:B47"/>
    <mergeCell ref="B18:C18"/>
    <mergeCell ref="B20:B43"/>
    <mergeCell ref="B44:C44"/>
    <mergeCell ref="A19:A43"/>
    <mergeCell ref="B17:C17"/>
    <mergeCell ref="B5:C5"/>
    <mergeCell ref="A7:A16"/>
    <mergeCell ref="B8:B10"/>
    <mergeCell ref="B12:B16"/>
    <mergeCell ref="N3:N4"/>
    <mergeCell ref="B6:C6"/>
    <mergeCell ref="D3:D4"/>
    <mergeCell ref="K3:K4"/>
    <mergeCell ref="L3:L4"/>
    <mergeCell ref="M3:M4"/>
    <mergeCell ref="I3:I4"/>
    <mergeCell ref="A1:N1"/>
    <mergeCell ref="A2:N2"/>
    <mergeCell ref="J3:J4"/>
    <mergeCell ref="A3:A4"/>
    <mergeCell ref="B3:B4"/>
    <mergeCell ref="C3:C4"/>
    <mergeCell ref="E3:E4"/>
    <mergeCell ref="F3:F4"/>
    <mergeCell ref="G3:G4"/>
    <mergeCell ref="H3:H4"/>
  </mergeCells>
  <phoneticPr fontId="2" type="noConversion"/>
  <pageMargins left="0.15748031496062992" right="0.15748031496062992" top="0.51181102362204722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 enableFormatConditionsCalculation="0">
    <tabColor indexed="13"/>
    <pageSetUpPr fitToPage="1"/>
  </sheetPr>
  <dimension ref="B1:T120"/>
  <sheetViews>
    <sheetView workbookViewId="0">
      <selection activeCell="P121" sqref="P121"/>
    </sheetView>
  </sheetViews>
  <sheetFormatPr defaultRowHeight="12.75" x14ac:dyDescent="0.2"/>
  <cols>
    <col min="1" max="1" width="1.7109375" customWidth="1"/>
    <col min="2" max="2" width="10.85546875" customWidth="1"/>
    <col min="3" max="3" width="8.7109375" customWidth="1"/>
    <col min="4" max="4" width="33.7109375" customWidth="1"/>
    <col min="5" max="12" width="9.140625" hidden="1" customWidth="1"/>
    <col min="13" max="13" width="13.42578125" hidden="1" customWidth="1"/>
    <col min="14" max="14" width="15.85546875" customWidth="1"/>
    <col min="15" max="15" width="14.28515625" customWidth="1"/>
    <col min="16" max="16" width="15.7109375" style="474" customWidth="1"/>
    <col min="17" max="17" width="14.28515625" customWidth="1"/>
    <col min="19" max="19" width="13.28515625" customWidth="1"/>
  </cols>
  <sheetData>
    <row r="1" spans="2:19" ht="13.5" thickBot="1" x14ac:dyDescent="0.25">
      <c r="B1" s="726" t="s">
        <v>18</v>
      </c>
      <c r="C1" s="726"/>
      <c r="D1" s="726"/>
      <c r="E1" s="726"/>
      <c r="F1" s="726"/>
      <c r="G1" s="726"/>
      <c r="H1" s="726"/>
      <c r="I1" s="726"/>
      <c r="J1" s="726"/>
      <c r="K1" s="726"/>
    </row>
    <row r="2" spans="2:19" ht="13.5" customHeight="1" thickTop="1" x14ac:dyDescent="0.2">
      <c r="B2" s="679" t="s">
        <v>135</v>
      </c>
      <c r="C2" s="735" t="s">
        <v>185</v>
      </c>
      <c r="D2" s="684" t="s">
        <v>136</v>
      </c>
      <c r="E2" s="659" t="s">
        <v>280</v>
      </c>
      <c r="F2" s="659" t="s">
        <v>281</v>
      </c>
      <c r="G2" s="659" t="s">
        <v>282</v>
      </c>
      <c r="H2" s="659" t="s">
        <v>283</v>
      </c>
      <c r="I2" s="659" t="s">
        <v>284</v>
      </c>
      <c r="J2" s="659" t="s">
        <v>192</v>
      </c>
      <c r="K2" s="659" t="s">
        <v>193</v>
      </c>
      <c r="L2" s="659" t="s">
        <v>194</v>
      </c>
      <c r="M2" s="659" t="s">
        <v>195</v>
      </c>
      <c r="N2" s="665" t="s">
        <v>410</v>
      </c>
      <c r="O2" s="659" t="s">
        <v>392</v>
      </c>
      <c r="P2" s="659" t="s">
        <v>432</v>
      </c>
      <c r="Q2" s="677" t="s">
        <v>433</v>
      </c>
    </row>
    <row r="3" spans="2:19" ht="30" customHeight="1" thickBot="1" x14ac:dyDescent="0.25">
      <c r="B3" s="680"/>
      <c r="C3" s="736"/>
      <c r="D3" s="685"/>
      <c r="E3" s="660"/>
      <c r="F3" s="660"/>
      <c r="G3" s="660"/>
      <c r="H3" s="660"/>
      <c r="I3" s="660"/>
      <c r="J3" s="660"/>
      <c r="K3" s="660"/>
      <c r="L3" s="660"/>
      <c r="M3" s="660"/>
      <c r="N3" s="666"/>
      <c r="O3" s="660"/>
      <c r="P3" s="660"/>
      <c r="Q3" s="678"/>
    </row>
    <row r="4" spans="2:19" ht="16.5" thickTop="1" thickBot="1" x14ac:dyDescent="0.3">
      <c r="B4" s="255" t="s">
        <v>65</v>
      </c>
      <c r="C4" s="746" t="s">
        <v>341</v>
      </c>
      <c r="D4" s="746"/>
      <c r="E4" s="344">
        <v>372735</v>
      </c>
      <c r="F4" s="344">
        <v>64629</v>
      </c>
      <c r="G4" s="344">
        <v>39833</v>
      </c>
      <c r="H4" s="344">
        <v>3383</v>
      </c>
      <c r="I4" s="344"/>
      <c r="J4" s="345">
        <v>18260</v>
      </c>
      <c r="K4" s="345">
        <v>0</v>
      </c>
      <c r="L4" s="345">
        <v>0</v>
      </c>
      <c r="M4" s="345">
        <v>0</v>
      </c>
      <c r="N4" s="345">
        <v>0</v>
      </c>
      <c r="O4" s="344">
        <f>O5+O6</f>
        <v>7000</v>
      </c>
      <c r="P4" s="601">
        <f>P5+P6</f>
        <v>6946.8</v>
      </c>
      <c r="Q4" s="590">
        <f t="shared" ref="Q4:Q67" si="0">IF(O4=0,0,P4/O4*100)</f>
        <v>99.240000000000009</v>
      </c>
    </row>
    <row r="5" spans="2:19" x14ac:dyDescent="0.2">
      <c r="B5" s="681"/>
      <c r="C5" s="738"/>
      <c r="D5" s="67" t="s">
        <v>388</v>
      </c>
      <c r="E5" s="20"/>
      <c r="F5" s="20"/>
      <c r="G5" s="20"/>
      <c r="H5" s="20"/>
      <c r="I5" s="52"/>
      <c r="J5" s="52"/>
      <c r="K5" s="52"/>
      <c r="L5" s="20"/>
      <c r="M5" s="20"/>
      <c r="N5" s="20"/>
      <c r="O5" s="53">
        <v>4500</v>
      </c>
      <c r="P5" s="68">
        <v>4510.8</v>
      </c>
      <c r="Q5" s="136">
        <f t="shared" si="0"/>
        <v>100.24</v>
      </c>
    </row>
    <row r="6" spans="2:19" ht="13.5" thickBot="1" x14ac:dyDescent="0.25">
      <c r="B6" s="683"/>
      <c r="C6" s="740"/>
      <c r="D6" s="67" t="s">
        <v>409</v>
      </c>
      <c r="E6" s="20"/>
      <c r="F6" s="20"/>
      <c r="G6" s="20"/>
      <c r="H6" s="20"/>
      <c r="I6" s="52"/>
      <c r="J6" s="52"/>
      <c r="K6" s="52"/>
      <c r="L6" s="20"/>
      <c r="M6" s="20"/>
      <c r="N6" s="20"/>
      <c r="O6" s="53">
        <v>2500</v>
      </c>
      <c r="P6" s="68">
        <v>2436</v>
      </c>
      <c r="Q6" s="136">
        <f t="shared" si="0"/>
        <v>97.44</v>
      </c>
    </row>
    <row r="7" spans="2:19" ht="15.75" thickBot="1" x14ac:dyDescent="0.3">
      <c r="B7" s="199" t="s">
        <v>151</v>
      </c>
      <c r="C7" s="737" t="s">
        <v>152</v>
      </c>
      <c r="D7" s="737"/>
      <c r="E7" s="221">
        <v>17958</v>
      </c>
      <c r="F7" s="221">
        <v>0</v>
      </c>
      <c r="G7" s="221">
        <v>19916</v>
      </c>
      <c r="H7" s="221">
        <v>18253</v>
      </c>
      <c r="I7" s="221">
        <v>16675</v>
      </c>
      <c r="J7" s="129">
        <v>3031</v>
      </c>
      <c r="K7" s="129">
        <v>0</v>
      </c>
      <c r="L7" s="63">
        <f>SUM(L8:L9)</f>
        <v>10398</v>
      </c>
      <c r="M7" s="63"/>
      <c r="N7" s="63">
        <f>SUM(N8:N9)</f>
        <v>0</v>
      </c>
      <c r="O7" s="63">
        <f>SUM(O8:O9)</f>
        <v>5700</v>
      </c>
      <c r="P7" s="201">
        <f>P9</f>
        <v>5666.4</v>
      </c>
      <c r="Q7" s="565">
        <f t="shared" si="0"/>
        <v>99.410526315789468</v>
      </c>
    </row>
    <row r="8" spans="2:19" x14ac:dyDescent="0.2">
      <c r="B8" s="681"/>
      <c r="C8" s="738"/>
      <c r="D8" s="38" t="s">
        <v>342</v>
      </c>
      <c r="E8" s="87"/>
      <c r="F8" s="87"/>
      <c r="G8" s="87"/>
      <c r="H8" s="87"/>
      <c r="I8" s="51"/>
      <c r="J8" s="51"/>
      <c r="K8" s="51"/>
      <c r="L8" s="87">
        <v>10398</v>
      </c>
      <c r="M8" s="87"/>
      <c r="N8" s="87"/>
      <c r="O8" s="39"/>
      <c r="P8" s="143"/>
      <c r="Q8" s="578">
        <f t="shared" si="0"/>
        <v>0</v>
      </c>
    </row>
    <row r="9" spans="2:19" ht="13.5" thickBot="1" x14ac:dyDescent="0.25">
      <c r="B9" s="683"/>
      <c r="C9" s="740"/>
      <c r="D9" s="137" t="s">
        <v>388</v>
      </c>
      <c r="E9" s="66"/>
      <c r="F9" s="66"/>
      <c r="G9" s="66"/>
      <c r="H9" s="66"/>
      <c r="I9" s="65"/>
      <c r="J9" s="65"/>
      <c r="K9" s="65"/>
      <c r="L9" s="66"/>
      <c r="M9" s="66"/>
      <c r="N9" s="66"/>
      <c r="O9" s="53">
        <v>5700</v>
      </c>
      <c r="P9" s="68">
        <v>5666.4</v>
      </c>
      <c r="Q9" s="136">
        <f t="shared" si="0"/>
        <v>99.410526315789468</v>
      </c>
    </row>
    <row r="10" spans="2:19" ht="15.75" thickBot="1" x14ac:dyDescent="0.3">
      <c r="B10" s="199" t="s">
        <v>146</v>
      </c>
      <c r="C10" s="737" t="s">
        <v>147</v>
      </c>
      <c r="D10" s="737"/>
      <c r="E10" s="221">
        <v>894211</v>
      </c>
      <c r="F10" s="221">
        <v>382958</v>
      </c>
      <c r="G10" s="221">
        <v>343590</v>
      </c>
      <c r="H10" s="221">
        <v>610914</v>
      </c>
      <c r="I10" s="221">
        <v>1718795</v>
      </c>
      <c r="J10" s="129">
        <v>495900</v>
      </c>
      <c r="K10" s="221">
        <v>421522</v>
      </c>
      <c r="L10" s="63">
        <f>SUM(L11:L24)</f>
        <v>2058954</v>
      </c>
      <c r="M10" s="63">
        <v>108548.12</v>
      </c>
      <c r="N10" s="201">
        <f>SUM(N11:N24)</f>
        <v>187078.06</v>
      </c>
      <c r="O10" s="63">
        <f>SUM(O11:O24)</f>
        <v>1084126</v>
      </c>
      <c r="P10" s="201">
        <f>SUM(P11:P24)</f>
        <v>923357.06</v>
      </c>
      <c r="Q10" s="565">
        <f t="shared" si="0"/>
        <v>85.170640681987152</v>
      </c>
    </row>
    <row r="11" spans="2:19" x14ac:dyDescent="0.2">
      <c r="B11" s="682"/>
      <c r="C11" s="753"/>
      <c r="D11" s="67" t="s">
        <v>343</v>
      </c>
      <c r="E11" s="20"/>
      <c r="F11" s="20"/>
      <c r="G11" s="20"/>
      <c r="H11" s="20"/>
      <c r="I11" s="52"/>
      <c r="J11" s="52"/>
      <c r="K11" s="20"/>
      <c r="L11" s="20">
        <v>47371</v>
      </c>
      <c r="M11" s="20">
        <v>31209.200000000001</v>
      </c>
      <c r="N11" s="110">
        <v>11397.78</v>
      </c>
      <c r="O11" s="53">
        <v>41826</v>
      </c>
      <c r="P11" s="68">
        <v>30293.599999999999</v>
      </c>
      <c r="Q11" s="136">
        <f t="shared" si="0"/>
        <v>72.427676564816139</v>
      </c>
    </row>
    <row r="12" spans="2:19" x14ac:dyDescent="0.2">
      <c r="B12" s="682"/>
      <c r="C12" s="753"/>
      <c r="D12" s="67" t="s">
        <v>181</v>
      </c>
      <c r="E12" s="20"/>
      <c r="F12" s="20"/>
      <c r="G12" s="20"/>
      <c r="H12" s="20"/>
      <c r="I12" s="52"/>
      <c r="J12" s="52"/>
      <c r="K12" s="20"/>
      <c r="L12" s="20"/>
      <c r="M12" s="20"/>
      <c r="N12" s="110"/>
      <c r="O12" s="53">
        <v>0</v>
      </c>
      <c r="P12" s="68"/>
      <c r="Q12" s="136">
        <f t="shared" si="0"/>
        <v>0</v>
      </c>
      <c r="S12" s="1"/>
    </row>
    <row r="13" spans="2:19" x14ac:dyDescent="0.2">
      <c r="B13" s="682"/>
      <c r="C13" s="753"/>
      <c r="D13" s="40" t="s">
        <v>344</v>
      </c>
      <c r="E13" s="24"/>
      <c r="F13" s="24"/>
      <c r="G13" s="24"/>
      <c r="H13" s="24"/>
      <c r="I13" s="54"/>
      <c r="J13" s="54"/>
      <c r="K13" s="24"/>
      <c r="L13" s="24"/>
      <c r="M13" s="20"/>
      <c r="N13" s="110">
        <v>4562.8</v>
      </c>
      <c r="O13" s="53">
        <v>0</v>
      </c>
      <c r="P13" s="68"/>
      <c r="Q13" s="136">
        <f t="shared" si="0"/>
        <v>0</v>
      </c>
    </row>
    <row r="14" spans="2:19" x14ac:dyDescent="0.2">
      <c r="B14" s="682"/>
      <c r="C14" s="753"/>
      <c r="D14" s="44" t="s">
        <v>180</v>
      </c>
      <c r="E14" s="28"/>
      <c r="F14" s="28"/>
      <c r="G14" s="28"/>
      <c r="H14" s="28"/>
      <c r="I14" s="62"/>
      <c r="J14" s="62"/>
      <c r="K14" s="28"/>
      <c r="L14" s="28"/>
      <c r="M14" s="20"/>
      <c r="N14" s="110"/>
      <c r="O14" s="53">
        <v>340000</v>
      </c>
      <c r="P14" s="68">
        <v>203363.5</v>
      </c>
      <c r="Q14" s="136">
        <f t="shared" si="0"/>
        <v>59.812794117647059</v>
      </c>
    </row>
    <row r="15" spans="2:19" x14ac:dyDescent="0.2">
      <c r="B15" s="682"/>
      <c r="C15" s="753"/>
      <c r="D15" s="44" t="s">
        <v>2</v>
      </c>
      <c r="E15" s="28"/>
      <c r="F15" s="28"/>
      <c r="G15" s="28"/>
      <c r="H15" s="28"/>
      <c r="I15" s="62"/>
      <c r="J15" s="62"/>
      <c r="K15" s="28"/>
      <c r="L15" s="28">
        <v>282056</v>
      </c>
      <c r="M15" s="20"/>
      <c r="N15" s="106">
        <v>0</v>
      </c>
      <c r="O15" s="53">
        <v>8750</v>
      </c>
      <c r="P15" s="68"/>
      <c r="Q15" s="136">
        <f t="shared" si="0"/>
        <v>0</v>
      </c>
    </row>
    <row r="16" spans="2:19" x14ac:dyDescent="0.2">
      <c r="B16" s="682"/>
      <c r="C16" s="753"/>
      <c r="D16" s="40" t="s">
        <v>345</v>
      </c>
      <c r="E16" s="24"/>
      <c r="F16" s="24"/>
      <c r="G16" s="24"/>
      <c r="H16" s="24"/>
      <c r="I16" s="54"/>
      <c r="J16" s="54"/>
      <c r="K16" s="24"/>
      <c r="L16" s="24">
        <v>881052</v>
      </c>
      <c r="M16" s="20">
        <v>70504.899999999994</v>
      </c>
      <c r="N16" s="110"/>
      <c r="O16" s="53">
        <v>0</v>
      </c>
      <c r="P16" s="68"/>
      <c r="Q16" s="136">
        <f t="shared" si="0"/>
        <v>0</v>
      </c>
    </row>
    <row r="17" spans="2:20" x14ac:dyDescent="0.2">
      <c r="B17" s="682"/>
      <c r="C17" s="753"/>
      <c r="D17" s="40" t="s">
        <v>346</v>
      </c>
      <c r="E17" s="24"/>
      <c r="F17" s="24"/>
      <c r="G17" s="24"/>
      <c r="H17" s="24"/>
      <c r="I17" s="54"/>
      <c r="J17" s="54"/>
      <c r="K17" s="24"/>
      <c r="L17" s="24">
        <v>100004</v>
      </c>
      <c r="M17" s="20"/>
      <c r="N17" s="110">
        <v>13200</v>
      </c>
      <c r="O17" s="53">
        <v>0</v>
      </c>
      <c r="P17" s="68"/>
      <c r="Q17" s="136">
        <f t="shared" si="0"/>
        <v>0</v>
      </c>
      <c r="S17" s="1"/>
    </row>
    <row r="18" spans="2:20" x14ac:dyDescent="0.2">
      <c r="B18" s="682"/>
      <c r="C18" s="753"/>
      <c r="D18" s="40" t="s">
        <v>347</v>
      </c>
      <c r="E18" s="24"/>
      <c r="F18" s="24"/>
      <c r="G18" s="24"/>
      <c r="H18" s="24"/>
      <c r="I18" s="54"/>
      <c r="J18" s="54"/>
      <c r="K18" s="24"/>
      <c r="L18" s="24">
        <v>0</v>
      </c>
      <c r="M18" s="20"/>
      <c r="N18" s="110"/>
      <c r="O18" s="53">
        <v>0</v>
      </c>
      <c r="P18" s="68"/>
      <c r="Q18" s="136">
        <f t="shared" si="0"/>
        <v>0</v>
      </c>
    </row>
    <row r="19" spans="2:20" x14ac:dyDescent="0.2">
      <c r="B19" s="682"/>
      <c r="C19" s="753"/>
      <c r="D19" s="40" t="s">
        <v>47</v>
      </c>
      <c r="E19" s="24"/>
      <c r="F19" s="24"/>
      <c r="G19" s="24"/>
      <c r="H19" s="24"/>
      <c r="I19" s="54"/>
      <c r="J19" s="54"/>
      <c r="K19" s="24"/>
      <c r="L19" s="24"/>
      <c r="M19" s="20"/>
      <c r="N19" s="110">
        <v>144897.48000000001</v>
      </c>
      <c r="O19" s="53">
        <v>2800</v>
      </c>
      <c r="P19" s="68">
        <v>2799.96</v>
      </c>
      <c r="Q19" s="136">
        <f t="shared" si="0"/>
        <v>99.998571428571424</v>
      </c>
    </row>
    <row r="20" spans="2:20" x14ac:dyDescent="0.2">
      <c r="B20" s="682"/>
      <c r="C20" s="753"/>
      <c r="D20" s="40" t="s">
        <v>4</v>
      </c>
      <c r="E20" s="24"/>
      <c r="F20" s="24"/>
      <c r="G20" s="24"/>
      <c r="H20" s="24"/>
      <c r="I20" s="54"/>
      <c r="J20" s="54"/>
      <c r="K20" s="24"/>
      <c r="L20" s="24"/>
      <c r="M20" s="20"/>
      <c r="N20" s="110"/>
      <c r="O20" s="53">
        <v>250</v>
      </c>
      <c r="P20" s="68"/>
      <c r="Q20" s="136">
        <f t="shared" si="0"/>
        <v>0</v>
      </c>
    </row>
    <row r="21" spans="2:20" x14ac:dyDescent="0.2">
      <c r="B21" s="682"/>
      <c r="C21" s="753"/>
      <c r="D21" s="40" t="s">
        <v>167</v>
      </c>
      <c r="E21" s="24"/>
      <c r="F21" s="24"/>
      <c r="G21" s="24"/>
      <c r="H21" s="24"/>
      <c r="I21" s="54"/>
      <c r="J21" s="54"/>
      <c r="K21" s="24"/>
      <c r="L21" s="24"/>
      <c r="M21" s="24"/>
      <c r="N21" s="192"/>
      <c r="O21" s="24">
        <v>681900</v>
      </c>
      <c r="P21" s="106">
        <v>681900</v>
      </c>
      <c r="Q21" s="127">
        <f t="shared" si="0"/>
        <v>100</v>
      </c>
      <c r="S21" s="1"/>
    </row>
    <row r="22" spans="2:20" x14ac:dyDescent="0.2">
      <c r="B22" s="682"/>
      <c r="C22" s="753"/>
      <c r="D22" s="40" t="s">
        <v>3</v>
      </c>
      <c r="E22" s="24"/>
      <c r="F22" s="24"/>
      <c r="G22" s="24"/>
      <c r="H22" s="24"/>
      <c r="I22" s="54"/>
      <c r="J22" s="54"/>
      <c r="K22" s="24"/>
      <c r="L22" s="24"/>
      <c r="M22" s="24"/>
      <c r="N22" s="192"/>
      <c r="O22" s="41">
        <v>3600</v>
      </c>
      <c r="P22" s="106"/>
      <c r="Q22" s="127">
        <f t="shared" si="0"/>
        <v>0</v>
      </c>
    </row>
    <row r="23" spans="2:20" x14ac:dyDescent="0.2">
      <c r="B23" s="682"/>
      <c r="C23" s="753"/>
      <c r="D23" s="40" t="s">
        <v>393</v>
      </c>
      <c r="E23" s="24"/>
      <c r="F23" s="24"/>
      <c r="G23" s="24"/>
      <c r="H23" s="24"/>
      <c r="I23" s="54"/>
      <c r="J23" s="54"/>
      <c r="K23" s="24"/>
      <c r="L23" s="24"/>
      <c r="M23" s="24"/>
      <c r="N23" s="192">
        <v>1500</v>
      </c>
      <c r="O23" s="41">
        <v>5000</v>
      </c>
      <c r="P23" s="106">
        <v>5000</v>
      </c>
      <c r="Q23" s="127">
        <f t="shared" si="0"/>
        <v>100</v>
      </c>
    </row>
    <row r="24" spans="2:20" ht="13.5" thickBot="1" x14ac:dyDescent="0.25">
      <c r="B24" s="683"/>
      <c r="C24" s="754"/>
      <c r="D24" s="137" t="s">
        <v>301</v>
      </c>
      <c r="E24" s="66"/>
      <c r="F24" s="66"/>
      <c r="G24" s="66"/>
      <c r="H24" s="66"/>
      <c r="I24" s="65"/>
      <c r="J24" s="65"/>
      <c r="K24" s="66"/>
      <c r="L24" s="66">
        <v>748471</v>
      </c>
      <c r="M24" s="66"/>
      <c r="N24" s="108">
        <v>11520</v>
      </c>
      <c r="O24" s="53">
        <v>0</v>
      </c>
      <c r="P24" s="68"/>
      <c r="Q24" s="136">
        <f t="shared" si="0"/>
        <v>0</v>
      </c>
    </row>
    <row r="25" spans="2:20" ht="15.75" thickBot="1" x14ac:dyDescent="0.3">
      <c r="B25" s="347" t="s">
        <v>27</v>
      </c>
      <c r="C25" s="639" t="s">
        <v>348</v>
      </c>
      <c r="D25" s="640"/>
      <c r="E25" s="221">
        <v>154053</v>
      </c>
      <c r="F25" s="221">
        <v>194317</v>
      </c>
      <c r="G25" s="221">
        <v>340238</v>
      </c>
      <c r="H25" s="221">
        <v>484191</v>
      </c>
      <c r="I25" s="221">
        <v>181309</v>
      </c>
      <c r="J25" s="129">
        <v>33695</v>
      </c>
      <c r="K25" s="221">
        <v>79908</v>
      </c>
      <c r="L25" s="63">
        <f>SUM(L26:L39)</f>
        <v>0</v>
      </c>
      <c r="M25" s="63">
        <f>SUM(M26:M39)</f>
        <v>75693</v>
      </c>
      <c r="N25" s="201">
        <f>SUM(N26:N36)</f>
        <v>107849.53999999998</v>
      </c>
      <c r="O25" s="63">
        <f>SUM(O26:O39)</f>
        <v>209419</v>
      </c>
      <c r="P25" s="201">
        <f>SUM(P26:P39)</f>
        <v>206988.84</v>
      </c>
      <c r="Q25" s="565">
        <f t="shared" si="0"/>
        <v>98.839570430572195</v>
      </c>
    </row>
    <row r="26" spans="2:20" hidden="1" x14ac:dyDescent="0.2">
      <c r="B26" s="681"/>
      <c r="C26" s="738"/>
      <c r="D26" s="40" t="s">
        <v>303</v>
      </c>
      <c r="E26" s="24"/>
      <c r="F26" s="24"/>
      <c r="G26" s="24"/>
      <c r="H26" s="24"/>
      <c r="I26" s="54"/>
      <c r="J26" s="349"/>
      <c r="K26" s="350"/>
      <c r="L26" s="24"/>
      <c r="M26" s="20">
        <v>23757.119999999999</v>
      </c>
      <c r="N26" s="110"/>
      <c r="O26" s="53"/>
      <c r="P26" s="68"/>
      <c r="Q26" s="136">
        <f t="shared" si="0"/>
        <v>0</v>
      </c>
    </row>
    <row r="27" spans="2:20" hidden="1" x14ac:dyDescent="0.2">
      <c r="B27" s="682"/>
      <c r="C27" s="739"/>
      <c r="D27" s="40" t="s">
        <v>349</v>
      </c>
      <c r="E27" s="24"/>
      <c r="F27" s="24"/>
      <c r="G27" s="24"/>
      <c r="H27" s="24"/>
      <c r="I27" s="54"/>
      <c r="J27" s="349"/>
      <c r="K27" s="350"/>
      <c r="L27" s="24"/>
      <c r="M27" s="20"/>
      <c r="N27" s="110"/>
      <c r="O27" s="53"/>
      <c r="P27" s="68"/>
      <c r="Q27" s="136">
        <f t="shared" si="0"/>
        <v>0</v>
      </c>
    </row>
    <row r="28" spans="2:20" x14ac:dyDescent="0.2">
      <c r="B28" s="682"/>
      <c r="C28" s="739"/>
      <c r="D28" s="40" t="s">
        <v>182</v>
      </c>
      <c r="E28" s="24"/>
      <c r="F28" s="24"/>
      <c r="G28" s="24"/>
      <c r="H28" s="24"/>
      <c r="I28" s="54"/>
      <c r="J28" s="349"/>
      <c r="K28" s="350"/>
      <c r="L28" s="24"/>
      <c r="M28" s="20"/>
      <c r="N28" s="110"/>
      <c r="O28" s="53">
        <v>23040</v>
      </c>
      <c r="P28" s="68">
        <v>23667.99</v>
      </c>
      <c r="Q28" s="136">
        <f t="shared" si="0"/>
        <v>102.72565104166667</v>
      </c>
    </row>
    <row r="29" spans="2:20" x14ac:dyDescent="0.2">
      <c r="B29" s="682"/>
      <c r="C29" s="739"/>
      <c r="D29" s="40" t="s">
        <v>183</v>
      </c>
      <c r="E29" s="24"/>
      <c r="F29" s="24"/>
      <c r="G29" s="24"/>
      <c r="H29" s="24"/>
      <c r="I29" s="54"/>
      <c r="J29" s="349"/>
      <c r="K29" s="350"/>
      <c r="L29" s="24"/>
      <c r="M29" s="20"/>
      <c r="N29" s="110"/>
      <c r="O29" s="53">
        <v>54660</v>
      </c>
      <c r="P29" s="68">
        <v>52202.27</v>
      </c>
      <c r="Q29" s="136">
        <f t="shared" si="0"/>
        <v>95.503604098060734</v>
      </c>
      <c r="T29" s="1"/>
    </row>
    <row r="30" spans="2:20" x14ac:dyDescent="0.2">
      <c r="B30" s="682"/>
      <c r="C30" s="739"/>
      <c r="D30" s="40" t="s">
        <v>428</v>
      </c>
      <c r="E30" s="24"/>
      <c r="F30" s="24"/>
      <c r="G30" s="24"/>
      <c r="H30" s="24"/>
      <c r="I30" s="54"/>
      <c r="J30" s="349"/>
      <c r="K30" s="350"/>
      <c r="L30" s="24"/>
      <c r="M30" s="20">
        <v>29104.44</v>
      </c>
      <c r="N30" s="110"/>
      <c r="O30" s="53">
        <v>5220</v>
      </c>
      <c r="P30" s="68">
        <v>5220</v>
      </c>
      <c r="Q30" s="136">
        <f t="shared" si="0"/>
        <v>100</v>
      </c>
    </row>
    <row r="31" spans="2:20" x14ac:dyDescent="0.2">
      <c r="B31" s="682"/>
      <c r="C31" s="739"/>
      <c r="D31" s="40" t="s">
        <v>350</v>
      </c>
      <c r="E31" s="24"/>
      <c r="F31" s="24"/>
      <c r="G31" s="24"/>
      <c r="H31" s="24"/>
      <c r="I31" s="54"/>
      <c r="J31" s="349"/>
      <c r="K31" s="350"/>
      <c r="L31" s="24"/>
      <c r="M31" s="20"/>
      <c r="N31" s="110">
        <v>35969.53</v>
      </c>
      <c r="O31" s="53"/>
      <c r="P31" s="68"/>
      <c r="Q31" s="136">
        <f t="shared" si="0"/>
        <v>0</v>
      </c>
    </row>
    <row r="32" spans="2:20" x14ac:dyDescent="0.2">
      <c r="B32" s="682"/>
      <c r="C32" s="739"/>
      <c r="D32" s="40" t="s">
        <v>351</v>
      </c>
      <c r="E32" s="28"/>
      <c r="F32" s="28"/>
      <c r="G32" s="28"/>
      <c r="H32" s="28"/>
      <c r="I32" s="62"/>
      <c r="J32" s="351"/>
      <c r="K32" s="352"/>
      <c r="L32" s="28"/>
      <c r="M32" s="28"/>
      <c r="N32" s="110">
        <v>2200</v>
      </c>
      <c r="O32" s="53"/>
      <c r="P32" s="68"/>
      <c r="Q32" s="136">
        <f t="shared" si="0"/>
        <v>0</v>
      </c>
    </row>
    <row r="33" spans="2:19" x14ac:dyDescent="0.2">
      <c r="B33" s="682"/>
      <c r="C33" s="739"/>
      <c r="D33" s="40" t="s">
        <v>352</v>
      </c>
      <c r="E33" s="28"/>
      <c r="F33" s="28"/>
      <c r="G33" s="28"/>
      <c r="H33" s="28"/>
      <c r="I33" s="62"/>
      <c r="J33" s="351"/>
      <c r="K33" s="352"/>
      <c r="L33" s="28"/>
      <c r="M33" s="28"/>
      <c r="N33" s="110">
        <v>28928.71</v>
      </c>
      <c r="O33" s="53"/>
      <c r="P33" s="68"/>
      <c r="Q33" s="136">
        <f t="shared" si="0"/>
        <v>0</v>
      </c>
    </row>
    <row r="34" spans="2:19" x14ac:dyDescent="0.2">
      <c r="B34" s="682"/>
      <c r="C34" s="739"/>
      <c r="D34" s="40" t="s">
        <v>353</v>
      </c>
      <c r="E34" s="28"/>
      <c r="F34" s="28"/>
      <c r="G34" s="28"/>
      <c r="H34" s="28"/>
      <c r="I34" s="62"/>
      <c r="J34" s="351"/>
      <c r="K34" s="352"/>
      <c r="L34" s="28"/>
      <c r="M34" s="28"/>
      <c r="N34" s="192">
        <v>19756.98</v>
      </c>
      <c r="O34" s="53"/>
      <c r="P34" s="68"/>
      <c r="Q34" s="136">
        <f t="shared" si="0"/>
        <v>0</v>
      </c>
    </row>
    <row r="35" spans="2:19" x14ac:dyDescent="0.2">
      <c r="B35" s="682"/>
      <c r="C35" s="739"/>
      <c r="D35" s="40" t="s">
        <v>354</v>
      </c>
      <c r="E35" s="28"/>
      <c r="F35" s="28"/>
      <c r="G35" s="28"/>
      <c r="H35" s="28"/>
      <c r="I35" s="62"/>
      <c r="J35" s="351"/>
      <c r="K35" s="352"/>
      <c r="L35" s="28"/>
      <c r="M35" s="28"/>
      <c r="N35" s="192">
        <v>20994.32</v>
      </c>
      <c r="O35" s="53"/>
      <c r="P35" s="68"/>
      <c r="Q35" s="136">
        <f t="shared" si="0"/>
        <v>0</v>
      </c>
    </row>
    <row r="36" spans="2:19" x14ac:dyDescent="0.2">
      <c r="B36" s="682"/>
      <c r="C36" s="739"/>
      <c r="D36" s="40" t="s">
        <v>355</v>
      </c>
      <c r="E36" s="28"/>
      <c r="F36" s="28"/>
      <c r="G36" s="28"/>
      <c r="H36" s="28"/>
      <c r="I36" s="62"/>
      <c r="J36" s="351"/>
      <c r="K36" s="352"/>
      <c r="L36" s="28"/>
      <c r="M36" s="28">
        <v>22831.440000000002</v>
      </c>
      <c r="N36" s="192">
        <v>0</v>
      </c>
      <c r="O36" s="53"/>
      <c r="P36" s="68"/>
      <c r="Q36" s="136">
        <f t="shared" si="0"/>
        <v>0</v>
      </c>
    </row>
    <row r="37" spans="2:19" x14ac:dyDescent="0.2">
      <c r="B37" s="682"/>
      <c r="C37" s="739"/>
      <c r="D37" s="40" t="s">
        <v>394</v>
      </c>
      <c r="E37" s="28"/>
      <c r="F37" s="28"/>
      <c r="G37" s="28"/>
      <c r="H37" s="28"/>
      <c r="I37" s="62"/>
      <c r="J37" s="351"/>
      <c r="K37" s="352"/>
      <c r="L37" s="28"/>
      <c r="M37" s="28"/>
      <c r="N37" s="192"/>
      <c r="O37" s="53">
        <v>115000</v>
      </c>
      <c r="P37" s="68">
        <v>114400.26</v>
      </c>
      <c r="Q37" s="136">
        <f t="shared" si="0"/>
        <v>99.478486956521735</v>
      </c>
    </row>
    <row r="38" spans="2:19" x14ac:dyDescent="0.2">
      <c r="B38" s="537"/>
      <c r="C38" s="538"/>
      <c r="D38" s="40" t="s">
        <v>426</v>
      </c>
      <c r="E38" s="28"/>
      <c r="F38" s="28"/>
      <c r="G38" s="28"/>
      <c r="H38" s="28"/>
      <c r="I38" s="62"/>
      <c r="J38" s="351"/>
      <c r="K38" s="352"/>
      <c r="L38" s="28"/>
      <c r="M38" s="28"/>
      <c r="N38" s="210"/>
      <c r="O38" s="53">
        <v>6499</v>
      </c>
      <c r="P38" s="68">
        <v>6499</v>
      </c>
      <c r="Q38" s="136">
        <f t="shared" si="0"/>
        <v>100</v>
      </c>
    </row>
    <row r="39" spans="2:19" ht="13.5" thickBot="1" x14ac:dyDescent="0.25">
      <c r="B39" s="346"/>
      <c r="C39" s="348"/>
      <c r="D39" s="40" t="s">
        <v>408</v>
      </c>
      <c r="E39" s="28"/>
      <c r="F39" s="28"/>
      <c r="G39" s="28"/>
      <c r="H39" s="28"/>
      <c r="I39" s="62"/>
      <c r="J39" s="351"/>
      <c r="K39" s="352"/>
      <c r="L39" s="28"/>
      <c r="M39" s="28"/>
      <c r="N39" s="242"/>
      <c r="O39" s="53">
        <v>5000</v>
      </c>
      <c r="P39" s="68">
        <v>4999.32</v>
      </c>
      <c r="Q39" s="136">
        <f t="shared" si="0"/>
        <v>99.986400000000003</v>
      </c>
    </row>
    <row r="40" spans="2:19" ht="15.75" thickBot="1" x14ac:dyDescent="0.3">
      <c r="B40" s="353" t="s">
        <v>153</v>
      </c>
      <c r="C40" s="639" t="s">
        <v>356</v>
      </c>
      <c r="D40" s="640"/>
      <c r="E40" s="354">
        <v>80894</v>
      </c>
      <c r="F40" s="221">
        <v>8298</v>
      </c>
      <c r="G40" s="221">
        <v>71666</v>
      </c>
      <c r="H40" s="221">
        <v>1330064</v>
      </c>
      <c r="I40" s="221">
        <v>2147096</v>
      </c>
      <c r="J40" s="129">
        <v>8121</v>
      </c>
      <c r="K40" s="221">
        <v>93729</v>
      </c>
      <c r="L40" s="63">
        <f>SUM(L41:L45)</f>
        <v>28919</v>
      </c>
      <c r="M40" s="63">
        <f>SUM(M41:M45)</f>
        <v>0</v>
      </c>
      <c r="N40" s="201">
        <f>SUM(N41:N45)</f>
        <v>69453.41</v>
      </c>
      <c r="O40" s="63">
        <f>SUM(O41:O45)</f>
        <v>5501</v>
      </c>
      <c r="P40" s="201">
        <f>P42+P41+P43</f>
        <v>5501</v>
      </c>
      <c r="Q40" s="565">
        <f t="shared" si="0"/>
        <v>100</v>
      </c>
    </row>
    <row r="41" spans="2:19" x14ac:dyDescent="0.2">
      <c r="B41" s="681"/>
      <c r="C41" s="738"/>
      <c r="D41" s="38" t="s">
        <v>403</v>
      </c>
      <c r="E41" s="87"/>
      <c r="F41" s="87"/>
      <c r="G41" s="87"/>
      <c r="H41" s="87"/>
      <c r="I41" s="51"/>
      <c r="J41" s="355"/>
      <c r="K41" s="356"/>
      <c r="L41" s="87">
        <v>28919</v>
      </c>
      <c r="M41" s="20"/>
      <c r="N41" s="20"/>
      <c r="O41" s="53">
        <v>0</v>
      </c>
      <c r="P41" s="68"/>
      <c r="Q41" s="136">
        <f t="shared" si="0"/>
        <v>0</v>
      </c>
    </row>
    <row r="42" spans="2:19" x14ac:dyDescent="0.2">
      <c r="B42" s="682"/>
      <c r="C42" s="739"/>
      <c r="D42" s="67" t="s">
        <v>168</v>
      </c>
      <c r="E42" s="20"/>
      <c r="F42" s="20"/>
      <c r="G42" s="20"/>
      <c r="H42" s="20"/>
      <c r="I42" s="52"/>
      <c r="J42" s="357"/>
      <c r="K42" s="358"/>
      <c r="L42" s="20"/>
      <c r="M42" s="20"/>
      <c r="N42" s="525">
        <v>69453.41</v>
      </c>
      <c r="O42" s="53"/>
      <c r="P42" s="68"/>
      <c r="Q42" s="136">
        <f t="shared" si="0"/>
        <v>0</v>
      </c>
    </row>
    <row r="43" spans="2:19" ht="13.5" thickBot="1" x14ac:dyDescent="0.25">
      <c r="B43" s="346"/>
      <c r="C43" s="348"/>
      <c r="D43" s="40" t="s">
        <v>427</v>
      </c>
      <c r="E43" s="20"/>
      <c r="F43" s="20"/>
      <c r="G43" s="20"/>
      <c r="H43" s="20"/>
      <c r="I43" s="52"/>
      <c r="J43" s="357"/>
      <c r="K43" s="358"/>
      <c r="L43" s="20"/>
      <c r="M43" s="20"/>
      <c r="N43" s="20"/>
      <c r="O43" s="53">
        <v>5501</v>
      </c>
      <c r="P43" s="68">
        <v>5501</v>
      </c>
      <c r="Q43" s="136">
        <f t="shared" si="0"/>
        <v>100</v>
      </c>
    </row>
    <row r="44" spans="2:19" ht="13.5" hidden="1" thickBot="1" x14ac:dyDescent="0.25">
      <c r="B44" s="346"/>
      <c r="C44" s="348"/>
      <c r="D44" s="137" t="s">
        <v>357</v>
      </c>
      <c r="E44" s="66"/>
      <c r="F44" s="66"/>
      <c r="G44" s="66"/>
      <c r="H44" s="66"/>
      <c r="I44" s="65"/>
      <c r="J44" s="359"/>
      <c r="K44" s="360"/>
      <c r="L44" s="24"/>
      <c r="M44" s="20"/>
      <c r="N44" s="20"/>
      <c r="O44" s="53"/>
      <c r="P44" s="68"/>
      <c r="Q44" s="136">
        <f t="shared" si="0"/>
        <v>0</v>
      </c>
    </row>
    <row r="45" spans="2:19" ht="13.5" hidden="1" thickBot="1" x14ac:dyDescent="0.25">
      <c r="B45" s="361"/>
      <c r="C45" s="362"/>
      <c r="D45" s="40" t="s">
        <v>358</v>
      </c>
      <c r="E45" s="28"/>
      <c r="F45" s="28"/>
      <c r="G45" s="28"/>
      <c r="H45" s="28"/>
      <c r="I45" s="62"/>
      <c r="J45" s="351"/>
      <c r="K45" s="352"/>
      <c r="L45" s="45"/>
      <c r="M45" s="66"/>
      <c r="N45" s="66"/>
      <c r="O45" s="229"/>
      <c r="P45" s="509"/>
      <c r="Q45" s="566">
        <f t="shared" si="0"/>
        <v>0</v>
      </c>
    </row>
    <row r="46" spans="2:19" ht="15.75" thickBot="1" x14ac:dyDescent="0.3">
      <c r="B46" s="363" t="s">
        <v>39</v>
      </c>
      <c r="C46" s="737" t="s">
        <v>40</v>
      </c>
      <c r="D46" s="737"/>
      <c r="E46" s="364"/>
      <c r="F46" s="364"/>
      <c r="G46" s="364"/>
      <c r="H46" s="364"/>
      <c r="I46" s="365">
        <v>182399</v>
      </c>
      <c r="J46" s="365"/>
      <c r="K46" s="366"/>
      <c r="L46" s="99"/>
      <c r="M46" s="99"/>
      <c r="N46" s="99"/>
      <c r="O46" s="63"/>
      <c r="P46" s="201"/>
      <c r="Q46" s="565">
        <f t="shared" si="0"/>
        <v>0</v>
      </c>
    </row>
    <row r="47" spans="2:19" ht="13.5" thickBot="1" x14ac:dyDescent="0.25">
      <c r="B47" s="346"/>
      <c r="C47" s="348"/>
      <c r="D47" s="65"/>
      <c r="E47" s="66"/>
      <c r="F47" s="66"/>
      <c r="G47" s="66"/>
      <c r="H47" s="66"/>
      <c r="I47" s="65"/>
      <c r="J47" s="359"/>
      <c r="K47" s="360"/>
      <c r="L47" s="66"/>
      <c r="M47" s="66"/>
      <c r="N47" s="66"/>
      <c r="O47" s="229"/>
      <c r="P47" s="509"/>
      <c r="Q47" s="566">
        <f t="shared" si="0"/>
        <v>0</v>
      </c>
    </row>
    <row r="48" spans="2:19" ht="15.75" thickBot="1" x14ac:dyDescent="0.3">
      <c r="B48" s="199" t="s">
        <v>389</v>
      </c>
      <c r="C48" s="639" t="s">
        <v>390</v>
      </c>
      <c r="D48" s="640"/>
      <c r="E48" s="200">
        <v>0</v>
      </c>
      <c r="F48" s="200">
        <v>0</v>
      </c>
      <c r="G48" s="200">
        <v>6639</v>
      </c>
      <c r="H48" s="200">
        <v>113606</v>
      </c>
      <c r="I48" s="200">
        <v>254005</v>
      </c>
      <c r="J48" s="265">
        <v>2699311</v>
      </c>
      <c r="K48" s="200">
        <v>3603230</v>
      </c>
      <c r="L48" s="63">
        <f>SUM(L54:L54)</f>
        <v>1781346</v>
      </c>
      <c r="M48" s="63">
        <f>SUM(M49:M54)</f>
        <v>11891.04</v>
      </c>
      <c r="N48" s="201">
        <f>SUM(N49:N54)</f>
        <v>1099.52</v>
      </c>
      <c r="O48" s="63">
        <f>SUM(O49:O54)</f>
        <v>54689</v>
      </c>
      <c r="P48" s="201">
        <f>P49+P54+P50+P53</f>
        <v>9688.17</v>
      </c>
      <c r="Q48" s="565">
        <f t="shared" si="0"/>
        <v>17.7150249593154</v>
      </c>
      <c r="S48" s="495"/>
    </row>
    <row r="49" spans="2:19" ht="15" x14ac:dyDescent="0.25">
      <c r="B49" s="690"/>
      <c r="C49" s="747"/>
      <c r="D49" s="367" t="s">
        <v>302</v>
      </c>
      <c r="E49" s="368"/>
      <c r="F49" s="368"/>
      <c r="G49" s="368"/>
      <c r="H49" s="368"/>
      <c r="I49" s="367"/>
      <c r="J49" s="369"/>
      <c r="K49" s="370"/>
      <c r="L49" s="292"/>
      <c r="M49" s="81">
        <v>11891.04</v>
      </c>
      <c r="N49" s="371">
        <v>1099.52</v>
      </c>
      <c r="O49" s="446"/>
      <c r="P49" s="604"/>
      <c r="Q49" s="591">
        <f t="shared" si="0"/>
        <v>0</v>
      </c>
    </row>
    <row r="50" spans="2:19" ht="15" x14ac:dyDescent="0.25">
      <c r="B50" s="691"/>
      <c r="C50" s="748"/>
      <c r="D50" s="372" t="s">
        <v>399</v>
      </c>
      <c r="E50" s="373"/>
      <c r="F50" s="373"/>
      <c r="G50" s="373"/>
      <c r="H50" s="373"/>
      <c r="I50" s="372"/>
      <c r="J50" s="374"/>
      <c r="K50" s="375"/>
      <c r="L50" s="294"/>
      <c r="M50" s="294"/>
      <c r="N50" s="376"/>
      <c r="O50" s="83">
        <v>5468</v>
      </c>
      <c r="P50" s="68">
        <v>5467.2</v>
      </c>
      <c r="Q50" s="592">
        <f t="shared" si="0"/>
        <v>99.985369422092177</v>
      </c>
    </row>
    <row r="51" spans="2:19" ht="15" hidden="1" x14ac:dyDescent="0.25">
      <c r="B51" s="691"/>
      <c r="C51" s="748"/>
      <c r="D51" s="372" t="s">
        <v>113</v>
      </c>
      <c r="E51" s="373"/>
      <c r="F51" s="373"/>
      <c r="G51" s="373"/>
      <c r="H51" s="373"/>
      <c r="I51" s="372"/>
      <c r="J51" s="374"/>
      <c r="K51" s="375"/>
      <c r="L51" s="294"/>
      <c r="M51" s="294"/>
      <c r="N51" s="294"/>
      <c r="O51" s="294"/>
      <c r="P51" s="602"/>
      <c r="Q51" s="592">
        <f t="shared" si="0"/>
        <v>0</v>
      </c>
    </row>
    <row r="52" spans="2:19" ht="15" hidden="1" x14ac:dyDescent="0.25">
      <c r="B52" s="691"/>
      <c r="C52" s="748"/>
      <c r="D52" s="377" t="s">
        <v>114</v>
      </c>
      <c r="E52" s="378"/>
      <c r="F52" s="378"/>
      <c r="G52" s="378"/>
      <c r="H52" s="378"/>
      <c r="I52" s="377"/>
      <c r="J52" s="379"/>
      <c r="K52" s="380"/>
      <c r="L52" s="381"/>
      <c r="M52" s="381"/>
      <c r="N52" s="381"/>
      <c r="O52" s="381"/>
      <c r="P52" s="603"/>
      <c r="Q52" s="592">
        <f t="shared" si="0"/>
        <v>0</v>
      </c>
    </row>
    <row r="53" spans="2:19" ht="15" x14ac:dyDescent="0.25">
      <c r="B53" s="691"/>
      <c r="C53" s="748"/>
      <c r="D53" s="377" t="s">
        <v>364</v>
      </c>
      <c r="E53" s="378"/>
      <c r="F53" s="378"/>
      <c r="G53" s="378"/>
      <c r="H53" s="378"/>
      <c r="I53" s="377"/>
      <c r="J53" s="379"/>
      <c r="K53" s="380"/>
      <c r="L53" s="381"/>
      <c r="M53" s="381"/>
      <c r="N53" s="381"/>
      <c r="O53" s="84">
        <v>4221</v>
      </c>
      <c r="P53" s="106">
        <v>4220.97</v>
      </c>
      <c r="Q53" s="592">
        <f t="shared" si="0"/>
        <v>99.999289267945983</v>
      </c>
    </row>
    <row r="54" spans="2:19" ht="13.5" thickBot="1" x14ac:dyDescent="0.25">
      <c r="B54" s="692"/>
      <c r="C54" s="749"/>
      <c r="D54" s="43" t="s">
        <v>407</v>
      </c>
      <c r="E54" s="45"/>
      <c r="F54" s="45"/>
      <c r="G54" s="45"/>
      <c r="H54" s="45"/>
      <c r="I54" s="55"/>
      <c r="J54" s="382"/>
      <c r="K54" s="383"/>
      <c r="L54" s="45">
        <v>1781346</v>
      </c>
      <c r="M54" s="72"/>
      <c r="N54" s="72"/>
      <c r="O54" s="197">
        <v>45000</v>
      </c>
      <c r="P54" s="320"/>
      <c r="Q54" s="593">
        <f t="shared" si="0"/>
        <v>0</v>
      </c>
    </row>
    <row r="55" spans="2:19" ht="15.75" thickBot="1" x14ac:dyDescent="0.3">
      <c r="B55" s="347" t="s">
        <v>166</v>
      </c>
      <c r="C55" s="737" t="s">
        <v>165</v>
      </c>
      <c r="D55" s="737"/>
      <c r="E55" s="221">
        <v>38040</v>
      </c>
      <c r="F55" s="221">
        <v>144792</v>
      </c>
      <c r="G55" s="221">
        <v>36414</v>
      </c>
      <c r="H55" s="221">
        <v>3228</v>
      </c>
      <c r="I55" s="221">
        <v>15058</v>
      </c>
      <c r="J55" s="365"/>
      <c r="K55" s="366"/>
      <c r="L55" s="99">
        <f>SUM(L56:L57)</f>
        <v>0</v>
      </c>
      <c r="M55" s="99">
        <f>SUM(M56:M57)</f>
        <v>26868.720000000001</v>
      </c>
      <c r="N55" s="508">
        <f>SUM(N56:N57)</f>
        <v>555131.6</v>
      </c>
      <c r="O55" s="63">
        <f>O56+O57+O58</f>
        <v>10200</v>
      </c>
      <c r="P55" s="201">
        <f>P56+P57+P58</f>
        <v>10197.6</v>
      </c>
      <c r="Q55" s="565">
        <f t="shared" si="0"/>
        <v>99.976470588235301</v>
      </c>
    </row>
    <row r="56" spans="2:19" ht="14.25" customHeight="1" x14ac:dyDescent="0.2">
      <c r="B56" s="690"/>
      <c r="C56" s="750"/>
      <c r="D56" s="38" t="s">
        <v>396</v>
      </c>
      <c r="E56" s="87"/>
      <c r="F56" s="87"/>
      <c r="G56" s="87"/>
      <c r="H56" s="87"/>
      <c r="I56" s="51"/>
      <c r="J56" s="355"/>
      <c r="K56" s="356"/>
      <c r="L56" s="385"/>
      <c r="M56" s="385">
        <v>11891.04</v>
      </c>
      <c r="N56" s="190">
        <v>555131.6</v>
      </c>
      <c r="O56" s="39">
        <v>9000</v>
      </c>
      <c r="P56" s="143">
        <v>9000</v>
      </c>
      <c r="Q56" s="578">
        <f t="shared" si="0"/>
        <v>100</v>
      </c>
    </row>
    <row r="57" spans="2:19" ht="13.5" customHeight="1" x14ac:dyDescent="0.2">
      <c r="B57" s="691"/>
      <c r="C57" s="751"/>
      <c r="D57" s="40" t="s">
        <v>360</v>
      </c>
      <c r="E57" s="66"/>
      <c r="F57" s="66"/>
      <c r="G57" s="66"/>
      <c r="H57" s="66"/>
      <c r="I57" s="65"/>
      <c r="J57" s="359"/>
      <c r="K57" s="360"/>
      <c r="L57" s="66"/>
      <c r="M57" s="24">
        <v>14977.68</v>
      </c>
      <c r="N57" s="24"/>
      <c r="O57" s="41"/>
      <c r="P57" s="106"/>
      <c r="Q57" s="127">
        <f t="shared" si="0"/>
        <v>0</v>
      </c>
    </row>
    <row r="58" spans="2:19" ht="13.5" thickBot="1" x14ac:dyDescent="0.25">
      <c r="B58" s="692"/>
      <c r="C58" s="752"/>
      <c r="D58" s="137" t="s">
        <v>397</v>
      </c>
      <c r="E58" s="66"/>
      <c r="F58" s="66"/>
      <c r="G58" s="66"/>
      <c r="H58" s="66"/>
      <c r="I58" s="65"/>
      <c r="J58" s="359"/>
      <c r="K58" s="360"/>
      <c r="L58" s="66"/>
      <c r="M58" s="66"/>
      <c r="N58" s="66"/>
      <c r="O58" s="229">
        <v>1200</v>
      </c>
      <c r="P58" s="509">
        <v>1197.5999999999999</v>
      </c>
      <c r="Q58" s="566">
        <f t="shared" si="0"/>
        <v>99.799999999999983</v>
      </c>
    </row>
    <row r="59" spans="2:19" ht="15.75" thickBot="1" x14ac:dyDescent="0.3">
      <c r="B59" s="347" t="s">
        <v>143</v>
      </c>
      <c r="C59" s="737" t="s">
        <v>127</v>
      </c>
      <c r="D59" s="737"/>
      <c r="E59" s="221">
        <v>326960</v>
      </c>
      <c r="F59" s="221">
        <v>144858</v>
      </c>
      <c r="G59" s="221">
        <v>123880</v>
      </c>
      <c r="H59" s="221">
        <v>20761</v>
      </c>
      <c r="I59" s="221">
        <v>158221</v>
      </c>
      <c r="J59" s="129">
        <v>92051</v>
      </c>
      <c r="K59" s="221">
        <v>68225</v>
      </c>
      <c r="L59" s="63">
        <f t="shared" ref="L59:O59" si="1">SUM(L60:L79)</f>
        <v>16198</v>
      </c>
      <c r="M59" s="63">
        <f t="shared" si="1"/>
        <v>1305435.6399999999</v>
      </c>
      <c r="N59" s="201">
        <f t="shared" si="1"/>
        <v>139207.66</v>
      </c>
      <c r="O59" s="63">
        <f t="shared" si="1"/>
        <v>48230</v>
      </c>
      <c r="P59" s="201">
        <f>SUM(P60:P79)</f>
        <v>44614.21</v>
      </c>
      <c r="Q59" s="565">
        <f t="shared" si="0"/>
        <v>92.503027161517721</v>
      </c>
      <c r="S59" s="495"/>
    </row>
    <row r="60" spans="2:19" x14ac:dyDescent="0.2">
      <c r="B60" s="681"/>
      <c r="C60" s="738"/>
      <c r="D60" s="386" t="s">
        <v>361</v>
      </c>
      <c r="E60" s="387"/>
      <c r="F60" s="387"/>
      <c r="G60" s="387"/>
      <c r="H60" s="387"/>
      <c r="I60" s="388"/>
      <c r="J60" s="389"/>
      <c r="K60" s="390"/>
      <c r="L60" s="87"/>
      <c r="M60" s="87"/>
      <c r="N60" s="526">
        <v>1289.08</v>
      </c>
      <c r="O60" s="41"/>
      <c r="P60" s="106"/>
      <c r="Q60" s="127">
        <f t="shared" si="0"/>
        <v>0</v>
      </c>
    </row>
    <row r="61" spans="2:19" hidden="1" x14ac:dyDescent="0.2">
      <c r="B61" s="682"/>
      <c r="C61" s="739"/>
      <c r="D61" s="213" t="s">
        <v>362</v>
      </c>
      <c r="E61" s="391"/>
      <c r="F61" s="391"/>
      <c r="G61" s="391"/>
      <c r="H61" s="391"/>
      <c r="I61" s="392"/>
      <c r="J61" s="393"/>
      <c r="K61" s="274"/>
      <c r="L61" s="24"/>
      <c r="M61" s="20"/>
      <c r="N61" s="110">
        <v>0</v>
      </c>
      <c r="O61" s="41"/>
      <c r="P61" s="106"/>
      <c r="Q61" s="127">
        <f t="shared" si="0"/>
        <v>0</v>
      </c>
    </row>
    <row r="62" spans="2:19" hidden="1" x14ac:dyDescent="0.2">
      <c r="B62" s="682"/>
      <c r="C62" s="739"/>
      <c r="D62" s="213" t="s">
        <v>363</v>
      </c>
      <c r="E62" s="391"/>
      <c r="F62" s="391"/>
      <c r="G62" s="391"/>
      <c r="H62" s="391"/>
      <c r="I62" s="392"/>
      <c r="J62" s="393"/>
      <c r="K62" s="274"/>
      <c r="L62" s="24"/>
      <c r="M62" s="20"/>
      <c r="N62" s="110">
        <v>0</v>
      </c>
      <c r="O62" s="41"/>
      <c r="P62" s="106"/>
      <c r="Q62" s="127">
        <f t="shared" si="0"/>
        <v>0</v>
      </c>
    </row>
    <row r="63" spans="2:19" hidden="1" x14ac:dyDescent="0.2">
      <c r="B63" s="682"/>
      <c r="C63" s="739"/>
      <c r="D63" s="213" t="s">
        <v>364</v>
      </c>
      <c r="E63" s="391"/>
      <c r="F63" s="391"/>
      <c r="G63" s="391"/>
      <c r="H63" s="391"/>
      <c r="I63" s="392"/>
      <c r="J63" s="393"/>
      <c r="K63" s="274"/>
      <c r="L63" s="24"/>
      <c r="M63" s="20"/>
      <c r="N63" s="110">
        <v>0</v>
      </c>
      <c r="O63" s="41"/>
      <c r="P63" s="106"/>
      <c r="Q63" s="127">
        <f t="shared" si="0"/>
        <v>0</v>
      </c>
    </row>
    <row r="64" spans="2:19" hidden="1" x14ac:dyDescent="0.2">
      <c r="B64" s="682"/>
      <c r="C64" s="739"/>
      <c r="D64" s="213" t="s">
        <v>365</v>
      </c>
      <c r="E64" s="391"/>
      <c r="F64" s="391"/>
      <c r="G64" s="391"/>
      <c r="H64" s="391"/>
      <c r="I64" s="392"/>
      <c r="J64" s="393"/>
      <c r="K64" s="274"/>
      <c r="L64" s="24"/>
      <c r="M64" s="20"/>
      <c r="N64" s="110">
        <v>0</v>
      </c>
      <c r="O64" s="41"/>
      <c r="P64" s="106"/>
      <c r="Q64" s="127">
        <f t="shared" si="0"/>
        <v>0</v>
      </c>
    </row>
    <row r="65" spans="2:17" hidden="1" x14ac:dyDescent="0.2">
      <c r="B65" s="682"/>
      <c r="C65" s="739"/>
      <c r="D65" s="394" t="s">
        <v>366</v>
      </c>
      <c r="E65" s="395"/>
      <c r="F65" s="395"/>
      <c r="G65" s="395"/>
      <c r="H65" s="395"/>
      <c r="I65" s="396"/>
      <c r="J65" s="397"/>
      <c r="K65" s="398"/>
      <c r="L65" s="28"/>
      <c r="M65" s="66"/>
      <c r="N65" s="108">
        <v>0</v>
      </c>
      <c r="O65" s="41"/>
      <c r="P65" s="106"/>
      <c r="Q65" s="127">
        <f t="shared" si="0"/>
        <v>0</v>
      </c>
    </row>
    <row r="66" spans="2:17" hidden="1" x14ac:dyDescent="0.2">
      <c r="B66" s="682"/>
      <c r="C66" s="739"/>
      <c r="D66" s="399" t="s">
        <v>367</v>
      </c>
      <c r="E66" s="400"/>
      <c r="F66" s="400"/>
      <c r="G66" s="400"/>
      <c r="H66" s="400"/>
      <c r="I66" s="401"/>
      <c r="J66" s="402"/>
      <c r="K66" s="403"/>
      <c r="L66" s="28"/>
      <c r="M66" s="66"/>
      <c r="N66" s="108">
        <v>0</v>
      </c>
      <c r="O66" s="41"/>
      <c r="P66" s="106"/>
      <c r="Q66" s="127">
        <f t="shared" si="0"/>
        <v>0</v>
      </c>
    </row>
    <row r="67" spans="2:17" hidden="1" x14ac:dyDescent="0.2">
      <c r="B67" s="682"/>
      <c r="C67" s="739"/>
      <c r="D67" s="213" t="s">
        <v>368</v>
      </c>
      <c r="E67" s="400"/>
      <c r="F67" s="400"/>
      <c r="G67" s="400"/>
      <c r="H67" s="400"/>
      <c r="I67" s="401"/>
      <c r="J67" s="402"/>
      <c r="K67" s="403"/>
      <c r="L67" s="28"/>
      <c r="M67" s="66"/>
      <c r="N67" s="108">
        <v>0</v>
      </c>
      <c r="O67" s="41"/>
      <c r="P67" s="106"/>
      <c r="Q67" s="127">
        <f t="shared" si="0"/>
        <v>0</v>
      </c>
    </row>
    <row r="68" spans="2:17" hidden="1" x14ac:dyDescent="0.2">
      <c r="B68" s="682"/>
      <c r="C68" s="739"/>
      <c r="D68" s="40" t="s">
        <v>369</v>
      </c>
      <c r="E68" s="24"/>
      <c r="F68" s="24"/>
      <c r="G68" s="24"/>
      <c r="H68" s="24"/>
      <c r="I68" s="54"/>
      <c r="J68" s="349"/>
      <c r="K68" s="350"/>
      <c r="L68" s="24"/>
      <c r="M68" s="24"/>
      <c r="N68" s="192">
        <v>0</v>
      </c>
      <c r="O68" s="41"/>
      <c r="P68" s="106"/>
      <c r="Q68" s="127">
        <f t="shared" ref="Q68:Q113" si="2">IF(O68=0,0,P68/O68*100)</f>
        <v>0</v>
      </c>
    </row>
    <row r="69" spans="2:17" hidden="1" x14ac:dyDescent="0.2">
      <c r="B69" s="682"/>
      <c r="C69" s="739"/>
      <c r="D69" s="40" t="s">
        <v>370</v>
      </c>
      <c r="E69" s="24"/>
      <c r="F69" s="24"/>
      <c r="G69" s="24"/>
      <c r="H69" s="24"/>
      <c r="I69" s="54"/>
      <c r="J69" s="349"/>
      <c r="K69" s="350"/>
      <c r="L69" s="24">
        <v>7632</v>
      </c>
      <c r="M69" s="24"/>
      <c r="N69" s="192">
        <v>0</v>
      </c>
      <c r="O69" s="41"/>
      <c r="P69" s="106"/>
      <c r="Q69" s="127">
        <f t="shared" si="2"/>
        <v>0</v>
      </c>
    </row>
    <row r="70" spans="2:17" x14ac:dyDescent="0.2">
      <c r="B70" s="682"/>
      <c r="C70" s="739"/>
      <c r="D70" s="40" t="s">
        <v>388</v>
      </c>
      <c r="E70" s="24"/>
      <c r="F70" s="24"/>
      <c r="G70" s="24"/>
      <c r="H70" s="24"/>
      <c r="I70" s="54"/>
      <c r="J70" s="349"/>
      <c r="K70" s="350"/>
      <c r="L70" s="24"/>
      <c r="M70" s="24"/>
      <c r="N70" s="192">
        <v>0</v>
      </c>
      <c r="O70" s="41">
        <v>12000</v>
      </c>
      <c r="P70" s="106">
        <v>11867.59</v>
      </c>
      <c r="Q70" s="127">
        <f t="shared" si="2"/>
        <v>98.896583333333325</v>
      </c>
    </row>
    <row r="71" spans="2:17" hidden="1" x14ac:dyDescent="0.2">
      <c r="B71" s="682"/>
      <c r="C71" s="739"/>
      <c r="D71" s="40" t="s">
        <v>371</v>
      </c>
      <c r="E71" s="24"/>
      <c r="F71" s="24"/>
      <c r="G71" s="24"/>
      <c r="H71" s="24"/>
      <c r="I71" s="54"/>
      <c r="J71" s="349"/>
      <c r="K71" s="350"/>
      <c r="L71" s="24">
        <v>0</v>
      </c>
      <c r="M71" s="24"/>
      <c r="N71" s="192">
        <v>0</v>
      </c>
      <c r="O71" s="41"/>
      <c r="P71" s="106"/>
      <c r="Q71" s="127">
        <f t="shared" si="2"/>
        <v>0</v>
      </c>
    </row>
    <row r="72" spans="2:17" x14ac:dyDescent="0.2">
      <c r="B72" s="682"/>
      <c r="C72" s="739"/>
      <c r="D72" s="40" t="s">
        <v>372</v>
      </c>
      <c r="E72" s="24"/>
      <c r="F72" s="24"/>
      <c r="G72" s="24"/>
      <c r="H72" s="24"/>
      <c r="I72" s="54"/>
      <c r="J72" s="349"/>
      <c r="K72" s="350"/>
      <c r="L72" s="24">
        <v>0</v>
      </c>
      <c r="M72" s="24">
        <v>1302435.6399999999</v>
      </c>
      <c r="N72" s="192">
        <v>95467.839999999997</v>
      </c>
      <c r="O72" s="41"/>
      <c r="P72" s="106"/>
      <c r="Q72" s="127">
        <f t="shared" si="2"/>
        <v>0</v>
      </c>
    </row>
    <row r="73" spans="2:17" x14ac:dyDescent="0.2">
      <c r="B73" s="682"/>
      <c r="C73" s="739"/>
      <c r="D73" s="40" t="s">
        <v>373</v>
      </c>
      <c r="E73" s="24"/>
      <c r="F73" s="24"/>
      <c r="G73" s="24"/>
      <c r="H73" s="24"/>
      <c r="I73" s="54"/>
      <c r="J73" s="349"/>
      <c r="K73" s="350"/>
      <c r="L73" s="24"/>
      <c r="M73" s="24"/>
      <c r="N73" s="192">
        <v>38905.74</v>
      </c>
      <c r="O73" s="41"/>
      <c r="P73" s="106"/>
      <c r="Q73" s="127">
        <f t="shared" si="2"/>
        <v>0</v>
      </c>
    </row>
    <row r="74" spans="2:17" hidden="1" x14ac:dyDescent="0.2">
      <c r="B74" s="682"/>
      <c r="C74" s="739"/>
      <c r="D74" s="40" t="s">
        <v>374</v>
      </c>
      <c r="E74" s="24"/>
      <c r="F74" s="24"/>
      <c r="G74" s="24"/>
      <c r="H74" s="24"/>
      <c r="I74" s="54"/>
      <c r="J74" s="349"/>
      <c r="K74" s="350"/>
      <c r="L74" s="24"/>
      <c r="M74" s="24"/>
      <c r="N74" s="192">
        <v>0</v>
      </c>
      <c r="O74" s="41"/>
      <c r="P74" s="106"/>
      <c r="Q74" s="127">
        <f t="shared" si="2"/>
        <v>0</v>
      </c>
    </row>
    <row r="75" spans="2:17" hidden="1" x14ac:dyDescent="0.2">
      <c r="B75" s="682"/>
      <c r="C75" s="739"/>
      <c r="D75" s="40" t="s">
        <v>375</v>
      </c>
      <c r="E75" s="24"/>
      <c r="F75" s="24"/>
      <c r="G75" s="24"/>
      <c r="H75" s="24"/>
      <c r="I75" s="54"/>
      <c r="J75" s="349"/>
      <c r="K75" s="350"/>
      <c r="L75" s="24"/>
      <c r="M75" s="24"/>
      <c r="N75" s="192">
        <v>0</v>
      </c>
      <c r="O75" s="41"/>
      <c r="P75" s="106"/>
      <c r="Q75" s="127">
        <f t="shared" si="2"/>
        <v>0</v>
      </c>
    </row>
    <row r="76" spans="2:17" x14ac:dyDescent="0.2">
      <c r="B76" s="682"/>
      <c r="C76" s="739"/>
      <c r="D76" s="40" t="s">
        <v>416</v>
      </c>
      <c r="E76" s="24"/>
      <c r="F76" s="24"/>
      <c r="G76" s="24"/>
      <c r="H76" s="24"/>
      <c r="I76" s="54"/>
      <c r="J76" s="349"/>
      <c r="K76" s="350"/>
      <c r="L76" s="24">
        <v>8090</v>
      </c>
      <c r="M76" s="24"/>
      <c r="N76" s="192">
        <v>0</v>
      </c>
      <c r="O76" s="41">
        <v>5300</v>
      </c>
      <c r="P76" s="106">
        <v>8453.9699999999993</v>
      </c>
      <c r="Q76" s="127">
        <f t="shared" si="2"/>
        <v>159.50886792452829</v>
      </c>
    </row>
    <row r="77" spans="2:17" x14ac:dyDescent="0.2">
      <c r="B77" s="682"/>
      <c r="C77" s="739"/>
      <c r="D77" s="40" t="s">
        <v>415</v>
      </c>
      <c r="E77" s="24"/>
      <c r="F77" s="24"/>
      <c r="G77" s="24"/>
      <c r="H77" s="24"/>
      <c r="I77" s="54"/>
      <c r="J77" s="349"/>
      <c r="K77" s="350"/>
      <c r="L77" s="24"/>
      <c r="M77" s="24"/>
      <c r="N77" s="192"/>
      <c r="O77" s="41">
        <v>24300</v>
      </c>
      <c r="P77" s="106">
        <v>24292.65</v>
      </c>
      <c r="Q77" s="127">
        <f t="shared" si="2"/>
        <v>99.969753086419757</v>
      </c>
    </row>
    <row r="78" spans="2:17" x14ac:dyDescent="0.2">
      <c r="B78" s="682"/>
      <c r="C78" s="739"/>
      <c r="D78" s="40" t="s">
        <v>425</v>
      </c>
      <c r="E78" s="28"/>
      <c r="F78" s="28"/>
      <c r="G78" s="28"/>
      <c r="H78" s="28"/>
      <c r="I78" s="62"/>
      <c r="J78" s="351"/>
      <c r="K78" s="352"/>
      <c r="L78" s="28"/>
      <c r="M78" s="28"/>
      <c r="N78" s="210"/>
      <c r="O78" s="41">
        <v>6630</v>
      </c>
      <c r="P78" s="106"/>
      <c r="Q78" s="127">
        <f t="shared" si="2"/>
        <v>0</v>
      </c>
    </row>
    <row r="79" spans="2:17" ht="13.5" thickBot="1" x14ac:dyDescent="0.25">
      <c r="B79" s="683"/>
      <c r="C79" s="740"/>
      <c r="D79" s="107" t="s">
        <v>364</v>
      </c>
      <c r="E79" s="45"/>
      <c r="F79" s="45"/>
      <c r="G79" s="45"/>
      <c r="H79" s="45"/>
      <c r="I79" s="55"/>
      <c r="J79" s="382"/>
      <c r="K79" s="383"/>
      <c r="L79" s="45">
        <v>476</v>
      </c>
      <c r="M79" s="45">
        <v>3000</v>
      </c>
      <c r="N79" s="526">
        <v>3545</v>
      </c>
      <c r="O79" s="69"/>
      <c r="P79" s="241"/>
      <c r="Q79" s="564">
        <f t="shared" si="2"/>
        <v>0</v>
      </c>
    </row>
    <row r="80" spans="2:17" ht="15.75" hidden="1" thickBot="1" x14ac:dyDescent="0.3">
      <c r="B80" s="278" t="s">
        <v>376</v>
      </c>
      <c r="C80" s="648" t="s">
        <v>306</v>
      </c>
      <c r="D80" s="649"/>
      <c r="E80" s="404"/>
      <c r="F80" s="404"/>
      <c r="G80" s="404"/>
      <c r="H80" s="404"/>
      <c r="I80" s="256"/>
      <c r="J80" s="405"/>
      <c r="K80" s="406"/>
      <c r="L80" s="384"/>
      <c r="M80" s="384"/>
      <c r="N80" s="384"/>
      <c r="O80" s="63"/>
      <c r="P80" s="201"/>
      <c r="Q80" s="565">
        <f t="shared" si="2"/>
        <v>0</v>
      </c>
    </row>
    <row r="81" spans="2:17" ht="13.5" hidden="1" thickBot="1" x14ac:dyDescent="0.25">
      <c r="B81" s="346"/>
      <c r="C81" s="348"/>
      <c r="D81" s="40" t="s">
        <v>377</v>
      </c>
      <c r="E81" s="24"/>
      <c r="F81" s="24"/>
      <c r="G81" s="24"/>
      <c r="H81" s="24"/>
      <c r="I81" s="54"/>
      <c r="J81" s="349"/>
      <c r="K81" s="350"/>
      <c r="L81" s="24"/>
      <c r="M81" s="24"/>
      <c r="N81" s="24"/>
      <c r="O81" s="41"/>
      <c r="P81" s="106"/>
      <c r="Q81" s="127">
        <f t="shared" si="2"/>
        <v>0</v>
      </c>
    </row>
    <row r="82" spans="2:17" ht="13.5" hidden="1" thickBot="1" x14ac:dyDescent="0.25">
      <c r="B82" s="346"/>
      <c r="C82" s="348"/>
      <c r="D82" s="40"/>
      <c r="E82" s="24"/>
      <c r="F82" s="24"/>
      <c r="G82" s="24"/>
      <c r="H82" s="24"/>
      <c r="I82" s="54"/>
      <c r="J82" s="349"/>
      <c r="K82" s="350"/>
      <c r="L82" s="24"/>
      <c r="M82" s="24"/>
      <c r="N82" s="24"/>
      <c r="O82" s="41"/>
      <c r="P82" s="106"/>
      <c r="Q82" s="127">
        <f t="shared" si="2"/>
        <v>0</v>
      </c>
    </row>
    <row r="83" spans="2:17" ht="13.5" hidden="1" thickBot="1" x14ac:dyDescent="0.25">
      <c r="B83" s="346"/>
      <c r="C83" s="348"/>
      <c r="D83" s="44"/>
      <c r="E83" s="28"/>
      <c r="F83" s="28"/>
      <c r="G83" s="28"/>
      <c r="H83" s="28"/>
      <c r="I83" s="62"/>
      <c r="J83" s="351"/>
      <c r="K83" s="352"/>
      <c r="L83" s="28"/>
      <c r="M83" s="28"/>
      <c r="N83" s="28"/>
      <c r="O83" s="69"/>
      <c r="P83" s="241"/>
      <c r="Q83" s="564">
        <f t="shared" si="2"/>
        <v>0</v>
      </c>
    </row>
    <row r="84" spans="2:17" ht="15.75" thickBot="1" x14ac:dyDescent="0.3">
      <c r="B84" s="347" t="s">
        <v>37</v>
      </c>
      <c r="C84" s="737" t="s">
        <v>38</v>
      </c>
      <c r="D84" s="737"/>
      <c r="E84" s="221">
        <v>8298</v>
      </c>
      <c r="F84" s="221">
        <v>3983</v>
      </c>
      <c r="G84" s="221">
        <v>175065</v>
      </c>
      <c r="H84" s="221">
        <v>138049</v>
      </c>
      <c r="I84" s="221">
        <v>127764</v>
      </c>
      <c r="J84" s="129">
        <v>149292</v>
      </c>
      <c r="K84" s="221">
        <v>3000</v>
      </c>
      <c r="L84" s="63">
        <f>SUM(L90:L92)</f>
        <v>6455</v>
      </c>
      <c r="M84" s="63">
        <f>SUM(M85:M92)</f>
        <v>131475.39000000001</v>
      </c>
      <c r="N84" s="201">
        <f>SUM(N85:N92)</f>
        <v>1775474.1500000001</v>
      </c>
      <c r="O84" s="63">
        <f>SUM(O85:O92)</f>
        <v>13400</v>
      </c>
      <c r="P84" s="201">
        <f>SUM(P85:P92)</f>
        <v>12967.75</v>
      </c>
      <c r="Q84" s="565">
        <f t="shared" si="2"/>
        <v>96.774253731343279</v>
      </c>
    </row>
    <row r="85" spans="2:17" x14ac:dyDescent="0.2">
      <c r="B85" s="690"/>
      <c r="C85" s="747"/>
      <c r="D85" s="367" t="s">
        <v>298</v>
      </c>
      <c r="E85" s="407"/>
      <c r="F85" s="407"/>
      <c r="G85" s="407"/>
      <c r="H85" s="407"/>
      <c r="I85" s="408"/>
      <c r="J85" s="409"/>
      <c r="K85" s="410"/>
      <c r="L85" s="135"/>
      <c r="M85" s="135">
        <v>123141.28</v>
      </c>
      <c r="N85" s="527">
        <f>3237.4+876858.72+722338.77</f>
        <v>1602434.8900000001</v>
      </c>
      <c r="O85" s="81">
        <v>8000</v>
      </c>
      <c r="P85" s="371">
        <v>7569.59</v>
      </c>
      <c r="Q85" s="594">
        <f t="shared" si="2"/>
        <v>94.619874999999993</v>
      </c>
    </row>
    <row r="86" spans="2:17" x14ac:dyDescent="0.2">
      <c r="B86" s="691"/>
      <c r="C86" s="748"/>
      <c r="D86" s="372" t="s">
        <v>169</v>
      </c>
      <c r="E86" s="411"/>
      <c r="F86" s="411"/>
      <c r="G86" s="411"/>
      <c r="H86" s="411"/>
      <c r="I86" s="412"/>
      <c r="J86" s="413"/>
      <c r="K86" s="414"/>
      <c r="L86" s="19"/>
      <c r="M86" s="19"/>
      <c r="N86" s="528">
        <f>18221-128.61</f>
        <v>18092.39</v>
      </c>
      <c r="O86" s="83">
        <v>3400</v>
      </c>
      <c r="P86" s="506">
        <v>3400</v>
      </c>
      <c r="Q86" s="592">
        <f t="shared" si="2"/>
        <v>100</v>
      </c>
    </row>
    <row r="87" spans="2:17" x14ac:dyDescent="0.2">
      <c r="B87" s="691"/>
      <c r="C87" s="748"/>
      <c r="D87" s="372" t="s">
        <v>378</v>
      </c>
      <c r="E87" s="411"/>
      <c r="F87" s="411"/>
      <c r="G87" s="411"/>
      <c r="H87" s="411"/>
      <c r="I87" s="412"/>
      <c r="J87" s="413"/>
      <c r="K87" s="414"/>
      <c r="L87" s="19"/>
      <c r="M87" s="19"/>
      <c r="N87" s="528">
        <v>16624.5</v>
      </c>
      <c r="O87" s="83"/>
      <c r="P87" s="506"/>
      <c r="Q87" s="592">
        <f t="shared" si="2"/>
        <v>0</v>
      </c>
    </row>
    <row r="88" spans="2:17" hidden="1" x14ac:dyDescent="0.2">
      <c r="B88" s="691"/>
      <c r="C88" s="748"/>
      <c r="D88" s="372" t="s">
        <v>379</v>
      </c>
      <c r="E88" s="411"/>
      <c r="F88" s="411"/>
      <c r="G88" s="411"/>
      <c r="H88" s="411"/>
      <c r="I88" s="412"/>
      <c r="J88" s="413"/>
      <c r="K88" s="414"/>
      <c r="L88" s="19"/>
      <c r="M88" s="19"/>
      <c r="N88" s="528"/>
      <c r="O88" s="83"/>
      <c r="P88" s="506"/>
      <c r="Q88" s="592">
        <f t="shared" si="2"/>
        <v>0</v>
      </c>
    </row>
    <row r="89" spans="2:17" x14ac:dyDescent="0.2">
      <c r="B89" s="691"/>
      <c r="C89" s="748"/>
      <c r="D89" s="372" t="s">
        <v>380</v>
      </c>
      <c r="E89" s="411"/>
      <c r="F89" s="411"/>
      <c r="G89" s="411"/>
      <c r="H89" s="411"/>
      <c r="I89" s="412"/>
      <c r="J89" s="413"/>
      <c r="K89" s="414"/>
      <c r="L89" s="19"/>
      <c r="M89" s="19"/>
      <c r="N89" s="528">
        <v>120000</v>
      </c>
      <c r="O89" s="83"/>
      <c r="P89" s="506"/>
      <c r="Q89" s="592">
        <f t="shared" si="2"/>
        <v>0</v>
      </c>
    </row>
    <row r="90" spans="2:17" x14ac:dyDescent="0.2">
      <c r="B90" s="691"/>
      <c r="C90" s="748"/>
      <c r="D90" s="67" t="s">
        <v>381</v>
      </c>
      <c r="E90" s="20"/>
      <c r="F90" s="20"/>
      <c r="G90" s="20"/>
      <c r="H90" s="20"/>
      <c r="I90" s="52"/>
      <c r="J90" s="357"/>
      <c r="K90" s="358"/>
      <c r="L90" s="20">
        <v>6455</v>
      </c>
      <c r="M90" s="20"/>
      <c r="N90" s="528">
        <v>14992.37</v>
      </c>
      <c r="O90" s="53"/>
      <c r="P90" s="68"/>
      <c r="Q90" s="136">
        <f t="shared" si="2"/>
        <v>0</v>
      </c>
    </row>
    <row r="91" spans="2:17" hidden="1" x14ac:dyDescent="0.2">
      <c r="B91" s="691"/>
      <c r="C91" s="748"/>
      <c r="D91" s="137" t="s">
        <v>382</v>
      </c>
      <c r="E91" s="66"/>
      <c r="F91" s="66"/>
      <c r="G91" s="66"/>
      <c r="H91" s="66"/>
      <c r="I91" s="65"/>
      <c r="J91" s="359"/>
      <c r="K91" s="360"/>
      <c r="L91" s="66"/>
      <c r="M91" s="41"/>
      <c r="N91" s="192"/>
      <c r="O91" s="53"/>
      <c r="P91" s="68"/>
      <c r="Q91" s="136">
        <f t="shared" si="2"/>
        <v>0</v>
      </c>
    </row>
    <row r="92" spans="2:17" ht="13.5" thickBot="1" x14ac:dyDescent="0.25">
      <c r="B92" s="692"/>
      <c r="C92" s="749"/>
      <c r="D92" s="43" t="s">
        <v>383</v>
      </c>
      <c r="E92" s="45"/>
      <c r="F92" s="45"/>
      <c r="G92" s="45"/>
      <c r="H92" s="45"/>
      <c r="I92" s="55"/>
      <c r="J92" s="382"/>
      <c r="K92" s="383"/>
      <c r="L92" s="45"/>
      <c r="M92" s="72">
        <v>8334.11</v>
      </c>
      <c r="N92" s="198">
        <v>3330</v>
      </c>
      <c r="O92" s="197">
        <v>2000</v>
      </c>
      <c r="P92" s="320">
        <v>1998.16</v>
      </c>
      <c r="Q92" s="593">
        <f t="shared" si="2"/>
        <v>99.908000000000001</v>
      </c>
    </row>
    <row r="93" spans="2:17" ht="15.75" thickBot="1" x14ac:dyDescent="0.3">
      <c r="B93" s="347" t="s">
        <v>142</v>
      </c>
      <c r="C93" s="737" t="s">
        <v>178</v>
      </c>
      <c r="D93" s="737"/>
      <c r="E93" s="221"/>
      <c r="F93" s="221">
        <v>22472</v>
      </c>
      <c r="G93" s="221">
        <v>20713</v>
      </c>
      <c r="H93" s="221">
        <v>11074</v>
      </c>
      <c r="I93" s="221">
        <v>15914</v>
      </c>
      <c r="J93" s="129">
        <v>116842</v>
      </c>
      <c r="K93" s="221">
        <v>38905</v>
      </c>
      <c r="L93" s="63">
        <f t="shared" ref="L93:O93" si="3">SUM(L94:L96)</f>
        <v>15848</v>
      </c>
      <c r="M93" s="63">
        <f t="shared" si="3"/>
        <v>26915.190000000002</v>
      </c>
      <c r="N93" s="201">
        <f t="shared" si="3"/>
        <v>9771.24</v>
      </c>
      <c r="O93" s="63">
        <f t="shared" si="3"/>
        <v>66000</v>
      </c>
      <c r="P93" s="201">
        <f>SUM(P94:P96)</f>
        <v>62531.63</v>
      </c>
      <c r="Q93" s="565">
        <f t="shared" si="2"/>
        <v>94.744893939393933</v>
      </c>
    </row>
    <row r="94" spans="2:17" x14ac:dyDescent="0.2">
      <c r="B94" s="681"/>
      <c r="C94" s="738"/>
      <c r="D94" s="38" t="s">
        <v>384</v>
      </c>
      <c r="E94" s="87"/>
      <c r="F94" s="87"/>
      <c r="G94" s="87"/>
      <c r="H94" s="87"/>
      <c r="I94" s="51"/>
      <c r="J94" s="355"/>
      <c r="K94" s="356"/>
      <c r="L94" s="87">
        <v>7000</v>
      </c>
      <c r="M94" s="20">
        <v>16662.2</v>
      </c>
      <c r="N94" s="110"/>
      <c r="O94" s="53"/>
      <c r="P94" s="68"/>
      <c r="Q94" s="136">
        <f t="shared" si="2"/>
        <v>0</v>
      </c>
    </row>
    <row r="95" spans="2:17" x14ac:dyDescent="0.2">
      <c r="B95" s="682"/>
      <c r="C95" s="739"/>
      <c r="D95" s="137" t="s">
        <v>273</v>
      </c>
      <c r="E95" s="66"/>
      <c r="F95" s="66"/>
      <c r="G95" s="66"/>
      <c r="H95" s="66"/>
      <c r="I95" s="65"/>
      <c r="J95" s="359"/>
      <c r="K95" s="360"/>
      <c r="L95" s="66"/>
      <c r="M95" s="66"/>
      <c r="N95" s="108">
        <v>9771.24</v>
      </c>
      <c r="O95" s="83"/>
      <c r="P95" s="506"/>
      <c r="Q95" s="592">
        <f t="shared" si="2"/>
        <v>0</v>
      </c>
    </row>
    <row r="96" spans="2:17" ht="13.5" thickBot="1" x14ac:dyDescent="0.25">
      <c r="B96" s="683"/>
      <c r="C96" s="740"/>
      <c r="D96" s="43" t="s">
        <v>419</v>
      </c>
      <c r="E96" s="45"/>
      <c r="F96" s="45"/>
      <c r="G96" s="45"/>
      <c r="H96" s="45"/>
      <c r="I96" s="55"/>
      <c r="J96" s="382"/>
      <c r="K96" s="383"/>
      <c r="L96" s="45">
        <v>8848</v>
      </c>
      <c r="M96" s="45">
        <v>10252.99</v>
      </c>
      <c r="N96" s="242"/>
      <c r="O96" s="56">
        <v>66000</v>
      </c>
      <c r="P96" s="289">
        <v>62531.63</v>
      </c>
      <c r="Q96" s="579">
        <f t="shared" si="2"/>
        <v>94.744893939393933</v>
      </c>
    </row>
    <row r="97" spans="2:17" ht="15.75" hidden="1" thickBot="1" x14ac:dyDescent="0.3">
      <c r="B97" s="363" t="s">
        <v>385</v>
      </c>
      <c r="C97" s="639" t="s">
        <v>308</v>
      </c>
      <c r="D97" s="640"/>
      <c r="E97" s="404"/>
      <c r="F97" s="404"/>
      <c r="G97" s="404"/>
      <c r="H97" s="404"/>
      <c r="I97" s="256"/>
      <c r="J97" s="405"/>
      <c r="K97" s="406"/>
      <c r="L97" s="384">
        <v>5500</v>
      </c>
      <c r="M97" s="384"/>
      <c r="N97" s="384">
        <f>N98</f>
        <v>0</v>
      </c>
      <c r="O97" s="73">
        <f>O98</f>
        <v>0</v>
      </c>
      <c r="P97" s="74"/>
      <c r="Q97" s="567">
        <f t="shared" si="2"/>
        <v>0</v>
      </c>
    </row>
    <row r="98" spans="2:17" ht="13.5" hidden="1" thickBot="1" x14ac:dyDescent="0.25">
      <c r="B98" s="346"/>
      <c r="C98" s="348"/>
      <c r="D98" s="107" t="s">
        <v>359</v>
      </c>
      <c r="E98" s="66"/>
      <c r="F98" s="66"/>
      <c r="G98" s="66"/>
      <c r="H98" s="66"/>
      <c r="I98" s="65"/>
      <c r="J98" s="359"/>
      <c r="K98" s="360"/>
      <c r="L98" s="66">
        <v>5500</v>
      </c>
      <c r="M98" s="66"/>
      <c r="N98" s="66"/>
      <c r="O98" s="41"/>
      <c r="P98" s="106"/>
      <c r="Q98" s="127">
        <f t="shared" si="2"/>
        <v>0</v>
      </c>
    </row>
    <row r="99" spans="2:17" ht="15.75" thickBot="1" x14ac:dyDescent="0.3">
      <c r="B99" s="415" t="s">
        <v>312</v>
      </c>
      <c r="C99" s="743" t="s">
        <v>313</v>
      </c>
      <c r="D99" s="743"/>
      <c r="E99" s="221">
        <v>666567</v>
      </c>
      <c r="F99" s="221">
        <v>223164</v>
      </c>
      <c r="G99" s="221">
        <v>527019</v>
      </c>
      <c r="H99" s="221">
        <v>279677</v>
      </c>
      <c r="I99" s="221">
        <v>1160065</v>
      </c>
      <c r="J99" s="416">
        <v>2097438</v>
      </c>
      <c r="K99" s="221">
        <v>344577</v>
      </c>
      <c r="L99" s="63">
        <f t="shared" ref="L99:O99" si="4">SUM(L100:L107)</f>
        <v>11076</v>
      </c>
      <c r="M99" s="63">
        <f t="shared" si="4"/>
        <v>22611.84</v>
      </c>
      <c r="N99" s="201">
        <f t="shared" si="4"/>
        <v>52135.360000000001</v>
      </c>
      <c r="O99" s="63">
        <f t="shared" si="4"/>
        <v>66580</v>
      </c>
      <c r="P99" s="201">
        <f>SUM(P100:P107)</f>
        <v>60359.19</v>
      </c>
      <c r="Q99" s="565">
        <f t="shared" si="2"/>
        <v>90.656638630219291</v>
      </c>
    </row>
    <row r="100" spans="2:17" x14ac:dyDescent="0.2">
      <c r="B100" s="681"/>
      <c r="C100" s="738"/>
      <c r="D100" s="40" t="s">
        <v>414</v>
      </c>
      <c r="E100" s="54"/>
      <c r="F100" s="54"/>
      <c r="G100" s="54"/>
      <c r="H100" s="54"/>
      <c r="I100" s="54"/>
      <c r="J100" s="349"/>
      <c r="K100" s="350"/>
      <c r="L100" s="24">
        <v>11076</v>
      </c>
      <c r="M100" s="20"/>
      <c r="N100" s="110"/>
      <c r="O100" s="53">
        <v>11500</v>
      </c>
      <c r="P100" s="68">
        <f>800+8979.19</f>
        <v>9779.19</v>
      </c>
      <c r="Q100" s="136">
        <f t="shared" si="2"/>
        <v>85.036434782608708</v>
      </c>
    </row>
    <row r="101" spans="2:17" x14ac:dyDescent="0.2">
      <c r="B101" s="682"/>
      <c r="C101" s="739"/>
      <c r="D101" s="40" t="s">
        <v>402</v>
      </c>
      <c r="E101" s="54"/>
      <c r="F101" s="54"/>
      <c r="G101" s="54"/>
      <c r="H101" s="54"/>
      <c r="I101" s="54"/>
      <c r="J101" s="349"/>
      <c r="K101" s="350"/>
      <c r="L101" s="24"/>
      <c r="M101" s="20"/>
      <c r="N101" s="110"/>
      <c r="O101" s="53">
        <v>19000</v>
      </c>
      <c r="P101" s="68">
        <v>19000</v>
      </c>
      <c r="Q101" s="136">
        <f t="shared" si="2"/>
        <v>100</v>
      </c>
    </row>
    <row r="102" spans="2:17" x14ac:dyDescent="0.2">
      <c r="B102" s="682"/>
      <c r="C102" s="739"/>
      <c r="D102" s="40" t="s">
        <v>422</v>
      </c>
      <c r="E102" s="54"/>
      <c r="F102" s="54"/>
      <c r="G102" s="54"/>
      <c r="H102" s="54"/>
      <c r="I102" s="54"/>
      <c r="J102" s="349"/>
      <c r="K102" s="350"/>
      <c r="L102" s="24"/>
      <c r="M102" s="20"/>
      <c r="N102" s="110"/>
      <c r="O102" s="53">
        <v>3480</v>
      </c>
      <c r="P102" s="68">
        <v>3480</v>
      </c>
      <c r="Q102" s="136">
        <f t="shared" si="2"/>
        <v>100</v>
      </c>
    </row>
    <row r="103" spans="2:17" ht="13.5" customHeight="1" x14ac:dyDescent="0.2">
      <c r="B103" s="682"/>
      <c r="C103" s="739"/>
      <c r="D103" s="40" t="s">
        <v>412</v>
      </c>
      <c r="E103" s="54"/>
      <c r="F103" s="54"/>
      <c r="G103" s="54"/>
      <c r="H103" s="54"/>
      <c r="I103" s="54"/>
      <c r="J103" s="349"/>
      <c r="K103" s="350"/>
      <c r="L103" s="24"/>
      <c r="M103" s="20">
        <v>22611.84</v>
      </c>
      <c r="N103" s="528">
        <v>8850</v>
      </c>
      <c r="O103" s="53">
        <v>0</v>
      </c>
      <c r="P103" s="68"/>
      <c r="Q103" s="136">
        <f t="shared" si="2"/>
        <v>0</v>
      </c>
    </row>
    <row r="104" spans="2:17" x14ac:dyDescent="0.2">
      <c r="B104" s="682"/>
      <c r="C104" s="739"/>
      <c r="D104" s="40" t="s">
        <v>170</v>
      </c>
      <c r="E104" s="54"/>
      <c r="F104" s="54"/>
      <c r="G104" s="54"/>
      <c r="H104" s="54"/>
      <c r="I104" s="54"/>
      <c r="J104" s="349"/>
      <c r="K104" s="350"/>
      <c r="L104" s="24"/>
      <c r="M104" s="20"/>
      <c r="N104" s="528">
        <v>31200</v>
      </c>
      <c r="O104" s="53">
        <v>0</v>
      </c>
      <c r="P104" s="68"/>
      <c r="Q104" s="136">
        <f t="shared" si="2"/>
        <v>0</v>
      </c>
    </row>
    <row r="105" spans="2:17" x14ac:dyDescent="0.2">
      <c r="B105" s="682"/>
      <c r="C105" s="739"/>
      <c r="D105" s="40" t="s">
        <v>171</v>
      </c>
      <c r="E105" s="54"/>
      <c r="F105" s="54"/>
      <c r="G105" s="54"/>
      <c r="H105" s="54"/>
      <c r="I105" s="54"/>
      <c r="J105" s="349"/>
      <c r="K105" s="350"/>
      <c r="L105" s="24"/>
      <c r="M105" s="20"/>
      <c r="N105" s="528">
        <v>12085.36</v>
      </c>
      <c r="O105" s="53">
        <v>0</v>
      </c>
      <c r="P105" s="68"/>
      <c r="Q105" s="136">
        <f t="shared" si="2"/>
        <v>0</v>
      </c>
    </row>
    <row r="106" spans="2:17" x14ac:dyDescent="0.2">
      <c r="B106" s="682"/>
      <c r="C106" s="739"/>
      <c r="D106" s="40" t="s">
        <v>12</v>
      </c>
      <c r="E106" s="62"/>
      <c r="F106" s="62"/>
      <c r="G106" s="62"/>
      <c r="H106" s="62"/>
      <c r="I106" s="62"/>
      <c r="J106" s="351"/>
      <c r="K106" s="352"/>
      <c r="L106" s="28"/>
      <c r="M106" s="66"/>
      <c r="N106" s="108"/>
      <c r="O106" s="53">
        <v>5000</v>
      </c>
      <c r="P106" s="68">
        <v>250</v>
      </c>
      <c r="Q106" s="136">
        <f t="shared" si="2"/>
        <v>5</v>
      </c>
    </row>
    <row r="107" spans="2:17" ht="13.5" thickBot="1" x14ac:dyDescent="0.25">
      <c r="B107" s="683"/>
      <c r="C107" s="740"/>
      <c r="D107" s="44" t="s">
        <v>395</v>
      </c>
      <c r="E107" s="62"/>
      <c r="F107" s="62"/>
      <c r="G107" s="62"/>
      <c r="H107" s="62"/>
      <c r="I107" s="62"/>
      <c r="J107" s="351"/>
      <c r="K107" s="352"/>
      <c r="L107" s="28"/>
      <c r="M107" s="28"/>
      <c r="N107" s="210"/>
      <c r="O107" s="41">
        <v>27600</v>
      </c>
      <c r="P107" s="106">
        <v>27850</v>
      </c>
      <c r="Q107" s="127">
        <f t="shared" si="2"/>
        <v>100.90579710144927</v>
      </c>
    </row>
    <row r="108" spans="2:17" ht="15.75" hidden="1" thickBot="1" x14ac:dyDescent="0.3">
      <c r="B108" s="199" t="s">
        <v>325</v>
      </c>
      <c r="C108" s="639" t="s">
        <v>326</v>
      </c>
      <c r="D108" s="640"/>
      <c r="E108" s="5"/>
      <c r="F108" s="5"/>
      <c r="G108" s="5"/>
      <c r="H108" s="5"/>
      <c r="I108" s="5"/>
      <c r="J108" s="265">
        <v>104542</v>
      </c>
      <c r="K108" s="200">
        <v>66000</v>
      </c>
      <c r="L108" s="63">
        <f>L109+L110</f>
        <v>0</v>
      </c>
      <c r="M108" s="99"/>
      <c r="N108" s="508"/>
      <c r="O108" s="63"/>
      <c r="P108" s="201"/>
      <c r="Q108" s="565">
        <f t="shared" si="2"/>
        <v>0</v>
      </c>
    </row>
    <row r="109" spans="2:17" ht="13.5" hidden="1" thickBot="1" x14ac:dyDescent="0.25">
      <c r="B109" s="417"/>
      <c r="C109" s="418"/>
      <c r="D109" s="418"/>
      <c r="E109" s="418"/>
      <c r="F109" s="418"/>
      <c r="G109" s="418"/>
      <c r="H109" s="418"/>
      <c r="I109" s="418"/>
      <c r="J109" s="418"/>
      <c r="K109" s="418"/>
      <c r="L109" s="418"/>
      <c r="M109" s="419"/>
      <c r="N109" s="418"/>
      <c r="O109" s="311"/>
      <c r="P109" s="515"/>
      <c r="Q109" s="595">
        <f t="shared" si="2"/>
        <v>0</v>
      </c>
    </row>
    <row r="110" spans="2:17" ht="13.5" hidden="1" thickBot="1" x14ac:dyDescent="0.25">
      <c r="B110" s="346"/>
      <c r="C110" s="348"/>
      <c r="D110" s="137" t="s">
        <v>386</v>
      </c>
      <c r="E110" s="65"/>
      <c r="F110" s="65"/>
      <c r="G110" s="65"/>
      <c r="H110" s="65"/>
      <c r="I110" s="65"/>
      <c r="J110" s="65"/>
      <c r="K110" s="65"/>
      <c r="L110" s="66"/>
      <c r="M110" s="66"/>
      <c r="N110" s="66"/>
      <c r="O110" s="229"/>
      <c r="P110" s="509"/>
      <c r="Q110" s="566">
        <f t="shared" si="2"/>
        <v>0</v>
      </c>
    </row>
    <row r="111" spans="2:17" ht="13.5" thickBot="1" x14ac:dyDescent="0.25">
      <c r="B111" s="420" t="s">
        <v>387</v>
      </c>
      <c r="C111" s="744" t="s">
        <v>333</v>
      </c>
      <c r="D111" s="745"/>
      <c r="E111" s="421"/>
      <c r="F111" s="421"/>
      <c r="G111" s="421"/>
      <c r="H111" s="421"/>
      <c r="I111" s="421"/>
      <c r="J111" s="121">
        <f>J112</f>
        <v>0</v>
      </c>
      <c r="K111" s="121">
        <f>K112</f>
        <v>0</v>
      </c>
      <c r="L111" s="121">
        <f>L112</f>
        <v>0</v>
      </c>
      <c r="M111" s="121">
        <f>M112</f>
        <v>82887.77</v>
      </c>
      <c r="N111" s="524">
        <v>7399.64</v>
      </c>
      <c r="O111" s="34">
        <f>O112</f>
        <v>0</v>
      </c>
      <c r="P111" s="312">
        <f>P112</f>
        <v>0</v>
      </c>
      <c r="Q111" s="561">
        <f t="shared" si="2"/>
        <v>0</v>
      </c>
    </row>
    <row r="112" spans="2:17" ht="13.5" thickBot="1" x14ac:dyDescent="0.25">
      <c r="B112" s="346"/>
      <c r="C112" s="348"/>
      <c r="D112" s="418" t="s">
        <v>300</v>
      </c>
      <c r="E112" s="418"/>
      <c r="F112" s="418"/>
      <c r="G112" s="418"/>
      <c r="H112" s="418"/>
      <c r="I112" s="418"/>
      <c r="J112" s="65"/>
      <c r="K112" s="65"/>
      <c r="L112" s="66"/>
      <c r="M112" s="66">
        <v>82887.77</v>
      </c>
      <c r="N112" s="108">
        <v>7399.64</v>
      </c>
      <c r="O112" s="229"/>
      <c r="P112" s="509"/>
      <c r="Q112" s="566">
        <f t="shared" si="2"/>
        <v>0</v>
      </c>
    </row>
    <row r="113" spans="2:19" ht="17.25" thickTop="1" thickBot="1" x14ac:dyDescent="0.3">
      <c r="B113" s="741" t="s">
        <v>134</v>
      </c>
      <c r="C113" s="742"/>
      <c r="D113" s="742"/>
      <c r="E113" s="93">
        <v>2988050</v>
      </c>
      <c r="F113" s="93">
        <v>1793069</v>
      </c>
      <c r="G113" s="93">
        <v>2942409</v>
      </c>
      <c r="H113" s="93">
        <v>4880528</v>
      </c>
      <c r="I113" s="93">
        <f t="shared" ref="I113:N113" si="5">I99+I84+I93+I80+I59+I55+I48+I46+I40+I25+I10+I7+I4+I97+I108+I111</f>
        <v>5977301</v>
      </c>
      <c r="J113" s="93">
        <f t="shared" si="5"/>
        <v>5818483</v>
      </c>
      <c r="K113" s="93">
        <f t="shared" si="5"/>
        <v>4719096</v>
      </c>
      <c r="L113" s="93">
        <f t="shared" si="5"/>
        <v>3934694</v>
      </c>
      <c r="M113" s="93">
        <f t="shared" si="5"/>
        <v>1792326.71</v>
      </c>
      <c r="N113" s="501">
        <f t="shared" si="5"/>
        <v>2904600.1800000006</v>
      </c>
      <c r="O113" s="93">
        <f>O111+O99+O93+O84+O59+O55+O48+O40+O25+O10+O7+O4</f>
        <v>1570845</v>
      </c>
      <c r="P113" s="501">
        <f>P111+P99+P93+P84+P59+P55+P48+P40+P25+P10+P7+P4</f>
        <v>1348818.6500000001</v>
      </c>
      <c r="Q113" s="584">
        <f t="shared" si="2"/>
        <v>85.865801527203516</v>
      </c>
      <c r="S113" s="1"/>
    </row>
    <row r="114" spans="2:19" ht="13.5" thickTop="1" x14ac:dyDescent="0.2"/>
    <row r="115" spans="2:19" x14ac:dyDescent="0.2">
      <c r="O115" s="1"/>
    </row>
    <row r="116" spans="2:19" x14ac:dyDescent="0.2">
      <c r="Q116" s="1"/>
    </row>
    <row r="118" spans="2:19" x14ac:dyDescent="0.2">
      <c r="N118" s="495"/>
      <c r="P118" s="494"/>
    </row>
    <row r="119" spans="2:19" x14ac:dyDescent="0.2">
      <c r="P119" s="494"/>
    </row>
    <row r="120" spans="2:19" x14ac:dyDescent="0.2">
      <c r="P120" s="494"/>
    </row>
  </sheetData>
  <mergeCells count="56">
    <mergeCell ref="P2:P3"/>
    <mergeCell ref="C59:D59"/>
    <mergeCell ref="C41:C42"/>
    <mergeCell ref="C4:D4"/>
    <mergeCell ref="B94:B96"/>
    <mergeCell ref="C94:C96"/>
    <mergeCell ref="B85:B92"/>
    <mergeCell ref="B60:B79"/>
    <mergeCell ref="C85:C92"/>
    <mergeCell ref="B56:B58"/>
    <mergeCell ref="C56:C58"/>
    <mergeCell ref="C40:D40"/>
    <mergeCell ref="B5:B6"/>
    <mergeCell ref="B11:B24"/>
    <mergeCell ref="C11:C24"/>
    <mergeCell ref="C49:C54"/>
    <mergeCell ref="B41:B42"/>
    <mergeCell ref="B26:B37"/>
    <mergeCell ref="B8:B9"/>
    <mergeCell ref="C26:C37"/>
    <mergeCell ref="B113:D113"/>
    <mergeCell ref="C97:D97"/>
    <mergeCell ref="C99:D99"/>
    <mergeCell ref="B100:B107"/>
    <mergeCell ref="C100:C107"/>
    <mergeCell ref="C111:D111"/>
    <mergeCell ref="C108:D108"/>
    <mergeCell ref="C84:D84"/>
    <mergeCell ref="B49:B54"/>
    <mergeCell ref="Q2:Q3"/>
    <mergeCell ref="C93:D93"/>
    <mergeCell ref="C55:D55"/>
    <mergeCell ref="C80:D80"/>
    <mergeCell ref="C60:C79"/>
    <mergeCell ref="C7:D7"/>
    <mergeCell ref="C8:C9"/>
    <mergeCell ref="C5:C6"/>
    <mergeCell ref="O2:O3"/>
    <mergeCell ref="L2:L3"/>
    <mergeCell ref="C10:D10"/>
    <mergeCell ref="C46:D46"/>
    <mergeCell ref="C48:D48"/>
    <mergeCell ref="C25:D25"/>
    <mergeCell ref="N2:N3"/>
    <mergeCell ref="M2:M3"/>
    <mergeCell ref="B1:K1"/>
    <mergeCell ref="E2:E3"/>
    <mergeCell ref="D2:D3"/>
    <mergeCell ref="F2:F3"/>
    <mergeCell ref="C2:C3"/>
    <mergeCell ref="J2:J3"/>
    <mergeCell ref="K2:K3"/>
    <mergeCell ref="B2:B3"/>
    <mergeCell ref="I2:I3"/>
    <mergeCell ref="G2:G3"/>
    <mergeCell ref="H2:H3"/>
  </mergeCells>
  <phoneticPr fontId="2" type="noConversion"/>
  <pageMargins left="0.15748031496062992" right="0.15748031496062992" top="0.35433070866141736" bottom="0.98425196850393704" header="0.51181102362204722" footer="0.51181102362204722"/>
  <pageSetup paperSize="9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 enableFormatConditionsCalculation="0">
    <tabColor indexed="40"/>
  </sheetPr>
  <dimension ref="A1:T25"/>
  <sheetViews>
    <sheetView workbookViewId="0">
      <selection activeCell="O23" sqref="O23"/>
    </sheetView>
  </sheetViews>
  <sheetFormatPr defaultRowHeight="12.75" x14ac:dyDescent="0.2"/>
  <cols>
    <col min="1" max="1" width="8" customWidth="1"/>
    <col min="2" max="2" width="8.140625" customWidth="1"/>
    <col min="3" max="3" width="32.42578125" customWidth="1"/>
    <col min="4" max="10" width="11.7109375" hidden="1" customWidth="1"/>
    <col min="11" max="11" width="10.5703125" hidden="1" customWidth="1"/>
    <col min="12" max="12" width="2" hidden="1" customWidth="1"/>
    <col min="13" max="13" width="15.85546875" customWidth="1"/>
    <col min="14" max="15" width="14" customWidth="1"/>
    <col min="16" max="16" width="9.5703125" customWidth="1"/>
    <col min="18" max="18" width="10.140625" bestFit="1" customWidth="1"/>
  </cols>
  <sheetData>
    <row r="1" spans="1:20" x14ac:dyDescent="0.2">
      <c r="A1" s="462" t="s">
        <v>19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</row>
    <row r="2" spans="1:20" ht="13.5" thickBot="1" x14ac:dyDescent="0.25">
      <c r="A2" s="459" t="s">
        <v>20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</row>
    <row r="3" spans="1:20" ht="16.5" customHeight="1" thickTop="1" x14ac:dyDescent="0.2">
      <c r="A3" s="661" t="s">
        <v>184</v>
      </c>
      <c r="B3" s="663" t="s">
        <v>185</v>
      </c>
      <c r="C3" s="659" t="s">
        <v>186</v>
      </c>
      <c r="D3" s="659" t="s">
        <v>280</v>
      </c>
      <c r="E3" s="659" t="s">
        <v>281</v>
      </c>
      <c r="F3" s="659" t="s">
        <v>282</v>
      </c>
      <c r="G3" s="659" t="s">
        <v>283</v>
      </c>
      <c r="H3" s="659" t="s">
        <v>284</v>
      </c>
      <c r="I3" s="659" t="s">
        <v>192</v>
      </c>
      <c r="J3" s="659" t="s">
        <v>193</v>
      </c>
      <c r="K3" s="659" t="s">
        <v>194</v>
      </c>
      <c r="L3" s="659" t="s">
        <v>195</v>
      </c>
      <c r="M3" s="665" t="s">
        <v>410</v>
      </c>
      <c r="N3" s="659" t="s">
        <v>392</v>
      </c>
      <c r="O3" s="659" t="s">
        <v>432</v>
      </c>
      <c r="P3" s="677" t="s">
        <v>433</v>
      </c>
    </row>
    <row r="4" spans="1:20" ht="27.75" customHeight="1" thickBot="1" x14ac:dyDescent="0.25">
      <c r="A4" s="662"/>
      <c r="B4" s="664"/>
      <c r="C4" s="660"/>
      <c r="D4" s="660"/>
      <c r="E4" s="660"/>
      <c r="F4" s="660"/>
      <c r="G4" s="660"/>
      <c r="H4" s="660"/>
      <c r="I4" s="660"/>
      <c r="J4" s="660"/>
      <c r="K4" s="660"/>
      <c r="L4" s="660"/>
      <c r="M4" s="666"/>
      <c r="N4" s="660"/>
      <c r="O4" s="660"/>
      <c r="P4" s="678"/>
    </row>
    <row r="5" spans="1:20" ht="14.25" thickTop="1" thickBot="1" x14ac:dyDescent="0.25">
      <c r="A5" s="36">
        <v>519</v>
      </c>
      <c r="B5" s="761" t="s">
        <v>141</v>
      </c>
      <c r="C5" s="762"/>
      <c r="D5" s="15">
        <f t="shared" ref="D5:M5" si="0">SUM(D6:D7)</f>
        <v>0</v>
      </c>
      <c r="E5" s="15">
        <f t="shared" si="0"/>
        <v>0</v>
      </c>
      <c r="F5" s="15">
        <f t="shared" si="0"/>
        <v>806731</v>
      </c>
      <c r="G5" s="15">
        <f t="shared" si="0"/>
        <v>1932030</v>
      </c>
      <c r="H5" s="15">
        <f t="shared" si="0"/>
        <v>1218758</v>
      </c>
      <c r="I5" s="15">
        <f t="shared" si="0"/>
        <v>1712805</v>
      </c>
      <c r="J5" s="15">
        <f t="shared" si="0"/>
        <v>796126</v>
      </c>
      <c r="K5" s="15">
        <f t="shared" si="0"/>
        <v>889265</v>
      </c>
      <c r="L5" s="141">
        <f t="shared" si="0"/>
        <v>1041848.1</v>
      </c>
      <c r="M5" s="141">
        <f t="shared" si="0"/>
        <v>1842801.75</v>
      </c>
      <c r="N5" s="15">
        <f>SUM(N6:N7)</f>
        <v>83000</v>
      </c>
      <c r="O5" s="141">
        <f>SUM(O6:O7)</f>
        <v>1578149.94</v>
      </c>
      <c r="P5" s="560">
        <f t="shared" ref="P5:P18" si="1">IF(N5=0,0,O5/N5*100)</f>
        <v>1901.3854698795178</v>
      </c>
    </row>
    <row r="6" spans="1:20" x14ac:dyDescent="0.2">
      <c r="A6" s="650"/>
      <c r="B6" s="142"/>
      <c r="C6" s="38" t="s">
        <v>54</v>
      </c>
      <c r="D6" s="38"/>
      <c r="E6" s="38"/>
      <c r="F6" s="38"/>
      <c r="G6" s="38">
        <v>186636</v>
      </c>
      <c r="H6" s="38">
        <v>1102901</v>
      </c>
      <c r="I6" s="38">
        <v>1052724</v>
      </c>
      <c r="J6" s="39">
        <v>232649</v>
      </c>
      <c r="K6" s="39">
        <v>638944</v>
      </c>
      <c r="L6" s="143">
        <v>96973.2</v>
      </c>
      <c r="M6" s="529">
        <v>633655.25</v>
      </c>
      <c r="N6" s="39"/>
      <c r="O6" s="143">
        <v>1495900</v>
      </c>
      <c r="P6" s="578">
        <f t="shared" si="1"/>
        <v>0</v>
      </c>
    </row>
    <row r="7" spans="1:20" ht="13.5" thickBot="1" x14ac:dyDescent="0.25">
      <c r="A7" s="674"/>
      <c r="B7" s="144"/>
      <c r="C7" s="43" t="s">
        <v>55</v>
      </c>
      <c r="D7" s="43"/>
      <c r="E7" s="43"/>
      <c r="F7" s="43">
        <v>806731</v>
      </c>
      <c r="G7" s="43">
        <v>1745394</v>
      </c>
      <c r="H7" s="43">
        <v>115857</v>
      </c>
      <c r="I7" s="43">
        <v>660081</v>
      </c>
      <c r="J7" s="56">
        <v>563477</v>
      </c>
      <c r="K7" s="145">
        <v>250321</v>
      </c>
      <c r="L7" s="146">
        <v>944874.9</v>
      </c>
      <c r="M7" s="530">
        <v>1209146.5</v>
      </c>
      <c r="N7" s="56">
        <v>83000</v>
      </c>
      <c r="O7" s="289">
        <v>82249.94</v>
      </c>
      <c r="P7" s="579">
        <f t="shared" si="1"/>
        <v>99.096313253012042</v>
      </c>
    </row>
    <row r="8" spans="1:20" ht="13.5" thickBot="1" x14ac:dyDescent="0.25">
      <c r="A8" s="16">
        <v>450</v>
      </c>
      <c r="B8" s="756" t="s">
        <v>243</v>
      </c>
      <c r="C8" s="709"/>
      <c r="D8" s="60">
        <f>SUM(D9:D17)</f>
        <v>499436</v>
      </c>
      <c r="E8" s="60">
        <v>313085</v>
      </c>
      <c r="F8" s="60">
        <v>834018</v>
      </c>
      <c r="G8" s="60">
        <f t="shared" ref="G8:M8" si="2">SUM(G9:G17)</f>
        <v>822908</v>
      </c>
      <c r="H8" s="60">
        <f t="shared" si="2"/>
        <v>3260676</v>
      </c>
      <c r="I8" s="60">
        <f t="shared" si="2"/>
        <v>553863</v>
      </c>
      <c r="J8" s="60">
        <f t="shared" si="2"/>
        <v>509280</v>
      </c>
      <c r="K8" s="60">
        <f t="shared" si="2"/>
        <v>620269</v>
      </c>
      <c r="L8" s="147">
        <f t="shared" si="2"/>
        <v>259121.03000000003</v>
      </c>
      <c r="M8" s="147">
        <f t="shared" si="2"/>
        <v>923759.61</v>
      </c>
      <c r="N8" s="60">
        <f>SUM(N9:N17)</f>
        <v>878868</v>
      </c>
      <c r="O8" s="147">
        <f>SUM(O9:O17)</f>
        <v>913983.99</v>
      </c>
      <c r="P8" s="134">
        <f t="shared" si="1"/>
        <v>103.9955931948825</v>
      </c>
      <c r="R8" s="495"/>
    </row>
    <row r="9" spans="1:20" x14ac:dyDescent="0.2">
      <c r="A9" s="650"/>
      <c r="B9" s="142"/>
      <c r="C9" s="148" t="s">
        <v>172</v>
      </c>
      <c r="D9" s="148">
        <v>190367</v>
      </c>
      <c r="E9" s="148"/>
      <c r="F9" s="148"/>
      <c r="G9" s="39">
        <f>265551+398</f>
        <v>265949</v>
      </c>
      <c r="H9" s="148">
        <v>1534133</v>
      </c>
      <c r="I9" s="148">
        <v>43800</v>
      </c>
      <c r="J9" s="149"/>
      <c r="K9" s="150">
        <v>9775</v>
      </c>
      <c r="L9" s="151">
        <v>16185.64</v>
      </c>
      <c r="M9" s="151">
        <v>0</v>
      </c>
      <c r="N9" s="39">
        <v>186300</v>
      </c>
      <c r="O9" s="143">
        <v>191699.89</v>
      </c>
      <c r="P9" s="578">
        <f t="shared" si="1"/>
        <v>102.8984916800859</v>
      </c>
    </row>
    <row r="10" spans="1:20" x14ac:dyDescent="0.2">
      <c r="A10" s="651"/>
      <c r="B10" s="152"/>
      <c r="C10" s="153" t="s">
        <v>173</v>
      </c>
      <c r="D10" s="153"/>
      <c r="E10" s="153"/>
      <c r="F10" s="153"/>
      <c r="G10" s="53"/>
      <c r="H10" s="153">
        <v>921499</v>
      </c>
      <c r="I10" s="153">
        <v>220604</v>
      </c>
      <c r="J10" s="154">
        <v>192501</v>
      </c>
      <c r="K10" s="155">
        <v>494</v>
      </c>
      <c r="L10" s="156">
        <v>208144.39</v>
      </c>
      <c r="M10" s="531">
        <f>876858.72+30930.89</f>
        <v>907789.61</v>
      </c>
      <c r="N10" s="53">
        <v>681900</v>
      </c>
      <c r="O10" s="68">
        <f>693926.47-7368.99</f>
        <v>686557.48</v>
      </c>
      <c r="P10" s="136">
        <f t="shared" si="1"/>
        <v>100.68301510485409</v>
      </c>
    </row>
    <row r="11" spans="1:20" x14ac:dyDescent="0.2">
      <c r="A11" s="651"/>
      <c r="B11" s="152"/>
      <c r="C11" s="153" t="s">
        <v>174</v>
      </c>
      <c r="D11" s="153"/>
      <c r="E11" s="153"/>
      <c r="F11" s="153"/>
      <c r="G11" s="53">
        <v>545044</v>
      </c>
      <c r="H11" s="153">
        <v>545044</v>
      </c>
      <c r="I11" s="153"/>
      <c r="J11" s="154"/>
      <c r="K11" s="155"/>
      <c r="L11" s="156"/>
      <c r="M11" s="531">
        <v>12870</v>
      </c>
      <c r="N11" s="53"/>
      <c r="O11" s="577"/>
      <c r="P11" s="136">
        <f t="shared" si="1"/>
        <v>0</v>
      </c>
      <c r="R11" s="1"/>
    </row>
    <row r="12" spans="1:20" x14ac:dyDescent="0.2">
      <c r="A12" s="651"/>
      <c r="B12" s="152"/>
      <c r="C12" s="153" t="s">
        <v>437</v>
      </c>
      <c r="D12" s="153"/>
      <c r="E12" s="153"/>
      <c r="F12" s="153"/>
      <c r="G12" s="53"/>
      <c r="H12" s="153"/>
      <c r="I12" s="153"/>
      <c r="J12" s="154"/>
      <c r="K12" s="155"/>
      <c r="L12" s="156"/>
      <c r="M12" s="531"/>
      <c r="N12" s="53"/>
      <c r="O12" s="68">
        <f>33600+851.42</f>
        <v>34451.42</v>
      </c>
      <c r="P12" s="136">
        <f t="shared" si="1"/>
        <v>0</v>
      </c>
      <c r="R12" s="1"/>
    </row>
    <row r="13" spans="1:20" x14ac:dyDescent="0.2">
      <c r="A13" s="651"/>
      <c r="B13" s="152"/>
      <c r="C13" s="153" t="s">
        <v>440</v>
      </c>
      <c r="D13" s="153"/>
      <c r="E13" s="153"/>
      <c r="F13" s="153"/>
      <c r="G13" s="53"/>
      <c r="H13" s="153"/>
      <c r="I13" s="153"/>
      <c r="J13" s="154"/>
      <c r="K13" s="155"/>
      <c r="L13" s="156"/>
      <c r="M13" s="531"/>
      <c r="N13" s="53"/>
      <c r="O13" s="68">
        <v>1275.2</v>
      </c>
      <c r="P13" s="136">
        <f t="shared" si="1"/>
        <v>0</v>
      </c>
      <c r="R13" s="1"/>
    </row>
    <row r="14" spans="1:20" ht="13.5" thickBot="1" x14ac:dyDescent="0.25">
      <c r="A14" s="651"/>
      <c r="B14" s="152"/>
      <c r="C14" s="153" t="s">
        <v>175</v>
      </c>
      <c r="D14" s="153">
        <v>309069</v>
      </c>
      <c r="E14" s="153"/>
      <c r="F14" s="153"/>
      <c r="G14" s="53"/>
      <c r="H14" s="153">
        <v>260000</v>
      </c>
      <c r="I14" s="153">
        <v>277803</v>
      </c>
      <c r="J14" s="154">
        <v>316779</v>
      </c>
      <c r="K14" s="155">
        <v>610000</v>
      </c>
      <c r="L14" s="156">
        <v>34791</v>
      </c>
      <c r="M14" s="531">
        <v>3100</v>
      </c>
      <c r="N14" s="53">
        <v>10668</v>
      </c>
      <c r="O14" s="577"/>
      <c r="P14" s="136">
        <f t="shared" si="1"/>
        <v>0</v>
      </c>
      <c r="T14" s="495"/>
    </row>
    <row r="15" spans="1:20" ht="13.5" hidden="1" thickBot="1" x14ac:dyDescent="0.25">
      <c r="A15" s="651"/>
      <c r="B15" s="152"/>
      <c r="C15" s="153" t="s">
        <v>56</v>
      </c>
      <c r="D15" s="153"/>
      <c r="E15" s="153"/>
      <c r="F15" s="153"/>
      <c r="G15" s="153">
        <v>11915</v>
      </c>
      <c r="H15" s="153"/>
      <c r="I15" s="153">
        <v>11656</v>
      </c>
      <c r="J15" s="154"/>
      <c r="K15" s="53"/>
      <c r="L15" s="68"/>
      <c r="M15" s="68">
        <v>0</v>
      </c>
      <c r="N15" s="53"/>
      <c r="O15" s="68"/>
      <c r="P15" s="136">
        <f t="shared" si="1"/>
        <v>0</v>
      </c>
    </row>
    <row r="16" spans="1:20" ht="13.5" hidden="1" thickBot="1" x14ac:dyDescent="0.25">
      <c r="A16" s="651"/>
      <c r="B16" s="157"/>
      <c r="C16" s="158"/>
      <c r="D16" s="158"/>
      <c r="E16" s="158"/>
      <c r="F16" s="158"/>
      <c r="G16" s="158"/>
      <c r="H16" s="158"/>
      <c r="I16" s="158"/>
      <c r="J16" s="158"/>
      <c r="K16" s="41"/>
      <c r="L16" s="106"/>
      <c r="M16" s="106"/>
      <c r="N16" s="41"/>
      <c r="O16" s="106"/>
      <c r="P16" s="127">
        <f t="shared" si="1"/>
        <v>0</v>
      </c>
    </row>
    <row r="17" spans="1:20" ht="13.5" hidden="1" thickBot="1" x14ac:dyDescent="0.25">
      <c r="A17" s="757"/>
      <c r="B17" s="157"/>
      <c r="C17" s="158"/>
      <c r="D17" s="158"/>
      <c r="E17" s="158"/>
      <c r="F17" s="158"/>
      <c r="G17" s="158"/>
      <c r="H17" s="158"/>
      <c r="I17" s="158"/>
      <c r="J17" s="158"/>
      <c r="K17" s="41"/>
      <c r="L17" s="106"/>
      <c r="M17" s="106"/>
      <c r="N17" s="41"/>
      <c r="O17" s="106"/>
      <c r="P17" s="127">
        <f t="shared" si="1"/>
        <v>0</v>
      </c>
    </row>
    <row r="18" spans="1:20" ht="14.25" thickTop="1" thickBot="1" x14ac:dyDescent="0.25">
      <c r="A18" s="758" t="s">
        <v>57</v>
      </c>
      <c r="B18" s="759"/>
      <c r="C18" s="760"/>
      <c r="D18" s="159">
        <f t="shared" ref="D18:M18" si="3">D8+D5</f>
        <v>499436</v>
      </c>
      <c r="E18" s="159">
        <f t="shared" si="3"/>
        <v>313085</v>
      </c>
      <c r="F18" s="159">
        <f t="shared" si="3"/>
        <v>1640749</v>
      </c>
      <c r="G18" s="159">
        <f t="shared" si="3"/>
        <v>2754938</v>
      </c>
      <c r="H18" s="159">
        <f t="shared" si="3"/>
        <v>4479434</v>
      </c>
      <c r="I18" s="159">
        <f t="shared" si="3"/>
        <v>2266668</v>
      </c>
      <c r="J18" s="159">
        <f t="shared" si="3"/>
        <v>1305406</v>
      </c>
      <c r="K18" s="159">
        <f t="shared" si="3"/>
        <v>1509534</v>
      </c>
      <c r="L18" s="160">
        <f t="shared" si="3"/>
        <v>1300969.1299999999</v>
      </c>
      <c r="M18" s="160">
        <f t="shared" si="3"/>
        <v>2766561.36</v>
      </c>
      <c r="N18" s="159">
        <f>N8+N5</f>
        <v>961868</v>
      </c>
      <c r="O18" s="160">
        <f>O8+O5</f>
        <v>2492133.9299999997</v>
      </c>
      <c r="P18" s="580">
        <f t="shared" si="1"/>
        <v>259.09313232169069</v>
      </c>
    </row>
    <row r="19" spans="1:20" ht="13.5" thickTop="1" x14ac:dyDescent="0.2">
      <c r="A19" s="755"/>
      <c r="B19" s="755"/>
      <c r="C19" s="755"/>
      <c r="D19" s="755"/>
      <c r="E19" s="755"/>
      <c r="F19" s="755"/>
      <c r="G19" s="755"/>
      <c r="H19" s="755"/>
      <c r="I19" s="755"/>
      <c r="J19" s="755"/>
      <c r="K19" s="161"/>
      <c r="L19" s="161"/>
      <c r="M19" s="161"/>
      <c r="N19" s="162"/>
    </row>
    <row r="20" spans="1:20" x14ac:dyDescent="0.2">
      <c r="T20" s="495"/>
    </row>
    <row r="22" spans="1:20" x14ac:dyDescent="0.2">
      <c r="P22" s="1"/>
    </row>
    <row r="25" spans="1:20" x14ac:dyDescent="0.2">
      <c r="P25" s="1"/>
    </row>
  </sheetData>
  <mergeCells count="22">
    <mergeCell ref="O3:O4"/>
    <mergeCell ref="P3:P4"/>
    <mergeCell ref="I3:I4"/>
    <mergeCell ref="J3:J4"/>
    <mergeCell ref="K3:K4"/>
    <mergeCell ref="L3:L4"/>
    <mergeCell ref="M3:M4"/>
    <mergeCell ref="N3:N4"/>
    <mergeCell ref="A19:J19"/>
    <mergeCell ref="B8:C8"/>
    <mergeCell ref="A9:A17"/>
    <mergeCell ref="G3:G4"/>
    <mergeCell ref="H3:H4"/>
    <mergeCell ref="E3:E4"/>
    <mergeCell ref="F3:F4"/>
    <mergeCell ref="C3:C4"/>
    <mergeCell ref="D3:D4"/>
    <mergeCell ref="B3:B4"/>
    <mergeCell ref="A18:C18"/>
    <mergeCell ref="A6:A7"/>
    <mergeCell ref="A3:A4"/>
    <mergeCell ref="B5:C5"/>
  </mergeCells>
  <phoneticPr fontId="2" type="noConversion"/>
  <pageMargins left="0.15748031496062992" right="0.15748031496062992" top="0.43307086614173229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 enableFormatConditionsCalculation="0">
    <tabColor indexed="40"/>
  </sheetPr>
  <dimension ref="A1:S14"/>
  <sheetViews>
    <sheetView workbookViewId="0">
      <selection activeCell="O31" sqref="O31"/>
    </sheetView>
  </sheetViews>
  <sheetFormatPr defaultRowHeight="12.75" x14ac:dyDescent="0.2"/>
  <cols>
    <col min="2" max="2" width="7.42578125" customWidth="1"/>
    <col min="3" max="3" width="35.140625" customWidth="1"/>
    <col min="4" max="11" width="0" hidden="1" customWidth="1"/>
    <col min="12" max="12" width="11" hidden="1" customWidth="1"/>
    <col min="13" max="14" width="11.7109375" customWidth="1"/>
    <col min="15" max="15" width="13.140625" customWidth="1"/>
    <col min="16" max="16" width="13.42578125" customWidth="1"/>
    <col min="19" max="19" width="11.7109375" bestFit="1" customWidth="1"/>
  </cols>
  <sheetData>
    <row r="1" spans="1:19" ht="13.5" thickBot="1" x14ac:dyDescent="0.25">
      <c r="A1" s="726" t="s">
        <v>58</v>
      </c>
      <c r="B1" s="726"/>
      <c r="C1" s="726"/>
      <c r="D1" s="726"/>
      <c r="E1" s="726"/>
      <c r="F1" s="726"/>
      <c r="G1" s="726"/>
      <c r="H1" s="726"/>
      <c r="I1" s="726"/>
      <c r="J1" s="726"/>
      <c r="K1" s="163"/>
      <c r="L1" s="163"/>
      <c r="M1" s="163"/>
      <c r="N1" s="162"/>
      <c r="O1" s="162"/>
    </row>
    <row r="2" spans="1:19" ht="14.25" customHeight="1" thickTop="1" x14ac:dyDescent="0.2">
      <c r="A2" s="763" t="s">
        <v>135</v>
      </c>
      <c r="B2" s="765" t="s">
        <v>185</v>
      </c>
      <c r="C2" s="684" t="s">
        <v>136</v>
      </c>
      <c r="D2" s="659" t="s">
        <v>280</v>
      </c>
      <c r="E2" s="659" t="s">
        <v>281</v>
      </c>
      <c r="F2" s="659" t="s">
        <v>282</v>
      </c>
      <c r="G2" s="659" t="s">
        <v>283</v>
      </c>
      <c r="H2" s="659" t="s">
        <v>284</v>
      </c>
      <c r="I2" s="659" t="s">
        <v>192</v>
      </c>
      <c r="J2" s="659" t="s">
        <v>193</v>
      </c>
      <c r="K2" s="659" t="s">
        <v>194</v>
      </c>
      <c r="L2" s="659" t="s">
        <v>195</v>
      </c>
      <c r="M2" s="665" t="s">
        <v>410</v>
      </c>
      <c r="N2" s="659" t="s">
        <v>392</v>
      </c>
      <c r="O2" s="659" t="s">
        <v>432</v>
      </c>
      <c r="P2" s="677" t="s">
        <v>433</v>
      </c>
    </row>
    <row r="3" spans="1:19" ht="25.5" customHeight="1" thickBot="1" x14ac:dyDescent="0.25">
      <c r="A3" s="764"/>
      <c r="B3" s="766"/>
      <c r="C3" s="685"/>
      <c r="D3" s="660"/>
      <c r="E3" s="660"/>
      <c r="F3" s="660"/>
      <c r="G3" s="660"/>
      <c r="H3" s="660"/>
      <c r="I3" s="660"/>
      <c r="J3" s="660"/>
      <c r="K3" s="660"/>
      <c r="L3" s="660"/>
      <c r="M3" s="666"/>
      <c r="N3" s="660"/>
      <c r="O3" s="660"/>
      <c r="P3" s="678"/>
    </row>
    <row r="4" spans="1:19" ht="14.25" thickTop="1" thickBot="1" x14ac:dyDescent="0.25">
      <c r="A4" s="164" t="s">
        <v>144</v>
      </c>
      <c r="B4" s="761" t="s">
        <v>141</v>
      </c>
      <c r="C4" s="762"/>
      <c r="D4" s="165">
        <f t="shared" ref="D4:N4" si="0">SUM(D5:D11)</f>
        <v>477793</v>
      </c>
      <c r="E4" s="165">
        <f t="shared" si="0"/>
        <v>470856</v>
      </c>
      <c r="F4" s="165">
        <f t="shared" si="0"/>
        <v>334085</v>
      </c>
      <c r="G4" s="165">
        <f t="shared" si="0"/>
        <v>1303204</v>
      </c>
      <c r="H4" s="165">
        <f t="shared" si="0"/>
        <v>978096</v>
      </c>
      <c r="I4" s="165">
        <f t="shared" si="0"/>
        <v>1356608</v>
      </c>
      <c r="J4" s="165">
        <f t="shared" si="0"/>
        <v>1191263</v>
      </c>
      <c r="K4" s="165">
        <f t="shared" si="0"/>
        <v>977990</v>
      </c>
      <c r="L4" s="166">
        <f t="shared" si="0"/>
        <v>439019.94999999995</v>
      </c>
      <c r="M4" s="166">
        <f t="shared" si="0"/>
        <v>540080.30000000005</v>
      </c>
      <c r="N4" s="467">
        <f t="shared" si="0"/>
        <v>1030846</v>
      </c>
      <c r="O4" s="166">
        <f>SUM(O5:O11)</f>
        <v>2548753.6599999997</v>
      </c>
      <c r="P4" s="605">
        <f t="shared" ref="P4:P12" si="1">IF(N4=0,0,O4/N4*100)</f>
        <v>247.24873162431629</v>
      </c>
    </row>
    <row r="5" spans="1:19" x14ac:dyDescent="0.2">
      <c r="A5" s="767"/>
      <c r="B5" s="167"/>
      <c r="C5" s="167" t="s">
        <v>60</v>
      </c>
      <c r="D5" s="167">
        <v>307741</v>
      </c>
      <c r="E5" s="167">
        <v>188873</v>
      </c>
      <c r="F5" s="167">
        <v>209516</v>
      </c>
      <c r="G5" s="167">
        <v>326854</v>
      </c>
      <c r="H5" s="167">
        <v>199897</v>
      </c>
      <c r="I5" s="167">
        <v>22394</v>
      </c>
      <c r="J5" s="168">
        <v>122620</v>
      </c>
      <c r="K5" s="169">
        <v>207083</v>
      </c>
      <c r="L5" s="170">
        <v>173080.99</v>
      </c>
      <c r="M5" s="532">
        <v>233161.19</v>
      </c>
      <c r="N5" s="468">
        <v>338000</v>
      </c>
      <c r="O5" s="472">
        <v>1839260.43</v>
      </c>
      <c r="P5" s="606">
        <f t="shared" si="1"/>
        <v>544.15989053254441</v>
      </c>
    </row>
    <row r="6" spans="1:19" x14ac:dyDescent="0.2">
      <c r="A6" s="768"/>
      <c r="B6" s="171"/>
      <c r="C6" s="172" t="s">
        <v>61</v>
      </c>
      <c r="D6" s="172"/>
      <c r="E6" s="172"/>
      <c r="F6" s="172"/>
      <c r="G6" s="172"/>
      <c r="H6" s="172">
        <v>490783</v>
      </c>
      <c r="I6" s="172">
        <v>1098574</v>
      </c>
      <c r="J6" s="173">
        <v>733308</v>
      </c>
      <c r="K6" s="174">
        <v>631012</v>
      </c>
      <c r="L6" s="175">
        <v>171789.61</v>
      </c>
      <c r="M6" s="533">
        <v>233027.7</v>
      </c>
      <c r="N6" s="89">
        <v>497601</v>
      </c>
      <c r="O6" s="180">
        <v>497600.75</v>
      </c>
      <c r="P6" s="607">
        <f t="shared" si="1"/>
        <v>99.999949758943401</v>
      </c>
    </row>
    <row r="7" spans="1:19" x14ac:dyDescent="0.2">
      <c r="A7" s="768"/>
      <c r="B7" s="176"/>
      <c r="C7" s="111" t="s">
        <v>62</v>
      </c>
      <c r="D7" s="111"/>
      <c r="E7" s="111"/>
      <c r="F7" s="111"/>
      <c r="G7" s="111"/>
      <c r="H7" s="111">
        <v>52527</v>
      </c>
      <c r="I7" s="111">
        <v>53214</v>
      </c>
      <c r="J7" s="88">
        <v>53736</v>
      </c>
      <c r="K7" s="174">
        <v>54692</v>
      </c>
      <c r="L7" s="175">
        <v>59829.25</v>
      </c>
      <c r="M7" s="534">
        <v>73891.41</v>
      </c>
      <c r="N7" s="469">
        <v>69445</v>
      </c>
      <c r="O7" s="175">
        <v>74759.429999999993</v>
      </c>
      <c r="P7" s="608">
        <f t="shared" si="1"/>
        <v>107.65271797825618</v>
      </c>
      <c r="S7" s="495"/>
    </row>
    <row r="8" spans="1:19" x14ac:dyDescent="0.2">
      <c r="A8" s="768"/>
      <c r="B8" s="176"/>
      <c r="C8" s="111" t="s">
        <v>423</v>
      </c>
      <c r="D8" s="111"/>
      <c r="E8" s="111"/>
      <c r="F8" s="111"/>
      <c r="G8" s="111"/>
      <c r="H8" s="111"/>
      <c r="I8" s="111"/>
      <c r="J8" s="88"/>
      <c r="K8" s="174"/>
      <c r="L8" s="175"/>
      <c r="M8" s="534"/>
      <c r="N8" s="469">
        <v>114400</v>
      </c>
      <c r="O8" s="175">
        <v>114400.25</v>
      </c>
      <c r="P8" s="608">
        <f t="shared" si="1"/>
        <v>100.00021853146852</v>
      </c>
      <c r="R8" s="1"/>
    </row>
    <row r="9" spans="1:19" x14ac:dyDescent="0.2">
      <c r="A9" s="768"/>
      <c r="B9" s="177"/>
      <c r="C9" s="111" t="s">
        <v>424</v>
      </c>
      <c r="D9" s="178">
        <v>2622</v>
      </c>
      <c r="E9" s="178">
        <v>6805</v>
      </c>
      <c r="F9" s="178">
        <v>5206</v>
      </c>
      <c r="G9" s="178">
        <v>73230</v>
      </c>
      <c r="H9" s="178">
        <v>22330</v>
      </c>
      <c r="I9" s="178">
        <v>7462</v>
      </c>
      <c r="J9" s="179"/>
      <c r="K9" s="88"/>
      <c r="L9" s="180"/>
      <c r="M9" s="180"/>
      <c r="N9" s="89">
        <v>11400</v>
      </c>
      <c r="O9" s="180">
        <v>11332.8</v>
      </c>
      <c r="P9" s="607">
        <f t="shared" si="1"/>
        <v>99.410526315789468</v>
      </c>
      <c r="R9" s="1"/>
      <c r="S9" s="624"/>
    </row>
    <row r="10" spans="1:19" x14ac:dyDescent="0.2">
      <c r="A10" s="768"/>
      <c r="B10" s="176"/>
      <c r="C10" s="176" t="s">
        <v>63</v>
      </c>
      <c r="D10" s="176"/>
      <c r="E10" s="176">
        <v>275178</v>
      </c>
      <c r="F10" s="176"/>
      <c r="G10" s="176">
        <v>903120</v>
      </c>
      <c r="H10" s="176">
        <v>212559</v>
      </c>
      <c r="I10" s="176">
        <v>174964</v>
      </c>
      <c r="J10" s="181">
        <v>281599</v>
      </c>
      <c r="K10" s="181">
        <v>85203</v>
      </c>
      <c r="L10" s="182">
        <v>34320.1</v>
      </c>
      <c r="M10" s="182">
        <v>0</v>
      </c>
      <c r="N10" s="470">
        <v>0</v>
      </c>
      <c r="O10" s="182"/>
      <c r="P10" s="609">
        <f t="shared" si="1"/>
        <v>0</v>
      </c>
    </row>
    <row r="11" spans="1:19" ht="13.5" thickBot="1" x14ac:dyDescent="0.25">
      <c r="A11" s="769"/>
      <c r="B11" s="183"/>
      <c r="C11" s="176" t="s">
        <v>437</v>
      </c>
      <c r="D11" s="183">
        <v>167430</v>
      </c>
      <c r="E11" s="183">
        <v>0</v>
      </c>
      <c r="F11" s="183">
        <v>119363</v>
      </c>
      <c r="G11" s="183"/>
      <c r="H11" s="183"/>
      <c r="I11" s="183"/>
      <c r="J11" s="184"/>
      <c r="K11" s="184"/>
      <c r="L11" s="185"/>
      <c r="M11" s="185">
        <v>0</v>
      </c>
      <c r="N11" s="464">
        <v>0</v>
      </c>
      <c r="O11" s="185">
        <v>11400</v>
      </c>
      <c r="P11" s="610">
        <f t="shared" si="1"/>
        <v>0</v>
      </c>
      <c r="S11" s="495"/>
    </row>
    <row r="12" spans="1:19" ht="14.25" thickTop="1" thickBot="1" x14ac:dyDescent="0.25">
      <c r="A12" s="758" t="s">
        <v>57</v>
      </c>
      <c r="B12" s="759"/>
      <c r="C12" s="760"/>
      <c r="D12" s="159">
        <f t="shared" ref="D12:N12" si="2">D4</f>
        <v>477793</v>
      </c>
      <c r="E12" s="159">
        <f t="shared" si="2"/>
        <v>470856</v>
      </c>
      <c r="F12" s="159">
        <f t="shared" si="2"/>
        <v>334085</v>
      </c>
      <c r="G12" s="159">
        <f t="shared" si="2"/>
        <v>1303204</v>
      </c>
      <c r="H12" s="159">
        <f t="shared" si="2"/>
        <v>978096</v>
      </c>
      <c r="I12" s="159">
        <f t="shared" si="2"/>
        <v>1356608</v>
      </c>
      <c r="J12" s="159">
        <f t="shared" si="2"/>
        <v>1191263</v>
      </c>
      <c r="K12" s="159">
        <f t="shared" si="2"/>
        <v>977990</v>
      </c>
      <c r="L12" s="160">
        <f t="shared" si="2"/>
        <v>439019.94999999995</v>
      </c>
      <c r="M12" s="160">
        <f t="shared" si="2"/>
        <v>540080.30000000005</v>
      </c>
      <c r="N12" s="471">
        <f t="shared" si="2"/>
        <v>1030846</v>
      </c>
      <c r="O12" s="160">
        <f>O4</f>
        <v>2548753.6599999997</v>
      </c>
      <c r="P12" s="580">
        <f t="shared" si="1"/>
        <v>247.24873162431629</v>
      </c>
      <c r="R12" s="1"/>
    </row>
    <row r="13" spans="1:19" ht="13.5" thickTop="1" x14ac:dyDescent="0.2"/>
    <row r="14" spans="1:19" x14ac:dyDescent="0.2">
      <c r="S14" s="495"/>
    </row>
  </sheetData>
  <mergeCells count="20">
    <mergeCell ref="O2:O3"/>
    <mergeCell ref="P2:P3"/>
    <mergeCell ref="A5:A11"/>
    <mergeCell ref="A1:J1"/>
    <mergeCell ref="H2:H3"/>
    <mergeCell ref="N2:N3"/>
    <mergeCell ref="L2:L3"/>
    <mergeCell ref="J2:J3"/>
    <mergeCell ref="K2:K3"/>
    <mergeCell ref="F2:F3"/>
    <mergeCell ref="A12:C12"/>
    <mergeCell ref="B4:C4"/>
    <mergeCell ref="M2:M3"/>
    <mergeCell ref="A2:A3"/>
    <mergeCell ref="B2:B3"/>
    <mergeCell ref="C2:C3"/>
    <mergeCell ref="D2:D3"/>
    <mergeCell ref="G2:G3"/>
    <mergeCell ref="I2:I3"/>
    <mergeCell ref="E2:E3"/>
  </mergeCells>
  <phoneticPr fontId="2" type="noConversion"/>
  <pageMargins left="0.15748031496062992" right="0.1181102362204724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 enableFormatConditionsCalculation="0">
    <tabColor indexed="10"/>
  </sheetPr>
  <dimension ref="A1:S29"/>
  <sheetViews>
    <sheetView tabSelected="1" workbookViewId="0">
      <selection activeCell="M24" sqref="M24"/>
    </sheetView>
  </sheetViews>
  <sheetFormatPr defaultRowHeight="12.75" x14ac:dyDescent="0.2"/>
  <cols>
    <col min="1" max="1" width="52" customWidth="1"/>
    <col min="2" max="9" width="14.42578125" hidden="1" customWidth="1"/>
    <col min="10" max="10" width="13.42578125" hidden="1" customWidth="1"/>
    <col min="11" max="11" width="15" customWidth="1"/>
    <col min="12" max="12" width="14.7109375" customWidth="1"/>
    <col min="13" max="13" width="16.7109375" customWidth="1"/>
    <col min="14" max="14" width="10.28515625" customWidth="1"/>
    <col min="15" max="15" width="12.7109375" bestFit="1" customWidth="1"/>
    <col min="16" max="16" width="15.28515625" customWidth="1"/>
    <col min="18" max="18" width="10.7109375" bestFit="1" customWidth="1"/>
    <col min="19" max="20" width="10.140625" bestFit="1" customWidth="1"/>
  </cols>
  <sheetData>
    <row r="1" spans="1:19" ht="15" x14ac:dyDescent="0.2">
      <c r="A1" s="779" t="s">
        <v>155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79"/>
    </row>
    <row r="2" spans="1:19" ht="13.5" thickBot="1" x14ac:dyDescent="0.25">
      <c r="A2" s="780"/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162"/>
    </row>
    <row r="3" spans="1:19" ht="13.5" customHeight="1" thickTop="1" x14ac:dyDescent="0.2">
      <c r="A3" s="781" t="s">
        <v>186</v>
      </c>
      <c r="B3" s="659" t="s">
        <v>280</v>
      </c>
      <c r="C3" s="659" t="s">
        <v>281</v>
      </c>
      <c r="D3" s="659" t="s">
        <v>282</v>
      </c>
      <c r="E3" s="659" t="s">
        <v>283</v>
      </c>
      <c r="F3" s="659" t="s">
        <v>284</v>
      </c>
      <c r="G3" s="659" t="s">
        <v>192</v>
      </c>
      <c r="H3" s="659" t="s">
        <v>193</v>
      </c>
      <c r="I3" s="659" t="s">
        <v>194</v>
      </c>
      <c r="J3" s="659" t="s">
        <v>195</v>
      </c>
      <c r="K3" s="659" t="s">
        <v>410</v>
      </c>
      <c r="L3" s="783" t="s">
        <v>392</v>
      </c>
      <c r="M3" s="659" t="s">
        <v>432</v>
      </c>
      <c r="N3" s="677" t="s">
        <v>433</v>
      </c>
    </row>
    <row r="4" spans="1:19" ht="21" customHeight="1" thickBot="1" x14ac:dyDescent="0.25">
      <c r="A4" s="782"/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84"/>
      <c r="M4" s="660"/>
      <c r="N4" s="678"/>
    </row>
    <row r="5" spans="1:19" ht="13.5" thickTop="1" x14ac:dyDescent="0.2">
      <c r="A5" s="424" t="s">
        <v>156</v>
      </c>
      <c r="B5" s="425">
        <f>'Bežné príjmy'!D108</f>
        <v>7125871</v>
      </c>
      <c r="C5" s="425">
        <f>'Bežné príjmy'!E108</f>
        <v>7561840</v>
      </c>
      <c r="D5" s="425">
        <f>'Bežné príjmy'!F108</f>
        <v>9082354</v>
      </c>
      <c r="E5" s="425">
        <f>'Bežné príjmy'!G108</f>
        <v>9080838</v>
      </c>
      <c r="F5" s="425">
        <f>'Bežné príjmy'!H108</f>
        <v>8537685</v>
      </c>
      <c r="G5" s="425">
        <f>'Bežné príjmy'!I108</f>
        <v>9096722</v>
      </c>
      <c r="H5" s="425">
        <f>'Bežné príjmy'!J108</f>
        <v>9201831</v>
      </c>
      <c r="I5" s="425">
        <f>'Bežné príjmy'!K108</f>
        <v>9722622</v>
      </c>
      <c r="J5" s="425">
        <f>'Bežné príjmy'!L108</f>
        <v>9640328.2399999984</v>
      </c>
      <c r="K5" s="535">
        <f>'Bežné príjmy'!M108</f>
        <v>10178626.01</v>
      </c>
      <c r="L5" s="425">
        <f>'Bežné príjmy'!N108</f>
        <v>10572354</v>
      </c>
      <c r="M5" s="535">
        <f>'Bežné príjmy'!O108</f>
        <v>10784511.660000002</v>
      </c>
      <c r="N5" s="596">
        <f t="shared" ref="N5:N6" si="0">IF(L5=0,0,M5/L5*100)</f>
        <v>102.00672111433273</v>
      </c>
      <c r="P5" s="611"/>
    </row>
    <row r="6" spans="1:19" ht="13.5" thickBot="1" x14ac:dyDescent="0.25">
      <c r="A6" s="426" t="s">
        <v>157</v>
      </c>
      <c r="B6" s="184">
        <f>'Bežné výdavky'!D198</f>
        <v>5867125</v>
      </c>
      <c r="C6" s="184">
        <f>'Bežné výdavky'!E198</f>
        <v>6460200</v>
      </c>
      <c r="D6" s="184">
        <f>'Bežné výdavky'!F198</f>
        <v>7832271</v>
      </c>
      <c r="E6" s="184">
        <f>'Bežné výdavky'!G198</f>
        <v>8716285.4299999997</v>
      </c>
      <c r="F6" s="184">
        <f>'Bežné výdavky'!H198</f>
        <v>9309387</v>
      </c>
      <c r="G6" s="184">
        <f>'Bežné výdavky'!I198</f>
        <v>8743512.1999999993</v>
      </c>
      <c r="H6" s="184">
        <f>'Bežné výdavky'!J198</f>
        <v>8908071</v>
      </c>
      <c r="I6" s="184">
        <f>'Bežné výdavky'!K198</f>
        <v>8934542</v>
      </c>
      <c r="J6" s="184">
        <f>'Bežné výdavky'!L198</f>
        <v>9572545.3800000008</v>
      </c>
      <c r="K6" s="185">
        <f>'Bežné výdavky'!M198</f>
        <v>9554914.7999999989</v>
      </c>
      <c r="L6" s="184">
        <f>'Bežné výdavky'!N198</f>
        <v>9893784</v>
      </c>
      <c r="M6" s="185">
        <f>'Bežné výdavky'!O198</f>
        <v>9695081.3399999961</v>
      </c>
      <c r="N6" s="597">
        <f t="shared" si="0"/>
        <v>97.991641418490602</v>
      </c>
      <c r="P6" s="611"/>
    </row>
    <row r="7" spans="1:19" ht="15.75" thickBot="1" x14ac:dyDescent="0.25">
      <c r="A7" s="427" t="s">
        <v>158</v>
      </c>
      <c r="B7" s="428">
        <f t="shared" ref="B7:K7" si="1">B5-B6</f>
        <v>1258746</v>
      </c>
      <c r="C7" s="428">
        <f t="shared" si="1"/>
        <v>1101640</v>
      </c>
      <c r="D7" s="428">
        <f t="shared" si="1"/>
        <v>1250083</v>
      </c>
      <c r="E7" s="428">
        <f t="shared" si="1"/>
        <v>364552.5700000003</v>
      </c>
      <c r="F7" s="428">
        <f t="shared" si="1"/>
        <v>-771702</v>
      </c>
      <c r="G7" s="428">
        <f t="shared" si="1"/>
        <v>353209.80000000075</v>
      </c>
      <c r="H7" s="428">
        <f t="shared" si="1"/>
        <v>293760</v>
      </c>
      <c r="I7" s="428">
        <f t="shared" si="1"/>
        <v>788080</v>
      </c>
      <c r="J7" s="429">
        <f t="shared" si="1"/>
        <v>67782.859999997541</v>
      </c>
      <c r="K7" s="429">
        <f t="shared" si="1"/>
        <v>623711.21000000089</v>
      </c>
      <c r="L7" s="428">
        <f>L5-L6</f>
        <v>678570</v>
      </c>
      <c r="M7" s="429">
        <f>M5-M6</f>
        <v>1089430.3200000059</v>
      </c>
      <c r="N7" s="598"/>
      <c r="P7" s="1"/>
    </row>
    <row r="8" spans="1:19" ht="14.25" thickTop="1" thickBot="1" x14ac:dyDescent="0.25">
      <c r="A8" s="770"/>
      <c r="B8" s="755"/>
      <c r="C8" s="755"/>
      <c r="D8" s="755"/>
      <c r="E8" s="755"/>
      <c r="F8" s="755"/>
      <c r="G8" s="755"/>
      <c r="H8" s="755"/>
      <c r="I8" s="755"/>
      <c r="J8" s="755"/>
      <c r="K8" s="755"/>
      <c r="L8" s="755"/>
      <c r="M8" s="755"/>
      <c r="N8" s="771"/>
    </row>
    <row r="9" spans="1:19" ht="13.5" thickTop="1" x14ac:dyDescent="0.2">
      <c r="A9" s="424" t="s">
        <v>159</v>
      </c>
      <c r="B9" s="425">
        <f>'Kapitálové príjmy'!D48</f>
        <v>2113092</v>
      </c>
      <c r="C9" s="425">
        <f>'Kapitálové príjmy'!E48</f>
        <v>1017958</v>
      </c>
      <c r="D9" s="425">
        <f>'Kapitálové príjmy'!F48</f>
        <v>1245369</v>
      </c>
      <c r="E9" s="425">
        <f>'Kapitálové príjmy'!G48</f>
        <v>4391413</v>
      </c>
      <c r="F9" s="425">
        <f>'Kapitálové príjmy'!H48</f>
        <v>3456141</v>
      </c>
      <c r="G9" s="425">
        <f>'Kapitálové príjmy'!I48</f>
        <v>4649713</v>
      </c>
      <c r="H9" s="425">
        <f>'Kapitálové príjmy'!J48</f>
        <v>4502774.0599999996</v>
      </c>
      <c r="I9" s="425">
        <f>'Kapitálové príjmy'!K48</f>
        <v>3678497</v>
      </c>
      <c r="J9" s="425">
        <f>'Kapitálové príjmy'!L48</f>
        <v>1218338.5899999999</v>
      </c>
      <c r="K9" s="535">
        <f>'Kapitálové príjmy'!M48</f>
        <v>752297.52</v>
      </c>
      <c r="L9" s="425">
        <f>'Kapitálové príjmy'!N48</f>
        <v>976050</v>
      </c>
      <c r="M9" s="535">
        <f>'Kapitálové príjmy'!O48</f>
        <v>935536.18</v>
      </c>
      <c r="N9" s="596">
        <f t="shared" ref="N9:N10" si="2">IF(L9=0,0,M9/L9*100)</f>
        <v>95.849206495568879</v>
      </c>
      <c r="P9" s="1"/>
    </row>
    <row r="10" spans="1:19" ht="13.5" thickBot="1" x14ac:dyDescent="0.25">
      <c r="A10" s="465" t="s">
        <v>160</v>
      </c>
      <c r="B10" s="466">
        <f>'Kapitálové výdavky'!E113</f>
        <v>2988050</v>
      </c>
      <c r="C10" s="466">
        <f>'Kapitálové výdavky'!F113</f>
        <v>1793069</v>
      </c>
      <c r="D10" s="466">
        <f>'Kapitálové výdavky'!G113</f>
        <v>2942409</v>
      </c>
      <c r="E10" s="466">
        <f>'Kapitálové výdavky'!H113</f>
        <v>4880528</v>
      </c>
      <c r="F10" s="466">
        <f>'Kapitálové výdavky'!I113</f>
        <v>5977301</v>
      </c>
      <c r="G10" s="466">
        <f>'Kapitálové výdavky'!J113</f>
        <v>5818483</v>
      </c>
      <c r="H10" s="466">
        <f>'Kapitálové výdavky'!K113</f>
        <v>4719096</v>
      </c>
      <c r="I10" s="466">
        <f>'Kapitálové výdavky'!L113</f>
        <v>3934694</v>
      </c>
      <c r="J10" s="466">
        <f>'Kapitálové výdavky'!M113</f>
        <v>1792326.71</v>
      </c>
      <c r="K10" s="536">
        <f>'Kapitálové výdavky'!N113</f>
        <v>2904600.1800000006</v>
      </c>
      <c r="L10" s="466">
        <f>'Kapitálové výdavky'!O113</f>
        <v>1570845</v>
      </c>
      <c r="M10" s="536">
        <f>'Kapitálové výdavky'!P113</f>
        <v>1348818.6500000001</v>
      </c>
      <c r="N10" s="599">
        <f t="shared" si="2"/>
        <v>85.865801527203516</v>
      </c>
      <c r="P10" s="1"/>
    </row>
    <row r="11" spans="1:19" ht="15.75" thickBot="1" x14ac:dyDescent="0.3">
      <c r="A11" s="430" t="s">
        <v>161</v>
      </c>
      <c r="B11" s="431">
        <f t="shared" ref="B11:K11" si="3">B9-B10</f>
        <v>-874958</v>
      </c>
      <c r="C11" s="431">
        <f t="shared" si="3"/>
        <v>-775111</v>
      </c>
      <c r="D11" s="431">
        <f t="shared" si="3"/>
        <v>-1697040</v>
      </c>
      <c r="E11" s="431">
        <f t="shared" si="3"/>
        <v>-489115</v>
      </c>
      <c r="F11" s="431">
        <f t="shared" si="3"/>
        <v>-2521160</v>
      </c>
      <c r="G11" s="431">
        <f t="shared" si="3"/>
        <v>-1168770</v>
      </c>
      <c r="H11" s="431">
        <f t="shared" si="3"/>
        <v>-216321.94000000041</v>
      </c>
      <c r="I11" s="431">
        <f t="shared" si="3"/>
        <v>-256197</v>
      </c>
      <c r="J11" s="432">
        <f t="shared" si="3"/>
        <v>-573988.12000000011</v>
      </c>
      <c r="K11" s="432">
        <f t="shared" si="3"/>
        <v>-2152302.6600000006</v>
      </c>
      <c r="L11" s="431">
        <f>L9-L10</f>
        <v>-594795</v>
      </c>
      <c r="M11" s="432">
        <f>M9-M10</f>
        <v>-413282.47000000009</v>
      </c>
      <c r="N11" s="598"/>
      <c r="P11" s="1"/>
      <c r="S11" s="1"/>
    </row>
    <row r="12" spans="1:19" ht="14.25" thickTop="1" thickBot="1" x14ac:dyDescent="0.25">
      <c r="A12" s="770"/>
      <c r="B12" s="755"/>
      <c r="C12" s="755"/>
      <c r="D12" s="755"/>
      <c r="E12" s="755"/>
      <c r="F12" s="755"/>
      <c r="G12" s="755"/>
      <c r="H12" s="755"/>
      <c r="I12" s="755"/>
      <c r="J12" s="755"/>
      <c r="K12" s="755"/>
      <c r="L12" s="755"/>
      <c r="M12" s="755"/>
      <c r="N12" s="771"/>
    </row>
    <row r="13" spans="1:19" ht="13.5" thickTop="1" x14ac:dyDescent="0.2">
      <c r="A13" s="424" t="s">
        <v>162</v>
      </c>
      <c r="B13" s="425">
        <f>'Fin operácie - príjmy'!D18</f>
        <v>499436</v>
      </c>
      <c r="C13" s="425">
        <f>'Fin operácie - príjmy'!E18</f>
        <v>313085</v>
      </c>
      <c r="D13" s="425">
        <f>'Fin operácie - príjmy'!F18</f>
        <v>1640749</v>
      </c>
      <c r="E13" s="425">
        <f>'Fin operácie - príjmy'!G18</f>
        <v>2754938</v>
      </c>
      <c r="F13" s="425">
        <f>'Fin operácie - príjmy'!H18</f>
        <v>4479434</v>
      </c>
      <c r="G13" s="425">
        <f>'Fin operácie - príjmy'!I18</f>
        <v>2266668</v>
      </c>
      <c r="H13" s="425">
        <f>'Fin operácie - príjmy'!J18</f>
        <v>1305406</v>
      </c>
      <c r="I13" s="425">
        <f>'Fin operácie - príjmy'!K18</f>
        <v>1509534</v>
      </c>
      <c r="J13" s="425">
        <f>'Fin operácie - príjmy'!L18</f>
        <v>1300969.1299999999</v>
      </c>
      <c r="K13" s="535">
        <f>'Fin operácie - príjmy'!M18</f>
        <v>2766561.36</v>
      </c>
      <c r="L13" s="425">
        <f>'Fin operácie - príjmy'!N18</f>
        <v>961868</v>
      </c>
      <c r="M13" s="535">
        <f>'Fin operácie - príjmy'!O18</f>
        <v>2492133.9299999997</v>
      </c>
      <c r="N13" s="600">
        <f t="shared" ref="N13:N14" si="4">IF(L13=0,0,M13/L13*100)</f>
        <v>259.09313232169069</v>
      </c>
      <c r="P13" s="1"/>
    </row>
    <row r="14" spans="1:19" ht="13.5" thickBot="1" x14ac:dyDescent="0.25">
      <c r="A14" s="426" t="s">
        <v>163</v>
      </c>
      <c r="B14" s="184">
        <f>'Finančné operácie - výdavky'!D12</f>
        <v>477793</v>
      </c>
      <c r="C14" s="184">
        <f>'Finančné operácie - výdavky'!E12</f>
        <v>470856</v>
      </c>
      <c r="D14" s="184">
        <f>'Finančné operácie - výdavky'!F12</f>
        <v>334085</v>
      </c>
      <c r="E14" s="184">
        <f>'Finančné operácie - výdavky'!G12</f>
        <v>1303204</v>
      </c>
      <c r="F14" s="184">
        <f>'Finančné operácie - výdavky'!H12</f>
        <v>978096</v>
      </c>
      <c r="G14" s="184">
        <f>'Finančné operácie - výdavky'!I12</f>
        <v>1356608</v>
      </c>
      <c r="H14" s="184">
        <f>'Finančné operácie - výdavky'!J12</f>
        <v>1191263</v>
      </c>
      <c r="I14" s="184">
        <f>'Finančné operácie - výdavky'!K12</f>
        <v>977990</v>
      </c>
      <c r="J14" s="184">
        <f>'Finančné operácie - výdavky'!L12</f>
        <v>439019.94999999995</v>
      </c>
      <c r="K14" s="185">
        <f>'Finančné operácie - výdavky'!M12</f>
        <v>540080.30000000005</v>
      </c>
      <c r="L14" s="184">
        <f>'Finančné operácie - výdavky'!N12</f>
        <v>1030846</v>
      </c>
      <c r="M14" s="185">
        <f>'Finančné operácie - výdavky'!O12</f>
        <v>2548753.6599999997</v>
      </c>
      <c r="N14" s="597">
        <f t="shared" si="4"/>
        <v>247.24873162431629</v>
      </c>
    </row>
    <row r="15" spans="1:19" ht="15.75" thickBot="1" x14ac:dyDescent="0.3">
      <c r="A15" s="430" t="s">
        <v>31</v>
      </c>
      <c r="B15" s="431">
        <f t="shared" ref="B15:K15" si="5">B13-B14</f>
        <v>21643</v>
      </c>
      <c r="C15" s="431">
        <f t="shared" si="5"/>
        <v>-157771</v>
      </c>
      <c r="D15" s="431">
        <f t="shared" si="5"/>
        <v>1306664</v>
      </c>
      <c r="E15" s="431">
        <f t="shared" si="5"/>
        <v>1451734</v>
      </c>
      <c r="F15" s="431">
        <f t="shared" si="5"/>
        <v>3501338</v>
      </c>
      <c r="G15" s="431">
        <f t="shared" si="5"/>
        <v>910060</v>
      </c>
      <c r="H15" s="431">
        <f t="shared" si="5"/>
        <v>114143</v>
      </c>
      <c r="I15" s="431">
        <f t="shared" si="5"/>
        <v>531544</v>
      </c>
      <c r="J15" s="432">
        <f t="shared" si="5"/>
        <v>861949.17999999993</v>
      </c>
      <c r="K15" s="432">
        <f t="shared" si="5"/>
        <v>2226481.0599999996</v>
      </c>
      <c r="L15" s="431">
        <f>L13-L14</f>
        <v>-68978</v>
      </c>
      <c r="M15" s="432">
        <f>M13-M14</f>
        <v>-56619.729999999981</v>
      </c>
      <c r="N15" s="598"/>
    </row>
    <row r="16" spans="1:19" ht="14.25" thickTop="1" thickBot="1" x14ac:dyDescent="0.25">
      <c r="A16" s="770"/>
      <c r="B16" s="755"/>
      <c r="C16" s="755"/>
      <c r="D16" s="755"/>
      <c r="E16" s="755"/>
      <c r="F16" s="755"/>
      <c r="G16" s="755"/>
      <c r="H16" s="755"/>
      <c r="I16" s="755"/>
      <c r="J16" s="755"/>
      <c r="K16" s="755"/>
      <c r="L16" s="755"/>
      <c r="M16" s="755"/>
      <c r="N16" s="771"/>
    </row>
    <row r="17" spans="1:14" ht="16.5" customHeight="1" thickTop="1" x14ac:dyDescent="0.2">
      <c r="A17" s="772" t="s">
        <v>32</v>
      </c>
      <c r="B17" s="773"/>
      <c r="C17" s="773"/>
      <c r="D17" s="773"/>
      <c r="E17" s="773"/>
      <c r="F17" s="773"/>
      <c r="G17" s="773"/>
      <c r="H17" s="773"/>
      <c r="I17" s="773"/>
      <c r="J17" s="773"/>
      <c r="K17" s="773"/>
      <c r="L17" s="773"/>
      <c r="M17" s="773"/>
      <c r="N17" s="774"/>
    </row>
    <row r="18" spans="1:14" ht="13.5" customHeight="1" thickBot="1" x14ac:dyDescent="0.25">
      <c r="A18" s="775"/>
      <c r="B18" s="776"/>
      <c r="C18" s="776"/>
      <c r="D18" s="776"/>
      <c r="E18" s="776"/>
      <c r="F18" s="776"/>
      <c r="G18" s="776"/>
      <c r="H18" s="776"/>
      <c r="I18" s="776"/>
      <c r="J18" s="776"/>
      <c r="K18" s="776"/>
      <c r="L18" s="776"/>
      <c r="M18" s="776"/>
      <c r="N18" s="777"/>
    </row>
    <row r="19" spans="1:14" ht="17.25" thickTop="1" thickBot="1" x14ac:dyDescent="0.3">
      <c r="A19" s="433" t="s">
        <v>33</v>
      </c>
      <c r="B19" s="434">
        <f t="shared" ref="B19:J19" si="6">B7+B11+B15</f>
        <v>405431</v>
      </c>
      <c r="C19" s="434">
        <f t="shared" si="6"/>
        <v>168758</v>
      </c>
      <c r="D19" s="434">
        <f t="shared" si="6"/>
        <v>859707</v>
      </c>
      <c r="E19" s="434">
        <f t="shared" si="6"/>
        <v>1327171.5700000003</v>
      </c>
      <c r="F19" s="434">
        <f t="shared" si="6"/>
        <v>208476</v>
      </c>
      <c r="G19" s="434">
        <f t="shared" si="6"/>
        <v>94499.800000000745</v>
      </c>
      <c r="H19" s="434">
        <f t="shared" si="6"/>
        <v>191581.05999999959</v>
      </c>
      <c r="I19" s="434">
        <f t="shared" si="6"/>
        <v>1063427</v>
      </c>
      <c r="J19" s="435">
        <f t="shared" si="6"/>
        <v>355743.91999999736</v>
      </c>
      <c r="K19" s="435">
        <f>K7+K11+K15</f>
        <v>697889.60999999987</v>
      </c>
      <c r="L19" s="458">
        <f>L15+L11+L7</f>
        <v>14797</v>
      </c>
      <c r="M19" s="435">
        <f>M15+M11+M7</f>
        <v>619528.12000000582</v>
      </c>
      <c r="N19" s="457"/>
    </row>
    <row r="20" spans="1:14" ht="13.5" thickTop="1" x14ac:dyDescent="0.2"/>
    <row r="22" spans="1:14" x14ac:dyDescent="0.2">
      <c r="N22" s="1"/>
    </row>
    <row r="24" spans="1:14" x14ac:dyDescent="0.2">
      <c r="M24" s="495"/>
    </row>
    <row r="25" spans="1:14" x14ac:dyDescent="0.2">
      <c r="N25" s="1"/>
    </row>
    <row r="27" spans="1:14" x14ac:dyDescent="0.2">
      <c r="M27" s="625"/>
    </row>
    <row r="29" spans="1:14" x14ac:dyDescent="0.2">
      <c r="N29" s="1"/>
    </row>
  </sheetData>
  <mergeCells count="20">
    <mergeCell ref="A1:N1"/>
    <mergeCell ref="A2:K2"/>
    <mergeCell ref="A3:A4"/>
    <mergeCell ref="B3:B4"/>
    <mergeCell ref="C3:C4"/>
    <mergeCell ref="D3:D4"/>
    <mergeCell ref="F3:F4"/>
    <mergeCell ref="L3:L4"/>
    <mergeCell ref="E3:E4"/>
    <mergeCell ref="G3:G4"/>
    <mergeCell ref="A16:N16"/>
    <mergeCell ref="A17:N18"/>
    <mergeCell ref="A12:N12"/>
    <mergeCell ref="A8:N8"/>
    <mergeCell ref="N3:N4"/>
    <mergeCell ref="J3:J4"/>
    <mergeCell ref="I3:I4"/>
    <mergeCell ref="H3:H4"/>
    <mergeCell ref="K3:K4"/>
    <mergeCell ref="M3:M4"/>
  </mergeCells>
  <phoneticPr fontId="2" type="noConversion"/>
  <pageMargins left="0.75" right="0.75" top="0.5" bottom="1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7</vt:i4>
      </vt:variant>
    </vt:vector>
  </HeadingPairs>
  <TitlesOfParts>
    <vt:vector size="7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 Kamenicky</dc:creator>
  <cp:lastModifiedBy>kamenicky</cp:lastModifiedBy>
  <cp:lastPrinted>2017-04-13T06:46:17Z</cp:lastPrinted>
  <dcterms:created xsi:type="dcterms:W3CDTF">2009-12-28T11:25:53Z</dcterms:created>
  <dcterms:modified xsi:type="dcterms:W3CDTF">2017-04-13T06:56:28Z</dcterms:modified>
</cp:coreProperties>
</file>